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DeTrabalho"/>
  <mc:AlternateContent xmlns:mc="http://schemas.openxmlformats.org/markup-compatibility/2006">
    <mc:Choice Requires="x15">
      <x15ac:absPath xmlns:x15ac="http://schemas.microsoft.com/office/spreadsheetml/2010/11/ac" url="U:\SEORC\PESQUISAS DE PREÇOS\2020\00200.020128-2019-51 - Academia da SPOL\"/>
    </mc:Choice>
  </mc:AlternateContent>
  <bookViews>
    <workbookView xWindow="-120" yWindow="-120" windowWidth="19320" windowHeight="11415" tabRatio="730" activeTab="3"/>
  </bookViews>
  <sheets>
    <sheet name="Composições" sheetId="5" r:id="rId1"/>
    <sheet name="Comp.Aux1" sheetId="6" r:id="rId2"/>
    <sheet name="Comp.Aux2" sheetId="7" r:id="rId3"/>
    <sheet name="Orçamentária" sheetId="8" r:id="rId4"/>
    <sheet name="BDI" sheetId="9" r:id="rId5"/>
  </sheets>
  <definedNames>
    <definedName name="_xlnm._FilterDatabase" localSheetId="1" hidden="1">'Comp.Aux1'!$A$5:$I$437</definedName>
    <definedName name="_xlnm._FilterDatabase" localSheetId="2" hidden="1">'Comp.Aux2'!$A$5:$I$83</definedName>
    <definedName name="_xlnm._FilterDatabase" localSheetId="0" hidden="1">Composições!$A$5:$J$5145</definedName>
    <definedName name="_xlnm._FilterDatabase" localSheetId="3" hidden="1">Orçamentária!$A$5:$I$1357</definedName>
    <definedName name="_xlnm.Print_Area" localSheetId="1">'Comp.Aux1'!$A$2:$G$437</definedName>
    <definedName name="_xlnm.Print_Area" localSheetId="2">'Comp.Aux2'!$A$1:$G$91</definedName>
    <definedName name="_xlnm.Print_Area" localSheetId="0">Composições!$A$1:$H$5143</definedName>
    <definedName name="_xlnm.Print_Area" localSheetId="3">Orçamentária!$A$1:$I$1362</definedName>
    <definedName name="Arial">#REF!</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289" i="5" l="1"/>
  <c r="E2279" i="5"/>
  <c r="E2251" i="5"/>
  <c r="E518" i="5" l="1"/>
  <c r="D4328" i="5" l="1"/>
  <c r="D4344" i="5"/>
  <c r="G2469" i="5" l="1"/>
  <c r="G2467" i="5"/>
  <c r="G2466" i="5"/>
  <c r="D2466" i="5"/>
  <c r="B2466" i="5"/>
  <c r="G2465" i="5"/>
  <c r="G2463" i="5"/>
  <c r="G2462" i="5"/>
  <c r="D2462" i="5"/>
  <c r="B2462" i="5"/>
  <c r="G2669" i="5" l="1"/>
  <c r="G2667" i="5"/>
  <c r="G2666" i="5"/>
  <c r="D2666" i="5"/>
  <c r="B2666" i="5"/>
  <c r="G2661" i="5"/>
  <c r="G2659" i="5"/>
  <c r="G2658" i="5"/>
  <c r="D2658" i="5"/>
  <c r="B2658" i="5"/>
  <c r="D2562" i="5"/>
  <c r="G2569" i="5" l="1"/>
  <c r="G2567" i="5"/>
  <c r="G2566" i="5"/>
  <c r="D2566" i="5"/>
  <c r="B2566" i="5"/>
  <c r="G2565" i="5"/>
  <c r="G2563" i="5"/>
  <c r="B2562" i="5"/>
  <c r="G2561" i="5"/>
  <c r="G2559" i="5"/>
  <c r="D2558" i="5"/>
  <c r="B2558" i="5"/>
  <c r="G2557" i="5"/>
  <c r="G2555" i="5"/>
  <c r="G2554" i="5"/>
  <c r="D2554" i="5"/>
  <c r="B2554" i="5"/>
  <c r="G2553" i="5"/>
  <c r="G2551" i="5"/>
  <c r="D2550" i="5"/>
  <c r="B2550" i="5"/>
  <c r="G2549" i="5"/>
  <c r="G2547" i="5"/>
  <c r="G2546" i="5"/>
  <c r="D2546" i="5"/>
  <c r="B2546" i="5"/>
  <c r="G2545" i="5"/>
  <c r="G2543" i="5"/>
  <c r="G2542" i="5"/>
  <c r="D2542" i="5"/>
  <c r="B2542" i="5"/>
  <c r="G2541" i="5"/>
  <c r="G2539" i="5"/>
  <c r="D2538" i="5"/>
  <c r="B2538" i="5"/>
  <c r="G2537" i="5"/>
  <c r="G2535" i="5"/>
  <c r="G2534" i="5"/>
  <c r="D2534" i="5"/>
  <c r="B2534" i="5"/>
  <c r="G2533" i="5"/>
  <c r="G2531" i="5"/>
  <c r="G2530" i="5"/>
  <c r="D2530" i="5"/>
  <c r="B2530" i="5"/>
  <c r="G2529" i="5"/>
  <c r="G2527" i="5"/>
  <c r="G2526" i="5"/>
  <c r="D2526" i="5"/>
  <c r="B2526" i="5"/>
  <c r="G2525" i="5"/>
  <c r="G2523" i="5"/>
  <c r="G2522" i="5"/>
  <c r="D2522" i="5"/>
  <c r="B2522" i="5"/>
  <c r="G2521" i="5"/>
  <c r="G2519" i="5"/>
  <c r="G2518" i="5"/>
  <c r="D2518" i="5"/>
  <c r="B2518" i="5"/>
  <c r="G2517" i="5"/>
  <c r="G2515" i="5"/>
  <c r="G2514" i="5"/>
  <c r="D2514" i="5"/>
  <c r="B2514" i="5"/>
  <c r="G2513" i="5"/>
  <c r="G2511" i="5"/>
  <c r="G2510" i="5"/>
  <c r="D2510" i="5"/>
  <c r="B2510" i="5"/>
  <c r="G2509" i="5"/>
  <c r="G2507" i="5"/>
  <c r="D2506" i="5"/>
  <c r="B2506" i="5"/>
  <c r="G2505" i="5"/>
  <c r="G2503" i="5"/>
  <c r="G2502" i="5"/>
  <c r="D2502" i="5"/>
  <c r="B2502" i="5"/>
  <c r="G2501" i="5"/>
  <c r="G2499" i="5"/>
  <c r="D2498" i="5"/>
  <c r="B2498" i="5"/>
  <c r="G2497" i="5"/>
  <c r="G2495" i="5"/>
  <c r="G2494" i="5"/>
  <c r="D2494" i="5"/>
  <c r="B2494" i="5"/>
  <c r="G2493" i="5"/>
  <c r="G2491" i="5"/>
  <c r="G2490" i="5"/>
  <c r="D2490" i="5"/>
  <c r="B2490" i="5"/>
  <c r="G2489" i="5"/>
  <c r="G2487" i="5"/>
  <c r="D2486" i="5"/>
  <c r="B2486" i="5"/>
  <c r="G2485" i="5"/>
  <c r="G2483" i="5"/>
  <c r="G2482" i="5"/>
  <c r="D2482" i="5"/>
  <c r="B2482" i="5"/>
  <c r="G2481" i="5"/>
  <c r="G2479" i="5"/>
  <c r="G2478" i="5"/>
  <c r="D2478" i="5"/>
  <c r="B2478" i="5"/>
  <c r="G2477" i="5"/>
  <c r="G2475" i="5"/>
  <c r="G2474" i="5"/>
  <c r="D2474" i="5"/>
  <c r="B2474" i="5"/>
  <c r="E2472" i="5"/>
  <c r="G2473" i="5"/>
  <c r="G2471" i="5"/>
  <c r="G2470" i="5"/>
  <c r="D2470" i="5"/>
  <c r="B2470" i="5"/>
  <c r="G2461" i="5"/>
  <c r="G2459" i="5"/>
  <c r="G2458" i="5"/>
  <c r="D2458" i="5"/>
  <c r="B2458" i="5"/>
  <c r="G2457" i="5"/>
  <c r="G2455" i="5"/>
  <c r="G2454" i="5"/>
  <c r="D2454" i="5"/>
  <c r="B2454" i="5"/>
  <c r="G2449" i="5"/>
  <c r="G2447" i="5"/>
  <c r="G2446" i="5"/>
  <c r="D2446" i="5"/>
  <c r="B2446" i="5"/>
  <c r="G2445" i="5"/>
  <c r="G2443" i="5"/>
  <c r="G2442" i="5"/>
  <c r="D2442" i="5"/>
  <c r="B2442" i="5"/>
  <c r="G2441" i="5"/>
  <c r="G2439" i="5"/>
  <c r="D2438" i="5"/>
  <c r="B2438" i="5"/>
  <c r="G2437" i="5"/>
  <c r="G2435" i="5"/>
  <c r="G2434" i="5"/>
  <c r="D2434" i="5"/>
  <c r="B2434" i="5"/>
  <c r="G2433" i="5"/>
  <c r="G2431" i="5"/>
  <c r="G2430" i="5"/>
  <c r="D2430" i="5"/>
  <c r="B2430" i="5"/>
  <c r="G2429" i="5"/>
  <c r="G2427" i="5"/>
  <c r="D2426" i="5"/>
  <c r="B2426" i="5"/>
  <c r="G2421" i="5"/>
  <c r="G2419" i="5"/>
  <c r="G2418" i="5"/>
  <c r="D2418" i="5"/>
  <c r="B2418" i="5"/>
  <c r="G2417" i="5"/>
  <c r="G2415" i="5"/>
  <c r="G2414" i="5"/>
  <c r="D2414" i="5"/>
  <c r="B2414" i="5"/>
  <c r="G2413" i="5"/>
  <c r="G2411" i="5"/>
  <c r="G2410" i="5"/>
  <c r="D2410" i="5"/>
  <c r="B2410" i="5"/>
  <c r="G2562" i="5" l="1"/>
  <c r="G2558" i="5"/>
  <c r="G2550" i="5"/>
  <c r="G2538" i="5"/>
  <c r="G2498" i="5"/>
  <c r="G2506" i="5"/>
  <c r="G2486" i="5"/>
  <c r="G2438" i="5"/>
  <c r="G2426" i="5"/>
  <c r="D5140" i="5"/>
  <c r="D5134" i="5"/>
  <c r="B5140" i="5" l="1"/>
  <c r="G5145" i="5"/>
  <c r="G5141" i="5"/>
  <c r="G5139" i="5"/>
  <c r="G5135" i="5"/>
  <c r="B5134" i="5"/>
  <c r="G5140" i="5" l="1"/>
  <c r="G5134" i="5"/>
  <c r="D5113" i="5" l="1"/>
  <c r="G5120" i="5" l="1"/>
  <c r="G5114" i="5"/>
  <c r="G5113" i="5"/>
  <c r="B5113" i="5"/>
  <c r="D434" i="6"/>
  <c r="D433" i="6"/>
  <c r="F436" i="6"/>
  <c r="F427" i="6"/>
  <c r="F437" i="6" l="1"/>
  <c r="F428" i="6"/>
  <c r="F435" i="6"/>
  <c r="E4085" i="5"/>
  <c r="D77" i="7" l="1"/>
  <c r="D76" i="7"/>
  <c r="D75" i="7"/>
  <c r="D74" i="7"/>
  <c r="D60" i="7"/>
  <c r="D59" i="7"/>
  <c r="D58" i="7"/>
  <c r="D57" i="7"/>
  <c r="D34" i="7"/>
  <c r="D33" i="7"/>
  <c r="D32" i="7"/>
  <c r="D31" i="7"/>
  <c r="D345" i="6" l="1"/>
  <c r="D423" i="6"/>
  <c r="D422" i="6"/>
  <c r="D410" i="6"/>
  <c r="D411" i="6"/>
  <c r="F416" i="6" l="1"/>
  <c r="F426" i="6" l="1"/>
  <c r="F424" i="6"/>
  <c r="F415" i="6"/>
  <c r="F425" i="6"/>
  <c r="E720" i="5" l="1"/>
  <c r="E719" i="5"/>
  <c r="E718" i="5"/>
  <c r="E717" i="5"/>
  <c r="E716" i="5"/>
  <c r="E715" i="5"/>
  <c r="E466" i="5" l="1"/>
  <c r="E456" i="5"/>
  <c r="D62" i="7"/>
  <c r="D61" i="7"/>
  <c r="D36" i="7"/>
  <c r="D35" i="7"/>
  <c r="D79" i="7"/>
  <c r="D78" i="7"/>
  <c r="F404" i="6"/>
  <c r="F402" i="6"/>
  <c r="F393" i="6"/>
  <c r="F373" i="6"/>
  <c r="F372" i="6"/>
  <c r="F364" i="6"/>
  <c r="F68" i="7"/>
  <c r="F50" i="7"/>
  <c r="F41" i="7"/>
  <c r="F40" i="7"/>
  <c r="E5111" i="5"/>
  <c r="E5110" i="5"/>
  <c r="E5109" i="5"/>
  <c r="E5108" i="5"/>
  <c r="E5107" i="5"/>
  <c r="E5106" i="5"/>
  <c r="E5105" i="5"/>
  <c r="E5104" i="5"/>
  <c r="E5103" i="5"/>
  <c r="E5102" i="5"/>
  <c r="E5101" i="5"/>
  <c r="E5100" i="5"/>
  <c r="G5133" i="5"/>
  <c r="G5128" i="5"/>
  <c r="D5127" i="5"/>
  <c r="B5127" i="5"/>
  <c r="G5126" i="5"/>
  <c r="G5122" i="5"/>
  <c r="D5121" i="5"/>
  <c r="B5121" i="5"/>
  <c r="G5112" i="5"/>
  <c r="G5099" i="5"/>
  <c r="D5098" i="5"/>
  <c r="B5098" i="5"/>
  <c r="G5121" i="5" l="1"/>
  <c r="G5127" i="5"/>
  <c r="G5098" i="5"/>
  <c r="F412" i="6"/>
  <c r="F414" i="6"/>
  <c r="F413" i="6"/>
  <c r="F394" i="6"/>
  <c r="F403" i="6"/>
  <c r="F392" i="6"/>
  <c r="F82" i="7"/>
  <c r="F384" i="6"/>
  <c r="F385" i="6"/>
  <c r="F80" i="7"/>
  <c r="F81" i="7"/>
  <c r="F67" i="7"/>
  <c r="F83" i="7"/>
  <c r="F379" i="6"/>
  <c r="F378" i="6"/>
  <c r="F63" i="7"/>
  <c r="F65" i="7"/>
  <c r="F64" i="7"/>
  <c r="F66" i="7"/>
  <c r="F51" i="7"/>
  <c r="F49" i="7"/>
  <c r="F371" i="6"/>
  <c r="F365" i="6"/>
  <c r="G5097" i="5"/>
  <c r="G5093" i="5"/>
  <c r="D5092" i="5"/>
  <c r="B5092" i="5"/>
  <c r="G5091" i="5"/>
  <c r="G5087" i="5"/>
  <c r="D5086" i="5"/>
  <c r="B5086" i="5"/>
  <c r="G5085" i="5"/>
  <c r="G5081" i="5"/>
  <c r="D5080" i="5"/>
  <c r="B5080" i="5"/>
  <c r="G5079" i="5"/>
  <c r="G5074" i="5"/>
  <c r="D5073" i="5"/>
  <c r="B5073" i="5"/>
  <c r="G5072" i="5"/>
  <c r="G5067" i="5"/>
  <c r="D5066" i="5"/>
  <c r="B5066" i="5"/>
  <c r="E5060" i="5"/>
  <c r="E5063" i="5"/>
  <c r="G5065" i="5"/>
  <c r="G5057" i="5"/>
  <c r="D5056" i="5"/>
  <c r="B5056" i="5"/>
  <c r="E5053" i="5"/>
  <c r="E5050" i="5"/>
  <c r="G5055" i="5"/>
  <c r="G5047" i="5"/>
  <c r="D5046" i="5"/>
  <c r="B5046" i="5"/>
  <c r="G5092" i="5" l="1"/>
  <c r="G5056" i="5"/>
  <c r="G5066" i="5"/>
  <c r="G5073" i="5"/>
  <c r="G5080" i="5"/>
  <c r="G5086" i="5"/>
  <c r="G5046" i="5"/>
  <c r="E5044" i="5"/>
  <c r="E5043" i="5"/>
  <c r="E5042" i="5"/>
  <c r="E5040" i="5"/>
  <c r="G5045" i="5"/>
  <c r="G5039" i="5"/>
  <c r="D5038" i="5"/>
  <c r="B5038" i="5"/>
  <c r="G5038" i="5" l="1"/>
  <c r="E5036" i="5"/>
  <c r="E5035" i="5"/>
  <c r="E5034" i="5"/>
  <c r="E5032" i="5"/>
  <c r="G5037" i="5" l="1"/>
  <c r="G5031" i="5"/>
  <c r="D5030" i="5"/>
  <c r="B5030" i="5"/>
  <c r="G5029" i="5"/>
  <c r="G5023" i="5"/>
  <c r="D5022" i="5"/>
  <c r="B5022" i="5"/>
  <c r="G5030" i="5" l="1"/>
  <c r="G5022" i="5"/>
  <c r="E5020" i="5"/>
  <c r="E5019" i="5"/>
  <c r="G5021" i="5"/>
  <c r="G5017" i="5"/>
  <c r="D5016" i="5"/>
  <c r="B5016" i="5"/>
  <c r="E5014" i="5"/>
  <c r="E5013" i="5"/>
  <c r="E5012" i="5"/>
  <c r="E5010" i="5"/>
  <c r="G5015" i="5"/>
  <c r="G5009" i="5"/>
  <c r="D5008" i="5"/>
  <c r="B5008" i="5"/>
  <c r="E5000" i="5"/>
  <c r="E4999" i="5"/>
  <c r="E4998" i="5"/>
  <c r="E4996" i="5"/>
  <c r="E4992" i="5"/>
  <c r="E4991" i="5"/>
  <c r="E4990" i="5"/>
  <c r="E4988" i="5"/>
  <c r="E4984" i="5"/>
  <c r="E4983" i="5"/>
  <c r="E4982" i="5"/>
  <c r="E4980" i="5"/>
  <c r="E4976" i="5"/>
  <c r="E4975" i="5"/>
  <c r="E4974" i="5"/>
  <c r="E4972" i="5"/>
  <c r="G5007" i="5"/>
  <c r="G5003" i="5"/>
  <c r="D5002" i="5"/>
  <c r="B5002" i="5"/>
  <c r="G5001" i="5"/>
  <c r="G4995" i="5"/>
  <c r="D4994" i="5"/>
  <c r="B4994" i="5"/>
  <c r="G4993" i="5"/>
  <c r="G4987" i="5"/>
  <c r="D4986" i="5"/>
  <c r="B4986" i="5"/>
  <c r="G4985" i="5"/>
  <c r="G4979" i="5"/>
  <c r="D4978" i="5"/>
  <c r="B4978" i="5"/>
  <c r="G4977" i="5"/>
  <c r="G4971" i="5"/>
  <c r="D4970" i="5"/>
  <c r="B4970" i="5"/>
  <c r="G4969" i="5"/>
  <c r="G4965" i="5"/>
  <c r="D4964" i="5"/>
  <c r="B4964" i="5"/>
  <c r="G4964" i="5" l="1"/>
  <c r="G4970" i="5"/>
  <c r="G4986" i="5"/>
  <c r="G4994" i="5"/>
  <c r="G5002" i="5"/>
  <c r="G5008" i="5"/>
  <c r="G4978" i="5"/>
  <c r="G5016" i="5"/>
  <c r="E4954" i="5"/>
  <c r="E4956" i="5"/>
  <c r="E4955" i="5"/>
  <c r="E4953" i="5"/>
  <c r="G4963" i="5"/>
  <c r="G4952" i="5"/>
  <c r="D4951" i="5"/>
  <c r="B4951" i="5"/>
  <c r="E4947" i="5"/>
  <c r="E4946" i="5"/>
  <c r="E4949" i="5"/>
  <c r="E4948" i="5"/>
  <c r="G4950" i="5"/>
  <c r="G4945" i="5"/>
  <c r="D4944" i="5"/>
  <c r="B4944" i="5"/>
  <c r="A1358" i="8"/>
  <c r="G4944" i="5" l="1"/>
  <c r="G4951" i="5"/>
  <c r="E4895" i="5"/>
  <c r="E2249" i="5" l="1"/>
  <c r="E2247" i="5"/>
  <c r="E2246" i="5"/>
  <c r="E2250" i="5"/>
  <c r="E2309" i="5"/>
  <c r="E2308" i="5"/>
  <c r="E2297" i="5"/>
  <c r="E2296" i="5"/>
  <c r="E2287" i="5"/>
  <c r="E2286" i="5"/>
  <c r="E2277" i="5"/>
  <c r="E2276" i="5"/>
  <c r="E2265" i="5"/>
  <c r="E2264" i="5"/>
  <c r="E2313" i="5"/>
  <c r="E2312" i="5"/>
  <c r="E2311" i="5"/>
  <c r="E2310" i="5"/>
  <c r="E2301" i="5"/>
  <c r="E2300" i="5"/>
  <c r="E2299" i="5"/>
  <c r="E2298" i="5"/>
  <c r="E2288" i="5"/>
  <c r="E2278" i="5"/>
  <c r="E2269" i="5"/>
  <c r="E2268" i="5"/>
  <c r="E2267" i="5"/>
  <c r="E2266" i="5"/>
  <c r="E4840" i="5"/>
  <c r="E4839" i="5"/>
  <c r="E4834" i="5"/>
  <c r="E4833" i="5"/>
  <c r="E4828" i="5"/>
  <c r="E4827" i="5"/>
  <c r="E4822" i="5"/>
  <c r="E4821" i="5"/>
  <c r="G4943" i="5" l="1"/>
  <c r="G4938" i="5"/>
  <c r="D4937" i="5"/>
  <c r="B4937" i="5"/>
  <c r="G4936" i="5"/>
  <c r="G4932" i="5"/>
  <c r="D4931" i="5"/>
  <c r="B4931" i="5"/>
  <c r="G4930" i="5"/>
  <c r="G4926" i="5"/>
  <c r="D4925" i="5"/>
  <c r="B4925" i="5"/>
  <c r="G4924" i="5"/>
  <c r="G4920" i="5"/>
  <c r="D4919" i="5"/>
  <c r="B4919" i="5"/>
  <c r="G4918" i="5"/>
  <c r="G4914" i="5"/>
  <c r="D4913" i="5"/>
  <c r="B4913" i="5"/>
  <c r="G4925" i="5" l="1"/>
  <c r="G4937" i="5"/>
  <c r="G4913" i="5"/>
  <c r="G4931" i="5"/>
  <c r="G4919" i="5"/>
  <c r="E4911" i="5"/>
  <c r="G4912" i="5"/>
  <c r="G4906" i="5"/>
  <c r="G4905" i="5"/>
  <c r="D4905" i="5"/>
  <c r="B4905" i="5"/>
  <c r="G4904" i="5"/>
  <c r="G4899" i="5"/>
  <c r="D4898" i="5"/>
  <c r="B4898" i="5"/>
  <c r="G4897" i="5"/>
  <c r="G4892" i="5"/>
  <c r="G4891" i="5"/>
  <c r="D4891" i="5"/>
  <c r="B4891" i="5"/>
  <c r="E4847" i="5"/>
  <c r="E4846" i="5"/>
  <c r="E4845" i="5"/>
  <c r="E4844" i="5"/>
  <c r="G4890" i="5"/>
  <c r="G4885" i="5"/>
  <c r="D4884" i="5"/>
  <c r="B4884" i="5"/>
  <c r="G4883" i="5"/>
  <c r="G4879" i="5"/>
  <c r="D4878" i="5"/>
  <c r="B4878" i="5"/>
  <c r="G4877" i="5"/>
  <c r="G4873" i="5"/>
  <c r="D4872" i="5"/>
  <c r="B4872" i="5"/>
  <c r="G4871" i="5"/>
  <c r="G4869" i="5"/>
  <c r="G4868" i="5"/>
  <c r="D4868" i="5"/>
  <c r="B4868" i="5"/>
  <c r="G4861" i="5"/>
  <c r="G4855" i="5"/>
  <c r="D4854" i="5"/>
  <c r="B4854" i="5"/>
  <c r="G4867" i="5"/>
  <c r="G4863" i="5"/>
  <c r="D4862" i="5"/>
  <c r="B4862" i="5"/>
  <c r="G4853" i="5"/>
  <c r="G4850" i="5"/>
  <c r="G4849" i="5"/>
  <c r="D4849" i="5"/>
  <c r="B4849" i="5"/>
  <c r="G4848" i="5"/>
  <c r="G4843" i="5"/>
  <c r="G4842" i="5"/>
  <c r="D4842" i="5"/>
  <c r="B4842" i="5"/>
  <c r="G4841" i="5"/>
  <c r="G4837" i="5"/>
  <c r="D4836" i="5"/>
  <c r="B4836" i="5"/>
  <c r="G4835" i="5"/>
  <c r="G4831" i="5"/>
  <c r="D4830" i="5"/>
  <c r="B4830" i="5"/>
  <c r="G4829" i="5"/>
  <c r="G4825" i="5"/>
  <c r="D4824" i="5"/>
  <c r="B4824" i="5"/>
  <c r="G4823" i="5"/>
  <c r="G4819" i="5"/>
  <c r="D4818" i="5"/>
  <c r="B4818" i="5"/>
  <c r="G4817" i="5"/>
  <c r="G4814" i="5"/>
  <c r="G4813" i="5"/>
  <c r="D4813" i="5"/>
  <c r="B4813" i="5"/>
  <c r="E4811" i="5"/>
  <c r="E4810" i="5"/>
  <c r="E4804" i="5"/>
  <c r="E4803" i="5"/>
  <c r="G4812" i="5"/>
  <c r="G4807" i="5"/>
  <c r="D4806" i="5"/>
  <c r="B4806" i="5"/>
  <c r="G4805" i="5"/>
  <c r="G4800" i="5"/>
  <c r="D4799" i="5"/>
  <c r="B4799" i="5"/>
  <c r="B4792" i="5"/>
  <c r="D4792" i="5"/>
  <c r="G4793" i="5"/>
  <c r="G4798" i="5"/>
  <c r="G4791" i="5"/>
  <c r="G4786" i="5"/>
  <c r="D4785" i="5"/>
  <c r="B4785" i="5"/>
  <c r="G4784" i="5"/>
  <c r="G4781" i="5"/>
  <c r="G4780" i="5"/>
  <c r="D4780" i="5"/>
  <c r="B4780" i="5"/>
  <c r="G4779" i="5"/>
  <c r="G4774" i="5"/>
  <c r="D4773" i="5"/>
  <c r="B4773" i="5"/>
  <c r="G4772" i="5"/>
  <c r="G4767" i="5"/>
  <c r="D4766" i="5"/>
  <c r="B4766" i="5"/>
  <c r="G4765" i="5"/>
  <c r="G4760" i="5"/>
  <c r="D4759" i="5"/>
  <c r="B4759" i="5"/>
  <c r="G4824" i="5" l="1"/>
  <c r="G4830" i="5"/>
  <c r="G4792" i="5"/>
  <c r="G4872" i="5"/>
  <c r="G4785" i="5"/>
  <c r="G4898" i="5"/>
  <c r="G4818" i="5"/>
  <c r="G4884" i="5"/>
  <c r="G4773" i="5"/>
  <c r="G4836" i="5"/>
  <c r="G4799" i="5"/>
  <c r="G4854" i="5"/>
  <c r="G4878" i="5"/>
  <c r="G4862" i="5"/>
  <c r="G4766" i="5"/>
  <c r="G4759" i="5"/>
  <c r="G4806" i="5"/>
  <c r="G4758" i="5" l="1"/>
  <c r="G4753" i="5"/>
  <c r="D4752" i="5"/>
  <c r="B4752" i="5"/>
  <c r="G4751" i="5"/>
  <c r="G4746" i="5"/>
  <c r="D4745" i="5"/>
  <c r="B4745" i="5"/>
  <c r="G4744" i="5"/>
  <c r="G4738" i="5"/>
  <c r="D4737" i="5"/>
  <c r="B4737" i="5"/>
  <c r="G4737" i="5" l="1"/>
  <c r="G4745" i="5"/>
  <c r="G4752" i="5"/>
  <c r="G4736" i="5"/>
  <c r="G4728" i="5"/>
  <c r="D4727" i="5"/>
  <c r="B4727" i="5"/>
  <c r="G4727" i="5" l="1"/>
  <c r="G4726" i="5"/>
  <c r="G4720" i="5"/>
  <c r="G4719" i="5"/>
  <c r="D4719" i="5"/>
  <c r="B4719" i="5"/>
  <c r="G4718" i="5"/>
  <c r="G4712" i="5"/>
  <c r="G4711" i="5"/>
  <c r="D4711" i="5"/>
  <c r="B4711" i="5"/>
  <c r="G4710" i="5"/>
  <c r="G4704" i="5"/>
  <c r="G4703" i="5"/>
  <c r="D4703" i="5"/>
  <c r="B4703" i="5"/>
  <c r="G4702" i="5"/>
  <c r="G4696" i="5"/>
  <c r="G4695" i="5"/>
  <c r="D4695" i="5"/>
  <c r="B4695" i="5"/>
  <c r="G4694" i="5"/>
  <c r="G4688" i="5"/>
  <c r="G4687" i="5"/>
  <c r="D4687" i="5"/>
  <c r="B4687" i="5"/>
  <c r="G4686" i="5"/>
  <c r="G4680" i="5"/>
  <c r="G4679" i="5"/>
  <c r="D4679" i="5"/>
  <c r="B4679" i="5"/>
  <c r="G4678" i="5"/>
  <c r="G4672" i="5"/>
  <c r="G4671" i="5"/>
  <c r="D4671" i="5"/>
  <c r="B4671" i="5"/>
  <c r="G4669" i="5"/>
  <c r="G4664" i="5"/>
  <c r="G4663" i="5"/>
  <c r="D4663" i="5"/>
  <c r="B4663" i="5"/>
  <c r="G4662" i="5"/>
  <c r="G4659" i="5"/>
  <c r="G4658" i="5"/>
  <c r="D4658" i="5"/>
  <c r="B4658" i="5"/>
  <c r="G4657" i="5"/>
  <c r="G4654" i="5"/>
  <c r="G4653" i="5"/>
  <c r="D4653" i="5"/>
  <c r="B4653" i="5"/>
  <c r="E711" i="5"/>
  <c r="E710" i="5"/>
  <c r="E709" i="5"/>
  <c r="E708" i="5"/>
  <c r="E707" i="5"/>
  <c r="E706" i="5"/>
  <c r="E705" i="5"/>
  <c r="E683" i="5"/>
  <c r="E682" i="5"/>
  <c r="E681" i="5"/>
  <c r="E680" i="5"/>
  <c r="E679" i="5"/>
  <c r="E678" i="5"/>
  <c r="E677" i="5"/>
  <c r="E3736" i="5"/>
  <c r="E3732" i="5"/>
  <c r="E3733" i="5"/>
  <c r="E3734" i="5"/>
  <c r="E3735" i="5"/>
  <c r="E3738" i="5"/>
  <c r="E3737" i="5"/>
  <c r="G4652" i="5"/>
  <c r="G4649" i="5"/>
  <c r="G4648" i="5"/>
  <c r="D4648" i="5"/>
  <c r="B4648" i="5"/>
  <c r="E4643" i="5"/>
  <c r="E4642" i="5"/>
  <c r="E4640" i="5"/>
  <c r="G4639" i="5"/>
  <c r="E4633" i="5"/>
  <c r="E4632" i="5"/>
  <c r="E4630" i="5"/>
  <c r="G4647" i="5"/>
  <c r="D4638" i="5"/>
  <c r="B4638" i="5"/>
  <c r="G4637" i="5"/>
  <c r="G4629" i="5"/>
  <c r="D4628" i="5"/>
  <c r="B4628" i="5"/>
  <c r="G4628" i="5" l="1"/>
  <c r="G4638" i="5"/>
  <c r="E4382" i="5" l="1"/>
  <c r="E4373" i="5"/>
  <c r="E4047" i="5"/>
  <c r="E3991" i="5" l="1"/>
  <c r="E526" i="5" l="1"/>
  <c r="E4621" i="5" l="1"/>
  <c r="G2759" i="5" l="1"/>
  <c r="G2756" i="5"/>
  <c r="D2755" i="5"/>
  <c r="B2755" i="5"/>
  <c r="G2754" i="5"/>
  <c r="G2751" i="5"/>
  <c r="D2750" i="5"/>
  <c r="B2750" i="5"/>
  <c r="G2755" i="5" l="1"/>
  <c r="G2750" i="5"/>
  <c r="A1" i="9" l="1"/>
  <c r="D4623" i="5"/>
  <c r="B4623" i="5"/>
  <c r="D4612" i="5"/>
  <c r="B4612" i="5"/>
  <c r="D4604" i="5"/>
  <c r="B4604" i="5"/>
  <c r="D4598" i="5"/>
  <c r="B4598" i="5"/>
  <c r="D4586" i="5"/>
  <c r="B4586" i="5"/>
  <c r="D4577" i="5"/>
  <c r="B4577" i="5"/>
  <c r="D4569" i="5"/>
  <c r="B4569" i="5"/>
  <c r="D4563" i="5"/>
  <c r="B4563" i="5"/>
  <c r="D4553" i="5"/>
  <c r="B4553" i="5"/>
  <c r="D4545" i="5"/>
  <c r="B4545" i="5"/>
  <c r="D4537" i="5"/>
  <c r="B4537" i="5"/>
  <c r="D4531" i="5"/>
  <c r="B4531" i="5"/>
  <c r="D4523" i="5"/>
  <c r="B4523" i="5"/>
  <c r="D4511" i="5"/>
  <c r="B4511" i="5"/>
  <c r="D4505" i="5"/>
  <c r="B4505" i="5"/>
  <c r="D4497" i="5"/>
  <c r="B4497" i="5"/>
  <c r="D4488" i="5"/>
  <c r="B4488" i="5"/>
  <c r="D4480" i="5"/>
  <c r="B4480" i="5"/>
  <c r="D4461" i="5"/>
  <c r="B4461" i="5"/>
  <c r="D4449" i="5"/>
  <c r="B4449" i="5"/>
  <c r="D4437" i="5"/>
  <c r="B4437" i="5"/>
  <c r="D4431" i="5"/>
  <c r="B4431" i="5"/>
  <c r="D4425" i="5"/>
  <c r="B4425" i="5"/>
  <c r="D4417" i="5"/>
  <c r="B4417" i="5"/>
  <c r="D4411" i="5"/>
  <c r="B4411" i="5"/>
  <c r="D4406" i="5"/>
  <c r="B4406" i="5"/>
  <c r="D4401" i="5"/>
  <c r="B4401" i="5"/>
  <c r="D4395" i="5"/>
  <c r="B4395" i="5"/>
  <c r="D4387" i="5"/>
  <c r="B4387" i="5"/>
  <c r="D4379" i="5"/>
  <c r="B4379" i="5"/>
  <c r="D4359" i="5"/>
  <c r="B4359" i="5"/>
  <c r="D4353" i="5"/>
  <c r="B4353" i="5"/>
  <c r="B4344" i="5"/>
  <c r="B4328" i="5"/>
  <c r="D4320" i="5"/>
  <c r="B4320" i="5"/>
  <c r="D4310" i="5"/>
  <c r="B4310" i="5"/>
  <c r="D4300" i="5"/>
  <c r="B4300" i="5"/>
  <c r="D4290" i="5"/>
  <c r="B4290" i="5"/>
  <c r="D4282" i="5"/>
  <c r="B4282" i="5"/>
  <c r="D4274" i="5"/>
  <c r="B4274" i="5"/>
  <c r="D4264" i="5"/>
  <c r="B4264" i="5"/>
  <c r="D4255" i="5"/>
  <c r="B4255" i="5"/>
  <c r="D4246" i="5"/>
  <c r="B4246" i="5"/>
  <c r="D4237" i="5"/>
  <c r="B4237" i="5"/>
  <c r="D4228" i="5"/>
  <c r="B4228" i="5"/>
  <c r="D4218" i="5"/>
  <c r="B4218" i="5"/>
  <c r="D4211" i="5"/>
  <c r="B4211" i="5"/>
  <c r="D4184" i="5"/>
  <c r="B4184" i="5"/>
  <c r="D4168" i="5"/>
  <c r="B4168" i="5"/>
  <c r="D4159" i="5"/>
  <c r="B4159" i="5"/>
  <c r="D4149" i="5"/>
  <c r="B4149" i="5"/>
  <c r="D4144" i="5"/>
  <c r="B4144" i="5"/>
  <c r="D4136" i="5"/>
  <c r="B4136" i="5"/>
  <c r="D4129" i="5"/>
  <c r="B4129" i="5"/>
  <c r="D4123" i="5"/>
  <c r="B4123" i="5"/>
  <c r="D4115" i="5"/>
  <c r="B4115" i="5"/>
  <c r="D4109" i="5"/>
  <c r="B4109" i="5"/>
  <c r="D4099" i="5"/>
  <c r="B4099" i="5"/>
  <c r="D4093" i="5"/>
  <c r="B4093" i="5"/>
  <c r="D4087" i="5"/>
  <c r="B4087" i="5"/>
  <c r="D4081" i="5"/>
  <c r="B4081" i="5"/>
  <c r="D4074" i="5"/>
  <c r="B4074" i="5"/>
  <c r="D4067" i="5"/>
  <c r="B4067" i="5"/>
  <c r="D4063" i="5"/>
  <c r="B4063" i="5"/>
  <c r="D4052" i="5"/>
  <c r="B4052" i="5"/>
  <c r="D4041" i="5"/>
  <c r="B4041" i="5"/>
  <c r="D4034" i="5"/>
  <c r="B4034" i="5"/>
  <c r="D4024" i="5"/>
  <c r="B4024" i="5"/>
  <c r="D4016" i="5"/>
  <c r="B4016" i="5"/>
  <c r="D4008" i="5"/>
  <c r="B4008" i="5"/>
  <c r="D4000" i="5"/>
  <c r="B4000" i="5"/>
  <c r="D3993" i="5"/>
  <c r="B3993" i="5"/>
  <c r="D3989" i="5"/>
  <c r="B3989" i="5"/>
  <c r="D3983" i="5"/>
  <c r="B3983" i="5"/>
  <c r="D3976" i="5"/>
  <c r="B3976" i="5"/>
  <c r="D3970" i="5"/>
  <c r="B3970" i="5"/>
  <c r="D3964" i="5"/>
  <c r="B3964" i="5"/>
  <c r="D3955" i="5"/>
  <c r="B3955" i="5"/>
  <c r="D3946" i="5"/>
  <c r="B3946" i="5"/>
  <c r="D3937" i="5"/>
  <c r="B3937" i="5"/>
  <c r="D3928" i="5"/>
  <c r="B3928" i="5"/>
  <c r="D3919" i="5"/>
  <c r="B3919" i="5"/>
  <c r="D3910" i="5"/>
  <c r="B3910" i="5"/>
  <c r="D3906" i="5"/>
  <c r="B3906" i="5"/>
  <c r="D3902" i="5"/>
  <c r="B3902" i="5"/>
  <c r="D3897" i="5"/>
  <c r="B3897" i="5"/>
  <c r="D3884" i="5"/>
  <c r="B3884" i="5"/>
  <c r="D3871" i="5"/>
  <c r="B3871" i="5"/>
  <c r="D3863" i="5"/>
  <c r="B3863" i="5"/>
  <c r="D3856" i="5"/>
  <c r="B3856" i="5"/>
  <c r="D3848" i="5"/>
  <c r="B3848" i="5"/>
  <c r="D3841" i="5"/>
  <c r="B3841" i="5"/>
  <c r="D3832" i="5"/>
  <c r="B3832" i="5"/>
  <c r="D3825" i="5"/>
  <c r="B3825" i="5"/>
  <c r="D3819" i="5"/>
  <c r="B3819" i="5"/>
  <c r="D3813" i="5"/>
  <c r="B3813" i="5"/>
  <c r="D3807" i="5"/>
  <c r="B3807" i="5"/>
  <c r="D3791" i="5"/>
  <c r="B3791" i="5"/>
  <c r="D3784" i="5"/>
  <c r="B3784" i="5"/>
  <c r="D3769" i="5"/>
  <c r="B3769" i="5"/>
  <c r="D3757" i="5"/>
  <c r="B3757" i="5"/>
  <c r="D3749" i="5"/>
  <c r="B3749" i="5"/>
  <c r="D3740" i="5"/>
  <c r="B3740" i="5"/>
  <c r="D3730" i="5"/>
  <c r="B3730" i="5"/>
  <c r="D3719" i="5"/>
  <c r="B3719" i="5"/>
  <c r="D3714" i="5"/>
  <c r="B3714" i="5"/>
  <c r="D3708" i="5"/>
  <c r="B3708" i="5"/>
  <c r="D3704" i="5"/>
  <c r="B3704" i="5"/>
  <c r="D3700" i="5"/>
  <c r="B3700" i="5"/>
  <c r="D3696" i="5"/>
  <c r="B3696" i="5"/>
  <c r="D3687" i="5"/>
  <c r="B3687" i="5"/>
  <c r="D3678" i="5"/>
  <c r="B3678" i="5"/>
  <c r="D3673" i="5"/>
  <c r="B3673" i="5"/>
  <c r="D3663" i="5"/>
  <c r="B3663" i="5"/>
  <c r="D3659" i="5"/>
  <c r="B3659" i="5"/>
  <c r="D3648" i="5"/>
  <c r="B3648" i="5"/>
  <c r="D3635" i="5"/>
  <c r="B3635" i="5"/>
  <c r="D3623" i="5"/>
  <c r="B3623" i="5"/>
  <c r="D3615" i="5"/>
  <c r="B3615" i="5"/>
  <c r="D3600" i="5"/>
  <c r="B3600" i="5"/>
  <c r="D3594" i="5"/>
  <c r="B3594" i="5"/>
  <c r="D3590" i="5"/>
  <c r="B3590" i="5"/>
  <c r="D3582" i="5"/>
  <c r="B3582" i="5"/>
  <c r="D3577" i="5"/>
  <c r="B3577" i="5"/>
  <c r="D3572" i="5"/>
  <c r="B3572" i="5"/>
  <c r="D3562" i="5"/>
  <c r="B3562" i="5"/>
  <c r="D3556" i="5"/>
  <c r="B3556" i="5"/>
  <c r="D3549" i="5"/>
  <c r="B3549" i="5"/>
  <c r="D3543" i="5"/>
  <c r="B3543" i="5"/>
  <c r="D3535" i="5"/>
  <c r="B3535" i="5"/>
  <c r="D3530" i="5"/>
  <c r="B3530" i="5"/>
  <c r="D3523" i="5"/>
  <c r="B3523" i="5"/>
  <c r="D3515" i="5"/>
  <c r="B3515" i="5"/>
  <c r="D3509" i="5"/>
  <c r="B3509" i="5"/>
  <c r="D3503" i="5"/>
  <c r="B3503" i="5"/>
  <c r="D3487" i="5"/>
  <c r="B3487" i="5"/>
  <c r="D3480" i="5"/>
  <c r="B3480" i="5"/>
  <c r="D3468" i="5"/>
  <c r="B3468" i="5"/>
  <c r="D3451" i="5"/>
  <c r="B3451" i="5"/>
  <c r="D3443" i="5"/>
  <c r="B3443" i="5"/>
  <c r="D3426" i="5"/>
  <c r="B3426" i="5"/>
  <c r="D3418" i="5"/>
  <c r="B3418" i="5"/>
  <c r="D3407" i="5"/>
  <c r="B3407" i="5"/>
  <c r="D3397" i="5"/>
  <c r="B3397" i="5"/>
  <c r="D3393" i="5"/>
  <c r="B3393" i="5"/>
  <c r="D3389" i="5"/>
  <c r="B3389" i="5"/>
  <c r="D3384" i="5"/>
  <c r="B3384" i="5"/>
  <c r="D3379" i="5"/>
  <c r="B3379" i="5"/>
  <c r="D3374" i="5"/>
  <c r="B3374" i="5"/>
  <c r="D3367" i="5"/>
  <c r="B3367" i="5"/>
  <c r="D3360" i="5"/>
  <c r="B3360" i="5"/>
  <c r="D3353" i="5"/>
  <c r="B3353" i="5"/>
  <c r="D3349" i="5"/>
  <c r="B3349" i="5"/>
  <c r="D3345" i="5"/>
  <c r="B3345" i="5"/>
  <c r="D3340" i="5"/>
  <c r="B3340" i="5"/>
  <c r="D3336" i="5"/>
  <c r="B3336" i="5"/>
  <c r="D3332" i="5"/>
  <c r="B3332" i="5"/>
  <c r="D3325" i="5"/>
  <c r="B3325" i="5"/>
  <c r="D3318" i="5"/>
  <c r="B3318" i="5"/>
  <c r="D3311" i="5"/>
  <c r="B3311" i="5"/>
  <c r="D3306" i="5"/>
  <c r="B3306" i="5"/>
  <c r="D3297" i="5"/>
  <c r="B3297" i="5"/>
  <c r="D3291" i="5"/>
  <c r="B3291" i="5"/>
  <c r="D3285" i="5"/>
  <c r="B3285" i="5"/>
  <c r="D3278" i="5"/>
  <c r="B3278" i="5"/>
  <c r="D3271" i="5"/>
  <c r="B3271" i="5"/>
  <c r="D3264" i="5"/>
  <c r="B3264" i="5"/>
  <c r="D3257" i="5"/>
  <c r="B3257" i="5"/>
  <c r="D3250" i="5"/>
  <c r="B3250" i="5"/>
  <c r="D3243" i="5"/>
  <c r="B3243" i="5"/>
  <c r="D3236" i="5"/>
  <c r="B3236" i="5"/>
  <c r="D3229" i="5"/>
  <c r="B3229" i="5"/>
  <c r="D3222" i="5"/>
  <c r="B3222" i="5"/>
  <c r="D3215" i="5"/>
  <c r="B3215" i="5"/>
  <c r="D3210" i="5"/>
  <c r="B3210" i="5"/>
  <c r="D3200" i="5"/>
  <c r="B3200" i="5"/>
  <c r="D3194" i="5"/>
  <c r="B3194" i="5"/>
  <c r="D3188" i="5"/>
  <c r="B3188" i="5"/>
  <c r="D3182" i="5"/>
  <c r="B3182" i="5"/>
  <c r="D3169" i="5"/>
  <c r="B3169" i="5"/>
  <c r="D3162" i="5"/>
  <c r="B3162" i="5"/>
  <c r="D3158" i="5"/>
  <c r="B3158" i="5"/>
  <c r="D3153" i="5"/>
  <c r="B3153" i="5"/>
  <c r="D3145" i="5"/>
  <c r="B3145" i="5"/>
  <c r="D3137" i="5"/>
  <c r="B3137" i="5"/>
  <c r="D3131" i="5"/>
  <c r="B3131" i="5"/>
  <c r="D3126" i="5"/>
  <c r="B3126" i="5"/>
  <c r="D3119" i="5"/>
  <c r="B3119" i="5"/>
  <c r="D3113" i="5"/>
  <c r="B3113" i="5"/>
  <c r="D3107" i="5"/>
  <c r="B3107" i="5"/>
  <c r="D3100" i="5"/>
  <c r="B3100" i="5"/>
  <c r="D3093" i="5"/>
  <c r="B3093" i="5"/>
  <c r="D3087" i="5"/>
  <c r="B3087" i="5"/>
  <c r="D3082" i="5"/>
  <c r="B3082" i="5"/>
  <c r="D3077" i="5"/>
  <c r="B3077" i="5"/>
  <c r="D3072" i="5"/>
  <c r="B3072" i="5"/>
  <c r="D3067" i="5"/>
  <c r="B3067" i="5"/>
  <c r="D3062" i="5"/>
  <c r="B3062" i="5"/>
  <c r="D3057" i="5"/>
  <c r="B3057" i="5"/>
  <c r="D3052" i="5"/>
  <c r="B3052" i="5"/>
  <c r="D3047" i="5"/>
  <c r="B3047" i="5"/>
  <c r="D3042" i="5"/>
  <c r="B3042" i="5"/>
  <c r="D3034" i="5"/>
  <c r="B3034" i="5"/>
  <c r="D3029" i="5"/>
  <c r="B3029" i="5"/>
  <c r="D3022" i="5"/>
  <c r="B3022" i="5"/>
  <c r="D3018" i="5"/>
  <c r="B3018" i="5"/>
  <c r="D3010" i="5"/>
  <c r="B3010" i="5"/>
  <c r="D3005" i="5"/>
  <c r="B3005" i="5"/>
  <c r="D2997" i="5"/>
  <c r="B2997" i="5"/>
  <c r="D2992" i="5"/>
  <c r="B2992" i="5"/>
  <c r="D2987" i="5"/>
  <c r="B2987" i="5"/>
  <c r="D2982" i="5"/>
  <c r="B2982" i="5"/>
  <c r="D2977" i="5"/>
  <c r="B2977" i="5"/>
  <c r="D2972" i="5"/>
  <c r="B2972" i="5"/>
  <c r="D2967" i="5"/>
  <c r="B2967" i="5"/>
  <c r="D2962" i="5"/>
  <c r="B2962" i="5"/>
  <c r="D2957" i="5"/>
  <c r="B2957" i="5"/>
  <c r="D2952" i="5"/>
  <c r="B2952" i="5"/>
  <c r="D2945" i="5"/>
  <c r="B2945" i="5"/>
  <c r="D2940" i="5"/>
  <c r="B2940" i="5"/>
  <c r="D2935" i="5"/>
  <c r="B2935" i="5"/>
  <c r="D2930" i="5"/>
  <c r="B2930" i="5"/>
  <c r="D2925" i="5"/>
  <c r="B2925" i="5"/>
  <c r="D2920" i="5"/>
  <c r="B2920" i="5"/>
  <c r="D2915" i="5"/>
  <c r="B2915" i="5"/>
  <c r="D2910" i="5"/>
  <c r="B2910" i="5"/>
  <c r="D2905" i="5"/>
  <c r="B2905" i="5"/>
  <c r="D2900" i="5"/>
  <c r="B2900" i="5"/>
  <c r="D2895" i="5"/>
  <c r="B2895" i="5"/>
  <c r="D2887" i="5"/>
  <c r="B2887" i="5"/>
  <c r="D2879" i="5"/>
  <c r="B2879" i="5"/>
  <c r="D2871" i="5"/>
  <c r="B2871" i="5"/>
  <c r="D2863" i="5"/>
  <c r="B2863" i="5"/>
  <c r="D2855" i="5"/>
  <c r="B2855" i="5"/>
  <c r="D2850" i="5"/>
  <c r="B2850" i="5"/>
  <c r="D2845" i="5"/>
  <c r="B2845" i="5"/>
  <c r="D2840" i="5"/>
  <c r="B2840" i="5"/>
  <c r="D2829" i="5"/>
  <c r="B2829" i="5"/>
  <c r="D2824" i="5"/>
  <c r="B2824" i="5"/>
  <c r="D2819" i="5"/>
  <c r="B2819" i="5"/>
  <c r="D2814" i="5"/>
  <c r="B2814" i="5"/>
  <c r="D2809" i="5"/>
  <c r="B2809" i="5"/>
  <c r="D2804" i="5"/>
  <c r="B2804" i="5"/>
  <c r="D2799" i="5"/>
  <c r="B2799" i="5"/>
  <c r="D2794" i="5"/>
  <c r="B2794" i="5"/>
  <c r="D2789" i="5"/>
  <c r="B2789" i="5"/>
  <c r="D2782" i="5"/>
  <c r="B2782" i="5"/>
  <c r="D2777" i="5"/>
  <c r="B2777" i="5"/>
  <c r="D2772" i="5"/>
  <c r="B2772" i="5"/>
  <c r="D2767" i="5"/>
  <c r="B2767" i="5"/>
  <c r="D2760" i="5"/>
  <c r="B2760" i="5"/>
  <c r="D2743" i="5"/>
  <c r="B2743" i="5"/>
  <c r="D2736" i="5"/>
  <c r="B2736" i="5"/>
  <c r="D2730" i="5"/>
  <c r="B2730" i="5"/>
  <c r="D2724" i="5"/>
  <c r="B2724" i="5"/>
  <c r="D2718" i="5"/>
  <c r="B2718" i="5"/>
  <c r="D2712" i="5"/>
  <c r="B2712" i="5"/>
  <c r="D2706" i="5"/>
  <c r="B2706" i="5"/>
  <c r="D2700" i="5"/>
  <c r="B2700" i="5"/>
  <c r="D2694" i="5"/>
  <c r="B2694" i="5"/>
  <c r="D2688" i="5"/>
  <c r="B2688" i="5"/>
  <c r="D2682" i="5"/>
  <c r="B2682" i="5"/>
  <c r="D2676" i="5"/>
  <c r="B2676" i="5"/>
  <c r="D2670" i="5"/>
  <c r="B2670" i="5"/>
  <c r="D2662" i="5"/>
  <c r="B2662" i="5"/>
  <c r="D2654" i="5"/>
  <c r="B2654" i="5"/>
  <c r="D2650" i="5"/>
  <c r="B2650" i="5"/>
  <c r="D2646" i="5"/>
  <c r="B2646" i="5"/>
  <c r="D2642" i="5"/>
  <c r="B2642" i="5"/>
  <c r="D2638" i="5"/>
  <c r="B2638" i="5"/>
  <c r="D2634" i="5"/>
  <c r="B2634" i="5"/>
  <c r="D2630" i="5"/>
  <c r="B2630" i="5"/>
  <c r="D2626" i="5"/>
  <c r="B2626" i="5"/>
  <c r="D2622" i="5"/>
  <c r="B2622" i="5"/>
  <c r="D2618" i="5"/>
  <c r="B2618" i="5"/>
  <c r="D2614" i="5"/>
  <c r="B2614" i="5"/>
  <c r="D2606" i="5"/>
  <c r="B2606" i="5"/>
  <c r="D2598" i="5"/>
  <c r="B2598" i="5"/>
  <c r="D2590" i="5"/>
  <c r="B2590" i="5"/>
  <c r="D2586" i="5"/>
  <c r="B2586" i="5"/>
  <c r="D2582" i="5"/>
  <c r="B2582" i="5"/>
  <c r="D2578" i="5"/>
  <c r="B2578" i="5"/>
  <c r="D2574" i="5"/>
  <c r="B2574" i="5"/>
  <c r="D2570" i="5"/>
  <c r="B2570" i="5"/>
  <c r="D2450" i="5"/>
  <c r="B2450" i="5"/>
  <c r="D2422" i="5"/>
  <c r="B2422" i="5"/>
  <c r="D2404" i="5"/>
  <c r="B2404" i="5"/>
  <c r="D2397" i="5"/>
  <c r="B2397" i="5"/>
  <c r="D2391" i="5"/>
  <c r="B2391" i="5"/>
  <c r="D2384" i="5"/>
  <c r="B2384" i="5"/>
  <c r="D2376" i="5"/>
  <c r="B2376" i="5"/>
  <c r="D2370" i="5"/>
  <c r="B2370" i="5"/>
  <c r="D2365" i="5"/>
  <c r="B2365" i="5"/>
  <c r="D2360" i="5"/>
  <c r="B2360" i="5"/>
  <c r="D2355" i="5"/>
  <c r="B2355" i="5"/>
  <c r="D2349" i="5"/>
  <c r="B2349" i="5"/>
  <c r="D2343" i="5"/>
  <c r="B2343" i="5"/>
  <c r="D2337" i="5"/>
  <c r="B2337" i="5"/>
  <c r="D2331" i="5"/>
  <c r="B2331" i="5"/>
  <c r="D2324" i="5"/>
  <c r="B2324" i="5"/>
  <c r="D2317" i="5"/>
  <c r="B2317" i="5"/>
  <c r="D2305" i="5"/>
  <c r="B2305" i="5"/>
  <c r="D2293" i="5"/>
  <c r="B2293" i="5"/>
  <c r="D2283" i="5"/>
  <c r="B2283" i="5"/>
  <c r="D2273" i="5"/>
  <c r="B2273" i="5"/>
  <c r="D2261" i="5"/>
  <c r="B2261" i="5"/>
  <c r="D2255" i="5"/>
  <c r="B2255" i="5"/>
  <c r="D2241" i="5"/>
  <c r="B2241" i="5"/>
  <c r="D2235" i="5"/>
  <c r="B2235" i="5"/>
  <c r="D2229" i="5"/>
  <c r="B2229" i="5"/>
  <c r="D2223" i="5"/>
  <c r="B2223" i="5"/>
  <c r="D2216" i="5"/>
  <c r="B2216" i="5"/>
  <c r="D2211" i="5"/>
  <c r="B2211" i="5"/>
  <c r="D2203" i="5"/>
  <c r="B2203" i="5"/>
  <c r="D2195" i="5"/>
  <c r="B2195" i="5"/>
  <c r="D2187" i="5"/>
  <c r="B2187" i="5"/>
  <c r="D2179" i="5"/>
  <c r="B2179" i="5"/>
  <c r="D2171" i="5"/>
  <c r="B2171" i="5"/>
  <c r="D2163" i="5"/>
  <c r="B2163" i="5"/>
  <c r="D2155" i="5"/>
  <c r="B2155" i="5"/>
  <c r="D2147" i="5"/>
  <c r="B2147" i="5"/>
  <c r="D2141" i="5"/>
  <c r="B2141" i="5"/>
  <c r="D2135" i="5"/>
  <c r="B2135" i="5"/>
  <c r="D2129" i="5"/>
  <c r="B2129" i="5"/>
  <c r="D2123" i="5"/>
  <c r="B2123" i="5"/>
  <c r="D2117" i="5"/>
  <c r="B2117" i="5"/>
  <c r="D2109" i="5"/>
  <c r="B2109" i="5"/>
  <c r="D2101" i="5"/>
  <c r="B2101" i="5"/>
  <c r="D2093" i="5"/>
  <c r="B2093" i="5"/>
  <c r="D2085" i="5"/>
  <c r="B2085" i="5"/>
  <c r="D2077" i="5"/>
  <c r="B2077" i="5"/>
  <c r="D2069" i="5"/>
  <c r="B2069" i="5"/>
  <c r="D2061" i="5"/>
  <c r="B2061" i="5"/>
  <c r="D2053" i="5"/>
  <c r="B2053" i="5"/>
  <c r="D2045" i="5"/>
  <c r="B2045" i="5"/>
  <c r="D2037" i="5"/>
  <c r="B2037" i="5"/>
  <c r="D2029" i="5"/>
  <c r="B2029" i="5"/>
  <c r="D2023" i="5"/>
  <c r="B2023" i="5"/>
  <c r="D2016" i="5"/>
  <c r="B2016" i="5"/>
  <c r="D2009" i="5"/>
  <c r="B2009" i="5"/>
  <c r="D2002" i="5"/>
  <c r="B2002" i="5"/>
  <c r="D1995" i="5"/>
  <c r="B1995" i="5"/>
  <c r="D1987" i="5"/>
  <c r="B1987" i="5"/>
  <c r="D1979" i="5"/>
  <c r="B1979" i="5"/>
  <c r="D1972" i="5"/>
  <c r="B1972" i="5"/>
  <c r="D1965" i="5"/>
  <c r="B1965" i="5"/>
  <c r="D1959" i="5"/>
  <c r="B1959" i="5"/>
  <c r="D1953" i="5"/>
  <c r="B1953" i="5"/>
  <c r="D1948" i="5"/>
  <c r="B1948" i="5"/>
  <c r="D1943" i="5"/>
  <c r="B1943" i="5"/>
  <c r="D1938" i="5"/>
  <c r="B1938" i="5"/>
  <c r="D1932" i="5"/>
  <c r="B1932" i="5"/>
  <c r="D1927" i="5"/>
  <c r="B1927" i="5"/>
  <c r="D1922" i="5"/>
  <c r="B1922" i="5"/>
  <c r="D1917" i="5"/>
  <c r="B1917" i="5"/>
  <c r="D1911" i="5"/>
  <c r="B1911" i="5"/>
  <c r="D1905" i="5"/>
  <c r="B1905" i="5"/>
  <c r="D1899" i="5"/>
  <c r="B1899" i="5"/>
  <c r="D1893" i="5"/>
  <c r="B1893" i="5"/>
  <c r="D1887" i="5"/>
  <c r="B1887" i="5"/>
  <c r="D1881" i="5"/>
  <c r="B1881" i="5"/>
  <c r="D1875" i="5"/>
  <c r="B1875" i="5"/>
  <c r="D1869" i="5"/>
  <c r="B1869" i="5"/>
  <c r="D1863" i="5"/>
  <c r="B1863" i="5"/>
  <c r="D1857" i="5"/>
  <c r="B1857" i="5"/>
  <c r="D1851" i="5"/>
  <c r="B1851" i="5"/>
  <c r="D1845" i="5"/>
  <c r="B1845" i="5"/>
  <c r="D1838" i="5"/>
  <c r="B1838" i="5"/>
  <c r="D1832" i="5"/>
  <c r="B1832" i="5"/>
  <c r="D1826" i="5"/>
  <c r="B1826" i="5"/>
  <c r="D1821" i="5"/>
  <c r="B1821" i="5"/>
  <c r="D1816" i="5"/>
  <c r="B1816" i="5"/>
  <c r="D1809" i="5"/>
  <c r="B1809" i="5"/>
  <c r="D1802" i="5"/>
  <c r="B1802" i="5"/>
  <c r="D1795" i="5"/>
  <c r="B1795" i="5"/>
  <c r="D1788" i="5"/>
  <c r="B1788" i="5"/>
  <c r="D1781" i="5"/>
  <c r="B1781" i="5"/>
  <c r="D1774" i="5"/>
  <c r="B1774" i="5"/>
  <c r="D1767" i="5"/>
  <c r="B1767" i="5"/>
  <c r="D1760" i="5"/>
  <c r="B1760" i="5"/>
  <c r="D1749" i="5"/>
  <c r="B1749" i="5"/>
  <c r="D1738" i="5"/>
  <c r="B1738" i="5"/>
  <c r="D1727" i="5"/>
  <c r="B1727" i="5"/>
  <c r="D1716" i="5"/>
  <c r="B1716" i="5"/>
  <c r="D1708" i="5"/>
  <c r="B1708" i="5"/>
  <c r="D1702" i="5"/>
  <c r="B1702" i="5"/>
  <c r="D1695" i="5"/>
  <c r="B1695" i="5"/>
  <c r="D1688" i="5"/>
  <c r="B1688" i="5"/>
  <c r="D1682" i="5"/>
  <c r="B1682" i="5"/>
  <c r="D1677" i="5"/>
  <c r="B1677" i="5"/>
  <c r="D1672" i="5"/>
  <c r="B1672" i="5"/>
  <c r="D1667" i="5"/>
  <c r="B1667" i="5"/>
  <c r="D1661" i="5"/>
  <c r="B1661" i="5"/>
  <c r="D1655" i="5"/>
  <c r="B1655" i="5"/>
  <c r="D1649" i="5"/>
  <c r="B1649" i="5"/>
  <c r="D1643" i="5"/>
  <c r="B1643" i="5"/>
  <c r="D1638" i="5"/>
  <c r="B1638" i="5"/>
  <c r="D1632" i="5"/>
  <c r="B1632" i="5"/>
  <c r="D1626" i="5"/>
  <c r="B1626" i="5"/>
  <c r="D1621" i="5"/>
  <c r="B1621" i="5"/>
  <c r="D1614" i="5"/>
  <c r="B1614" i="5"/>
  <c r="D1608" i="5"/>
  <c r="B1608" i="5"/>
  <c r="D1602" i="5"/>
  <c r="B1602" i="5"/>
  <c r="D1596" i="5"/>
  <c r="B1596" i="5"/>
  <c r="D1581" i="5"/>
  <c r="B1581" i="5"/>
  <c r="D1574" i="5"/>
  <c r="B1574" i="5"/>
  <c r="D1567" i="5"/>
  <c r="B1567" i="5"/>
  <c r="D1560" i="5"/>
  <c r="B1560" i="5"/>
  <c r="D1553" i="5"/>
  <c r="B1553" i="5"/>
  <c r="D1545" i="5"/>
  <c r="B1545" i="5"/>
  <c r="D1537" i="5"/>
  <c r="B1537" i="5"/>
  <c r="D1529" i="5"/>
  <c r="B1529" i="5"/>
  <c r="D1521" i="5"/>
  <c r="B1521" i="5"/>
  <c r="D1513" i="5"/>
  <c r="B1513" i="5"/>
  <c r="D1498" i="5"/>
  <c r="B1498" i="5"/>
  <c r="D1483" i="5"/>
  <c r="B1483" i="5"/>
  <c r="D1468" i="5"/>
  <c r="B1468" i="5"/>
  <c r="D1453" i="5"/>
  <c r="B1453" i="5"/>
  <c r="D1438" i="5"/>
  <c r="B1438" i="5"/>
  <c r="D1423" i="5"/>
  <c r="B1423" i="5"/>
  <c r="D1408" i="5"/>
  <c r="B1408" i="5"/>
  <c r="D1401" i="5"/>
  <c r="B1401" i="5"/>
  <c r="D1395" i="5"/>
  <c r="B1395" i="5"/>
  <c r="D1389" i="5"/>
  <c r="B1389" i="5"/>
  <c r="D1383" i="5"/>
  <c r="B1383" i="5"/>
  <c r="D1377" i="5"/>
  <c r="B1377" i="5"/>
  <c r="D1371" i="5"/>
  <c r="B1371" i="5"/>
  <c r="D1365" i="5"/>
  <c r="B1365" i="5"/>
  <c r="D1358" i="5"/>
  <c r="B1358" i="5"/>
  <c r="D1352" i="5"/>
  <c r="B1352" i="5"/>
  <c r="D1345" i="5"/>
  <c r="B1345" i="5"/>
  <c r="D1339" i="5"/>
  <c r="B1339" i="5"/>
  <c r="D1333" i="5"/>
  <c r="B1333" i="5"/>
  <c r="D1327" i="5"/>
  <c r="B1327" i="5"/>
  <c r="D1322" i="5"/>
  <c r="B1322" i="5"/>
  <c r="D1313" i="5"/>
  <c r="B1313" i="5"/>
  <c r="D1305" i="5"/>
  <c r="B1305" i="5"/>
  <c r="D1298" i="5"/>
  <c r="B1298" i="5"/>
  <c r="D1291" i="5"/>
  <c r="B1291" i="5"/>
  <c r="D1284" i="5"/>
  <c r="B1284" i="5"/>
  <c r="D1277" i="5"/>
  <c r="B1277" i="5"/>
  <c r="D1271" i="5"/>
  <c r="B1271" i="5"/>
  <c r="D1264" i="5"/>
  <c r="B1264" i="5"/>
  <c r="D1257" i="5"/>
  <c r="B1257" i="5"/>
  <c r="D1250" i="5"/>
  <c r="B1250" i="5"/>
  <c r="D1243" i="5"/>
  <c r="B1243" i="5"/>
  <c r="D1236" i="5"/>
  <c r="B1236" i="5"/>
  <c r="D1229" i="5"/>
  <c r="B1229" i="5"/>
  <c r="D1222" i="5"/>
  <c r="B1222" i="5"/>
  <c r="D1215" i="5"/>
  <c r="B1215" i="5"/>
  <c r="D1208" i="5"/>
  <c r="B1208" i="5"/>
  <c r="D1201" i="5"/>
  <c r="B1201" i="5"/>
  <c r="D1194" i="5"/>
  <c r="B1194" i="5"/>
  <c r="D1187" i="5"/>
  <c r="B1187" i="5"/>
  <c r="D1180" i="5"/>
  <c r="B1180" i="5"/>
  <c r="D1173" i="5"/>
  <c r="B1173" i="5"/>
  <c r="D1166" i="5"/>
  <c r="B1166" i="5"/>
  <c r="D1159" i="5"/>
  <c r="B1159" i="5"/>
  <c r="D1152" i="5"/>
  <c r="B1152" i="5"/>
  <c r="D1145" i="5"/>
  <c r="B1145" i="5"/>
  <c r="D1138" i="5"/>
  <c r="B1138" i="5"/>
  <c r="D1133" i="5"/>
  <c r="B1133" i="5"/>
  <c r="D1127" i="5"/>
  <c r="B1127" i="5"/>
  <c r="D1122" i="5"/>
  <c r="B1122" i="5"/>
  <c r="D1117" i="5"/>
  <c r="B1117" i="5"/>
  <c r="D1109" i="5"/>
  <c r="B1109" i="5"/>
  <c r="D1099" i="5"/>
  <c r="B1099" i="5"/>
  <c r="D1091" i="5"/>
  <c r="B1091" i="5"/>
  <c r="D1083" i="5"/>
  <c r="B1083" i="5"/>
  <c r="D1074" i="5"/>
  <c r="B1074" i="5"/>
  <c r="D1067" i="5"/>
  <c r="B1067" i="5"/>
  <c r="D1060" i="5"/>
  <c r="B1060" i="5"/>
  <c r="D1053" i="5"/>
  <c r="B1053" i="5"/>
  <c r="D1046" i="5"/>
  <c r="B1046" i="5"/>
  <c r="D1037" i="5"/>
  <c r="B1037" i="5"/>
  <c r="D1027" i="5"/>
  <c r="B1027" i="5"/>
  <c r="D1022" i="5"/>
  <c r="B1022" i="5"/>
  <c r="D1013" i="5"/>
  <c r="B1013" i="5"/>
  <c r="D1008" i="5"/>
  <c r="B1008" i="5"/>
  <c r="D1003" i="5"/>
  <c r="B1003" i="5"/>
  <c r="D992" i="5"/>
  <c r="B992" i="5"/>
  <c r="D981" i="5"/>
  <c r="B981" i="5"/>
  <c r="D974" i="5"/>
  <c r="B974" i="5"/>
  <c r="D967" i="5"/>
  <c r="B967" i="5"/>
  <c r="D960" i="5"/>
  <c r="B960" i="5"/>
  <c r="D954" i="5"/>
  <c r="B954" i="5"/>
  <c r="D948" i="5"/>
  <c r="B948" i="5"/>
  <c r="D939" i="5"/>
  <c r="B939" i="5"/>
  <c r="D930" i="5"/>
  <c r="B930" i="5"/>
  <c r="D923" i="5"/>
  <c r="B923" i="5"/>
  <c r="D914" i="5"/>
  <c r="B914" i="5"/>
  <c r="D908" i="5"/>
  <c r="B908" i="5"/>
  <c r="D904" i="5"/>
  <c r="B904" i="5"/>
  <c r="D897" i="5"/>
  <c r="B897" i="5"/>
  <c r="D892" i="5"/>
  <c r="B892" i="5"/>
  <c r="D884" i="5"/>
  <c r="B884" i="5"/>
  <c r="D876" i="5"/>
  <c r="B876" i="5"/>
  <c r="D868" i="5"/>
  <c r="B868" i="5"/>
  <c r="D862" i="5"/>
  <c r="B862" i="5"/>
  <c r="D855" i="5"/>
  <c r="B855" i="5"/>
  <c r="D849" i="5"/>
  <c r="B849" i="5"/>
  <c r="D844" i="5"/>
  <c r="B844" i="5"/>
  <c r="D838" i="5"/>
  <c r="B838" i="5"/>
  <c r="D831" i="5"/>
  <c r="B831" i="5"/>
  <c r="D826" i="5"/>
  <c r="B826" i="5"/>
  <c r="D822" i="5"/>
  <c r="B822" i="5"/>
  <c r="D817" i="5"/>
  <c r="B817" i="5"/>
  <c r="D813" i="5"/>
  <c r="B813" i="5"/>
  <c r="D803" i="5"/>
  <c r="B803" i="5"/>
  <c r="D789" i="5"/>
  <c r="B789" i="5"/>
  <c r="D782" i="5"/>
  <c r="B782" i="5"/>
  <c r="D771" i="5"/>
  <c r="B771" i="5"/>
  <c r="D765" i="5"/>
  <c r="B765" i="5"/>
  <c r="D754" i="5"/>
  <c r="B754" i="5"/>
  <c r="D747" i="5"/>
  <c r="B747" i="5"/>
  <c r="D743" i="5"/>
  <c r="B743" i="5"/>
  <c r="D735" i="5"/>
  <c r="B735" i="5"/>
  <c r="D729" i="5"/>
  <c r="B729" i="5"/>
  <c r="D722" i="5"/>
  <c r="B722" i="5"/>
  <c r="D713" i="5"/>
  <c r="B713" i="5"/>
  <c r="D703" i="5"/>
  <c r="B703" i="5"/>
  <c r="D695" i="5"/>
  <c r="B695" i="5"/>
  <c r="D685" i="5"/>
  <c r="B685" i="5"/>
  <c r="D675" i="5"/>
  <c r="B675" i="5"/>
  <c r="D667" i="5"/>
  <c r="B667" i="5"/>
  <c r="D663" i="5"/>
  <c r="B663" i="5"/>
  <c r="D659" i="5"/>
  <c r="B659" i="5"/>
  <c r="D655" i="5"/>
  <c r="B655" i="5"/>
  <c r="D651" i="5"/>
  <c r="B651" i="5"/>
  <c r="D647" i="5"/>
  <c r="B647" i="5"/>
  <c r="D643" i="5"/>
  <c r="B643" i="5"/>
  <c r="D636" i="5"/>
  <c r="B636" i="5"/>
  <c r="D628" i="5"/>
  <c r="B628" i="5"/>
  <c r="D620" i="5"/>
  <c r="B620" i="5"/>
  <c r="D614" i="5"/>
  <c r="B614" i="5"/>
  <c r="D605" i="5"/>
  <c r="B605" i="5"/>
  <c r="D595" i="5"/>
  <c r="B595" i="5"/>
  <c r="D587" i="5"/>
  <c r="B587" i="5"/>
  <c r="D578" i="5"/>
  <c r="B578" i="5"/>
  <c r="D568" i="5"/>
  <c r="B568" i="5"/>
  <c r="D560" i="5"/>
  <c r="B560" i="5"/>
  <c r="D552" i="5"/>
  <c r="B552" i="5"/>
  <c r="D544" i="5"/>
  <c r="B544" i="5"/>
  <c r="D536" i="5"/>
  <c r="B536" i="5"/>
  <c r="D530" i="5"/>
  <c r="B530" i="5"/>
  <c r="D523" i="5"/>
  <c r="B523" i="5"/>
  <c r="D516" i="5"/>
  <c r="B516" i="5"/>
  <c r="D510" i="5"/>
  <c r="B510" i="5"/>
  <c r="D503" i="5"/>
  <c r="B503" i="5"/>
  <c r="D496" i="5"/>
  <c r="B496" i="5"/>
  <c r="D488" i="5"/>
  <c r="B488" i="5"/>
  <c r="D482" i="5"/>
  <c r="B482" i="5"/>
  <c r="D470" i="5"/>
  <c r="B470" i="5"/>
  <c r="D463" i="5"/>
  <c r="B463" i="5"/>
  <c r="D453" i="5"/>
  <c r="B453" i="5"/>
  <c r="D445" i="5"/>
  <c r="B445" i="5"/>
  <c r="D439" i="5"/>
  <c r="B439" i="5"/>
  <c r="D433" i="5"/>
  <c r="B433" i="5"/>
  <c r="D421" i="5"/>
  <c r="B421" i="5"/>
  <c r="D414" i="5"/>
  <c r="B414" i="5"/>
  <c r="D400" i="5"/>
  <c r="B400" i="5"/>
  <c r="D393" i="5"/>
  <c r="B393" i="5"/>
  <c r="D379" i="5"/>
  <c r="B379" i="5"/>
  <c r="D370" i="5"/>
  <c r="B370" i="5"/>
  <c r="D364" i="5"/>
  <c r="B364" i="5"/>
  <c r="D350" i="5"/>
  <c r="B350" i="5"/>
  <c r="D340" i="5"/>
  <c r="B340" i="5"/>
  <c r="D325" i="5"/>
  <c r="B325" i="5"/>
  <c r="D319" i="5"/>
  <c r="B319" i="5"/>
  <c r="D304" i="5"/>
  <c r="B304" i="5"/>
  <c r="D289" i="5"/>
  <c r="B289" i="5"/>
  <c r="D282" i="5"/>
  <c r="B282" i="5"/>
  <c r="D275" i="5"/>
  <c r="B275" i="5"/>
  <c r="D267" i="5"/>
  <c r="B267" i="5"/>
  <c r="D262" i="5"/>
  <c r="B262" i="5"/>
  <c r="D247" i="5"/>
  <c r="B247" i="5"/>
  <c r="D239" i="5"/>
  <c r="B239" i="5"/>
  <c r="D235" i="5"/>
  <c r="B235" i="5"/>
  <c r="D231" i="5"/>
  <c r="B231" i="5"/>
  <c r="D227" i="5"/>
  <c r="B227" i="5"/>
  <c r="D223" i="5"/>
  <c r="B223" i="5"/>
  <c r="D218" i="5"/>
  <c r="B218" i="5"/>
  <c r="D213" i="5"/>
  <c r="B213" i="5"/>
  <c r="D209" i="5"/>
  <c r="B209" i="5"/>
  <c r="D204" i="5"/>
  <c r="B204" i="5"/>
  <c r="D200" i="5"/>
  <c r="B200" i="5"/>
  <c r="D196" i="5"/>
  <c r="B196" i="5"/>
  <c r="D189" i="5"/>
  <c r="B189" i="5"/>
  <c r="D182" i="5"/>
  <c r="B182" i="5"/>
  <c r="D178" i="5"/>
  <c r="B178" i="5"/>
  <c r="D174" i="5"/>
  <c r="B174" i="5"/>
  <c r="D170" i="5"/>
  <c r="B170" i="5"/>
  <c r="D165" i="5"/>
  <c r="B165" i="5"/>
  <c r="D160" i="5"/>
  <c r="B160" i="5"/>
  <c r="D153" i="5"/>
  <c r="B153" i="5"/>
  <c r="D148" i="5"/>
  <c r="B148" i="5"/>
  <c r="D143" i="5"/>
  <c r="B143" i="5"/>
  <c r="D138" i="5"/>
  <c r="B138" i="5"/>
  <c r="D134" i="5"/>
  <c r="B134" i="5"/>
  <c r="D130" i="5"/>
  <c r="B130" i="5"/>
  <c r="D125" i="5"/>
  <c r="B125" i="5"/>
  <c r="D120" i="5"/>
  <c r="B120" i="5"/>
  <c r="D116" i="5"/>
  <c r="B116" i="5"/>
  <c r="D111" i="5"/>
  <c r="B111" i="5"/>
  <c r="D106" i="5"/>
  <c r="B106" i="5"/>
  <c r="D102" i="5"/>
  <c r="B102" i="5"/>
  <c r="D97" i="5"/>
  <c r="B97" i="5"/>
  <c r="D92" i="5"/>
  <c r="B92" i="5"/>
  <c r="D87" i="5"/>
  <c r="B87" i="5"/>
  <c r="D82" i="5"/>
  <c r="B82" i="5"/>
  <c r="D77" i="5"/>
  <c r="B77" i="5"/>
  <c r="D69" i="5"/>
  <c r="B69" i="5"/>
  <c r="D64" i="5"/>
  <c r="B64" i="5"/>
  <c r="D59" i="5"/>
  <c r="B59" i="5"/>
  <c r="D52" i="5"/>
  <c r="B52" i="5"/>
  <c r="D47" i="5"/>
  <c r="B47" i="5"/>
  <c r="D42" i="5"/>
  <c r="B42" i="5"/>
  <c r="D37" i="5"/>
  <c r="B37" i="5"/>
  <c r="D33" i="5"/>
  <c r="B33" i="5"/>
  <c r="D28" i="5"/>
  <c r="B28" i="5"/>
  <c r="D23" i="5"/>
  <c r="B23" i="5"/>
  <c r="D18" i="5"/>
  <c r="B18" i="5"/>
  <c r="D14" i="5"/>
  <c r="B14" i="5"/>
  <c r="D10" i="5"/>
  <c r="B10" i="5"/>
  <c r="D6" i="5"/>
  <c r="B6" i="5"/>
  <c r="A3" i="5"/>
  <c r="A1" i="5"/>
  <c r="A3" i="7" l="1"/>
  <c r="A3" i="6"/>
  <c r="A1" i="7"/>
  <c r="A1" i="6"/>
  <c r="G4968" i="5" l="1"/>
  <c r="G5025" i="5"/>
  <c r="G5082" i="5"/>
  <c r="G5088" i="5"/>
  <c r="G5011" i="5"/>
  <c r="G5076" i="5"/>
  <c r="G5041" i="5"/>
  <c r="G4927" i="5"/>
  <c r="G5033" i="5"/>
  <c r="G5018" i="5"/>
  <c r="G4973" i="5"/>
  <c r="G4981" i="5"/>
  <c r="G4989" i="5"/>
  <c r="G4997" i="5"/>
  <c r="G5004" i="5"/>
  <c r="G4747" i="5"/>
  <c r="G4900" i="5"/>
  <c r="G4896" i="5"/>
  <c r="G4769" i="5"/>
  <c r="G4783" i="5"/>
  <c r="G4755" i="5"/>
  <c r="G4802" i="5"/>
  <c r="G4809" i="5"/>
  <c r="G4762" i="5"/>
  <c r="G4776" i="5"/>
  <c r="G4729" i="5"/>
  <c r="G4739" i="5"/>
  <c r="G4661" i="5"/>
  <c r="G4656" i="5"/>
  <c r="E17" i="9" l="1"/>
  <c r="F38" i="7"/>
  <c r="F23" i="7"/>
  <c r="F18" i="7"/>
  <c r="F358" i="6"/>
  <c r="F357" i="6"/>
  <c r="F356" i="6"/>
  <c r="D346" i="6"/>
  <c r="D334" i="6"/>
  <c r="D333" i="6"/>
  <c r="F323" i="6"/>
  <c r="F322" i="6"/>
  <c r="D320" i="6"/>
  <c r="D319" i="6"/>
  <c r="F310" i="6"/>
  <c r="F297" i="6"/>
  <c r="F296" i="6"/>
  <c r="F293" i="6"/>
  <c r="D292" i="6"/>
  <c r="D291" i="6"/>
  <c r="D273" i="6"/>
  <c r="D272" i="6"/>
  <c r="D263" i="6"/>
  <c r="D262" i="6"/>
  <c r="D249" i="6"/>
  <c r="D248" i="6"/>
  <c r="D235" i="6"/>
  <c r="D234" i="6"/>
  <c r="F221" i="6"/>
  <c r="D211" i="6"/>
  <c r="F208" i="6"/>
  <c r="F204" i="6"/>
  <c r="F191" i="6"/>
  <c r="F180" i="6"/>
  <c r="F179" i="6"/>
  <c r="F178" i="6"/>
  <c r="F177" i="6"/>
  <c r="D176" i="6"/>
  <c r="D175" i="6"/>
  <c r="F169" i="6"/>
  <c r="F166" i="6"/>
  <c r="F165" i="6"/>
  <c r="D164" i="6"/>
  <c r="D163" i="6"/>
  <c r="F155" i="6"/>
  <c r="F149" i="6"/>
  <c r="F148" i="6"/>
  <c r="F147" i="6"/>
  <c r="F131" i="6"/>
  <c r="F129" i="6"/>
  <c r="F123" i="6"/>
  <c r="F112" i="6"/>
  <c r="F106" i="6"/>
  <c r="D102" i="6"/>
  <c r="D101" i="6"/>
  <c r="F96" i="6"/>
  <c r="F95" i="6"/>
  <c r="D92" i="6"/>
  <c r="D91" i="6"/>
  <c r="F87" i="6"/>
  <c r="F86" i="6"/>
  <c r="F85" i="6"/>
  <c r="F80" i="6"/>
  <c r="F79" i="6"/>
  <c r="D75" i="6"/>
  <c r="D74" i="6"/>
  <c r="F69" i="6"/>
  <c r="F60" i="6"/>
  <c r="F59" i="6"/>
  <c r="F58" i="6"/>
  <c r="D57" i="6"/>
  <c r="D56" i="6"/>
  <c r="F49" i="6"/>
  <c r="F39" i="6"/>
  <c r="F38" i="6"/>
  <c r="F26" i="6"/>
  <c r="F20" i="6"/>
  <c r="F14" i="6"/>
  <c r="F13" i="6"/>
  <c r="D12" i="6"/>
  <c r="D11" i="6"/>
  <c r="F6" i="6"/>
  <c r="G4627" i="5"/>
  <c r="G4624" i="5"/>
  <c r="G4623" i="5"/>
  <c r="G4622" i="5"/>
  <c r="G4613" i="5"/>
  <c r="G4612" i="5"/>
  <c r="G4611" i="5"/>
  <c r="G4610" i="5"/>
  <c r="G4609" i="5"/>
  <c r="E4608" i="5"/>
  <c r="E4607" i="5"/>
  <c r="G4605" i="5"/>
  <c r="G4604" i="5"/>
  <c r="G4603" i="5"/>
  <c r="G4602" i="5"/>
  <c r="G4601" i="5"/>
  <c r="G4599" i="5"/>
  <c r="G4598" i="5"/>
  <c r="G4597" i="5"/>
  <c r="G4596" i="5"/>
  <c r="G4595" i="5"/>
  <c r="G4594" i="5"/>
  <c r="E4592" i="5"/>
  <c r="G4587" i="5"/>
  <c r="G4586" i="5"/>
  <c r="G4585" i="5"/>
  <c r="G4578" i="5"/>
  <c r="G4577" i="5"/>
  <c r="G4576" i="5"/>
  <c r="G4575" i="5"/>
  <c r="G4574" i="5"/>
  <c r="G4573" i="5"/>
  <c r="G4570" i="5"/>
  <c r="G4569" i="5"/>
  <c r="G4568" i="5"/>
  <c r="G4564" i="5"/>
  <c r="G4563" i="5"/>
  <c r="G4562" i="5"/>
  <c r="G4554" i="5"/>
  <c r="G4553" i="5"/>
  <c r="G4552" i="5"/>
  <c r="G4546" i="5"/>
  <c r="G4545" i="5"/>
  <c r="G4544" i="5"/>
  <c r="G4538" i="5"/>
  <c r="G4537" i="5"/>
  <c r="G4536" i="5"/>
  <c r="G4532" i="5"/>
  <c r="G4531" i="5"/>
  <c r="G4530" i="5"/>
  <c r="G4529" i="5"/>
  <c r="G4528" i="5"/>
  <c r="G4527" i="5"/>
  <c r="G4524" i="5"/>
  <c r="G4522" i="5"/>
  <c r="G4521" i="5"/>
  <c r="G4520" i="5"/>
  <c r="E4519" i="5"/>
  <c r="E4518" i="5"/>
  <c r="G4512" i="5"/>
  <c r="G4511" i="5"/>
  <c r="G4510" i="5"/>
  <c r="G4506" i="5"/>
  <c r="G4505" i="5"/>
  <c r="G4504" i="5"/>
  <c r="G4503" i="5"/>
  <c r="G4502" i="5"/>
  <c r="E4501" i="5"/>
  <c r="G4498" i="5"/>
  <c r="G4497" i="5"/>
  <c r="G4496" i="5"/>
  <c r="G4489" i="5"/>
  <c r="G4488" i="5"/>
  <c r="G4487" i="5"/>
  <c r="E4486" i="5"/>
  <c r="E4485" i="5"/>
  <c r="E4484" i="5"/>
  <c r="E4483" i="5"/>
  <c r="E4482" i="5"/>
  <c r="G4481" i="5"/>
  <c r="G4480" i="5"/>
  <c r="G4479" i="5"/>
  <c r="G4478" i="5"/>
  <c r="G4477" i="5"/>
  <c r="E4476" i="5"/>
  <c r="E4475" i="5"/>
  <c r="G4462" i="5"/>
  <c r="G4461" i="5"/>
  <c r="G4460" i="5"/>
  <c r="E4455" i="5"/>
  <c r="E4454" i="5"/>
  <c r="E4453" i="5"/>
  <c r="E4452" i="5"/>
  <c r="E4451" i="5"/>
  <c r="G4450" i="5"/>
  <c r="G4449" i="5"/>
  <c r="G4448" i="5"/>
  <c r="G4438" i="5"/>
  <c r="G4436" i="5"/>
  <c r="G4432" i="5"/>
  <c r="G4431" i="5"/>
  <c r="G4430" i="5"/>
  <c r="G4426" i="5"/>
  <c r="G4425" i="5"/>
  <c r="G4424" i="5"/>
  <c r="E4423" i="5"/>
  <c r="G4418" i="5"/>
  <c r="G4417" i="5"/>
  <c r="G4416" i="5"/>
  <c r="G4412" i="5"/>
  <c r="G4411" i="5"/>
  <c r="G4410" i="5"/>
  <c r="G4407" i="5"/>
  <c r="G4406" i="5"/>
  <c r="G4405" i="5"/>
  <c r="G4402" i="5"/>
  <c r="G4401" i="5"/>
  <c r="G4400" i="5"/>
  <c r="G4396" i="5"/>
  <c r="G4395" i="5"/>
  <c r="G4394" i="5"/>
  <c r="G4388" i="5"/>
  <c r="G4387" i="5"/>
  <c r="G4386" i="5"/>
  <c r="G4380" i="5"/>
  <c r="G4379" i="5"/>
  <c r="G4378" i="5"/>
  <c r="E4367" i="5"/>
  <c r="G4360" i="5"/>
  <c r="G4359" i="5"/>
  <c r="G4358" i="5"/>
  <c r="G4354" i="5"/>
  <c r="G4353" i="5"/>
  <c r="G4352" i="5"/>
  <c r="G4345" i="5"/>
  <c r="G4344" i="5"/>
  <c r="G4343" i="5"/>
  <c r="G4329" i="5"/>
  <c r="G4328" i="5"/>
  <c r="G4327" i="5"/>
  <c r="G4321" i="5"/>
  <c r="G4320" i="5"/>
  <c r="G4319" i="5"/>
  <c r="G4311" i="5"/>
  <c r="G4310" i="5"/>
  <c r="G4309" i="5"/>
  <c r="G4301" i="5"/>
  <c r="G4299" i="5"/>
  <c r="G4291" i="5"/>
  <c r="G4290" i="5"/>
  <c r="G4289" i="5"/>
  <c r="E4288" i="5"/>
  <c r="E4286" i="5"/>
  <c r="E4285" i="5"/>
  <c r="E4284" i="5"/>
  <c r="G4283" i="5"/>
  <c r="G4282" i="5"/>
  <c r="G4281" i="5"/>
  <c r="E4280" i="5"/>
  <c r="E4278" i="5"/>
  <c r="E4277" i="5"/>
  <c r="E4276" i="5"/>
  <c r="G4275" i="5"/>
  <c r="G4274" i="5"/>
  <c r="G4273" i="5"/>
  <c r="G4265" i="5"/>
  <c r="G4264" i="5"/>
  <c r="G4263" i="5"/>
  <c r="G4256" i="5"/>
  <c r="G4255" i="5"/>
  <c r="G4254" i="5"/>
  <c r="G4247" i="5"/>
  <c r="G4246" i="5"/>
  <c r="G4245" i="5"/>
  <c r="G4238" i="5"/>
  <c r="G4237" i="5"/>
  <c r="G4236" i="5"/>
  <c r="G4229" i="5"/>
  <c r="G4228" i="5"/>
  <c r="G4227" i="5"/>
  <c r="G4219" i="5"/>
  <c r="G4218" i="5"/>
  <c r="G4217" i="5"/>
  <c r="E4215" i="5"/>
  <c r="E4214" i="5"/>
  <c r="E4213" i="5"/>
  <c r="G4212" i="5"/>
  <c r="G4211" i="5"/>
  <c r="G4210" i="5"/>
  <c r="G4209" i="5"/>
  <c r="G4208" i="5"/>
  <c r="E4207" i="5"/>
  <c r="E4206" i="5"/>
  <c r="G4185" i="5"/>
  <c r="G4184" i="5"/>
  <c r="G4183" i="5"/>
  <c r="G4182" i="5"/>
  <c r="G4181" i="5"/>
  <c r="E4180" i="5"/>
  <c r="E4179" i="5"/>
  <c r="G4169" i="5"/>
  <c r="G4168" i="5"/>
  <c r="G4167" i="5"/>
  <c r="E4163" i="5"/>
  <c r="E4162" i="5"/>
  <c r="E4161" i="5"/>
  <c r="G4160" i="5"/>
  <c r="G4159" i="5"/>
  <c r="G4158" i="5"/>
  <c r="G4150" i="5"/>
  <c r="G4149" i="5"/>
  <c r="G4148" i="5"/>
  <c r="G4145" i="5"/>
  <c r="G4144" i="5"/>
  <c r="G4143" i="5"/>
  <c r="G4137" i="5"/>
  <c r="G4136" i="5"/>
  <c r="G4135" i="5"/>
  <c r="G4130" i="5"/>
  <c r="G4129" i="5"/>
  <c r="G4128" i="5"/>
  <c r="G4124" i="5"/>
  <c r="G4123" i="5"/>
  <c r="G4122" i="5"/>
  <c r="G4121" i="5"/>
  <c r="G4120" i="5"/>
  <c r="E4117" i="5"/>
  <c r="G4116" i="5"/>
  <c r="G4115" i="5"/>
  <c r="G4114" i="5"/>
  <c r="G4110" i="5"/>
  <c r="G4109" i="5"/>
  <c r="G4108" i="5"/>
  <c r="G4100" i="5"/>
  <c r="G4099" i="5"/>
  <c r="G4098" i="5"/>
  <c r="G4094" i="5"/>
  <c r="G4093" i="5"/>
  <c r="G4092" i="5"/>
  <c r="G4088" i="5"/>
  <c r="G4087" i="5"/>
  <c r="G4086" i="5"/>
  <c r="G4082" i="5"/>
  <c r="G4081" i="5"/>
  <c r="G4080" i="5"/>
  <c r="G4075" i="5"/>
  <c r="G4074" i="5"/>
  <c r="G4073" i="5"/>
  <c r="G4068" i="5"/>
  <c r="G4067" i="5"/>
  <c r="G4066" i="5"/>
  <c r="G4064" i="5"/>
  <c r="G4063" i="5"/>
  <c r="G4062" i="5"/>
  <c r="G4061" i="5"/>
  <c r="G4060" i="5"/>
  <c r="E4055" i="5"/>
  <c r="G4053" i="5"/>
  <c r="G4052" i="5"/>
  <c r="G4051" i="5"/>
  <c r="G4042" i="5"/>
  <c r="G4041" i="5"/>
  <c r="G4040" i="5"/>
  <c r="G4035" i="5"/>
  <c r="G4034" i="5"/>
  <c r="G4033" i="5"/>
  <c r="G4025" i="5"/>
  <c r="G4024" i="5"/>
  <c r="G4023" i="5"/>
  <c r="G4017" i="5"/>
  <c r="G4016" i="5"/>
  <c r="G4015" i="5"/>
  <c r="G4009" i="5"/>
  <c r="G4008" i="5"/>
  <c r="G4007" i="5"/>
  <c r="G4001" i="5"/>
  <c r="G3999" i="5"/>
  <c r="G3994" i="5"/>
  <c r="G3993" i="5"/>
  <c r="G3992" i="5"/>
  <c r="G3990" i="5"/>
  <c r="G3989" i="5"/>
  <c r="G3988" i="5"/>
  <c r="G3987" i="5"/>
  <c r="G3986" i="5"/>
  <c r="E3985" i="5"/>
  <c r="G3984" i="5"/>
  <c r="G3983" i="5"/>
  <c r="G3982" i="5"/>
  <c r="G3977" i="5"/>
  <c r="G3976" i="5"/>
  <c r="G3975" i="5"/>
  <c r="G3971" i="5"/>
  <c r="G3969" i="5"/>
  <c r="G3965" i="5"/>
  <c r="G3964" i="5"/>
  <c r="G3963" i="5"/>
  <c r="G3956" i="5"/>
  <c r="G3954" i="5"/>
  <c r="G3947" i="5"/>
  <c r="G3946" i="5"/>
  <c r="G3945" i="5"/>
  <c r="G3938" i="5"/>
  <c r="G3937" i="5"/>
  <c r="G3936" i="5"/>
  <c r="G3929" i="5"/>
  <c r="G3928" i="5"/>
  <c r="G3927" i="5"/>
  <c r="G3920" i="5"/>
  <c r="G3918" i="5"/>
  <c r="G3911" i="5"/>
  <c r="G3910" i="5"/>
  <c r="G3909" i="5"/>
  <c r="G3907" i="5"/>
  <c r="G3906" i="5"/>
  <c r="G3905" i="5"/>
  <c r="G3903" i="5"/>
  <c r="G3902" i="5"/>
  <c r="G3901" i="5"/>
  <c r="E3899" i="5"/>
  <c r="G3898" i="5"/>
  <c r="G3897" i="5"/>
  <c r="G3896" i="5"/>
  <c r="G3885" i="5"/>
  <c r="G3884" i="5"/>
  <c r="G3883" i="5"/>
  <c r="G3882" i="5"/>
  <c r="G3881" i="5"/>
  <c r="E3880" i="5"/>
  <c r="E3879" i="5"/>
  <c r="G3872" i="5"/>
  <c r="G3871" i="5"/>
  <c r="G3870" i="5"/>
  <c r="G3864" i="5"/>
  <c r="G3863" i="5"/>
  <c r="G3862" i="5"/>
  <c r="G3857" i="5"/>
  <c r="G3856" i="5"/>
  <c r="G3855" i="5"/>
  <c r="G3849" i="5"/>
  <c r="G3847" i="5"/>
  <c r="E3844" i="5"/>
  <c r="G3842" i="5"/>
  <c r="G3841" i="5"/>
  <c r="G3840" i="5"/>
  <c r="G3833" i="5"/>
  <c r="G3832" i="5"/>
  <c r="G3831" i="5"/>
  <c r="E3830" i="5"/>
  <c r="E3829" i="5"/>
  <c r="E3828" i="5"/>
  <c r="E3827" i="5"/>
  <c r="G3826" i="5"/>
  <c r="G3825" i="5"/>
  <c r="G3824" i="5"/>
  <c r="G3820" i="5"/>
  <c r="G3819" i="5"/>
  <c r="G3818" i="5"/>
  <c r="G3814" i="5"/>
  <c r="G3813" i="5"/>
  <c r="G3812" i="5"/>
  <c r="G3808" i="5"/>
  <c r="G3806" i="5"/>
  <c r="G3792" i="5"/>
  <c r="G3790" i="5"/>
  <c r="G3785" i="5"/>
  <c r="G3783" i="5"/>
  <c r="G3770" i="5"/>
  <c r="G3769" i="5"/>
  <c r="G3768" i="5"/>
  <c r="G3767" i="5"/>
  <c r="G3766" i="5"/>
  <c r="E3765" i="5"/>
  <c r="E3764" i="5"/>
  <c r="G3758" i="5"/>
  <c r="G3757" i="5"/>
  <c r="G3756" i="5"/>
  <c r="G3750" i="5"/>
  <c r="G3748" i="5"/>
  <c r="G3741" i="5"/>
  <c r="G3740" i="5"/>
  <c r="G3739" i="5"/>
  <c r="G3731" i="5"/>
  <c r="G3729" i="5"/>
  <c r="G3728" i="5"/>
  <c r="G3727" i="5"/>
  <c r="E3726" i="5"/>
  <c r="G3720" i="5"/>
  <c r="G3719" i="5"/>
  <c r="G3718" i="5"/>
  <c r="E3717" i="5"/>
  <c r="E3716" i="5"/>
  <c r="G3715" i="5"/>
  <c r="G3714" i="5"/>
  <c r="G3713" i="5"/>
  <c r="G3712" i="5"/>
  <c r="G3711" i="5"/>
  <c r="E3710" i="5"/>
  <c r="G3709" i="5"/>
  <c r="G3708" i="5"/>
  <c r="G3707" i="5"/>
  <c r="G3705" i="5"/>
  <c r="G3704" i="5"/>
  <c r="G3703" i="5"/>
  <c r="G3701" i="5"/>
  <c r="G3699" i="5"/>
  <c r="G3697" i="5"/>
  <c r="G3696" i="5"/>
  <c r="G3695" i="5"/>
  <c r="G3688" i="5"/>
  <c r="G3687" i="5"/>
  <c r="G3686" i="5"/>
  <c r="G3685" i="5"/>
  <c r="G3684" i="5"/>
  <c r="G3683" i="5"/>
  <c r="E3682" i="5"/>
  <c r="E3681" i="5"/>
  <c r="E3680" i="5"/>
  <c r="G3679" i="5"/>
  <c r="G3678" i="5"/>
  <c r="G3677" i="5"/>
  <c r="E3676" i="5"/>
  <c r="G3674" i="5"/>
  <c r="G3673" i="5"/>
  <c r="G3672" i="5"/>
  <c r="G3664" i="5"/>
  <c r="G3662" i="5"/>
  <c r="G3660" i="5"/>
  <c r="G3658" i="5"/>
  <c r="G3657" i="5"/>
  <c r="G3656" i="5"/>
  <c r="E3655" i="5"/>
  <c r="E3653" i="5"/>
  <c r="E3652" i="5"/>
  <c r="E3651" i="5"/>
  <c r="E3650" i="5"/>
  <c r="G3649" i="5"/>
  <c r="G3648" i="5"/>
  <c r="G3647" i="5"/>
  <c r="G3646" i="5"/>
  <c r="G3645" i="5"/>
  <c r="E3644" i="5"/>
  <c r="E3643" i="5"/>
  <c r="G3636" i="5"/>
  <c r="G3634" i="5"/>
  <c r="G3633" i="5"/>
  <c r="G3632" i="5"/>
  <c r="E3631" i="5"/>
  <c r="E3630" i="5"/>
  <c r="G3624" i="5"/>
  <c r="G3623" i="5"/>
  <c r="G3622" i="5"/>
  <c r="G3621" i="5"/>
  <c r="G3620" i="5"/>
  <c r="E3619" i="5"/>
  <c r="E3618" i="5"/>
  <c r="E3617" i="5"/>
  <c r="G3616" i="5"/>
  <c r="G3615" i="5"/>
  <c r="G3614" i="5"/>
  <c r="G3613" i="5"/>
  <c r="G3612" i="5"/>
  <c r="E3609" i="5"/>
  <c r="E3608" i="5"/>
  <c r="E3607" i="5"/>
  <c r="E3606" i="5"/>
  <c r="E3605" i="5"/>
  <c r="G3601" i="5"/>
  <c r="G3599" i="5"/>
  <c r="G3595" i="5"/>
  <c r="G3594" i="5"/>
  <c r="G3593" i="5"/>
  <c r="G3591" i="5"/>
  <c r="G3590" i="5"/>
  <c r="G3589" i="5"/>
  <c r="E3586" i="5"/>
  <c r="G3583" i="5"/>
  <c r="G3582" i="5"/>
  <c r="G3581" i="5"/>
  <c r="G3578" i="5"/>
  <c r="G3577" i="5"/>
  <c r="G3576" i="5"/>
  <c r="G3573" i="5"/>
  <c r="G3572" i="5"/>
  <c r="G3571" i="5"/>
  <c r="G3563" i="5"/>
  <c r="G3562" i="5"/>
  <c r="G3561" i="5"/>
  <c r="G3557" i="5"/>
  <c r="G3556" i="5"/>
  <c r="G3555" i="5"/>
  <c r="G3550" i="5"/>
  <c r="G3548" i="5"/>
  <c r="E3547" i="5"/>
  <c r="G3544" i="5"/>
  <c r="G3543" i="5"/>
  <c r="G3542" i="5"/>
  <c r="E3541" i="5"/>
  <c r="G3536" i="5"/>
  <c r="G3535" i="5"/>
  <c r="G3534" i="5"/>
  <c r="G3531" i="5"/>
  <c r="G3530" i="5"/>
  <c r="G3529" i="5"/>
  <c r="E3526" i="5"/>
  <c r="G3524" i="5"/>
  <c r="G3523" i="5"/>
  <c r="G3522" i="5"/>
  <c r="E3521" i="5"/>
  <c r="E3520" i="5"/>
  <c r="E3519" i="5"/>
  <c r="E3518" i="5"/>
  <c r="G3516" i="5"/>
  <c r="G3515" i="5"/>
  <c r="G3514" i="5"/>
  <c r="G3510" i="5"/>
  <c r="G3509" i="5"/>
  <c r="G3508" i="5"/>
  <c r="G3504" i="5"/>
  <c r="G3503" i="5"/>
  <c r="G3502" i="5"/>
  <c r="G3501" i="5"/>
  <c r="G3500" i="5"/>
  <c r="G3499" i="5"/>
  <c r="E3497" i="5"/>
  <c r="E3496" i="5"/>
  <c r="E3495" i="5"/>
  <c r="E3494" i="5"/>
  <c r="E3491" i="5"/>
  <c r="E3489" i="5"/>
  <c r="G3488" i="5"/>
  <c r="G3487" i="5"/>
  <c r="G3486" i="5"/>
  <c r="G3481" i="5"/>
  <c r="G3480" i="5"/>
  <c r="G3479" i="5"/>
  <c r="G3478" i="5"/>
  <c r="G3477" i="5"/>
  <c r="G3476" i="5"/>
  <c r="E3474" i="5"/>
  <c r="E3473" i="5"/>
  <c r="G3469" i="5"/>
  <c r="G3468" i="5"/>
  <c r="G3467" i="5"/>
  <c r="G3466" i="5"/>
  <c r="G3465" i="5"/>
  <c r="G3464" i="5"/>
  <c r="E3462" i="5"/>
  <c r="E3461" i="5"/>
  <c r="E3460" i="5"/>
  <c r="E3459" i="5"/>
  <c r="E3456" i="5"/>
  <c r="E3454" i="5"/>
  <c r="G3452" i="5"/>
  <c r="G3451" i="5"/>
  <c r="G3450" i="5"/>
  <c r="G3444" i="5"/>
  <c r="G3443" i="5"/>
  <c r="G3442" i="5"/>
  <c r="G3441" i="5"/>
  <c r="G3440" i="5"/>
  <c r="G3439" i="5"/>
  <c r="E3437" i="5"/>
  <c r="E3436" i="5"/>
  <c r="E3435" i="5"/>
  <c r="E3434" i="5"/>
  <c r="E3431" i="5"/>
  <c r="E3429" i="5"/>
  <c r="G3427" i="5"/>
  <c r="G3426" i="5"/>
  <c r="G3425" i="5"/>
  <c r="G3419" i="5"/>
  <c r="G3418" i="5"/>
  <c r="G3417" i="5"/>
  <c r="G3416" i="5"/>
  <c r="G3415" i="5"/>
  <c r="E3414" i="5"/>
  <c r="E3412" i="5"/>
  <c r="E3411" i="5"/>
  <c r="E3410" i="5"/>
  <c r="E3409" i="5"/>
  <c r="G3408" i="5"/>
  <c r="G3407" i="5"/>
  <c r="G3406" i="5"/>
  <c r="G3405" i="5"/>
  <c r="G3404" i="5"/>
  <c r="E3403" i="5"/>
  <c r="E3402" i="5"/>
  <c r="E3401" i="5"/>
  <c r="E3400" i="5"/>
  <c r="E3399" i="5"/>
  <c r="G3398" i="5"/>
  <c r="G3397" i="5"/>
  <c r="G3396" i="5"/>
  <c r="G3394" i="5"/>
  <c r="G3393" i="5"/>
  <c r="G3392" i="5"/>
  <c r="G3390" i="5"/>
  <c r="G3389" i="5"/>
  <c r="G3388" i="5"/>
  <c r="G3385" i="5"/>
  <c r="G3384" i="5"/>
  <c r="G3383" i="5"/>
  <c r="G3380" i="5"/>
  <c r="G3379" i="5"/>
  <c r="G3378" i="5"/>
  <c r="G3375" i="5"/>
  <c r="G3374" i="5"/>
  <c r="G3373" i="5"/>
  <c r="G3368" i="5"/>
  <c r="G3366" i="5"/>
  <c r="G3361" i="5"/>
  <c r="G3360" i="5"/>
  <c r="G3359" i="5"/>
  <c r="G3354" i="5"/>
  <c r="G3352" i="5"/>
  <c r="G3350" i="5"/>
  <c r="G3349" i="5"/>
  <c r="G3348" i="5"/>
  <c r="G3346" i="5"/>
  <c r="G3345" i="5"/>
  <c r="G3344" i="5"/>
  <c r="G3341" i="5"/>
  <c r="G3340" i="5"/>
  <c r="G3339" i="5"/>
  <c r="G3337" i="5"/>
  <c r="G3336" i="5"/>
  <c r="G3335" i="5"/>
  <c r="G3333" i="5"/>
  <c r="G3331" i="5"/>
  <c r="G3326" i="5"/>
  <c r="G3325" i="5"/>
  <c r="G3324" i="5"/>
  <c r="G3319" i="5"/>
  <c r="G3318" i="5"/>
  <c r="G3317" i="5"/>
  <c r="G3312" i="5"/>
  <c r="G3311" i="5"/>
  <c r="G3310" i="5"/>
  <c r="G3307" i="5"/>
  <c r="G3306" i="5"/>
  <c r="G3305" i="5"/>
  <c r="G3304" i="5"/>
  <c r="G3303" i="5"/>
  <c r="E3300" i="5"/>
  <c r="G3298" i="5"/>
  <c r="G3297" i="5"/>
  <c r="G3296" i="5"/>
  <c r="G3292" i="5"/>
  <c r="G3291" i="5"/>
  <c r="G3290" i="5"/>
  <c r="G3286" i="5"/>
  <c r="G3284" i="5"/>
  <c r="G3279" i="5"/>
  <c r="G3278" i="5"/>
  <c r="G3277" i="5"/>
  <c r="G3272" i="5"/>
  <c r="G3271" i="5"/>
  <c r="G3270" i="5"/>
  <c r="G3265" i="5"/>
  <c r="G3263" i="5"/>
  <c r="G3258" i="5"/>
  <c r="G3256" i="5"/>
  <c r="G3251" i="5"/>
  <c r="G3250" i="5"/>
  <c r="G3249" i="5"/>
  <c r="G3244" i="5"/>
  <c r="G3243" i="5"/>
  <c r="G3242" i="5"/>
  <c r="G3237" i="5"/>
  <c r="G3235" i="5"/>
  <c r="G3230" i="5"/>
  <c r="G3228" i="5"/>
  <c r="G3223" i="5"/>
  <c r="G3222" i="5"/>
  <c r="G3221" i="5"/>
  <c r="G3216" i="5"/>
  <c r="G3215" i="5"/>
  <c r="G3214" i="5"/>
  <c r="G3211" i="5"/>
  <c r="G3210" i="5"/>
  <c r="G3209" i="5"/>
  <c r="G3201" i="5"/>
  <c r="G3200" i="5"/>
  <c r="G3199" i="5"/>
  <c r="G3195" i="5"/>
  <c r="G3194" i="5"/>
  <c r="G3193" i="5"/>
  <c r="G3189" i="5"/>
  <c r="G3188" i="5"/>
  <c r="G3187" i="5"/>
  <c r="G3183" i="5"/>
  <c r="G3182" i="5"/>
  <c r="G3181" i="5"/>
  <c r="G3180" i="5"/>
  <c r="G3179" i="5"/>
  <c r="E3178" i="5"/>
  <c r="E3177" i="5"/>
  <c r="G3170" i="5"/>
  <c r="G3169" i="5"/>
  <c r="G3168" i="5"/>
  <c r="G3163" i="5"/>
  <c r="G3162" i="5"/>
  <c r="G3161" i="5"/>
  <c r="G3159" i="5"/>
  <c r="G3157" i="5"/>
  <c r="G3154" i="5"/>
  <c r="G3153" i="5"/>
  <c r="G3152" i="5"/>
  <c r="G3146" i="5"/>
  <c r="G3145" i="5"/>
  <c r="G3144" i="5"/>
  <c r="G3138" i="5"/>
  <c r="G3137" i="5"/>
  <c r="G3136" i="5"/>
  <c r="G3132" i="5"/>
  <c r="G3130" i="5"/>
  <c r="G3127" i="5"/>
  <c r="G3126" i="5"/>
  <c r="G3125" i="5"/>
  <c r="G3120" i="5"/>
  <c r="G3118" i="5"/>
  <c r="G3114" i="5"/>
  <c r="G3113" i="5"/>
  <c r="G3112" i="5"/>
  <c r="E3109" i="5"/>
  <c r="G3108" i="5"/>
  <c r="G3107" i="5"/>
  <c r="G3106" i="5"/>
  <c r="G3101" i="5"/>
  <c r="G3100" i="5"/>
  <c r="G3099" i="5"/>
  <c r="G3094" i="5"/>
  <c r="G3093" i="5"/>
  <c r="G3092" i="5"/>
  <c r="G3091" i="5"/>
  <c r="G3090" i="5"/>
  <c r="G3088" i="5"/>
  <c r="G3087" i="5"/>
  <c r="G3086" i="5"/>
  <c r="G3083" i="5"/>
  <c r="G3082" i="5"/>
  <c r="G3081" i="5"/>
  <c r="G3078" i="5"/>
  <c r="G3077" i="5"/>
  <c r="G3076" i="5"/>
  <c r="G3073" i="5"/>
  <c r="G3072" i="5"/>
  <c r="G3071" i="5"/>
  <c r="G3068" i="5"/>
  <c r="G3067" i="5"/>
  <c r="G3066" i="5"/>
  <c r="G3063" i="5"/>
  <c r="G3062" i="5"/>
  <c r="G3061" i="5"/>
  <c r="G3058" i="5"/>
  <c r="G3057" i="5"/>
  <c r="G3056" i="5"/>
  <c r="G3053" i="5"/>
  <c r="G3052" i="5"/>
  <c r="G3051" i="5"/>
  <c r="G3048" i="5"/>
  <c r="G3047" i="5"/>
  <c r="G3046" i="5"/>
  <c r="G3043" i="5"/>
  <c r="G3042" i="5"/>
  <c r="G3041" i="5"/>
  <c r="G3035" i="5"/>
  <c r="G3034" i="5"/>
  <c r="G3033" i="5"/>
  <c r="G3030" i="5"/>
  <c r="G3029" i="5"/>
  <c r="G3028" i="5"/>
  <c r="G3023" i="5"/>
  <c r="G3022" i="5"/>
  <c r="G3021" i="5"/>
  <c r="G3019" i="5"/>
  <c r="G3018" i="5"/>
  <c r="G3017" i="5"/>
  <c r="G3016" i="5"/>
  <c r="G3015" i="5"/>
  <c r="G3014" i="5"/>
  <c r="G3011" i="5"/>
  <c r="G3010" i="5"/>
  <c r="G3009" i="5"/>
  <c r="G3006" i="5"/>
  <c r="G3005" i="5"/>
  <c r="G3004" i="5"/>
  <c r="G3003" i="5"/>
  <c r="G3002" i="5"/>
  <c r="G3001" i="5"/>
  <c r="G2998" i="5"/>
  <c r="G2997" i="5"/>
  <c r="G2996" i="5"/>
  <c r="G2993" i="5"/>
  <c r="G2992" i="5"/>
  <c r="G2991" i="5"/>
  <c r="G2988" i="5"/>
  <c r="G2987" i="5"/>
  <c r="G2986" i="5"/>
  <c r="G2983" i="5"/>
  <c r="G2982" i="5"/>
  <c r="G2981" i="5"/>
  <c r="G2978" i="5"/>
  <c r="G2977" i="5"/>
  <c r="G2976" i="5"/>
  <c r="G2973" i="5"/>
  <c r="G2972" i="5"/>
  <c r="G2971" i="5"/>
  <c r="G2968" i="5"/>
  <c r="G2967" i="5"/>
  <c r="G2966" i="5"/>
  <c r="G2963" i="5"/>
  <c r="G2962" i="5"/>
  <c r="G2961" i="5"/>
  <c r="G2958" i="5"/>
  <c r="G2957" i="5"/>
  <c r="G2956" i="5"/>
  <c r="G2953" i="5"/>
  <c r="G2952" i="5"/>
  <c r="G2951" i="5"/>
  <c r="G2946" i="5"/>
  <c r="G2945" i="5"/>
  <c r="G2944" i="5"/>
  <c r="G2941" i="5"/>
  <c r="G2940" i="5"/>
  <c r="G2939" i="5"/>
  <c r="G2936" i="5"/>
  <c r="G2935" i="5"/>
  <c r="G2934" i="5"/>
  <c r="G2931" i="5"/>
  <c r="G2930" i="5"/>
  <c r="G2929" i="5"/>
  <c r="G2926" i="5"/>
  <c r="G2925" i="5"/>
  <c r="G2924" i="5"/>
  <c r="G2921" i="5"/>
  <c r="G2920" i="5"/>
  <c r="G2919" i="5"/>
  <c r="G2916" i="5"/>
  <c r="G2915" i="5"/>
  <c r="G2914" i="5"/>
  <c r="G2911" i="5"/>
  <c r="G2910" i="5"/>
  <c r="G2909" i="5"/>
  <c r="G2906" i="5"/>
  <c r="G2905" i="5"/>
  <c r="G2904" i="5"/>
  <c r="G2901" i="5"/>
  <c r="G2900" i="5"/>
  <c r="G2899" i="5"/>
  <c r="G2896" i="5"/>
  <c r="G2895" i="5"/>
  <c r="G2894" i="5"/>
  <c r="G2893" i="5"/>
  <c r="G2892" i="5"/>
  <c r="G2891" i="5"/>
  <c r="G2888" i="5"/>
  <c r="G2887" i="5"/>
  <c r="G2886" i="5"/>
  <c r="G2885" i="5"/>
  <c r="G2884" i="5"/>
  <c r="G2883" i="5"/>
  <c r="G2880" i="5"/>
  <c r="G2879" i="5"/>
  <c r="G2878" i="5"/>
  <c r="G2877" i="5"/>
  <c r="G2876" i="5"/>
  <c r="G2875" i="5"/>
  <c r="G2872" i="5"/>
  <c r="G2871" i="5"/>
  <c r="G2870" i="5"/>
  <c r="G2869" i="5"/>
  <c r="G2868" i="5"/>
  <c r="G2867" i="5"/>
  <c r="G2864" i="5"/>
  <c r="G2863" i="5"/>
  <c r="G2862" i="5"/>
  <c r="G2861" i="5"/>
  <c r="G2860" i="5"/>
  <c r="G2859" i="5"/>
  <c r="G2856" i="5"/>
  <c r="G2855" i="5"/>
  <c r="G2854" i="5"/>
  <c r="G2851" i="5"/>
  <c r="G2850" i="5"/>
  <c r="G2849" i="5"/>
  <c r="G2846" i="5"/>
  <c r="G2845" i="5"/>
  <c r="G2844" i="5"/>
  <c r="G2841" i="5"/>
  <c r="G2840" i="5"/>
  <c r="G2839" i="5"/>
  <c r="G2838" i="5"/>
  <c r="G2837" i="5"/>
  <c r="E2836" i="5"/>
  <c r="E2835" i="5"/>
  <c r="G2830" i="5"/>
  <c r="G2829" i="5"/>
  <c r="G2828" i="5"/>
  <c r="G2825" i="5"/>
  <c r="G2824" i="5"/>
  <c r="G2823" i="5"/>
  <c r="G2820" i="5"/>
  <c r="G2819" i="5"/>
  <c r="G2818" i="5"/>
  <c r="G2815" i="5"/>
  <c r="G2814" i="5"/>
  <c r="G2813" i="5"/>
  <c r="G2810" i="5"/>
  <c r="G2809" i="5"/>
  <c r="G2808" i="5"/>
  <c r="G2805" i="5"/>
  <c r="G2804" i="5"/>
  <c r="G2803" i="5"/>
  <c r="G2800" i="5"/>
  <c r="G2799" i="5"/>
  <c r="G2798" i="5"/>
  <c r="G2795" i="5"/>
  <c r="G2794" i="5"/>
  <c r="G2793" i="5"/>
  <c r="G2790" i="5"/>
  <c r="G2789" i="5"/>
  <c r="G2788" i="5"/>
  <c r="G2787" i="5"/>
  <c r="G2786" i="5"/>
  <c r="G2783" i="5"/>
  <c r="G2782" i="5"/>
  <c r="G2781" i="5"/>
  <c r="G2778" i="5"/>
  <c r="G2777" i="5"/>
  <c r="G2776" i="5"/>
  <c r="G2773" i="5"/>
  <c r="G2772" i="5"/>
  <c r="G2771" i="5"/>
  <c r="G2768" i="5"/>
  <c r="G2767" i="5"/>
  <c r="G2766" i="5"/>
  <c r="G2761" i="5"/>
  <c r="G2760" i="5"/>
  <c r="G2749" i="5"/>
  <c r="G2744" i="5"/>
  <c r="G2743" i="5"/>
  <c r="G2742" i="5"/>
  <c r="G2737" i="5"/>
  <c r="G2736" i="5"/>
  <c r="G2735" i="5"/>
  <c r="G2731" i="5"/>
  <c r="G2730" i="5"/>
  <c r="G2729" i="5"/>
  <c r="G2728" i="5"/>
  <c r="G2727" i="5"/>
  <c r="E2726" i="5"/>
  <c r="G2725" i="5"/>
  <c r="G2724" i="5"/>
  <c r="G2723" i="5"/>
  <c r="G2722" i="5"/>
  <c r="G2721" i="5"/>
  <c r="E2720" i="5"/>
  <c r="G2719" i="5"/>
  <c r="G2718" i="5"/>
  <c r="G2717" i="5"/>
  <c r="G2716" i="5"/>
  <c r="G2715" i="5"/>
  <c r="E2714" i="5"/>
  <c r="G2713" i="5"/>
  <c r="G2712" i="5"/>
  <c r="G2711" i="5"/>
  <c r="G2710" i="5"/>
  <c r="G2709" i="5"/>
  <c r="E2708" i="5"/>
  <c r="G2707" i="5"/>
  <c r="G2706" i="5"/>
  <c r="G2705" i="5"/>
  <c r="G2704" i="5"/>
  <c r="G2703" i="5"/>
  <c r="E2702" i="5"/>
  <c r="G2701" i="5"/>
  <c r="G2700" i="5"/>
  <c r="G2699" i="5"/>
  <c r="G2698" i="5"/>
  <c r="G2697" i="5"/>
  <c r="E2696" i="5"/>
  <c r="G2695" i="5"/>
  <c r="G2694" i="5"/>
  <c r="G2693" i="5"/>
  <c r="G2692" i="5"/>
  <c r="G2691" i="5"/>
  <c r="E2690" i="5"/>
  <c r="G2689" i="5"/>
  <c r="G2688" i="5"/>
  <c r="G2687" i="5"/>
  <c r="G2686" i="5"/>
  <c r="G2685" i="5"/>
  <c r="E2684" i="5"/>
  <c r="G2683" i="5"/>
  <c r="G2682" i="5"/>
  <c r="G2681" i="5"/>
  <c r="G2680" i="5"/>
  <c r="G2679" i="5"/>
  <c r="E2678" i="5"/>
  <c r="G2677" i="5"/>
  <c r="G2676" i="5"/>
  <c r="G2675" i="5"/>
  <c r="G2674" i="5"/>
  <c r="G2673" i="5"/>
  <c r="E2672" i="5"/>
  <c r="G2671" i="5"/>
  <c r="G2670" i="5"/>
  <c r="G2665" i="5"/>
  <c r="G2663" i="5"/>
  <c r="G2657" i="5"/>
  <c r="G2655" i="5"/>
  <c r="G2654" i="5"/>
  <c r="G2653" i="5"/>
  <c r="G2651" i="5"/>
  <c r="G2650" i="5"/>
  <c r="G2649" i="5"/>
  <c r="G2647" i="5"/>
  <c r="G2646" i="5"/>
  <c r="G2645" i="5"/>
  <c r="G2643" i="5"/>
  <c r="G2642" i="5"/>
  <c r="G2641" i="5"/>
  <c r="G2639" i="5"/>
  <c r="G2638" i="5"/>
  <c r="G2637" i="5"/>
  <c r="G2635" i="5"/>
  <c r="G2634" i="5"/>
  <c r="G2633" i="5"/>
  <c r="G2631" i="5"/>
  <c r="G2630" i="5"/>
  <c r="G2629" i="5"/>
  <c r="G2627" i="5"/>
  <c r="G2626" i="5"/>
  <c r="G2625" i="5"/>
  <c r="G2623" i="5"/>
  <c r="G2622" i="5"/>
  <c r="G2621" i="5"/>
  <c r="G2619" i="5"/>
  <c r="G2618" i="5"/>
  <c r="G2617" i="5"/>
  <c r="E2616" i="5"/>
  <c r="G2615" i="5"/>
  <c r="G2614" i="5"/>
  <c r="G2613" i="5"/>
  <c r="G2612" i="5"/>
  <c r="G2611" i="5"/>
  <c r="E2610" i="5"/>
  <c r="E2609" i="5"/>
  <c r="G2607" i="5"/>
  <c r="G2606" i="5"/>
  <c r="G2605" i="5"/>
  <c r="G2604" i="5"/>
  <c r="G2603" i="5"/>
  <c r="E2602" i="5"/>
  <c r="E2601" i="5"/>
  <c r="G2599" i="5"/>
  <c r="G2598" i="5"/>
  <c r="G2597" i="5"/>
  <c r="G2596" i="5"/>
  <c r="G2595" i="5"/>
  <c r="E2594" i="5"/>
  <c r="E2593" i="5"/>
  <c r="G2591" i="5"/>
  <c r="G2590" i="5"/>
  <c r="G2589" i="5"/>
  <c r="G2587" i="5"/>
  <c r="G2586" i="5"/>
  <c r="G2585" i="5"/>
  <c r="G2583" i="5"/>
  <c r="G2582" i="5"/>
  <c r="G2581" i="5"/>
  <c r="G2579" i="5"/>
  <c r="G2578" i="5"/>
  <c r="G2577" i="5"/>
  <c r="G2575" i="5"/>
  <c r="G2574" i="5"/>
  <c r="G2573" i="5"/>
  <c r="G2571" i="5"/>
  <c r="G2570" i="5"/>
  <c r="G2453" i="5"/>
  <c r="G2451" i="5"/>
  <c r="G2450" i="5"/>
  <c r="G2425" i="5"/>
  <c r="G2423" i="5"/>
  <c r="G2409" i="5"/>
  <c r="G2405" i="5"/>
  <c r="G2404" i="5"/>
  <c r="G2403" i="5"/>
  <c r="G2398" i="5"/>
  <c r="G2397" i="5"/>
  <c r="G2396" i="5"/>
  <c r="G2392" i="5"/>
  <c r="G2391" i="5"/>
  <c r="G2390" i="5"/>
  <c r="E2387" i="5"/>
  <c r="E2386" i="5"/>
  <c r="G2385" i="5"/>
  <c r="G2384" i="5"/>
  <c r="G2383" i="5"/>
  <c r="E2382" i="5"/>
  <c r="E2381" i="5"/>
  <c r="G2377" i="5"/>
  <c r="G2376" i="5"/>
  <c r="G2375" i="5"/>
  <c r="G2371" i="5"/>
  <c r="G2370" i="5"/>
  <c r="G2369" i="5"/>
  <c r="E2367" i="5"/>
  <c r="G2366" i="5"/>
  <c r="G2365" i="5"/>
  <c r="G2364" i="5"/>
  <c r="G2361" i="5"/>
  <c r="G2360" i="5"/>
  <c r="G2359" i="5"/>
  <c r="G2356" i="5"/>
  <c r="G2355" i="5"/>
  <c r="G2354" i="5"/>
  <c r="G2350" i="5"/>
  <c r="G2349" i="5"/>
  <c r="G2348" i="5"/>
  <c r="G2344" i="5"/>
  <c r="G2343" i="5"/>
  <c r="G2342" i="5"/>
  <c r="G2338" i="5"/>
  <c r="G2337" i="5"/>
  <c r="G2336" i="5"/>
  <c r="G2332" i="5"/>
  <c r="G2331" i="5"/>
  <c r="G2330" i="5"/>
  <c r="G2325" i="5"/>
  <c r="G2324" i="5"/>
  <c r="G2323" i="5"/>
  <c r="G2318" i="5"/>
  <c r="G2317" i="5"/>
  <c r="G2316" i="5"/>
  <c r="G2306" i="5"/>
  <c r="G2305" i="5"/>
  <c r="G2304" i="5"/>
  <c r="G2294" i="5"/>
  <c r="G2293" i="5"/>
  <c r="G2292" i="5"/>
  <c r="G2284" i="5"/>
  <c r="G2282" i="5"/>
  <c r="G2274" i="5"/>
  <c r="G2272" i="5"/>
  <c r="G2262" i="5"/>
  <c r="G2261" i="5"/>
  <c r="G2260" i="5"/>
  <c r="G2256" i="5"/>
  <c r="G2255" i="5"/>
  <c r="G2254" i="5"/>
  <c r="G2242" i="5"/>
  <c r="G2241" i="5"/>
  <c r="G2240" i="5"/>
  <c r="G2236" i="5"/>
  <c r="G2235" i="5"/>
  <c r="G2234" i="5"/>
  <c r="G2230" i="5"/>
  <c r="G2229" i="5"/>
  <c r="G2228" i="5"/>
  <c r="G2224" i="5"/>
  <c r="G2223" i="5"/>
  <c r="G2222" i="5"/>
  <c r="E2219" i="5"/>
  <c r="G2217" i="5"/>
  <c r="G2216" i="5"/>
  <c r="G2215" i="5"/>
  <c r="G2212" i="5"/>
  <c r="G2211" i="5"/>
  <c r="G2210" i="5"/>
  <c r="G2209" i="5"/>
  <c r="G2208" i="5"/>
  <c r="E2207" i="5"/>
  <c r="E2206" i="5"/>
  <c r="G2204" i="5"/>
  <c r="G2203" i="5"/>
  <c r="G2202" i="5"/>
  <c r="G2201" i="5"/>
  <c r="G2200" i="5"/>
  <c r="E2199" i="5"/>
  <c r="E2198" i="5"/>
  <c r="G2196" i="5"/>
  <c r="G2195" i="5"/>
  <c r="G2194" i="5"/>
  <c r="G2193" i="5"/>
  <c r="G2192" i="5"/>
  <c r="E2191" i="5"/>
  <c r="E2190" i="5"/>
  <c r="G2188" i="5"/>
  <c r="G2186" i="5"/>
  <c r="G2185" i="5"/>
  <c r="G2184" i="5"/>
  <c r="E2183" i="5"/>
  <c r="E2182" i="5"/>
  <c r="G2180" i="5"/>
  <c r="G2178" i="5"/>
  <c r="G2177" i="5"/>
  <c r="G2176" i="5"/>
  <c r="E2175" i="5"/>
  <c r="E2174" i="5"/>
  <c r="G2172" i="5"/>
  <c r="G2171" i="5"/>
  <c r="G2170" i="5"/>
  <c r="G2169" i="5"/>
  <c r="G2168" i="5"/>
  <c r="E2167" i="5"/>
  <c r="E2166" i="5"/>
  <c r="G2164" i="5"/>
  <c r="G2163" i="5"/>
  <c r="G2162" i="5"/>
  <c r="G2161" i="5"/>
  <c r="G2160" i="5"/>
  <c r="E2159" i="5"/>
  <c r="E2158" i="5"/>
  <c r="G2156" i="5"/>
  <c r="G2154" i="5"/>
  <c r="G2153" i="5"/>
  <c r="G2152" i="5"/>
  <c r="E2151" i="5"/>
  <c r="E2150" i="5"/>
  <c r="G2148" i="5"/>
  <c r="G2147" i="5"/>
  <c r="G2146" i="5"/>
  <c r="G2142" i="5"/>
  <c r="G2140" i="5"/>
  <c r="G2136" i="5"/>
  <c r="G2135" i="5"/>
  <c r="G2134" i="5"/>
  <c r="G2130" i="5"/>
  <c r="G2129" i="5"/>
  <c r="G2128" i="5"/>
  <c r="G2124" i="5"/>
  <c r="G2122" i="5"/>
  <c r="G2118" i="5"/>
  <c r="G2117" i="5"/>
  <c r="G2116" i="5"/>
  <c r="G2115" i="5"/>
  <c r="G2114" i="5"/>
  <c r="E2113" i="5"/>
  <c r="E2112" i="5"/>
  <c r="G2110" i="5"/>
  <c r="G2108" i="5"/>
  <c r="G2107" i="5"/>
  <c r="G2106" i="5"/>
  <c r="E2105" i="5"/>
  <c r="E2104" i="5"/>
  <c r="G2102" i="5"/>
  <c r="G2101" i="5"/>
  <c r="G2100" i="5"/>
  <c r="G2099" i="5"/>
  <c r="G2098" i="5"/>
  <c r="E2097" i="5"/>
  <c r="E2096" i="5"/>
  <c r="G2094" i="5"/>
  <c r="G2093" i="5"/>
  <c r="G2092" i="5"/>
  <c r="G2091" i="5"/>
  <c r="G2090" i="5"/>
  <c r="E2089" i="5"/>
  <c r="E2088" i="5"/>
  <c r="G2086" i="5"/>
  <c r="G2085" i="5"/>
  <c r="G2084" i="5"/>
  <c r="G2083" i="5"/>
  <c r="G2082" i="5"/>
  <c r="E2081" i="5"/>
  <c r="E2080" i="5"/>
  <c r="G2078" i="5"/>
  <c r="G2076" i="5"/>
  <c r="G2075" i="5"/>
  <c r="G2074" i="5"/>
  <c r="E2073" i="5"/>
  <c r="E2072" i="5"/>
  <c r="G2070" i="5"/>
  <c r="G2069" i="5"/>
  <c r="G2068" i="5"/>
  <c r="G2067" i="5"/>
  <c r="G2066" i="5"/>
  <c r="E2065" i="5"/>
  <c r="E2064" i="5"/>
  <c r="G2062" i="5"/>
  <c r="G2060" i="5"/>
  <c r="G2059" i="5"/>
  <c r="G2058" i="5"/>
  <c r="E2057" i="5"/>
  <c r="E2056" i="5"/>
  <c r="G2054" i="5"/>
  <c r="G2053" i="5"/>
  <c r="G2052" i="5"/>
  <c r="G2051" i="5"/>
  <c r="G2050" i="5"/>
  <c r="E2049" i="5"/>
  <c r="E2048" i="5"/>
  <c r="G2046" i="5"/>
  <c r="G2044" i="5"/>
  <c r="G2043" i="5"/>
  <c r="G2042" i="5"/>
  <c r="E2041" i="5"/>
  <c r="E2040" i="5"/>
  <c r="G2038" i="5"/>
  <c r="G2037" i="5"/>
  <c r="G2036" i="5"/>
  <c r="G2035" i="5"/>
  <c r="G2034" i="5"/>
  <c r="E2033" i="5"/>
  <c r="E2032" i="5"/>
  <c r="G2030" i="5"/>
  <c r="G2028" i="5"/>
  <c r="G2024" i="5"/>
  <c r="G2023" i="5"/>
  <c r="G2022" i="5"/>
  <c r="G2017" i="5"/>
  <c r="G2016" i="5"/>
  <c r="G2015" i="5"/>
  <c r="G2010" i="5"/>
  <c r="G2009" i="5"/>
  <c r="G2008" i="5"/>
  <c r="G2003" i="5"/>
  <c r="G2001" i="5"/>
  <c r="G1996" i="5"/>
  <c r="G1995" i="5"/>
  <c r="G1994" i="5"/>
  <c r="G1988" i="5"/>
  <c r="G1986" i="5"/>
  <c r="G1980" i="5"/>
  <c r="G1979" i="5"/>
  <c r="G1978" i="5"/>
  <c r="G1973" i="5"/>
  <c r="G1971" i="5"/>
  <c r="G1966" i="5"/>
  <c r="G1965" i="5"/>
  <c r="G1964" i="5"/>
  <c r="G1960" i="5"/>
  <c r="G1959" i="5"/>
  <c r="G1958" i="5"/>
  <c r="G1954" i="5"/>
  <c r="G1953" i="5"/>
  <c r="G1952" i="5"/>
  <c r="G1949" i="5"/>
  <c r="G1948" i="5"/>
  <c r="G1947" i="5"/>
  <c r="G1944" i="5"/>
  <c r="G1943" i="5"/>
  <c r="G1942" i="5"/>
  <c r="G1939" i="5"/>
  <c r="G1938" i="5"/>
  <c r="G1937" i="5"/>
  <c r="G1933" i="5"/>
  <c r="G1932" i="5"/>
  <c r="G1931" i="5"/>
  <c r="G1928" i="5"/>
  <c r="G1927" i="5"/>
  <c r="G1926" i="5"/>
  <c r="G1923" i="5"/>
  <c r="G1922" i="5"/>
  <c r="G1921" i="5"/>
  <c r="G1918" i="5"/>
  <c r="G1917" i="5"/>
  <c r="G1916" i="5"/>
  <c r="G1912" i="5"/>
  <c r="G1911" i="5"/>
  <c r="G1910" i="5"/>
  <c r="G1906" i="5"/>
  <c r="G1905" i="5"/>
  <c r="G1904" i="5"/>
  <c r="G1900" i="5"/>
  <c r="G1899" i="5"/>
  <c r="G1898" i="5"/>
  <c r="G1894" i="5"/>
  <c r="G1893" i="5"/>
  <c r="G1892" i="5"/>
  <c r="G1888" i="5"/>
  <c r="G1887" i="5"/>
  <c r="G1886" i="5"/>
  <c r="G1882" i="5"/>
  <c r="G1881" i="5"/>
  <c r="G1880" i="5"/>
  <c r="G1876" i="5"/>
  <c r="G1875" i="5"/>
  <c r="G1874" i="5"/>
  <c r="G1870" i="5"/>
  <c r="G1869" i="5"/>
  <c r="G1868" i="5"/>
  <c r="G1864" i="5"/>
  <c r="G1863" i="5"/>
  <c r="G1862" i="5"/>
  <c r="G1858" i="5"/>
  <c r="G1857" i="5"/>
  <c r="G1856" i="5"/>
  <c r="G1852" i="5"/>
  <c r="G1851" i="5"/>
  <c r="G1850" i="5"/>
  <c r="G1846" i="5"/>
  <c r="G1845" i="5"/>
  <c r="G1844" i="5"/>
  <c r="G1839" i="5"/>
  <c r="G1838" i="5"/>
  <c r="G1837" i="5"/>
  <c r="G1833" i="5"/>
  <c r="G1832" i="5"/>
  <c r="G1831" i="5"/>
  <c r="G1827" i="5"/>
  <c r="G1826" i="5"/>
  <c r="G1825" i="5"/>
  <c r="G1822" i="5"/>
  <c r="G1821" i="5"/>
  <c r="G1820" i="5"/>
  <c r="G1817" i="5"/>
  <c r="G1816" i="5"/>
  <c r="G1815" i="5"/>
  <c r="G1810" i="5"/>
  <c r="G1808" i="5"/>
  <c r="G1803" i="5"/>
  <c r="G1802" i="5"/>
  <c r="G1801" i="5"/>
  <c r="G1796" i="5"/>
  <c r="G1795" i="5"/>
  <c r="G1794" i="5"/>
  <c r="G1789" i="5"/>
  <c r="G1788" i="5"/>
  <c r="G1787" i="5"/>
  <c r="G1782" i="5"/>
  <c r="G1780" i="5"/>
  <c r="G1775" i="5"/>
  <c r="G1774" i="5"/>
  <c r="G1773" i="5"/>
  <c r="G1768" i="5"/>
  <c r="G1767" i="5"/>
  <c r="G1766" i="5"/>
  <c r="G1761" i="5"/>
  <c r="G1760" i="5"/>
  <c r="G1759" i="5"/>
  <c r="G1750" i="5"/>
  <c r="G1749" i="5"/>
  <c r="G1748" i="5"/>
  <c r="G1739" i="5"/>
  <c r="G1738" i="5"/>
  <c r="G1737" i="5"/>
  <c r="G1728" i="5"/>
  <c r="G1727" i="5"/>
  <c r="G1726" i="5"/>
  <c r="G1717" i="5"/>
  <c r="G1716" i="5"/>
  <c r="G1715" i="5"/>
  <c r="G1709" i="5"/>
  <c r="G1708" i="5"/>
  <c r="G1707" i="5"/>
  <c r="G1703" i="5"/>
  <c r="G1702" i="5"/>
  <c r="G1701" i="5"/>
  <c r="G1696" i="5"/>
  <c r="G1695" i="5"/>
  <c r="G1694" i="5"/>
  <c r="G1689" i="5"/>
  <c r="G1688" i="5"/>
  <c r="G1687" i="5"/>
  <c r="G1683" i="5"/>
  <c r="G1682" i="5"/>
  <c r="G1681" i="5"/>
  <c r="G1678" i="5"/>
  <c r="G1677" i="5"/>
  <c r="G1676" i="5"/>
  <c r="G1673" i="5"/>
  <c r="G1672" i="5"/>
  <c r="G1671" i="5"/>
  <c r="G1668" i="5"/>
  <c r="G1667" i="5"/>
  <c r="G1666" i="5"/>
  <c r="E1664" i="5"/>
  <c r="E1663" i="5"/>
  <c r="G1662" i="5"/>
  <c r="G1661" i="5"/>
  <c r="G1660" i="5"/>
  <c r="G1656" i="5"/>
  <c r="G1655" i="5"/>
  <c r="G1654" i="5"/>
  <c r="G1650" i="5"/>
  <c r="G1649" i="5"/>
  <c r="G1648" i="5"/>
  <c r="G1644" i="5"/>
  <c r="G1642" i="5"/>
  <c r="G1639" i="5"/>
  <c r="G1638" i="5"/>
  <c r="G1637" i="5"/>
  <c r="G1633" i="5"/>
  <c r="G1631" i="5"/>
  <c r="G1627" i="5"/>
  <c r="G1626" i="5"/>
  <c r="G1625" i="5"/>
  <c r="G1622" i="5"/>
  <c r="G1621" i="5"/>
  <c r="G1620" i="5"/>
  <c r="E1617" i="5"/>
  <c r="E1616" i="5"/>
  <c r="G1615" i="5"/>
  <c r="G1614" i="5"/>
  <c r="G1613" i="5"/>
  <c r="G1609" i="5"/>
  <c r="G1608" i="5"/>
  <c r="G1607" i="5"/>
  <c r="G1603" i="5"/>
  <c r="G1602" i="5"/>
  <c r="G1601" i="5"/>
  <c r="G1597" i="5"/>
  <c r="G1596" i="5"/>
  <c r="G1595" i="5"/>
  <c r="G1582" i="5"/>
  <c r="G1581" i="5"/>
  <c r="G1580" i="5"/>
  <c r="G1575" i="5"/>
  <c r="G1574" i="5"/>
  <c r="G1573" i="5"/>
  <c r="G1568" i="5"/>
  <c r="G1567" i="5"/>
  <c r="G1566" i="5"/>
  <c r="G1561" i="5"/>
  <c r="G1560" i="5"/>
  <c r="G1559" i="5"/>
  <c r="G1554" i="5"/>
  <c r="G1553" i="5"/>
  <c r="G1552" i="5"/>
  <c r="G1546" i="5"/>
  <c r="G1545" i="5"/>
  <c r="G1544" i="5"/>
  <c r="G1538" i="5"/>
  <c r="G1537" i="5"/>
  <c r="G1536" i="5"/>
  <c r="G1530" i="5"/>
  <c r="G1529" i="5"/>
  <c r="G1528" i="5"/>
  <c r="G1522" i="5"/>
  <c r="G1521" i="5"/>
  <c r="G1520" i="5"/>
  <c r="G1514" i="5"/>
  <c r="G1513" i="5"/>
  <c r="G1512" i="5"/>
  <c r="G1499" i="5"/>
  <c r="G1498" i="5"/>
  <c r="G1497" i="5"/>
  <c r="G1484" i="5"/>
  <c r="G1483" i="5"/>
  <c r="G1482" i="5"/>
  <c r="G1469" i="5"/>
  <c r="G1468" i="5"/>
  <c r="G1467" i="5"/>
  <c r="G1454" i="5"/>
  <c r="G1453" i="5"/>
  <c r="G1452" i="5"/>
  <c r="G1439" i="5"/>
  <c r="G1438" i="5"/>
  <c r="G1437" i="5"/>
  <c r="G1424" i="5"/>
  <c r="G1423" i="5"/>
  <c r="G1422" i="5"/>
  <c r="G1409" i="5"/>
  <c r="G1408" i="5"/>
  <c r="G1407" i="5"/>
  <c r="G1402" i="5"/>
  <c r="G1401" i="5"/>
  <c r="G1400" i="5"/>
  <c r="G1396" i="5"/>
  <c r="G1395" i="5"/>
  <c r="G1394" i="5"/>
  <c r="G1390" i="5"/>
  <c r="G1389" i="5"/>
  <c r="G1388" i="5"/>
  <c r="G1384" i="5"/>
  <c r="G1383" i="5"/>
  <c r="G1382" i="5"/>
  <c r="G1378" i="5"/>
  <c r="G1377" i="5"/>
  <c r="G1376" i="5"/>
  <c r="G1372" i="5"/>
  <c r="G1371" i="5"/>
  <c r="G1370" i="5"/>
  <c r="G1366" i="5"/>
  <c r="G1365" i="5"/>
  <c r="G1364" i="5"/>
  <c r="G1359" i="5"/>
  <c r="G1358" i="5"/>
  <c r="G1357" i="5"/>
  <c r="G1353" i="5"/>
  <c r="G1352" i="5"/>
  <c r="G1351" i="5"/>
  <c r="G1346" i="5"/>
  <c r="G1344" i="5"/>
  <c r="G1340" i="5"/>
  <c r="G1339" i="5"/>
  <c r="G1338" i="5"/>
  <c r="G1334" i="5"/>
  <c r="G1333" i="5"/>
  <c r="G1332" i="5"/>
  <c r="G1328" i="5"/>
  <c r="G1327" i="5"/>
  <c r="G1326" i="5"/>
  <c r="G1323" i="5"/>
  <c r="G1321" i="5"/>
  <c r="G1314" i="5"/>
  <c r="G1313" i="5"/>
  <c r="G1312" i="5"/>
  <c r="G1306" i="5"/>
  <c r="G1305" i="5"/>
  <c r="G1304" i="5"/>
  <c r="G1299" i="5"/>
  <c r="G1298" i="5"/>
  <c r="G1297" i="5"/>
  <c r="G1292" i="5"/>
  <c r="G1291" i="5"/>
  <c r="G1290" i="5"/>
  <c r="G1285" i="5"/>
  <c r="G1284" i="5"/>
  <c r="G1283" i="5"/>
  <c r="G1278" i="5"/>
  <c r="G1277" i="5"/>
  <c r="G1276" i="5"/>
  <c r="G1272" i="5"/>
  <c r="G1271" i="5"/>
  <c r="G1270" i="5"/>
  <c r="G1265" i="5"/>
  <c r="G1263" i="5"/>
  <c r="G1258" i="5"/>
  <c r="G1257" i="5"/>
  <c r="G1256" i="5"/>
  <c r="G1251" i="5"/>
  <c r="G1250" i="5"/>
  <c r="G1249" i="5"/>
  <c r="G1244" i="5"/>
  <c r="G1243" i="5"/>
  <c r="G1242" i="5"/>
  <c r="G1237" i="5"/>
  <c r="G1236" i="5"/>
  <c r="G1235" i="5"/>
  <c r="G1230" i="5"/>
  <c r="G1229" i="5"/>
  <c r="G1228" i="5"/>
  <c r="G1223" i="5"/>
  <c r="G1222" i="5"/>
  <c r="G1221" i="5"/>
  <c r="G1216" i="5"/>
  <c r="G1215" i="5"/>
  <c r="G1214" i="5"/>
  <c r="G1209" i="5"/>
  <c r="G1208" i="5"/>
  <c r="G1207" i="5"/>
  <c r="G1202" i="5"/>
  <c r="G1201" i="5"/>
  <c r="G1200" i="5"/>
  <c r="G1195" i="5"/>
  <c r="G1194" i="5"/>
  <c r="G1193" i="5"/>
  <c r="G1188" i="5"/>
  <c r="G1187" i="5"/>
  <c r="G1186" i="5"/>
  <c r="G1181" i="5"/>
  <c r="G1179" i="5"/>
  <c r="G1174" i="5"/>
  <c r="G1173" i="5"/>
  <c r="G1172" i="5"/>
  <c r="G1167" i="5"/>
  <c r="G1166" i="5"/>
  <c r="G1165" i="5"/>
  <c r="G1160" i="5"/>
  <c r="G1159" i="5"/>
  <c r="G1158" i="5"/>
  <c r="G1153" i="5"/>
  <c r="G1152" i="5"/>
  <c r="G1151" i="5"/>
  <c r="G1146" i="5"/>
  <c r="G1145" i="5"/>
  <c r="G1144" i="5"/>
  <c r="G1139" i="5"/>
  <c r="G1138" i="5"/>
  <c r="G1137" i="5"/>
  <c r="G1134" i="5"/>
  <c r="G1133" i="5"/>
  <c r="G1132" i="5"/>
  <c r="G1128" i="5"/>
  <c r="G1127" i="5"/>
  <c r="G1126" i="5"/>
  <c r="G1123" i="5"/>
  <c r="G1122" i="5"/>
  <c r="G1121" i="5"/>
  <c r="G1118" i="5"/>
  <c r="G1117" i="5"/>
  <c r="G1116" i="5"/>
  <c r="G1110" i="5"/>
  <c r="G1109" i="5"/>
  <c r="G1108" i="5"/>
  <c r="G1107" i="5"/>
  <c r="G1106" i="5"/>
  <c r="E1105" i="5"/>
  <c r="E1104" i="5"/>
  <c r="E1103" i="5"/>
  <c r="G1100" i="5"/>
  <c r="G1099" i="5"/>
  <c r="G1098" i="5"/>
  <c r="G1092" i="5"/>
  <c r="G1091" i="5"/>
  <c r="G1090" i="5"/>
  <c r="G1084" i="5"/>
  <c r="G1083" i="5"/>
  <c r="G1082" i="5"/>
  <c r="G1081" i="5"/>
  <c r="G1080" i="5"/>
  <c r="E1079" i="5"/>
  <c r="E1078" i="5"/>
  <c r="G1075" i="5"/>
  <c r="G1074" i="5"/>
  <c r="G1073" i="5"/>
  <c r="G1068" i="5"/>
  <c r="G1067" i="5"/>
  <c r="G1066" i="5"/>
  <c r="G1061" i="5"/>
  <c r="G1059" i="5"/>
  <c r="G1054" i="5"/>
  <c r="G1052" i="5"/>
  <c r="G1047" i="5"/>
  <c r="G1046" i="5"/>
  <c r="G1045" i="5"/>
  <c r="G1038" i="5"/>
  <c r="G1037" i="5"/>
  <c r="G1036" i="5"/>
  <c r="G1028" i="5"/>
  <c r="G1027" i="5"/>
  <c r="G1026" i="5"/>
  <c r="G1023" i="5"/>
  <c r="G1022" i="5"/>
  <c r="G1021" i="5"/>
  <c r="G1014" i="5"/>
  <c r="G1012" i="5"/>
  <c r="G1009" i="5"/>
  <c r="G1008" i="5"/>
  <c r="G1007" i="5"/>
  <c r="G1004" i="5"/>
  <c r="G1003" i="5"/>
  <c r="G1002" i="5"/>
  <c r="G993" i="5"/>
  <c r="G992" i="5"/>
  <c r="G991" i="5"/>
  <c r="G982" i="5"/>
  <c r="G980" i="5"/>
  <c r="G975" i="5"/>
  <c r="G973" i="5"/>
  <c r="G968" i="5"/>
  <c r="G967" i="5"/>
  <c r="G966" i="5"/>
  <c r="G961" i="5"/>
  <c r="G960" i="5"/>
  <c r="G959" i="5"/>
  <c r="G955" i="5"/>
  <c r="G954" i="5"/>
  <c r="G953" i="5"/>
  <c r="G949" i="5"/>
  <c r="G947" i="5"/>
  <c r="G940" i="5"/>
  <c r="G939" i="5"/>
  <c r="G938" i="5"/>
  <c r="G931" i="5"/>
  <c r="G930" i="5"/>
  <c r="G929" i="5"/>
  <c r="G924" i="5"/>
  <c r="G922" i="5"/>
  <c r="G915" i="5"/>
  <c r="G913" i="5"/>
  <c r="G909" i="5"/>
  <c r="G908" i="5"/>
  <c r="G907" i="5"/>
  <c r="E906" i="5"/>
  <c r="G905" i="5"/>
  <c r="G904" i="5"/>
  <c r="G903" i="5"/>
  <c r="G898" i="5"/>
  <c r="G896" i="5"/>
  <c r="E895" i="5"/>
  <c r="E894" i="5"/>
  <c r="G893" i="5"/>
  <c r="G892" i="5"/>
  <c r="G891" i="5"/>
  <c r="G885" i="5"/>
  <c r="G883" i="5"/>
  <c r="G877" i="5"/>
  <c r="G876" i="5"/>
  <c r="G875" i="5"/>
  <c r="G874" i="5"/>
  <c r="G873" i="5"/>
  <c r="E872" i="5"/>
  <c r="E871" i="5"/>
  <c r="G869" i="5"/>
  <c r="G868" i="5"/>
  <c r="G867" i="5"/>
  <c r="G863" i="5"/>
  <c r="G862" i="5"/>
  <c r="G861" i="5"/>
  <c r="G856" i="5"/>
  <c r="G855" i="5"/>
  <c r="G854" i="5"/>
  <c r="E852" i="5"/>
  <c r="G850" i="5"/>
  <c r="G849" i="5"/>
  <c r="G848" i="5"/>
  <c r="G845" i="5"/>
  <c r="G844" i="5"/>
  <c r="G843" i="5"/>
  <c r="G839" i="5"/>
  <c r="G838" i="5"/>
  <c r="G837" i="5"/>
  <c r="G832" i="5"/>
  <c r="G830" i="5"/>
  <c r="G827" i="5"/>
  <c r="G826" i="5"/>
  <c r="G825" i="5"/>
  <c r="E824" i="5"/>
  <c r="G823" i="5"/>
  <c r="G821" i="5"/>
  <c r="E819" i="5"/>
  <c r="G818" i="5"/>
  <c r="G817" i="5"/>
  <c r="G816" i="5"/>
  <c r="G814" i="5"/>
  <c r="G813" i="5"/>
  <c r="G812" i="5"/>
  <c r="G804" i="5"/>
  <c r="G803" i="5"/>
  <c r="G802" i="5"/>
  <c r="G790" i="5"/>
  <c r="G788" i="5"/>
  <c r="G783" i="5"/>
  <c r="G782" i="5"/>
  <c r="G781" i="5"/>
  <c r="G772" i="5"/>
  <c r="G771" i="5"/>
  <c r="G770" i="5"/>
  <c r="E769" i="5"/>
  <c r="G766" i="5"/>
  <c r="G765" i="5"/>
  <c r="G764" i="5"/>
  <c r="G755" i="5"/>
  <c r="G754" i="5"/>
  <c r="G753" i="5"/>
  <c r="E750" i="5"/>
  <c r="E749" i="5"/>
  <c r="G748" i="5"/>
  <c r="G747" i="5"/>
  <c r="G746" i="5"/>
  <c r="G744" i="5"/>
  <c r="G743" i="5"/>
  <c r="G742" i="5"/>
  <c r="E737" i="5"/>
  <c r="G736" i="5"/>
  <c r="G734" i="5"/>
  <c r="G730" i="5"/>
  <c r="G728" i="5"/>
  <c r="E727" i="5"/>
  <c r="E726" i="5"/>
  <c r="E725" i="5"/>
  <c r="E724" i="5"/>
  <c r="G723" i="5"/>
  <c r="G721" i="5"/>
  <c r="G714" i="5"/>
  <c r="G712" i="5"/>
  <c r="G704" i="5"/>
  <c r="G703" i="5"/>
  <c r="G702" i="5"/>
  <c r="E701" i="5"/>
  <c r="E700" i="5"/>
  <c r="E699" i="5"/>
  <c r="E698" i="5"/>
  <c r="E697" i="5"/>
  <c r="G696" i="5"/>
  <c r="G695" i="5"/>
  <c r="G694" i="5"/>
  <c r="G686" i="5"/>
  <c r="G685" i="5"/>
  <c r="G684" i="5"/>
  <c r="G676" i="5"/>
  <c r="G674" i="5"/>
  <c r="E673" i="5"/>
  <c r="E672" i="5"/>
  <c r="E671" i="5"/>
  <c r="E670" i="5"/>
  <c r="E669" i="5"/>
  <c r="G668" i="5"/>
  <c r="G666" i="5"/>
  <c r="G664" i="5"/>
  <c r="G663" i="5"/>
  <c r="G662" i="5"/>
  <c r="G660" i="5"/>
  <c r="G659" i="5"/>
  <c r="G658" i="5"/>
  <c r="G656" i="5"/>
  <c r="G655" i="5"/>
  <c r="G654" i="5"/>
  <c r="G652" i="5"/>
  <c r="G651" i="5"/>
  <c r="G650" i="5"/>
  <c r="G648" i="5"/>
  <c r="G647" i="5"/>
  <c r="G646" i="5"/>
  <c r="G644" i="5"/>
  <c r="G643" i="5"/>
  <c r="G642" i="5"/>
  <c r="G637" i="5"/>
  <c r="G636" i="5"/>
  <c r="G635" i="5"/>
  <c r="G629" i="5"/>
  <c r="G627" i="5"/>
  <c r="G621" i="5"/>
  <c r="G620" i="5"/>
  <c r="G619" i="5"/>
  <c r="G615" i="5"/>
  <c r="G614" i="5"/>
  <c r="G613" i="5"/>
  <c r="G612" i="5"/>
  <c r="G611" i="5"/>
  <c r="E610" i="5"/>
  <c r="E609" i="5"/>
  <c r="E608" i="5"/>
  <c r="E607" i="5"/>
  <c r="G606" i="5"/>
  <c r="G604" i="5"/>
  <c r="G603" i="5"/>
  <c r="G602" i="5"/>
  <c r="E601" i="5"/>
  <c r="E600" i="5"/>
  <c r="E599" i="5"/>
  <c r="E598" i="5"/>
  <c r="E597" i="5"/>
  <c r="G596" i="5"/>
  <c r="G594" i="5"/>
  <c r="G588" i="5"/>
  <c r="G587" i="5"/>
  <c r="G586" i="5"/>
  <c r="G585" i="5"/>
  <c r="G584" i="5"/>
  <c r="E583" i="5"/>
  <c r="E582" i="5"/>
  <c r="E581" i="5"/>
  <c r="E580" i="5"/>
  <c r="G579" i="5"/>
  <c r="G578" i="5"/>
  <c r="G577" i="5"/>
  <c r="G576" i="5"/>
  <c r="G575" i="5"/>
  <c r="E574" i="5"/>
  <c r="E573" i="5"/>
  <c r="E572" i="5"/>
  <c r="E571" i="5"/>
  <c r="E570" i="5"/>
  <c r="G569" i="5"/>
  <c r="G567" i="5"/>
  <c r="G561" i="5"/>
  <c r="G560" i="5"/>
  <c r="G559" i="5"/>
  <c r="G553" i="5"/>
  <c r="G552" i="5"/>
  <c r="G551" i="5"/>
  <c r="G545" i="5"/>
  <c r="G543" i="5"/>
  <c r="G537" i="5"/>
  <c r="G536" i="5"/>
  <c r="G535" i="5"/>
  <c r="G531" i="5"/>
  <c r="G530" i="5"/>
  <c r="G529" i="5"/>
  <c r="G524" i="5"/>
  <c r="G522" i="5"/>
  <c r="G517" i="5"/>
  <c r="G516" i="5"/>
  <c r="G515" i="5"/>
  <c r="G511" i="5"/>
  <c r="G509" i="5"/>
  <c r="G504" i="5"/>
  <c r="G503" i="5"/>
  <c r="G502" i="5"/>
  <c r="G497" i="5"/>
  <c r="G496" i="5"/>
  <c r="G495" i="5"/>
  <c r="G494" i="5"/>
  <c r="G493" i="5"/>
  <c r="G492" i="5"/>
  <c r="E491" i="5"/>
  <c r="E490" i="5"/>
  <c r="G489" i="5"/>
  <c r="G487" i="5"/>
  <c r="G483" i="5"/>
  <c r="G482" i="5"/>
  <c r="G481" i="5"/>
  <c r="G480" i="5"/>
  <c r="G479" i="5"/>
  <c r="G478" i="5"/>
  <c r="G477" i="5"/>
  <c r="E476" i="5"/>
  <c r="E475" i="5"/>
  <c r="G471" i="5"/>
  <c r="G470" i="5"/>
  <c r="G469" i="5"/>
  <c r="E468" i="5"/>
  <c r="E467" i="5"/>
  <c r="E465" i="5"/>
  <c r="G464" i="5"/>
  <c r="G462" i="5"/>
  <c r="G461" i="5"/>
  <c r="G460" i="5"/>
  <c r="G459" i="5"/>
  <c r="E458" i="5"/>
  <c r="E455" i="5"/>
  <c r="G454" i="5"/>
  <c r="G453" i="5"/>
  <c r="G452" i="5"/>
  <c r="G451" i="5"/>
  <c r="G450" i="5"/>
  <c r="G446" i="5"/>
  <c r="G445" i="5"/>
  <c r="G444" i="5"/>
  <c r="G440" i="5"/>
  <c r="G438" i="5"/>
  <c r="G434" i="5"/>
  <c r="G432" i="5"/>
  <c r="G422" i="5"/>
  <c r="G421" i="5"/>
  <c r="G420" i="5"/>
  <c r="E419" i="5"/>
  <c r="E418" i="5"/>
  <c r="G415" i="5"/>
  <c r="G414" i="5"/>
  <c r="G413" i="5"/>
  <c r="G401" i="5"/>
  <c r="G400" i="5"/>
  <c r="G399" i="5"/>
  <c r="G394" i="5"/>
  <c r="G393" i="5"/>
  <c r="G392" i="5"/>
  <c r="G380" i="5"/>
  <c r="G379" i="5"/>
  <c r="G378" i="5"/>
  <c r="G371" i="5"/>
  <c r="G370" i="5"/>
  <c r="G369" i="5"/>
  <c r="G365" i="5"/>
  <c r="G364" i="5"/>
  <c r="G363" i="5"/>
  <c r="G362" i="5"/>
  <c r="G361" i="5"/>
  <c r="E360" i="5"/>
  <c r="E359" i="5"/>
  <c r="G351" i="5"/>
  <c r="G350" i="5"/>
  <c r="G349" i="5"/>
  <c r="G341" i="5"/>
  <c r="G340" i="5"/>
  <c r="G339" i="5"/>
  <c r="E333" i="5"/>
  <c r="G326" i="5"/>
  <c r="G325" i="5"/>
  <c r="G324" i="5"/>
  <c r="G320" i="5"/>
  <c r="G319" i="5"/>
  <c r="G318" i="5"/>
  <c r="G317" i="5"/>
  <c r="G316" i="5"/>
  <c r="E315" i="5"/>
  <c r="E314" i="5"/>
  <c r="E310" i="5"/>
  <c r="G305" i="5"/>
  <c r="G304" i="5"/>
  <c r="G303" i="5"/>
  <c r="G302" i="5"/>
  <c r="G301" i="5"/>
  <c r="E300" i="5"/>
  <c r="E299" i="5"/>
  <c r="G290" i="5"/>
  <c r="G289" i="5"/>
  <c r="G288" i="5"/>
  <c r="G283" i="5"/>
  <c r="G282" i="5"/>
  <c r="G281" i="5"/>
  <c r="G276" i="5"/>
  <c r="G274" i="5"/>
  <c r="G268" i="5"/>
  <c r="G267" i="5"/>
  <c r="G266" i="5"/>
  <c r="G263" i="5"/>
  <c r="G262" i="5"/>
  <c r="G261" i="5"/>
  <c r="G248" i="5"/>
  <c r="G247" i="5"/>
  <c r="G246" i="5"/>
  <c r="G240" i="5"/>
  <c r="G239" i="5"/>
  <c r="G238" i="5"/>
  <c r="G236" i="5"/>
  <c r="G235" i="5"/>
  <c r="G234" i="5"/>
  <c r="G232" i="5"/>
  <c r="G230" i="5"/>
  <c r="G228" i="5"/>
  <c r="G227" i="5"/>
  <c r="G226" i="5"/>
  <c r="G224" i="5"/>
  <c r="G223" i="5"/>
  <c r="G222" i="5"/>
  <c r="G219" i="5"/>
  <c r="G217" i="5"/>
  <c r="G214" i="5"/>
  <c r="G213" i="5"/>
  <c r="G212" i="5"/>
  <c r="G210" i="5"/>
  <c r="G209" i="5"/>
  <c r="G208" i="5"/>
  <c r="G205" i="5"/>
  <c r="G204" i="5"/>
  <c r="G203" i="5"/>
  <c r="E202" i="5"/>
  <c r="G201" i="5"/>
  <c r="G200" i="5"/>
  <c r="G199" i="5"/>
  <c r="G197" i="5"/>
  <c r="G196" i="5"/>
  <c r="G195" i="5"/>
  <c r="G190" i="5"/>
  <c r="G189" i="5"/>
  <c r="G188" i="5"/>
  <c r="G187" i="5"/>
  <c r="G186" i="5"/>
  <c r="E185" i="5"/>
  <c r="E184" i="5"/>
  <c r="G183" i="5"/>
  <c r="G181" i="5"/>
  <c r="G179" i="5"/>
  <c r="G178" i="5"/>
  <c r="G177" i="5"/>
  <c r="E176" i="5"/>
  <c r="G175" i="5"/>
  <c r="G174" i="5"/>
  <c r="G173" i="5"/>
  <c r="G171" i="5"/>
  <c r="G170" i="5"/>
  <c r="G169" i="5"/>
  <c r="G166" i="5"/>
  <c r="G165" i="5"/>
  <c r="G164" i="5"/>
  <c r="G161" i="5"/>
  <c r="G159" i="5"/>
  <c r="G158" i="5"/>
  <c r="G157" i="5"/>
  <c r="E156" i="5"/>
  <c r="E155" i="5"/>
  <c r="G154" i="5"/>
  <c r="G153" i="5"/>
  <c r="G152" i="5"/>
  <c r="G149" i="5"/>
  <c r="G147" i="5"/>
  <c r="G144" i="5"/>
  <c r="G143" i="5"/>
  <c r="G142" i="5"/>
  <c r="G139" i="5"/>
  <c r="G138" i="5"/>
  <c r="G137" i="5"/>
  <c r="E136" i="5"/>
  <c r="G135" i="5"/>
  <c r="G134" i="5"/>
  <c r="G133" i="5"/>
  <c r="G131" i="5"/>
  <c r="G130" i="5"/>
  <c r="G129" i="5"/>
  <c r="G126" i="5"/>
  <c r="G125" i="5"/>
  <c r="G124" i="5"/>
  <c r="G121" i="5"/>
  <c r="G120" i="5"/>
  <c r="G119" i="5"/>
  <c r="G117" i="5"/>
  <c r="G116" i="5"/>
  <c r="G115" i="5"/>
  <c r="G112" i="5"/>
  <c r="G111" i="5"/>
  <c r="G110" i="5"/>
  <c r="G107" i="5"/>
  <c r="G106" i="5"/>
  <c r="G105" i="5"/>
  <c r="E104" i="5"/>
  <c r="G103" i="5"/>
  <c r="G102" i="5"/>
  <c r="G101" i="5"/>
  <c r="G98" i="5"/>
  <c r="G97" i="5"/>
  <c r="G96" i="5"/>
  <c r="E95" i="5"/>
  <c r="E94" i="5"/>
  <c r="G93" i="5"/>
  <c r="G92" i="5"/>
  <c r="G91" i="5"/>
  <c r="E90" i="5"/>
  <c r="E89" i="5"/>
  <c r="G88" i="5"/>
  <c r="G87" i="5"/>
  <c r="G86" i="5"/>
  <c r="G83" i="5"/>
  <c r="G82" i="5"/>
  <c r="G81" i="5"/>
  <c r="G78" i="5"/>
  <c r="G77" i="5"/>
  <c r="G76" i="5"/>
  <c r="G70" i="5"/>
  <c r="G68" i="5"/>
  <c r="G65" i="5"/>
  <c r="G64" i="5"/>
  <c r="G63" i="5"/>
  <c r="G60" i="5"/>
  <c r="G59" i="5"/>
  <c r="G58" i="5"/>
  <c r="G53" i="5"/>
  <c r="G51" i="5"/>
  <c r="E50" i="5"/>
  <c r="E49" i="5"/>
  <c r="G48" i="5"/>
  <c r="G47" i="5"/>
  <c r="G46" i="5"/>
  <c r="G43" i="5"/>
  <c r="G41" i="5"/>
  <c r="G38" i="5"/>
  <c r="G36" i="5"/>
  <c r="G34" i="5"/>
  <c r="G33" i="5"/>
  <c r="G32" i="5"/>
  <c r="G29" i="5"/>
  <c r="G28" i="5"/>
  <c r="G27" i="5"/>
  <c r="G24" i="5"/>
  <c r="G23" i="5"/>
  <c r="G22" i="5"/>
  <c r="G19" i="5"/>
  <c r="G18" i="5"/>
  <c r="G17" i="5"/>
  <c r="G15" i="5"/>
  <c r="G14" i="5"/>
  <c r="G13" i="5"/>
  <c r="G11" i="5"/>
  <c r="G9" i="5"/>
  <c r="G7" i="5"/>
  <c r="G6" i="5"/>
  <c r="G1006" i="8" l="1"/>
  <c r="G950" i="8"/>
  <c r="G291" i="8"/>
  <c r="G290" i="8"/>
  <c r="G1090" i="8"/>
  <c r="G1089" i="8"/>
  <c r="H1354" i="8"/>
  <c r="I1355" i="8"/>
  <c r="I1356" i="8"/>
  <c r="I1352" i="8"/>
  <c r="F1345" i="8"/>
  <c r="F1346" i="8"/>
  <c r="E3611" i="5"/>
  <c r="B17" i="9"/>
  <c r="F250" i="6"/>
  <c r="F78" i="6"/>
  <c r="F12" i="7"/>
  <c r="F303" i="6"/>
  <c r="F77" i="6"/>
  <c r="F68" i="6"/>
  <c r="F153" i="6"/>
  <c r="F187" i="6"/>
  <c r="F202" i="6"/>
  <c r="F203" i="6"/>
  <c r="F267" i="6"/>
  <c r="F285" i="6"/>
  <c r="F6" i="7"/>
  <c r="F11" i="7"/>
  <c r="F17" i="7"/>
  <c r="F309" i="6"/>
  <c r="F37" i="6"/>
  <c r="F62" i="6"/>
  <c r="F181" i="6"/>
  <c r="F294" i="6"/>
  <c r="F338" i="6"/>
  <c r="F24" i="7"/>
  <c r="F305" i="6"/>
  <c r="F28" i="6"/>
  <c r="F76" i="6"/>
  <c r="F113" i="6"/>
  <c r="F185" i="6"/>
  <c r="F206" i="6"/>
  <c r="F214" i="6"/>
  <c r="F219" i="6"/>
  <c r="F240" i="6"/>
  <c r="F39" i="7"/>
  <c r="F237" i="6"/>
  <c r="F252" i="6"/>
  <c r="F254" i="6"/>
  <c r="F286" i="6"/>
  <c r="F238" i="6"/>
  <c r="F304" i="6"/>
  <c r="F311" i="6"/>
  <c r="F27" i="6"/>
  <c r="F47" i="6"/>
  <c r="F130" i="6"/>
  <c r="F154" i="6"/>
  <c r="F167" i="6"/>
  <c r="F198" i="6"/>
  <c r="F335" i="6"/>
  <c r="F111" i="6"/>
  <c r="F124" i="6"/>
  <c r="F349" i="6"/>
  <c r="F7" i="7"/>
  <c r="F25" i="7"/>
  <c r="F10" i="7"/>
  <c r="F16" i="7"/>
  <c r="F348" i="6"/>
  <c r="F37" i="7"/>
  <c r="F7" i="6"/>
  <c r="F70" i="6"/>
  <c r="F107" i="6"/>
  <c r="F117" i="6"/>
  <c r="F141" i="6"/>
  <c r="F168" i="6"/>
  <c r="F186" i="6"/>
  <c r="F192" i="6"/>
  <c r="F216" i="6"/>
  <c r="F220" i="6"/>
  <c r="F15" i="6"/>
  <c r="F17" i="6"/>
  <c r="F94" i="6"/>
  <c r="F48" i="6"/>
  <c r="F193" i="6"/>
  <c r="F61" i="6"/>
  <c r="F93" i="6"/>
  <c r="F197" i="6"/>
  <c r="F284" i="6"/>
  <c r="F324" i="6"/>
  <c r="F325" i="6"/>
  <c r="F336" i="6"/>
  <c r="F339" i="6"/>
  <c r="F266" i="6"/>
  <c r="F236" i="6"/>
  <c r="F268" i="6"/>
  <c r="F295" i="6"/>
  <c r="F321" i="6"/>
  <c r="F239" i="6"/>
  <c r="F337" i="6"/>
  <c r="F347" i="6"/>
  <c r="F103" i="6"/>
  <c r="F104" i="6"/>
  <c r="F105" i="6"/>
  <c r="F118" i="6"/>
  <c r="F119" i="6"/>
  <c r="F16" i="6"/>
  <c r="F21" i="6"/>
  <c r="F22" i="6"/>
  <c r="F97" i="6"/>
  <c r="F125" i="6"/>
  <c r="F142" i="6"/>
  <c r="F143" i="6"/>
  <c r="F135" i="6"/>
  <c r="F136" i="6"/>
  <c r="F137" i="6"/>
  <c r="F199" i="6"/>
  <c r="F207" i="6"/>
  <c r="F215" i="6"/>
  <c r="F253" i="6"/>
  <c r="F251" i="6"/>
  <c r="F224" i="6"/>
  <c r="F226" i="6"/>
  <c r="F264" i="6"/>
  <c r="F225" i="6"/>
  <c r="F274" i="6"/>
  <c r="F265" i="6"/>
  <c r="F276" i="6"/>
  <c r="F275" i="6"/>
  <c r="F277" i="6"/>
  <c r="F278" i="6"/>
  <c r="F350" i="6"/>
  <c r="F351" i="6"/>
  <c r="F363" i="6"/>
  <c r="G831" i="5"/>
  <c r="G433" i="5"/>
  <c r="G439" i="5"/>
  <c r="G3264" i="5"/>
  <c r="G948" i="5"/>
  <c r="G3257" i="5"/>
  <c r="G729" i="5"/>
  <c r="G1322" i="5"/>
  <c r="G2283" i="5"/>
  <c r="G10" i="5"/>
  <c r="G822" i="5"/>
  <c r="G148" i="5"/>
  <c r="G182" i="5"/>
  <c r="G568" i="5"/>
  <c r="G722" i="5"/>
  <c r="G884" i="5"/>
  <c r="G897" i="5"/>
  <c r="G914" i="5"/>
  <c r="G1013" i="5"/>
  <c r="G1053" i="5"/>
  <c r="G1060" i="5"/>
  <c r="G789" i="5"/>
  <c r="G2155" i="5"/>
  <c r="G3807" i="5"/>
  <c r="G3229" i="5"/>
  <c r="G3635" i="5"/>
  <c r="G3663" i="5"/>
  <c r="G3955" i="5"/>
  <c r="G4300" i="5"/>
  <c r="G3131" i="5"/>
  <c r="G3700" i="5"/>
  <c r="G3970" i="5"/>
  <c r="G4437" i="5"/>
  <c r="G667" i="5"/>
  <c r="G231" i="5"/>
  <c r="G675" i="5"/>
  <c r="G37" i="5"/>
  <c r="G713" i="5"/>
  <c r="G735" i="5"/>
  <c r="G2061" i="5"/>
  <c r="G2273" i="5"/>
  <c r="G1264" i="5"/>
  <c r="G1345" i="5"/>
  <c r="G463" i="5"/>
  <c r="G923" i="5"/>
  <c r="G974" i="5"/>
  <c r="G1180" i="5"/>
  <c r="G2187" i="5"/>
  <c r="G2422" i="5"/>
  <c r="G605" i="5"/>
  <c r="G981" i="5"/>
  <c r="G3659" i="5"/>
  <c r="G3919" i="5"/>
  <c r="G3367" i="5"/>
  <c r="G3549" i="5"/>
  <c r="G218" i="5"/>
  <c r="G488" i="5"/>
  <c r="G595" i="5"/>
  <c r="G69" i="5"/>
  <c r="G160" i="5"/>
  <c r="G275" i="5"/>
  <c r="G510" i="5"/>
  <c r="G523" i="5"/>
  <c r="G544" i="5"/>
  <c r="G628" i="5"/>
  <c r="G2029" i="5"/>
  <c r="G2179" i="5"/>
  <c r="G3158" i="5"/>
  <c r="G3600" i="5"/>
  <c r="G3730" i="5"/>
  <c r="G4000" i="5"/>
  <c r="G3353" i="5"/>
  <c r="G3119" i="5"/>
  <c r="G3285" i="5"/>
  <c r="G3332" i="5"/>
  <c r="G3791" i="5"/>
  <c r="G3236" i="5"/>
  <c r="G3749" i="5"/>
  <c r="G3784" i="5"/>
  <c r="G4523" i="5"/>
  <c r="G42" i="5"/>
  <c r="G52" i="5"/>
  <c r="G1781" i="5"/>
  <c r="G1809" i="5"/>
  <c r="G1632" i="5"/>
  <c r="G1643" i="5"/>
  <c r="G1972" i="5"/>
  <c r="G1987" i="5"/>
  <c r="G2002" i="5"/>
  <c r="G2045" i="5"/>
  <c r="G2077" i="5"/>
  <c r="G2109" i="5"/>
  <c r="G2123" i="5"/>
  <c r="G2141" i="5"/>
  <c r="G2662" i="5"/>
  <c r="E3610" i="5"/>
  <c r="G3848" i="5"/>
  <c r="G1025" i="8" l="1"/>
  <c r="G1017" i="8"/>
  <c r="G381" i="8"/>
  <c r="G355" i="8"/>
  <c r="G285" i="8"/>
  <c r="G263" i="8"/>
  <c r="G237" i="8"/>
  <c r="G181" i="8"/>
  <c r="G130" i="8"/>
  <c r="G108" i="8"/>
  <c r="G100" i="8"/>
  <c r="G87" i="8"/>
  <c r="G50" i="8"/>
  <c r="G31" i="8"/>
  <c r="G14" i="8"/>
  <c r="G1024" i="8"/>
  <c r="G1015" i="8"/>
  <c r="G380" i="8"/>
  <c r="G352" i="8"/>
  <c r="G282" i="8"/>
  <c r="G262" i="8"/>
  <c r="G232" i="8"/>
  <c r="G176" i="8"/>
  <c r="G129" i="8"/>
  <c r="G107" i="8"/>
  <c r="G99" i="8"/>
  <c r="G84" i="8"/>
  <c r="G49" i="8"/>
  <c r="G30" i="8"/>
  <c r="G12" i="8"/>
  <c r="G1023" i="8"/>
  <c r="G1014" i="8"/>
  <c r="G375" i="8"/>
  <c r="G340" i="8"/>
  <c r="G281" i="8"/>
  <c r="G259" i="8"/>
  <c r="G219" i="8"/>
  <c r="G174" i="8"/>
  <c r="G114" i="8"/>
  <c r="G106" i="8"/>
  <c r="G98" i="8"/>
  <c r="G82" i="8"/>
  <c r="G42" i="8"/>
  <c r="G28" i="8"/>
  <c r="G10" i="8"/>
  <c r="G265" i="8"/>
  <c r="G102" i="8"/>
  <c r="G33" i="8"/>
  <c r="G1026" i="8"/>
  <c r="G357" i="8"/>
  <c r="G241" i="8"/>
  <c r="G101" i="8"/>
  <c r="G32" i="8"/>
  <c r="G1022" i="8"/>
  <c r="G985" i="8"/>
  <c r="G373" i="8"/>
  <c r="G337" i="8"/>
  <c r="G280" i="8"/>
  <c r="G253" i="8"/>
  <c r="G213" i="8"/>
  <c r="G173" i="8"/>
  <c r="G113" i="8"/>
  <c r="G105" i="8"/>
  <c r="G96" i="8"/>
  <c r="G80" i="8"/>
  <c r="G37" i="8"/>
  <c r="G23" i="8"/>
  <c r="G9" i="8"/>
  <c r="G367" i="8"/>
  <c r="G268" i="8"/>
  <c r="G162" i="8"/>
  <c r="G103" i="8"/>
  <c r="G78" i="8"/>
  <c r="G21" i="8"/>
  <c r="G1019" i="8"/>
  <c r="G364" i="8"/>
  <c r="G249" i="8"/>
  <c r="G150" i="8"/>
  <c r="G54" i="8"/>
  <c r="G903" i="8"/>
  <c r="G264" i="8"/>
  <c r="G109" i="8"/>
  <c r="G51" i="8"/>
  <c r="G1088" i="8"/>
  <c r="G1021" i="8"/>
  <c r="G933" i="8"/>
  <c r="G368" i="8"/>
  <c r="G323" i="8"/>
  <c r="G269" i="8"/>
  <c r="G251" i="8"/>
  <c r="G205" i="8"/>
  <c r="G163" i="8"/>
  <c r="G112" i="8"/>
  <c r="G104" i="8"/>
  <c r="G91" i="8"/>
  <c r="G79" i="8"/>
  <c r="G35" i="8"/>
  <c r="G22" i="8"/>
  <c r="G7" i="8"/>
  <c r="G1087" i="8"/>
  <c r="G1020" i="8"/>
  <c r="G926" i="8"/>
  <c r="G322" i="8"/>
  <c r="G250" i="8"/>
  <c r="G197" i="8"/>
  <c r="G111" i="8"/>
  <c r="G90" i="8"/>
  <c r="G34" i="8"/>
  <c r="G6" i="8"/>
  <c r="G1036" i="8"/>
  <c r="G924" i="8"/>
  <c r="G320" i="8"/>
  <c r="G185" i="8"/>
  <c r="G110" i="8"/>
  <c r="G89" i="8"/>
  <c r="G16" i="8"/>
  <c r="G1018" i="8"/>
  <c r="G287" i="8"/>
  <c r="G184" i="8"/>
  <c r="G149" i="8"/>
  <c r="G88" i="8"/>
  <c r="G15" i="8"/>
  <c r="I1353" i="8"/>
  <c r="G1355" i="8"/>
  <c r="G1354" i="8"/>
  <c r="G1356" i="8"/>
  <c r="I1354" i="8"/>
  <c r="H1355" i="8"/>
  <c r="F1356" i="8"/>
  <c r="H1356" i="8"/>
  <c r="F1354" i="8"/>
  <c r="F1355" i="8"/>
  <c r="H1352" i="8"/>
  <c r="F1352" i="8"/>
  <c r="G1352" i="8"/>
  <c r="G1353" i="8"/>
  <c r="G1351" i="8"/>
  <c r="G1350" i="8"/>
  <c r="F1349" i="8"/>
  <c r="G1345" i="8"/>
  <c r="G1346" i="8"/>
  <c r="H1346" i="8" s="1"/>
  <c r="I1346" i="8" s="1"/>
  <c r="G1347" i="8"/>
  <c r="G1348" i="8"/>
  <c r="G1349" i="8"/>
  <c r="H1345" i="8"/>
  <c r="I1345" i="8" s="1"/>
  <c r="G1344" i="8"/>
  <c r="G1336" i="8"/>
  <c r="G1328" i="8"/>
  <c r="G1320" i="8"/>
  <c r="G1312" i="8"/>
  <c r="G1304" i="8"/>
  <c r="G1315" i="8"/>
  <c r="G1306" i="8"/>
  <c r="G1329" i="8"/>
  <c r="G1343" i="8"/>
  <c r="G1335" i="8"/>
  <c r="G1327" i="8"/>
  <c r="G1319" i="8"/>
  <c r="G1311" i="8"/>
  <c r="G1303" i="8"/>
  <c r="G1307" i="8"/>
  <c r="G1330" i="8"/>
  <c r="G1313" i="8"/>
  <c r="G1342" i="8"/>
  <c r="G1334" i="8"/>
  <c r="G1326" i="8"/>
  <c r="G1318" i="8"/>
  <c r="G1310" i="8"/>
  <c r="G1302" i="8"/>
  <c r="G1331" i="8"/>
  <c r="G1314" i="8"/>
  <c r="G1321" i="8"/>
  <c r="G1341" i="8"/>
  <c r="G1333" i="8"/>
  <c r="G1325" i="8"/>
  <c r="G1317" i="8"/>
  <c r="G1309" i="8"/>
  <c r="G1301" i="8"/>
  <c r="G1339" i="8"/>
  <c r="G1322" i="8"/>
  <c r="G1305" i="8"/>
  <c r="G1340" i="8"/>
  <c r="G1332" i="8"/>
  <c r="G1324" i="8"/>
  <c r="G1316" i="8"/>
  <c r="G1308" i="8"/>
  <c r="G1300" i="8"/>
  <c r="G1323" i="8"/>
  <c r="G1338" i="8"/>
  <c r="G1337" i="8"/>
  <c r="G1296" i="8"/>
  <c r="G1292" i="8"/>
  <c r="G1288" i="8"/>
  <c r="G1284" i="8"/>
  <c r="G1280" i="8"/>
  <c r="G1276" i="8"/>
  <c r="G1272" i="8"/>
  <c r="G1268" i="8"/>
  <c r="G1264" i="8"/>
  <c r="G1260" i="8"/>
  <c r="G1256" i="8"/>
  <c r="G1252" i="8"/>
  <c r="G1248" i="8"/>
  <c r="G1244" i="8"/>
  <c r="G1240" i="8"/>
  <c r="G1299" i="8"/>
  <c r="G1287" i="8"/>
  <c r="G1283" i="8"/>
  <c r="G1275" i="8"/>
  <c r="G1263" i="8"/>
  <c r="G1247" i="8"/>
  <c r="G1267" i="8"/>
  <c r="G1298" i="8"/>
  <c r="G1294" i="8"/>
  <c r="G1290" i="8"/>
  <c r="G1286" i="8"/>
  <c r="G1282" i="8"/>
  <c r="G1278" i="8"/>
  <c r="G1274" i="8"/>
  <c r="G1270" i="8"/>
  <c r="G1266" i="8"/>
  <c r="G1262" i="8"/>
  <c r="G1258" i="8"/>
  <c r="G1254" i="8"/>
  <c r="G1250" i="8"/>
  <c r="G1246" i="8"/>
  <c r="G1242" i="8"/>
  <c r="G1295" i="8"/>
  <c r="G1291" i="8"/>
  <c r="G1279" i="8"/>
  <c r="G1271" i="8"/>
  <c r="G1259" i="8"/>
  <c r="G1251" i="8"/>
  <c r="G1243" i="8"/>
  <c r="G1297" i="8"/>
  <c r="G1293" i="8"/>
  <c r="G1289" i="8"/>
  <c r="G1285" i="8"/>
  <c r="G1281" i="8"/>
  <c r="G1277" i="8"/>
  <c r="G1273" i="8"/>
  <c r="G1269" i="8"/>
  <c r="G1265" i="8"/>
  <c r="G1261" i="8"/>
  <c r="G1257" i="8"/>
  <c r="G1253" i="8"/>
  <c r="G1249" i="8"/>
  <c r="G1245" i="8"/>
  <c r="G1241" i="8"/>
  <c r="G1255" i="8"/>
  <c r="G11" i="8"/>
  <c r="G13" i="8"/>
  <c r="G17" i="8"/>
  <c r="G19" i="8"/>
  <c r="G25" i="8"/>
  <c r="G27" i="8"/>
  <c r="G29" i="8"/>
  <c r="G39" i="8"/>
  <c r="G41" i="8"/>
  <c r="G43" i="8"/>
  <c r="G45" i="8"/>
  <c r="G47" i="8"/>
  <c r="G53" i="8"/>
  <c r="G55" i="8"/>
  <c r="G57" i="8"/>
  <c r="G59" i="8"/>
  <c r="G61" i="8"/>
  <c r="G63" i="8"/>
  <c r="G65" i="8"/>
  <c r="G67" i="8"/>
  <c r="G69" i="8"/>
  <c r="G71" i="8"/>
  <c r="G73" i="8"/>
  <c r="G75" i="8"/>
  <c r="G77" i="8"/>
  <c r="G81" i="8"/>
  <c r="G83" i="8"/>
  <c r="G85" i="8"/>
  <c r="G93" i="8"/>
  <c r="G95" i="8"/>
  <c r="G97" i="8"/>
  <c r="G115" i="8"/>
  <c r="G117" i="8"/>
  <c r="G119" i="8"/>
  <c r="G121" i="8"/>
  <c r="G123" i="8"/>
  <c r="G125" i="8"/>
  <c r="G127" i="8"/>
  <c r="G131" i="8"/>
  <c r="G133" i="8"/>
  <c r="G135" i="8"/>
  <c r="G137" i="8"/>
  <c r="G139" i="8"/>
  <c r="G141" i="8"/>
  <c r="G143" i="8"/>
  <c r="G145" i="8"/>
  <c r="G147" i="8"/>
  <c r="G151" i="8"/>
  <c r="G153" i="8"/>
  <c r="G155" i="8"/>
  <c r="G157" i="8"/>
  <c r="G159" i="8"/>
  <c r="G161" i="8"/>
  <c r="G165" i="8"/>
  <c r="G167" i="8"/>
  <c r="G169" i="8"/>
  <c r="G171" i="8"/>
  <c r="G175" i="8"/>
  <c r="G177" i="8"/>
  <c r="G179" i="8"/>
  <c r="G183" i="8"/>
  <c r="G187" i="8"/>
  <c r="G189" i="8"/>
  <c r="G191" i="8"/>
  <c r="G193" i="8"/>
  <c r="G195" i="8"/>
  <c r="G199" i="8"/>
  <c r="G201" i="8"/>
  <c r="G203" i="8"/>
  <c r="G8" i="8"/>
  <c r="G18" i="8"/>
  <c r="G20" i="8"/>
  <c r="G24" i="8"/>
  <c r="G26" i="8"/>
  <c r="G36" i="8"/>
  <c r="G38" i="8"/>
  <c r="G40" i="8"/>
  <c r="G44" i="8"/>
  <c r="G46" i="8"/>
  <c r="G48" i="8"/>
  <c r="G52" i="8"/>
  <c r="G56" i="8"/>
  <c r="G58" i="8"/>
  <c r="G60" i="8"/>
  <c r="G62" i="8"/>
  <c r="G64" i="8"/>
  <c r="G66" i="8"/>
  <c r="G68" i="8"/>
  <c r="G70" i="8"/>
  <c r="G72" i="8"/>
  <c r="G74" i="8"/>
  <c r="G76" i="8"/>
  <c r="G86" i="8"/>
  <c r="G92" i="8"/>
  <c r="G94" i="8"/>
  <c r="G116" i="8"/>
  <c r="G118" i="8"/>
  <c r="G120" i="8"/>
  <c r="G122" i="8"/>
  <c r="G124" i="8"/>
  <c r="G126" i="8"/>
  <c r="G128" i="8"/>
  <c r="G132" i="8"/>
  <c r="G134" i="8"/>
  <c r="G136" i="8"/>
  <c r="G138" i="8"/>
  <c r="G140" i="8"/>
  <c r="G142" i="8"/>
  <c r="G144" i="8"/>
  <c r="G146" i="8"/>
  <c r="G148" i="8"/>
  <c r="G152" i="8"/>
  <c r="G154" i="8"/>
  <c r="G156" i="8"/>
  <c r="G158" i="8"/>
  <c r="G160" i="8"/>
  <c r="G164" i="8"/>
  <c r="G166" i="8"/>
  <c r="G168" i="8"/>
  <c r="G170" i="8"/>
  <c r="G172" i="8"/>
  <c r="G178" i="8"/>
  <c r="G180" i="8"/>
  <c r="G182" i="8"/>
  <c r="G186" i="8"/>
  <c r="G188" i="8"/>
  <c r="G190" i="8"/>
  <c r="G192" i="8"/>
  <c r="G194" i="8"/>
  <c r="G196" i="8"/>
  <c r="G198" i="8"/>
  <c r="G200" i="8"/>
  <c r="G202" i="8"/>
  <c r="G204" i="8"/>
  <c r="G206" i="8"/>
  <c r="G208" i="8"/>
  <c r="G210" i="8"/>
  <c r="G212" i="8"/>
  <c r="G214" i="8"/>
  <c r="G216" i="8"/>
  <c r="G218" i="8"/>
  <c r="G220" i="8"/>
  <c r="G222" i="8"/>
  <c r="G207" i="8"/>
  <c r="G215" i="8"/>
  <c r="G223" i="8"/>
  <c r="G227" i="8"/>
  <c r="G231" i="8"/>
  <c r="G235" i="8"/>
  <c r="G239" i="8"/>
  <c r="G243" i="8"/>
  <c r="G247" i="8"/>
  <c r="G255" i="8"/>
  <c r="G267" i="8"/>
  <c r="G271" i="8"/>
  <c r="G275" i="8"/>
  <c r="G279" i="8"/>
  <c r="G283" i="8"/>
  <c r="G295" i="8"/>
  <c r="G299" i="8"/>
  <c r="G303" i="8"/>
  <c r="G307" i="8"/>
  <c r="G311" i="8"/>
  <c r="G315" i="8"/>
  <c r="G319" i="8"/>
  <c r="G327" i="8"/>
  <c r="G331" i="8"/>
  <c r="G335" i="8"/>
  <c r="G339" i="8"/>
  <c r="G343" i="8"/>
  <c r="G347" i="8"/>
  <c r="G350" i="8"/>
  <c r="G358" i="8"/>
  <c r="G363" i="8"/>
  <c r="G366" i="8"/>
  <c r="G371" i="8"/>
  <c r="G374" i="8"/>
  <c r="G379" i="8"/>
  <c r="G382" i="8"/>
  <c r="G387" i="8"/>
  <c r="G390" i="8"/>
  <c r="G395" i="8"/>
  <c r="G398" i="8"/>
  <c r="G403" i="8"/>
  <c r="G406" i="8"/>
  <c r="G411" i="8"/>
  <c r="G414" i="8"/>
  <c r="G419" i="8"/>
  <c r="G422" i="8"/>
  <c r="G427" i="8"/>
  <c r="G430" i="8"/>
  <c r="G209" i="8"/>
  <c r="G217" i="8"/>
  <c r="G224" i="8"/>
  <c r="G228" i="8"/>
  <c r="G236" i="8"/>
  <c r="G240" i="8"/>
  <c r="G244" i="8"/>
  <c r="G248" i="8"/>
  <c r="G252" i="8"/>
  <c r="G256" i="8"/>
  <c r="G260" i="8"/>
  <c r="G272" i="8"/>
  <c r="G276" i="8"/>
  <c r="G284" i="8"/>
  <c r="G288" i="8"/>
  <c r="G292" i="8"/>
  <c r="G296" i="8"/>
  <c r="G300" i="8"/>
  <c r="G304" i="8"/>
  <c r="G308" i="8"/>
  <c r="G312" i="8"/>
  <c r="G316" i="8"/>
  <c r="G324" i="8"/>
  <c r="G328" i="8"/>
  <c r="G332" i="8"/>
  <c r="G336" i="8"/>
  <c r="G344" i="8"/>
  <c r="G348" i="8"/>
  <c r="G353" i="8"/>
  <c r="G356" i="8"/>
  <c r="G361" i="8"/>
  <c r="G369" i="8"/>
  <c r="G372" i="8"/>
  <c r="G377" i="8"/>
  <c r="G385" i="8"/>
  <c r="G388" i="8"/>
  <c r="G393" i="8"/>
  <c r="G396" i="8"/>
  <c r="G401" i="8"/>
  <c r="G404" i="8"/>
  <c r="G409" i="8"/>
  <c r="G412" i="8"/>
  <c r="G417" i="8"/>
  <c r="G420" i="8"/>
  <c r="G425" i="8"/>
  <c r="G428" i="8"/>
  <c r="G433" i="8"/>
  <c r="G435" i="8"/>
  <c r="G437" i="8"/>
  <c r="G439" i="8"/>
  <c r="G441" i="8"/>
  <c r="G443" i="8"/>
  <c r="G445" i="8"/>
  <c r="G447" i="8"/>
  <c r="G449" i="8"/>
  <c r="G451" i="8"/>
  <c r="G453" i="8"/>
  <c r="G455" i="8"/>
  <c r="G457" i="8"/>
  <c r="G459" i="8"/>
  <c r="G461" i="8"/>
  <c r="G463" i="8"/>
  <c r="G465" i="8"/>
  <c r="G467" i="8"/>
  <c r="G469" i="8"/>
  <c r="G471" i="8"/>
  <c r="G473" i="8"/>
  <c r="G475" i="8"/>
  <c r="G477" i="8"/>
  <c r="G479" i="8"/>
  <c r="G481" i="8"/>
  <c r="G483" i="8"/>
  <c r="G485" i="8"/>
  <c r="G487" i="8"/>
  <c r="G489" i="8"/>
  <c r="G491" i="8"/>
  <c r="G493" i="8"/>
  <c r="G495" i="8"/>
  <c r="G497" i="8"/>
  <c r="G499" i="8"/>
  <c r="G501" i="8"/>
  <c r="G503" i="8"/>
  <c r="G505" i="8"/>
  <c r="G507" i="8"/>
  <c r="G509" i="8"/>
  <c r="G511" i="8"/>
  <c r="G513" i="8"/>
  <c r="G515" i="8"/>
  <c r="G517" i="8"/>
  <c r="G519" i="8"/>
  <c r="G521" i="8"/>
  <c r="G523" i="8"/>
  <c r="G525" i="8"/>
  <c r="G527" i="8"/>
  <c r="G529" i="8"/>
  <c r="G531" i="8"/>
  <c r="G533" i="8"/>
  <c r="G535" i="8"/>
  <c r="G537" i="8"/>
  <c r="G539" i="8"/>
  <c r="G541" i="8"/>
  <c r="G543" i="8"/>
  <c r="G545" i="8"/>
  <c r="G547" i="8"/>
  <c r="G549" i="8"/>
  <c r="G551" i="8"/>
  <c r="G553" i="8"/>
  <c r="G555" i="8"/>
  <c r="G557" i="8"/>
  <c r="G559" i="8"/>
  <c r="G561" i="8"/>
  <c r="G563" i="8"/>
  <c r="G565" i="8"/>
  <c r="G567" i="8"/>
  <c r="G569" i="8"/>
  <c r="G211" i="8"/>
  <c r="G225" i="8"/>
  <c r="G229" i="8"/>
  <c r="G233" i="8"/>
  <c r="G245" i="8"/>
  <c r="G257" i="8"/>
  <c r="G261" i="8"/>
  <c r="G273" i="8"/>
  <c r="G277" i="8"/>
  <c r="G289" i="8"/>
  <c r="G293" i="8"/>
  <c r="G297" i="8"/>
  <c r="G301" i="8"/>
  <c r="G305" i="8"/>
  <c r="G309" i="8"/>
  <c r="G313" i="8"/>
  <c r="G317" i="8"/>
  <c r="G321" i="8"/>
  <c r="G325" i="8"/>
  <c r="G329" i="8"/>
  <c r="G333" i="8"/>
  <c r="G341" i="8"/>
  <c r="G345" i="8"/>
  <c r="G351" i="8"/>
  <c r="G354" i="8"/>
  <c r="G359" i="8"/>
  <c r="G362" i="8"/>
  <c r="G370" i="8"/>
  <c r="G378" i="8"/>
  <c r="G383" i="8"/>
  <c r="G386" i="8"/>
  <c r="G391" i="8"/>
  <c r="G394" i="8"/>
  <c r="G399" i="8"/>
  <c r="G402" i="8"/>
  <c r="G407" i="8"/>
  <c r="G410" i="8"/>
  <c r="G415" i="8"/>
  <c r="G418" i="8"/>
  <c r="G423" i="8"/>
  <c r="G426" i="8"/>
  <c r="G431" i="8"/>
  <c r="G221" i="8"/>
  <c r="G226" i="8"/>
  <c r="G230" i="8"/>
  <c r="G234" i="8"/>
  <c r="G238" i="8"/>
  <c r="G242" i="8"/>
  <c r="G246" i="8"/>
  <c r="G254" i="8"/>
  <c r="G258" i="8"/>
  <c r="G266" i="8"/>
  <c r="G270" i="8"/>
  <c r="G274" i="8"/>
  <c r="G278" i="8"/>
  <c r="G286" i="8"/>
  <c r="G294" i="8"/>
  <c r="G298" i="8"/>
  <c r="G302" i="8"/>
  <c r="G306" i="8"/>
  <c r="G310" i="8"/>
  <c r="G314" i="8"/>
  <c r="G318" i="8"/>
  <c r="G326" i="8"/>
  <c r="G330" i="8"/>
  <c r="G334" i="8"/>
  <c r="G338" i="8"/>
  <c r="G342" i="8"/>
  <c r="G346" i="8"/>
  <c r="G349" i="8"/>
  <c r="G360" i="8"/>
  <c r="G365" i="8"/>
  <c r="G376" i="8"/>
  <c r="G384" i="8"/>
  <c r="G389" i="8"/>
  <c r="G392" i="8"/>
  <c r="G397" i="8"/>
  <c r="G400" i="8"/>
  <c r="G405" i="8"/>
  <c r="G408" i="8"/>
  <c r="G413" i="8"/>
  <c r="G416" i="8"/>
  <c r="G421" i="8"/>
  <c r="G424" i="8"/>
  <c r="G429" i="8"/>
  <c r="G432" i="8"/>
  <c r="G434" i="8"/>
  <c r="G436" i="8"/>
  <c r="G438" i="8"/>
  <c r="G440" i="8"/>
  <c r="G442" i="8"/>
  <c r="G444" i="8"/>
  <c r="G446" i="8"/>
  <c r="G448" i="8"/>
  <c r="G450" i="8"/>
  <c r="G452" i="8"/>
  <c r="G454" i="8"/>
  <c r="G456" i="8"/>
  <c r="G458" i="8"/>
  <c r="G460" i="8"/>
  <c r="G462" i="8"/>
  <c r="G464" i="8"/>
  <c r="G466" i="8"/>
  <c r="G468" i="8"/>
  <c r="G470" i="8"/>
  <c r="G472" i="8"/>
  <c r="G474" i="8"/>
  <c r="G476" i="8"/>
  <c r="G478" i="8"/>
  <c r="G480" i="8"/>
  <c r="G482" i="8"/>
  <c r="G484" i="8"/>
  <c r="G486" i="8"/>
  <c r="G488" i="8"/>
  <c r="G490" i="8"/>
  <c r="G492" i="8"/>
  <c r="G494" i="8"/>
  <c r="G496" i="8"/>
  <c r="G498" i="8"/>
  <c r="G500" i="8"/>
  <c r="G502" i="8"/>
  <c r="G504" i="8"/>
  <c r="G506" i="8"/>
  <c r="G508" i="8"/>
  <c r="G510" i="8"/>
  <c r="G512" i="8"/>
  <c r="G514" i="8"/>
  <c r="G516" i="8"/>
  <c r="G518" i="8"/>
  <c r="G520" i="8"/>
  <c r="G522" i="8"/>
  <c r="G524" i="8"/>
  <c r="G526" i="8"/>
  <c r="G528" i="8"/>
  <c r="G530" i="8"/>
  <c r="G532" i="8"/>
  <c r="G534" i="8"/>
  <c r="G536" i="8"/>
  <c r="G538" i="8"/>
  <c r="G540" i="8"/>
  <c r="G542" i="8"/>
  <c r="G544" i="8"/>
  <c r="G546" i="8"/>
  <c r="G548" i="8"/>
  <c r="G550" i="8"/>
  <c r="G552" i="8"/>
  <c r="G554" i="8"/>
  <c r="G556" i="8"/>
  <c r="G558" i="8"/>
  <c r="G560" i="8"/>
  <c r="G562" i="8"/>
  <c r="G570" i="8"/>
  <c r="G574" i="8"/>
  <c r="G578" i="8"/>
  <c r="G582" i="8"/>
  <c r="G586" i="8"/>
  <c r="G590" i="8"/>
  <c r="G594" i="8"/>
  <c r="G598" i="8"/>
  <c r="G602" i="8"/>
  <c r="G606" i="8"/>
  <c r="G610" i="8"/>
  <c r="G614" i="8"/>
  <c r="G618" i="8"/>
  <c r="G622" i="8"/>
  <c r="G626" i="8"/>
  <c r="G630" i="8"/>
  <c r="G634" i="8"/>
  <c r="G638" i="8"/>
  <c r="G642" i="8"/>
  <c r="G645" i="8"/>
  <c r="G650" i="8"/>
  <c r="G653" i="8"/>
  <c r="G564" i="8"/>
  <c r="G571" i="8"/>
  <c r="G575" i="8"/>
  <c r="G579" i="8"/>
  <c r="G583" i="8"/>
  <c r="G587" i="8"/>
  <c r="G591" i="8"/>
  <c r="G595" i="8"/>
  <c r="G599" i="8"/>
  <c r="G603" i="8"/>
  <c r="G607" i="8"/>
  <c r="G611" i="8"/>
  <c r="G615" i="8"/>
  <c r="G619" i="8"/>
  <c r="G623" i="8"/>
  <c r="G627" i="8"/>
  <c r="G631" i="8"/>
  <c r="G635" i="8"/>
  <c r="G639" i="8"/>
  <c r="G643" i="8"/>
  <c r="G648" i="8"/>
  <c r="G651" i="8"/>
  <c r="G656" i="8"/>
  <c r="G658" i="8"/>
  <c r="G660" i="8"/>
  <c r="G662" i="8"/>
  <c r="G664" i="8"/>
  <c r="G666" i="8"/>
  <c r="G668" i="8"/>
  <c r="G670" i="8"/>
  <c r="G672" i="8"/>
  <c r="G674" i="8"/>
  <c r="G676" i="8"/>
  <c r="G678" i="8"/>
  <c r="G680" i="8"/>
  <c r="G682" i="8"/>
  <c r="G684" i="8"/>
  <c r="G686" i="8"/>
  <c r="G688" i="8"/>
  <c r="G690" i="8"/>
  <c r="G692" i="8"/>
  <c r="G694" i="8"/>
  <c r="G696" i="8"/>
  <c r="G698" i="8"/>
  <c r="G700" i="8"/>
  <c r="G702" i="8"/>
  <c r="G704" i="8"/>
  <c r="G706" i="8"/>
  <c r="G708" i="8"/>
  <c r="G710" i="8"/>
  <c r="G712" i="8"/>
  <c r="G714" i="8"/>
  <c r="G716" i="8"/>
  <c r="G718" i="8"/>
  <c r="G720" i="8"/>
  <c r="G722" i="8"/>
  <c r="G724" i="8"/>
  <c r="G726" i="8"/>
  <c r="G728" i="8"/>
  <c r="G730" i="8"/>
  <c r="G732" i="8"/>
  <c r="G734" i="8"/>
  <c r="G736" i="8"/>
  <c r="G738" i="8"/>
  <c r="G740" i="8"/>
  <c r="G742" i="8"/>
  <c r="G744" i="8"/>
  <c r="G746" i="8"/>
  <c r="G748" i="8"/>
  <c r="G750" i="8"/>
  <c r="G752" i="8"/>
  <c r="G754" i="8"/>
  <c r="G756" i="8"/>
  <c r="G758" i="8"/>
  <c r="G760" i="8"/>
  <c r="G762" i="8"/>
  <c r="G764" i="8"/>
  <c r="G766" i="8"/>
  <c r="G768" i="8"/>
  <c r="G770" i="8"/>
  <c r="G772" i="8"/>
  <c r="G774" i="8"/>
  <c r="G776" i="8"/>
  <c r="G778" i="8"/>
  <c r="G780" i="8"/>
  <c r="G782" i="8"/>
  <c r="G784" i="8"/>
  <c r="G786" i="8"/>
  <c r="G788" i="8"/>
  <c r="G790" i="8"/>
  <c r="G792" i="8"/>
  <c r="G794" i="8"/>
  <c r="G796" i="8"/>
  <c r="G798" i="8"/>
  <c r="G800" i="8"/>
  <c r="G802" i="8"/>
  <c r="G804" i="8"/>
  <c r="G806" i="8"/>
  <c r="G808" i="8"/>
  <c r="G810" i="8"/>
  <c r="G812" i="8"/>
  <c r="G814" i="8"/>
  <c r="G816" i="8"/>
  <c r="G818" i="8"/>
  <c r="G820" i="8"/>
  <c r="G822" i="8"/>
  <c r="G824" i="8"/>
  <c r="G826" i="8"/>
  <c r="G828" i="8"/>
  <c r="G830" i="8"/>
  <c r="G832" i="8"/>
  <c r="G834" i="8"/>
  <c r="G836" i="8"/>
  <c r="G838" i="8"/>
  <c r="G840" i="8"/>
  <c r="G842" i="8"/>
  <c r="G844" i="8"/>
  <c r="G846" i="8"/>
  <c r="G848" i="8"/>
  <c r="G850" i="8"/>
  <c r="G852" i="8"/>
  <c r="G854" i="8"/>
  <c r="G856" i="8"/>
  <c r="G858" i="8"/>
  <c r="G860" i="8"/>
  <c r="G862" i="8"/>
  <c r="G864" i="8"/>
  <c r="G866" i="8"/>
  <c r="G868" i="8"/>
  <c r="G870" i="8"/>
  <c r="G872" i="8"/>
  <c r="G874" i="8"/>
  <c r="G876" i="8"/>
  <c r="G878" i="8"/>
  <c r="G880" i="8"/>
  <c r="G882" i="8"/>
  <c r="G884" i="8"/>
  <c r="G886" i="8"/>
  <c r="G888" i="8"/>
  <c r="G890" i="8"/>
  <c r="G892" i="8"/>
  <c r="G894" i="8"/>
  <c r="G896" i="8"/>
  <c r="G898" i="8"/>
  <c r="G900" i="8"/>
  <c r="G902" i="8"/>
  <c r="G904" i="8"/>
  <c r="G906" i="8"/>
  <c r="G908" i="8"/>
  <c r="G910" i="8"/>
  <c r="G912" i="8"/>
  <c r="G914" i="8"/>
  <c r="G916" i="8"/>
  <c r="G918" i="8"/>
  <c r="G920" i="8"/>
  <c r="G922" i="8"/>
  <c r="G928" i="8"/>
  <c r="G930" i="8"/>
  <c r="G932" i="8"/>
  <c r="G934" i="8"/>
  <c r="G936" i="8"/>
  <c r="G938" i="8"/>
  <c r="G940" i="8"/>
  <c r="G942" i="8"/>
  <c r="G944" i="8"/>
  <c r="G946" i="8"/>
  <c r="G948" i="8"/>
  <c r="G952" i="8"/>
  <c r="G954" i="8"/>
  <c r="G956" i="8"/>
  <c r="G958" i="8"/>
  <c r="G960" i="8"/>
  <c r="G962" i="8"/>
  <c r="G964" i="8"/>
  <c r="G966" i="8"/>
  <c r="G968" i="8"/>
  <c r="G970" i="8"/>
  <c r="G972" i="8"/>
  <c r="G974" i="8"/>
  <c r="G976" i="8"/>
  <c r="G978" i="8"/>
  <c r="G980" i="8"/>
  <c r="G982" i="8"/>
  <c r="G984" i="8"/>
  <c r="G986" i="8"/>
  <c r="G988" i="8"/>
  <c r="G990" i="8"/>
  <c r="G992" i="8"/>
  <c r="G994" i="8"/>
  <c r="G996" i="8"/>
  <c r="G998" i="8"/>
  <c r="G1000" i="8"/>
  <c r="G1002" i="8"/>
  <c r="G1004" i="8"/>
  <c r="G1008" i="8"/>
  <c r="G1010" i="8"/>
  <c r="G566" i="8"/>
  <c r="G572" i="8"/>
  <c r="G576" i="8"/>
  <c r="G580" i="8"/>
  <c r="G584" i="8"/>
  <c r="G588" i="8"/>
  <c r="G592" i="8"/>
  <c r="G596" i="8"/>
  <c r="G600" i="8"/>
  <c r="G604" i="8"/>
  <c r="G608" i="8"/>
  <c r="G612" i="8"/>
  <c r="G616" i="8"/>
  <c r="G620" i="8"/>
  <c r="G624" i="8"/>
  <c r="G628" i="8"/>
  <c r="G632" i="8"/>
  <c r="G636" i="8"/>
  <c r="G640" i="8"/>
  <c r="G646" i="8"/>
  <c r="G649" i="8"/>
  <c r="G654" i="8"/>
  <c r="G568" i="8"/>
  <c r="G573" i="8"/>
  <c r="G577" i="8"/>
  <c r="G581" i="8"/>
  <c r="G585" i="8"/>
  <c r="G589" i="8"/>
  <c r="G593" i="8"/>
  <c r="G597" i="8"/>
  <c r="G601" i="8"/>
  <c r="G605" i="8"/>
  <c r="G609" i="8"/>
  <c r="G613" i="8"/>
  <c r="G617" i="8"/>
  <c r="G621" i="8"/>
  <c r="G625" i="8"/>
  <c r="G629" i="8"/>
  <c r="G633" i="8"/>
  <c r="G637" i="8"/>
  <c r="G641" i="8"/>
  <c r="G644" i="8"/>
  <c r="G647" i="8"/>
  <c r="G652" i="8"/>
  <c r="G655" i="8"/>
  <c r="G657" i="8"/>
  <c r="G659" i="8"/>
  <c r="G661" i="8"/>
  <c r="G663" i="8"/>
  <c r="G665" i="8"/>
  <c r="G667" i="8"/>
  <c r="G669" i="8"/>
  <c r="G671" i="8"/>
  <c r="G673" i="8"/>
  <c r="G675" i="8"/>
  <c r="G677" i="8"/>
  <c r="G679" i="8"/>
  <c r="G681" i="8"/>
  <c r="G683" i="8"/>
  <c r="G685" i="8"/>
  <c r="G687" i="8"/>
  <c r="G689" i="8"/>
  <c r="G691" i="8"/>
  <c r="G693" i="8"/>
  <c r="G695" i="8"/>
  <c r="G697" i="8"/>
  <c r="G699" i="8"/>
  <c r="G701" i="8"/>
  <c r="G703" i="8"/>
  <c r="G705" i="8"/>
  <c r="G707" i="8"/>
  <c r="G709" i="8"/>
  <c r="G711" i="8"/>
  <c r="G713" i="8"/>
  <c r="G715" i="8"/>
  <c r="G717" i="8"/>
  <c r="G719" i="8"/>
  <c r="G721" i="8"/>
  <c r="G723" i="8"/>
  <c r="G725" i="8"/>
  <c r="G727" i="8"/>
  <c r="G729" i="8"/>
  <c r="G731" i="8"/>
  <c r="G733" i="8"/>
  <c r="G735" i="8"/>
  <c r="G737" i="8"/>
  <c r="G739" i="8"/>
  <c r="G741" i="8"/>
  <c r="G743" i="8"/>
  <c r="G745" i="8"/>
  <c r="G747" i="8"/>
  <c r="G749" i="8"/>
  <c r="G751" i="8"/>
  <c r="G753" i="8"/>
  <c r="G755" i="8"/>
  <c r="G757" i="8"/>
  <c r="G759" i="8"/>
  <c r="G761" i="8"/>
  <c r="G763" i="8"/>
  <c r="G765" i="8"/>
  <c r="G767" i="8"/>
  <c r="G769" i="8"/>
  <c r="G771" i="8"/>
  <c r="G773" i="8"/>
  <c r="G775" i="8"/>
  <c r="G777" i="8"/>
  <c r="G779" i="8"/>
  <c r="G781" i="8"/>
  <c r="G783" i="8"/>
  <c r="G785" i="8"/>
  <c r="G787" i="8"/>
  <c r="G789" i="8"/>
  <c r="G791" i="8"/>
  <c r="G793" i="8"/>
  <c r="G795" i="8"/>
  <c r="G797" i="8"/>
  <c r="G799" i="8"/>
  <c r="G801" i="8"/>
  <c r="G803" i="8"/>
  <c r="G805" i="8"/>
  <c r="G807" i="8"/>
  <c r="G809" i="8"/>
  <c r="G811" i="8"/>
  <c r="G813" i="8"/>
  <c r="G815" i="8"/>
  <c r="G817" i="8"/>
  <c r="G819" i="8"/>
  <c r="G821" i="8"/>
  <c r="G823" i="8"/>
  <c r="G825" i="8"/>
  <c r="G827" i="8"/>
  <c r="G829" i="8"/>
  <c r="G831" i="8"/>
  <c r="G833" i="8"/>
  <c r="G835" i="8"/>
  <c r="G837" i="8"/>
  <c r="G839" i="8"/>
  <c r="G841" i="8"/>
  <c r="G843" i="8"/>
  <c r="G845" i="8"/>
  <c r="G847" i="8"/>
  <c r="G849" i="8"/>
  <c r="G851" i="8"/>
  <c r="G853" i="8"/>
  <c r="G855" i="8"/>
  <c r="G857" i="8"/>
  <c r="G859" i="8"/>
  <c r="G861" i="8"/>
  <c r="G863" i="8"/>
  <c r="G865" i="8"/>
  <c r="G867" i="8"/>
  <c r="G869" i="8"/>
  <c r="G871" i="8"/>
  <c r="G873" i="8"/>
  <c r="G875" i="8"/>
  <c r="G877" i="8"/>
  <c r="G879" i="8"/>
  <c r="G881" i="8"/>
  <c r="G883" i="8"/>
  <c r="G885" i="8"/>
  <c r="G887" i="8"/>
  <c r="G889" i="8"/>
  <c r="G891" i="8"/>
  <c r="G893" i="8"/>
  <c r="G895" i="8"/>
  <c r="G897" i="8"/>
  <c r="G899" i="8"/>
  <c r="G901" i="8"/>
  <c r="G905" i="8"/>
  <c r="G907" i="8"/>
  <c r="G909" i="8"/>
  <c r="G911" i="8"/>
  <c r="G913" i="8"/>
  <c r="G915" i="8"/>
  <c r="G917" i="8"/>
  <c r="G919" i="8"/>
  <c r="G921" i="8"/>
  <c r="G923" i="8"/>
  <c r="G925" i="8"/>
  <c r="G927" i="8"/>
  <c r="G929" i="8"/>
  <c r="G931" i="8"/>
  <c r="G935" i="8"/>
  <c r="G937" i="8"/>
  <c r="G939" i="8"/>
  <c r="G941" i="8"/>
  <c r="G943" i="8"/>
  <c r="G945" i="8"/>
  <c r="G947" i="8"/>
  <c r="G949" i="8"/>
  <c r="G951" i="8"/>
  <c r="G953" i="8"/>
  <c r="G955" i="8"/>
  <c r="G957" i="8"/>
  <c r="G959" i="8"/>
  <c r="G961" i="8"/>
  <c r="G963" i="8"/>
  <c r="G965" i="8"/>
  <c r="G967" i="8"/>
  <c r="G969" i="8"/>
  <c r="G971" i="8"/>
  <c r="G973" i="8"/>
  <c r="G975" i="8"/>
  <c r="G977" i="8"/>
  <c r="G979" i="8"/>
  <c r="G981" i="8"/>
  <c r="G983" i="8"/>
  <c r="G987" i="8"/>
  <c r="G989" i="8"/>
  <c r="G991" i="8"/>
  <c r="G993" i="8"/>
  <c r="G995" i="8"/>
  <c r="G997" i="8"/>
  <c r="G999" i="8"/>
  <c r="G1007" i="8"/>
  <c r="G1013" i="8"/>
  <c r="G1029" i="8"/>
  <c r="G1033" i="8"/>
  <c r="G1037" i="8"/>
  <c r="G1041" i="8"/>
  <c r="G1045" i="8"/>
  <c r="G1049" i="8"/>
  <c r="G1053" i="8"/>
  <c r="G1057" i="8"/>
  <c r="G1061" i="8"/>
  <c r="G1065" i="8"/>
  <c r="G1069" i="8"/>
  <c r="G1073" i="8"/>
  <c r="G1077" i="8"/>
  <c r="G1081" i="8"/>
  <c r="G1085" i="8"/>
  <c r="G1093" i="8"/>
  <c r="G1097" i="8"/>
  <c r="G1101" i="8"/>
  <c r="G1105" i="8"/>
  <c r="G1109" i="8"/>
  <c r="G1113" i="8"/>
  <c r="G1117" i="8"/>
  <c r="G1121" i="8"/>
  <c r="G1125" i="8"/>
  <c r="G1129" i="8"/>
  <c r="G1133" i="8"/>
  <c r="G1137" i="8"/>
  <c r="G1141" i="8"/>
  <c r="G1145" i="8"/>
  <c r="G1149" i="8"/>
  <c r="G1153" i="8"/>
  <c r="G1157" i="8"/>
  <c r="G1161" i="8"/>
  <c r="G1165" i="8"/>
  <c r="G1169" i="8"/>
  <c r="G1173" i="8"/>
  <c r="G1177" i="8"/>
  <c r="G1181" i="8"/>
  <c r="G1185" i="8"/>
  <c r="G1189" i="8"/>
  <c r="G1193" i="8"/>
  <c r="G1197" i="8"/>
  <c r="G1201" i="8"/>
  <c r="G1205" i="8"/>
  <c r="G1209" i="8"/>
  <c r="G1213" i="8"/>
  <c r="G1217" i="8"/>
  <c r="G1221" i="8"/>
  <c r="G1225" i="8"/>
  <c r="G1229" i="8"/>
  <c r="G1233" i="8"/>
  <c r="G1237" i="8"/>
  <c r="G1001" i="8"/>
  <c r="G1009" i="8"/>
  <c r="G1030" i="8"/>
  <c r="G1034" i="8"/>
  <c r="G1038" i="8"/>
  <c r="G1042" i="8"/>
  <c r="G1046" i="8"/>
  <c r="G1050" i="8"/>
  <c r="G1054" i="8"/>
  <c r="G1058" i="8"/>
  <c r="G1062" i="8"/>
  <c r="G1066" i="8"/>
  <c r="G1070" i="8"/>
  <c r="G1074" i="8"/>
  <c r="G1078" i="8"/>
  <c r="G1082" i="8"/>
  <c r="G1086" i="8"/>
  <c r="G1094" i="8"/>
  <c r="G1098" i="8"/>
  <c r="G1102" i="8"/>
  <c r="G1106" i="8"/>
  <c r="G1110" i="8"/>
  <c r="G1114" i="8"/>
  <c r="G1118" i="8"/>
  <c r="G1122" i="8"/>
  <c r="G1126" i="8"/>
  <c r="G1130" i="8"/>
  <c r="G1134" i="8"/>
  <c r="G1138" i="8"/>
  <c r="G1142" i="8"/>
  <c r="G1146" i="8"/>
  <c r="G1150" i="8"/>
  <c r="G1154" i="8"/>
  <c r="G1158" i="8"/>
  <c r="G1162" i="8"/>
  <c r="G1166" i="8"/>
  <c r="G1170" i="8"/>
  <c r="G1174" i="8"/>
  <c r="G1178" i="8"/>
  <c r="G1182" i="8"/>
  <c r="G1186" i="8"/>
  <c r="G1190" i="8"/>
  <c r="G1194" i="8"/>
  <c r="G1198" i="8"/>
  <c r="G1202" i="8"/>
  <c r="G1206" i="8"/>
  <c r="G1210" i="8"/>
  <c r="G1214" i="8"/>
  <c r="G1218" i="8"/>
  <c r="G1222" i="8"/>
  <c r="G1226" i="8"/>
  <c r="G1230" i="8"/>
  <c r="G1234" i="8"/>
  <c r="G1238" i="8"/>
  <c r="G1003" i="8"/>
  <c r="G1011" i="8"/>
  <c r="G1027" i="8"/>
  <c r="G1031" i="8"/>
  <c r="G1035" i="8"/>
  <c r="G1039" i="8"/>
  <c r="G1043" i="8"/>
  <c r="G1047" i="8"/>
  <c r="G1051" i="8"/>
  <c r="G1055" i="8"/>
  <c r="G1059" i="8"/>
  <c r="G1063" i="8"/>
  <c r="G1067" i="8"/>
  <c r="G1071" i="8"/>
  <c r="G1075" i="8"/>
  <c r="G1079" i="8"/>
  <c r="G1083" i="8"/>
  <c r="G1091" i="8"/>
  <c r="G1095" i="8"/>
  <c r="G1099" i="8"/>
  <c r="G1103" i="8"/>
  <c r="G1107" i="8"/>
  <c r="G1111" i="8"/>
  <c r="G1115" i="8"/>
  <c r="G1119" i="8"/>
  <c r="G1123" i="8"/>
  <c r="G1127" i="8"/>
  <c r="G1131" i="8"/>
  <c r="G1135" i="8"/>
  <c r="G1139" i="8"/>
  <c r="G1143" i="8"/>
  <c r="G1147" i="8"/>
  <c r="G1151" i="8"/>
  <c r="G1155" i="8"/>
  <c r="G1159" i="8"/>
  <c r="G1163" i="8"/>
  <c r="G1167" i="8"/>
  <c r="G1171" i="8"/>
  <c r="G1175" i="8"/>
  <c r="G1179" i="8"/>
  <c r="G1183" i="8"/>
  <c r="G1187" i="8"/>
  <c r="G1191" i="8"/>
  <c r="G1195" i="8"/>
  <c r="G1199" i="8"/>
  <c r="G1203" i="8"/>
  <c r="G1207" i="8"/>
  <c r="G1211" i="8"/>
  <c r="G1215" i="8"/>
  <c r="G1219" i="8"/>
  <c r="G1223" i="8"/>
  <c r="G1227" i="8"/>
  <c r="G1231" i="8"/>
  <c r="G1235" i="8"/>
  <c r="G1239" i="8"/>
  <c r="G1005" i="8"/>
  <c r="G1012" i="8"/>
  <c r="G1016" i="8"/>
  <c r="G1028" i="8"/>
  <c r="G1032" i="8"/>
  <c r="G1040" i="8"/>
  <c r="G1044" i="8"/>
  <c r="G1048" i="8"/>
  <c r="G1052" i="8"/>
  <c r="G1056" i="8"/>
  <c r="G1060" i="8"/>
  <c r="G1064" i="8"/>
  <c r="G1068" i="8"/>
  <c r="G1072" i="8"/>
  <c r="G1076" i="8"/>
  <c r="G1080" i="8"/>
  <c r="G1084" i="8"/>
  <c r="G1092" i="8"/>
  <c r="G1096" i="8"/>
  <c r="G1100" i="8"/>
  <c r="G1104" i="8"/>
  <c r="G1108" i="8"/>
  <c r="G1112" i="8"/>
  <c r="G1116" i="8"/>
  <c r="G1120" i="8"/>
  <c r="G1124" i="8"/>
  <c r="G1128" i="8"/>
  <c r="G1132" i="8"/>
  <c r="G1136" i="8"/>
  <c r="G1140" i="8"/>
  <c r="G1144" i="8"/>
  <c r="G1148" i="8"/>
  <c r="G1152" i="8"/>
  <c r="G1156" i="8"/>
  <c r="G1160" i="8"/>
  <c r="G1164" i="8"/>
  <c r="G1168" i="8"/>
  <c r="G1172" i="8"/>
  <c r="G1176" i="8"/>
  <c r="G1180" i="8"/>
  <c r="G1184" i="8"/>
  <c r="G1188" i="8"/>
  <c r="G1192" i="8"/>
  <c r="G1196" i="8"/>
  <c r="G1200" i="8"/>
  <c r="G1204" i="8"/>
  <c r="G1208" i="8"/>
  <c r="G1212" i="8"/>
  <c r="G1216" i="8"/>
  <c r="G1220" i="8"/>
  <c r="G1224" i="8"/>
  <c r="G1228" i="8"/>
  <c r="G1232" i="8"/>
  <c r="G1236" i="8"/>
  <c r="G518" i="5" l="1"/>
  <c r="G3641" i="5"/>
  <c r="F1353" i="8"/>
  <c r="G4295" i="5"/>
  <c r="H1353" i="8"/>
  <c r="F1351" i="8"/>
  <c r="G692" i="5"/>
  <c r="G881" i="5"/>
  <c r="G691" i="5"/>
  <c r="G889" i="5"/>
  <c r="G519" i="5"/>
  <c r="G2741" i="5"/>
  <c r="G2748" i="5"/>
  <c r="G2464" i="5"/>
  <c r="G2468" i="5"/>
  <c r="G2412" i="5"/>
  <c r="G2436" i="5"/>
  <c r="G2440" i="5"/>
  <c r="G2560" i="5"/>
  <c r="G2508" i="5"/>
  <c r="G2476" i="5"/>
  <c r="G2432" i="5"/>
  <c r="G2512" i="5"/>
  <c r="G2516" i="5"/>
  <c r="G2480" i="5"/>
  <c r="G2484" i="5"/>
  <c r="G2556" i="5"/>
  <c r="G2472" i="5"/>
  <c r="G2428" i="5"/>
  <c r="G2532" i="5"/>
  <c r="G2500" i="5"/>
  <c r="G2460" i="5"/>
  <c r="G2536" i="5"/>
  <c r="G2504" i="5"/>
  <c r="G2416" i="5"/>
  <c r="G2496" i="5"/>
  <c r="G2456" i="5"/>
  <c r="G2552" i="5"/>
  <c r="G2524" i="5"/>
  <c r="G2492" i="5"/>
  <c r="G2420" i="5"/>
  <c r="G2528" i="5"/>
  <c r="G2520" i="5"/>
  <c r="G2568" i="5"/>
  <c r="G2548" i="5"/>
  <c r="G2668" i="5"/>
  <c r="G2488" i="5"/>
  <c r="G2660" i="5"/>
  <c r="G2444" i="5"/>
  <c r="G2564" i="5"/>
  <c r="G2544" i="5"/>
  <c r="G2448" i="5"/>
  <c r="G2540" i="5"/>
  <c r="H1349" i="8"/>
  <c r="I1349" i="8" s="1"/>
  <c r="F1350" i="8"/>
  <c r="H1350" i="8"/>
  <c r="I1350" i="8" s="1"/>
  <c r="G5144" i="5"/>
  <c r="G5137" i="5"/>
  <c r="G5138" i="5"/>
  <c r="G5143" i="5"/>
  <c r="G5115" i="5"/>
  <c r="G5117" i="5"/>
  <c r="G5118" i="5"/>
  <c r="G5116" i="5"/>
  <c r="F195" i="6"/>
  <c r="G4032" i="5"/>
  <c r="F32" i="7"/>
  <c r="G3597" i="5"/>
  <c r="G265" i="5"/>
  <c r="G618" i="5"/>
  <c r="G617" i="5"/>
  <c r="G4031" i="5"/>
  <c r="G3598" i="5"/>
  <c r="F33" i="7"/>
  <c r="F34" i="7"/>
  <c r="F21" i="7"/>
  <c r="F22" i="7"/>
  <c r="G3569" i="5"/>
  <c r="F20" i="7"/>
  <c r="F115" i="6"/>
  <c r="G616" i="5"/>
  <c r="G716" i="5"/>
  <c r="G4940" i="5"/>
  <c r="G718" i="5"/>
  <c r="G4911" i="5"/>
  <c r="G4895" i="5"/>
  <c r="G4634" i="5"/>
  <c r="G4857" i="5"/>
  <c r="G5060" i="5"/>
  <c r="G5100" i="5"/>
  <c r="G4682" i="5"/>
  <c r="G4811" i="5"/>
  <c r="G2301" i="5"/>
  <c r="G5132" i="5"/>
  <c r="G3737" i="5"/>
  <c r="G4894" i="5"/>
  <c r="G4983" i="5"/>
  <c r="G4821" i="5"/>
  <c r="G2251" i="5"/>
  <c r="G5094" i="5"/>
  <c r="G4749" i="5"/>
  <c r="G4928" i="5"/>
  <c r="G5062" i="5"/>
  <c r="G4845" i="5"/>
  <c r="G4975" i="5"/>
  <c r="G4756" i="5"/>
  <c r="G1337" i="5"/>
  <c r="G5027" i="5"/>
  <c r="G4770" i="5"/>
  <c r="G2276" i="5"/>
  <c r="G5125" i="5"/>
  <c r="G4822" i="5"/>
  <c r="G4959" i="5"/>
  <c r="G2263" i="5"/>
  <c r="G4640" i="5"/>
  <c r="G5048" i="5"/>
  <c r="G709" i="5"/>
  <c r="G677" i="5"/>
  <c r="G4972" i="5"/>
  <c r="G715" i="5"/>
  <c r="G4887" i="5"/>
  <c r="G5069" i="5"/>
  <c r="G4826" i="5"/>
  <c r="G4901" i="5"/>
  <c r="G4748" i="5"/>
  <c r="G4690" i="5"/>
  <c r="G5054" i="5"/>
  <c r="G4631" i="5"/>
  <c r="G4815" i="5"/>
  <c r="G4852" i="5"/>
  <c r="G2300" i="5"/>
  <c r="G4697" i="5"/>
  <c r="G1331" i="5"/>
  <c r="G4976" i="5"/>
  <c r="G4866" i="5"/>
  <c r="G4960" i="5"/>
  <c r="G4790" i="5"/>
  <c r="G2264" i="5"/>
  <c r="G5077" i="5"/>
  <c r="G4636" i="5"/>
  <c r="G4888" i="5"/>
  <c r="G5012" i="5"/>
  <c r="G4763" i="5"/>
  <c r="G4917" i="5"/>
  <c r="G5051" i="5"/>
  <c r="G4803" i="5"/>
  <c r="G2313" i="5"/>
  <c r="G5105" i="5"/>
  <c r="G4645" i="5"/>
  <c r="G4844" i="5"/>
  <c r="G4982" i="5"/>
  <c r="G706" i="5"/>
  <c r="G680" i="5"/>
  <c r="G2295" i="5"/>
  <c r="G4808" i="5"/>
  <c r="G2248" i="5"/>
  <c r="G4996" i="5"/>
  <c r="G5050" i="5"/>
  <c r="G4947" i="5"/>
  <c r="G4860" i="5"/>
  <c r="G4956" i="5"/>
  <c r="G5106" i="5"/>
  <c r="G4721" i="5"/>
  <c r="G4934" i="5"/>
  <c r="G5043" i="5"/>
  <c r="G4889" i="5"/>
  <c r="G4991" i="5"/>
  <c r="G4804" i="5"/>
  <c r="G2279" i="5"/>
  <c r="G5089" i="5"/>
  <c r="G710" i="5"/>
  <c r="G4909" i="5"/>
  <c r="G5028" i="5"/>
  <c r="G4797" i="5"/>
  <c r="G2309" i="5"/>
  <c r="G5131" i="5"/>
  <c r="G4828" i="5"/>
  <c r="G4948" i="5"/>
  <c r="G5107" i="5"/>
  <c r="G4655" i="5"/>
  <c r="G4893" i="5"/>
  <c r="G4992" i="5"/>
  <c r="G5059" i="5"/>
  <c r="G4864" i="5"/>
  <c r="G708" i="5"/>
  <c r="G4733" i="5"/>
  <c r="G3736" i="5"/>
  <c r="G2307" i="5"/>
  <c r="G5101" i="5"/>
  <c r="G4740" i="5"/>
  <c r="G4832" i="5"/>
  <c r="G4939" i="5"/>
  <c r="G4838" i="5"/>
  <c r="G5075" i="5"/>
  <c r="G4874" i="5"/>
  <c r="G4886" i="5"/>
  <c r="G4933" i="5"/>
  <c r="G4641" i="5"/>
  <c r="G4660" i="5"/>
  <c r="G4907" i="5"/>
  <c r="G4998" i="5"/>
  <c r="G4771" i="5"/>
  <c r="G2286" i="5"/>
  <c r="G5070" i="5"/>
  <c r="G4650" i="5"/>
  <c r="G4908" i="5"/>
  <c r="G5006" i="5"/>
  <c r="G4816" i="5"/>
  <c r="G4966" i="5"/>
  <c r="G4705" i="5"/>
  <c r="G1336" i="5"/>
  <c r="G5052" i="5"/>
  <c r="G4827" i="5"/>
  <c r="G4859" i="5"/>
  <c r="G5005" i="5"/>
  <c r="G719" i="5"/>
  <c r="G4673" i="5"/>
  <c r="G4922" i="5"/>
  <c r="G5035" i="5"/>
  <c r="G2310" i="5"/>
  <c r="G681" i="5"/>
  <c r="G5096" i="5"/>
  <c r="G5010" i="5"/>
  <c r="G5049" i="5"/>
  <c r="G4644" i="5"/>
  <c r="G4954" i="5"/>
  <c r="G5058" i="5"/>
  <c r="G4630" i="5"/>
  <c r="G4689" i="5"/>
  <c r="G4923" i="5"/>
  <c r="G4990" i="5"/>
  <c r="G4810" i="5"/>
  <c r="G2297" i="5"/>
  <c r="G5095" i="5"/>
  <c r="G683" i="5"/>
  <c r="G1330" i="5"/>
  <c r="G5013" i="5"/>
  <c r="G4865" i="5"/>
  <c r="G4984" i="5"/>
  <c r="G4757" i="5"/>
  <c r="G4941" i="5"/>
  <c r="G5063" i="5"/>
  <c r="G4846" i="5"/>
  <c r="G4949" i="5"/>
  <c r="G720" i="5"/>
  <c r="G4646" i="5"/>
  <c r="G4876" i="5"/>
  <c r="G4999" i="5"/>
  <c r="G4742" i="5"/>
  <c r="G4935" i="5"/>
  <c r="G5053" i="5"/>
  <c r="G5068" i="5"/>
  <c r="G4957" i="5"/>
  <c r="G705" i="5"/>
  <c r="G4946" i="5"/>
  <c r="G2285" i="5"/>
  <c r="G2298" i="5"/>
  <c r="G4754" i="5"/>
  <c r="G4820" i="5"/>
  <c r="G4732" i="5"/>
  <c r="G4666" i="5"/>
  <c r="G5064" i="5"/>
  <c r="G4698" i="5"/>
  <c r="G4768" i="5"/>
  <c r="G4980" i="5"/>
  <c r="G5040" i="5"/>
  <c r="G4988" i="5"/>
  <c r="G4722" i="5"/>
  <c r="G5024" i="5"/>
  <c r="G4743" i="5"/>
  <c r="G4929" i="5"/>
  <c r="G5036" i="5"/>
  <c r="G4834" i="5"/>
  <c r="G4681" i="5"/>
  <c r="G4942" i="5"/>
  <c r="G5044" i="5"/>
  <c r="G4875" i="5"/>
  <c r="G5014" i="5"/>
  <c r="G4789" i="5"/>
  <c r="G2287" i="5"/>
  <c r="G5124" i="5"/>
  <c r="G4635" i="5"/>
  <c r="G4870" i="5"/>
  <c r="G5000" i="5"/>
  <c r="G4713" i="5"/>
  <c r="G4903" i="5"/>
  <c r="G5019" i="5"/>
  <c r="G4764" i="5"/>
  <c r="G2296" i="5"/>
  <c r="G5084" i="5"/>
  <c r="G4858" i="5"/>
  <c r="G2275" i="5"/>
  <c r="G4761" i="5"/>
  <c r="G4880" i="5"/>
  <c r="G5032" i="5"/>
  <c r="G4731" i="5"/>
  <c r="G4706" i="5"/>
  <c r="G4775" i="5"/>
  <c r="G4782" i="5"/>
  <c r="G2265" i="5"/>
  <c r="G5071" i="5"/>
  <c r="G4851" i="5"/>
  <c r="G4777" i="5"/>
  <c r="G2308" i="5"/>
  <c r="G5061" i="5"/>
  <c r="G711" i="5"/>
  <c r="G4910" i="5"/>
  <c r="G5026" i="5"/>
  <c r="G4840" i="5"/>
  <c r="G2268" i="5"/>
  <c r="G4665" i="5"/>
  <c r="G4882" i="5"/>
  <c r="G4974" i="5"/>
  <c r="G4735" i="5"/>
  <c r="G1342" i="5"/>
  <c r="G5034" i="5"/>
  <c r="G4778" i="5"/>
  <c r="G2289" i="5"/>
  <c r="G2266" i="5"/>
  <c r="G4795" i="5"/>
  <c r="G717" i="5"/>
  <c r="G678" i="5"/>
  <c r="G4794" i="5"/>
  <c r="G4714" i="5"/>
  <c r="G4674" i="5"/>
  <c r="G5123" i="5"/>
  <c r="G4953" i="5"/>
  <c r="G4741" i="5"/>
  <c r="G5129" i="5"/>
  <c r="G4801" i="5"/>
  <c r="G4833" i="5"/>
  <c r="G2277" i="5"/>
  <c r="G5090" i="5"/>
  <c r="G4881" i="5"/>
  <c r="G4955" i="5"/>
  <c r="G4796" i="5"/>
  <c r="G2269" i="5"/>
  <c r="G5078" i="5"/>
  <c r="G682" i="5"/>
  <c r="G1343" i="5"/>
  <c r="G5042" i="5"/>
  <c r="G4839" i="5"/>
  <c r="G4967" i="5"/>
  <c r="G4734" i="5"/>
  <c r="G4902" i="5"/>
  <c r="G5020" i="5"/>
  <c r="G4750" i="5"/>
  <c r="G4916" i="5"/>
  <c r="G5083" i="5"/>
  <c r="G4847" i="5"/>
  <c r="G2312" i="5"/>
  <c r="F18" i="6"/>
  <c r="F210" i="6"/>
  <c r="F128" i="6"/>
  <c r="F230" i="6"/>
  <c r="F205" i="6"/>
  <c r="G205" i="6" s="1"/>
  <c r="F122" i="6"/>
  <c r="F82" i="6"/>
  <c r="F44" i="6"/>
  <c r="F140" i="6"/>
  <c r="F134" i="6"/>
  <c r="F127" i="6"/>
  <c r="F300" i="6"/>
  <c r="G4141" i="5"/>
  <c r="I1302" i="8"/>
  <c r="H1302" i="8"/>
  <c r="F1302" i="8"/>
  <c r="I1342" i="8"/>
  <c r="H1342" i="8"/>
  <c r="F1342" i="8"/>
  <c r="H1312" i="8"/>
  <c r="F1312" i="8"/>
  <c r="I1312" i="8"/>
  <c r="I1313" i="8"/>
  <c r="H1313" i="8"/>
  <c r="F1313" i="8"/>
  <c r="F1303" i="8"/>
  <c r="I1303" i="8"/>
  <c r="H1303" i="8"/>
  <c r="F1311" i="8"/>
  <c r="I1311" i="8"/>
  <c r="H1311" i="8"/>
  <c r="I1325" i="8"/>
  <c r="H1325" i="8"/>
  <c r="F1325" i="8"/>
  <c r="H1304" i="8"/>
  <c r="F1304" i="8"/>
  <c r="I1304" i="8"/>
  <c r="I1309" i="8"/>
  <c r="H1309" i="8"/>
  <c r="F1309" i="8"/>
  <c r="F1343" i="8"/>
  <c r="I1343" i="8"/>
  <c r="H1343" i="8"/>
  <c r="I1306" i="8"/>
  <c r="H1306" i="8"/>
  <c r="F1306" i="8"/>
  <c r="I1326" i="8"/>
  <c r="H1326" i="8"/>
  <c r="F1326" i="8"/>
  <c r="F1307" i="8"/>
  <c r="I1307" i="8"/>
  <c r="H1307" i="8"/>
  <c r="F1327" i="8"/>
  <c r="I1327" i="8"/>
  <c r="H1327" i="8"/>
  <c r="I1314" i="8"/>
  <c r="H1314" i="8"/>
  <c r="F1314" i="8"/>
  <c r="F1335" i="8"/>
  <c r="I1335" i="8"/>
  <c r="H1335" i="8"/>
  <c r="I1305" i="8"/>
  <c r="H1305" i="8"/>
  <c r="F1305" i="8"/>
  <c r="H1308" i="8"/>
  <c r="F1308" i="8"/>
  <c r="I1308" i="8"/>
  <c r="I1329" i="8"/>
  <c r="H1329" i="8"/>
  <c r="F1329" i="8"/>
  <c r="I1310" i="8"/>
  <c r="H1310" i="8"/>
  <c r="F1310" i="8"/>
  <c r="H1328" i="8"/>
  <c r="F1328" i="8"/>
  <c r="I1328" i="8"/>
  <c r="G3574" i="5"/>
  <c r="G1034" i="5"/>
  <c r="G4614" i="5"/>
  <c r="G4398" i="5"/>
  <c r="G3968" i="5"/>
  <c r="G443" i="5"/>
  <c r="G2237" i="5"/>
  <c r="G3974" i="5"/>
  <c r="G2964" i="5"/>
  <c r="G1925" i="5"/>
  <c r="G4348" i="5"/>
  <c r="G3395" i="5"/>
  <c r="G4349" i="5"/>
  <c r="G3356" i="5"/>
  <c r="G3472" i="5"/>
  <c r="G2784" i="5"/>
  <c r="G1219" i="5"/>
  <c r="G4619" i="5"/>
  <c r="G4618" i="5"/>
  <c r="G1315" i="5"/>
  <c r="G3347" i="5"/>
  <c r="G1316" i="5"/>
  <c r="G150" i="5"/>
  <c r="G1746" i="5"/>
  <c r="G2757" i="5"/>
  <c r="G2752" i="5"/>
  <c r="G2758" i="5"/>
  <c r="G2753" i="5"/>
  <c r="G437" i="5"/>
  <c r="G937" i="5"/>
  <c r="G398" i="5"/>
  <c r="G3039" i="5"/>
  <c r="G1156" i="5"/>
  <c r="G3323" i="5"/>
  <c r="G1199" i="5"/>
  <c r="G624" i="5"/>
  <c r="G4444" i="5"/>
  <c r="G4079" i="5"/>
  <c r="F755" i="8"/>
  <c r="H755" i="8"/>
  <c r="I755" i="8"/>
  <c r="F703" i="8"/>
  <c r="H703" i="8"/>
  <c r="I703" i="8"/>
  <c r="F727" i="8"/>
  <c r="H727" i="8"/>
  <c r="I727" i="8"/>
  <c r="F747" i="8"/>
  <c r="H747" i="8"/>
  <c r="I747" i="8"/>
  <c r="F723" i="8"/>
  <c r="H723" i="8"/>
  <c r="I723" i="8"/>
  <c r="F699" i="8"/>
  <c r="H699" i="8"/>
  <c r="I699" i="8"/>
  <c r="F751" i="8"/>
  <c r="H751" i="8"/>
  <c r="I751" i="8"/>
  <c r="F695" i="8"/>
  <c r="H695" i="8"/>
  <c r="I695" i="8"/>
  <c r="I1167" i="8"/>
  <c r="F1167" i="8"/>
  <c r="H1167" i="8"/>
  <c r="I1236" i="8"/>
  <c r="F1236" i="8"/>
  <c r="H1236" i="8"/>
  <c r="I1197" i="8"/>
  <c r="F1197" i="8"/>
  <c r="H1197" i="8"/>
  <c r="F779" i="8"/>
  <c r="H779" i="8"/>
  <c r="I779" i="8"/>
  <c r="I1189" i="8"/>
  <c r="F1189" i="8"/>
  <c r="H1189" i="8"/>
  <c r="F797" i="8"/>
  <c r="H797" i="8"/>
  <c r="I797" i="8"/>
  <c r="H1013" i="8"/>
  <c r="I1013" i="8"/>
  <c r="F1013" i="8"/>
  <c r="F789" i="8"/>
  <c r="H789" i="8"/>
  <c r="I789" i="8"/>
  <c r="F775" i="8"/>
  <c r="H775" i="8"/>
  <c r="I775" i="8"/>
  <c r="F845" i="8"/>
  <c r="H845" i="8"/>
  <c r="I845" i="8"/>
  <c r="F743" i="8"/>
  <c r="H743" i="8"/>
  <c r="I743" i="8"/>
  <c r="F691" i="8"/>
  <c r="H691" i="8"/>
  <c r="I691" i="8"/>
  <c r="F707" i="8"/>
  <c r="H707" i="8"/>
  <c r="I707" i="8"/>
  <c r="F731" i="8"/>
  <c r="H731" i="8"/>
  <c r="I731" i="8"/>
  <c r="F763" i="8"/>
  <c r="I763" i="8"/>
  <c r="H763" i="8"/>
  <c r="F739" i="8"/>
  <c r="H739" i="8"/>
  <c r="I739" i="8"/>
  <c r="F711" i="8"/>
  <c r="H711" i="8"/>
  <c r="I711" i="8"/>
  <c r="H1005" i="8"/>
  <c r="I1005" i="8"/>
  <c r="F1005" i="8"/>
  <c r="H1055" i="8"/>
  <c r="I1055" i="8"/>
  <c r="F1055" i="8"/>
  <c r="F1150" i="8"/>
  <c r="I1150" i="8"/>
  <c r="H1150" i="8"/>
  <c r="H1039" i="8"/>
  <c r="I1039" i="8"/>
  <c r="F1039" i="8"/>
  <c r="H1023" i="8"/>
  <c r="F1023" i="8"/>
  <c r="F771" i="8"/>
  <c r="H771" i="8"/>
  <c r="I771" i="8"/>
  <c r="F837" i="8"/>
  <c r="H837" i="8"/>
  <c r="I837" i="8"/>
  <c r="I1212" i="8"/>
  <c r="F1212" i="8"/>
  <c r="H1212" i="8"/>
  <c r="F829" i="8"/>
  <c r="H829" i="8"/>
  <c r="I829" i="8"/>
  <c r="I1220" i="8"/>
  <c r="F1220" i="8"/>
  <c r="H1220" i="8"/>
  <c r="I1228" i="8"/>
  <c r="F1228" i="8"/>
  <c r="H1228" i="8"/>
  <c r="G1261" i="5"/>
  <c r="G910" i="5"/>
  <c r="G1664" i="5"/>
  <c r="G4112" i="5"/>
  <c r="G4277" i="5"/>
  <c r="G1524" i="5"/>
  <c r="G2873" i="5"/>
  <c r="G3031" i="5"/>
  <c r="G2138" i="5"/>
  <c r="G3980" i="5"/>
  <c r="G4508" i="5"/>
  <c r="G3512" i="5"/>
  <c r="G886" i="5"/>
  <c r="G1392" i="5"/>
  <c r="G1877" i="5"/>
  <c r="F28" i="7"/>
  <c r="F146" i="6"/>
  <c r="F231" i="6"/>
  <c r="F121" i="6"/>
  <c r="F159" i="6"/>
  <c r="F34" i="6"/>
  <c r="F90" i="6"/>
  <c r="F67" i="6"/>
  <c r="F330" i="6"/>
  <c r="F329" i="6"/>
  <c r="F259" i="6"/>
  <c r="F25" i="6"/>
  <c r="F160" i="6"/>
  <c r="F116" i="6"/>
  <c r="F53" i="6"/>
  <c r="F316" i="6"/>
  <c r="F152" i="6"/>
  <c r="F190" i="6"/>
  <c r="F66" i="6"/>
  <c r="F271" i="6"/>
  <c r="F33" i="6"/>
  <c r="F196" i="6"/>
  <c r="F172" i="6"/>
  <c r="F209" i="6"/>
  <c r="F301" i="6"/>
  <c r="F184" i="6"/>
  <c r="F315" i="6"/>
  <c r="F109" i="6"/>
  <c r="F244" i="6"/>
  <c r="F133" i="6"/>
  <c r="F308" i="6"/>
  <c r="F307" i="6"/>
  <c r="F43" i="6"/>
  <c r="F189" i="6"/>
  <c r="F110" i="6"/>
  <c r="F201" i="6"/>
  <c r="F211" i="6"/>
  <c r="F19" i="6"/>
  <c r="F100" i="6"/>
  <c r="G2143" i="5"/>
  <c r="G3838" i="5"/>
  <c r="G346" i="5"/>
  <c r="G2672" i="5"/>
  <c r="G2889" i="5"/>
  <c r="G1516" i="5"/>
  <c r="G3566" i="5"/>
  <c r="G4542" i="5"/>
  <c r="G1829" i="5"/>
  <c r="G4365" i="5"/>
  <c r="G3895" i="5"/>
  <c r="G2816" i="5"/>
  <c r="G4626" i="5"/>
  <c r="G1854" i="5"/>
  <c r="G1410" i="5"/>
  <c r="G2801" i="5"/>
  <c r="G3537" i="5"/>
  <c r="G411" i="5"/>
  <c r="G1011" i="5"/>
  <c r="G1653" i="5"/>
  <c r="G2089" i="5"/>
  <c r="G3186" i="5"/>
  <c r="G279" i="5"/>
  <c r="G590" i="5"/>
  <c r="G1192" i="5"/>
  <c r="G1895" i="5"/>
  <c r="G2132" i="5"/>
  <c r="G89" i="5"/>
  <c r="G1096" i="5"/>
  <c r="G1585" i="5"/>
  <c r="G2006" i="5"/>
  <c r="G184" i="5"/>
  <c r="G726" i="5"/>
  <c r="G1301" i="5"/>
  <c r="G1878" i="5"/>
  <c r="G3234" i="5"/>
  <c r="G3876" i="5"/>
  <c r="G4284" i="5"/>
  <c r="G4371" i="5"/>
  <c r="G61" i="5"/>
  <c r="G146" i="5"/>
  <c r="G353" i="5"/>
  <c r="G610" i="5"/>
  <c r="G1097" i="5"/>
  <c r="G1556" i="5"/>
  <c r="G1690" i="5"/>
  <c r="G1907" i="5"/>
  <c r="G2226" i="5"/>
  <c r="G2358" i="5"/>
  <c r="G2922" i="5"/>
  <c r="G3329" i="5"/>
  <c r="G3558" i="5"/>
  <c r="G80" i="5"/>
  <c r="G1065" i="5"/>
  <c r="G1171" i="5"/>
  <c r="G1379" i="5"/>
  <c r="G1541" i="5"/>
  <c r="G1818" i="5"/>
  <c r="G1974" i="5"/>
  <c r="G2120" i="5"/>
  <c r="G2387" i="5"/>
  <c r="G2774" i="5"/>
  <c r="G563" i="5"/>
  <c r="G1295" i="5"/>
  <c r="G1691" i="5"/>
  <c r="G1999" i="5"/>
  <c r="G3095" i="5"/>
  <c r="G533" i="5"/>
  <c r="G211" i="5"/>
  <c r="G583" i="5"/>
  <c r="G811" i="5"/>
  <c r="G958" i="5"/>
  <c r="G1273" i="5"/>
  <c r="G1563" i="5"/>
  <c r="G1724" i="5"/>
  <c r="G1866" i="5"/>
  <c r="G1975" i="5"/>
  <c r="G2231" i="5"/>
  <c r="G2948" i="5"/>
  <c r="G3155" i="5"/>
  <c r="G3489" i="5"/>
  <c r="G3816" i="5"/>
  <c r="G4054" i="5"/>
  <c r="G4232" i="5"/>
  <c r="G4433" i="5"/>
  <c r="G3839" i="5"/>
  <c r="G3810" i="5"/>
  <c r="G4197" i="5"/>
  <c r="G4615" i="5"/>
  <c r="G3681" i="5"/>
  <c r="G3755" i="5"/>
  <c r="G4266" i="5"/>
  <c r="G136" i="5"/>
  <c r="G507" i="5"/>
  <c r="G936" i="5"/>
  <c r="G1105" i="5"/>
  <c r="G1296" i="5"/>
  <c r="G1770" i="5"/>
  <c r="G1860" i="5"/>
  <c r="G1968" i="5"/>
  <c r="G2341" i="5"/>
  <c r="G2769" i="5"/>
  <c r="G3294" i="5"/>
  <c r="G3429" i="5"/>
  <c r="G67" i="5"/>
  <c r="G367" i="5"/>
  <c r="G436" i="5"/>
  <c r="G732" i="5"/>
  <c r="G871" i="5"/>
  <c r="G1016" i="5"/>
  <c r="G1125" i="5"/>
  <c r="G1274" i="5"/>
  <c r="G1658" i="5"/>
  <c r="G1871" i="5"/>
  <c r="G1935" i="5"/>
  <c r="G2097" i="5"/>
  <c r="G2213" i="5"/>
  <c r="G2322" i="5"/>
  <c r="G2954" i="5"/>
  <c r="G3156" i="5"/>
  <c r="G3315" i="5"/>
  <c r="G3545" i="5"/>
  <c r="G472" i="5"/>
  <c r="G1058" i="5"/>
  <c r="G1311" i="5"/>
  <c r="G1525" i="5"/>
  <c r="G1635" i="5"/>
  <c r="G1797" i="5"/>
  <c r="G2096" i="5"/>
  <c r="G2347" i="5"/>
  <c r="G2402" i="5"/>
  <c r="G2979" i="5"/>
  <c r="G3185" i="5"/>
  <c r="G3525" i="5"/>
  <c r="G57" i="5"/>
  <c r="G194" i="5"/>
  <c r="G725" i="5"/>
  <c r="G1571" i="5"/>
  <c r="G1758" i="5"/>
  <c r="G2857" i="5"/>
  <c r="G3025" i="5"/>
  <c r="G3288" i="5"/>
  <c r="G3358" i="5"/>
  <c r="G3447" i="5"/>
  <c r="G3456" i="5"/>
  <c r="G3667" i="5"/>
  <c r="G4315" i="5"/>
  <c r="G4566" i="5"/>
  <c r="G3754" i="5"/>
  <c r="G3925" i="5"/>
  <c r="G4174" i="5"/>
  <c r="G4322" i="5"/>
  <c r="G4474" i="5"/>
  <c r="G4250" i="5"/>
  <c r="G4572" i="5"/>
  <c r="G3716" i="5"/>
  <c r="G4085" i="5"/>
  <c r="G4372" i="5"/>
  <c r="G4535" i="5"/>
  <c r="G156" i="5"/>
  <c r="G376" i="5"/>
  <c r="G500" i="5"/>
  <c r="G957" i="5"/>
  <c r="G1006" i="5"/>
  <c r="G1150" i="5"/>
  <c r="G1679" i="5"/>
  <c r="G1823" i="5"/>
  <c r="G1934" i="5"/>
  <c r="G2125" i="5"/>
  <c r="G2334" i="5"/>
  <c r="G2831" i="5"/>
  <c r="G3110" i="5"/>
  <c r="G3490" i="5"/>
  <c r="G163" i="5"/>
  <c r="G431" i="5"/>
  <c r="G1347" i="5"/>
  <c r="G1698" i="5"/>
  <c r="G2014" i="5"/>
  <c r="G2406" i="5"/>
  <c r="G3227" i="5"/>
  <c r="G466" i="5"/>
  <c r="G864" i="5"/>
  <c r="G965" i="5"/>
  <c r="G1114" i="5"/>
  <c r="G1281" i="5"/>
  <c r="G1500" i="5"/>
  <c r="G1819" i="5"/>
  <c r="G2126" i="5"/>
  <c r="G2357" i="5"/>
  <c r="G2949" i="5"/>
  <c r="G3142" i="5"/>
  <c r="G3254" i="5"/>
  <c r="G3554" i="5"/>
  <c r="G501" i="5"/>
  <c r="G94" i="5"/>
  <c r="G484" i="5"/>
  <c r="G671" i="5"/>
  <c r="G1843" i="5"/>
  <c r="G2708" i="5"/>
  <c r="G3084" i="5"/>
  <c r="G3381" i="5"/>
  <c r="G3853" i="5"/>
  <c r="G4029" i="5"/>
  <c r="G3894" i="5"/>
  <c r="G4242" i="5"/>
  <c r="G4332" i="5"/>
  <c r="G4500" i="5"/>
  <c r="G4403" i="5"/>
  <c r="G3869" i="5"/>
  <c r="G4370" i="5"/>
  <c r="G4550" i="5"/>
  <c r="G140" i="5"/>
  <c r="G225" i="5"/>
  <c r="G836" i="5"/>
  <c r="G1057" i="5"/>
  <c r="G1282" i="5"/>
  <c r="G2150" i="5"/>
  <c r="G2733" i="5"/>
  <c r="G2969" i="5"/>
  <c r="G3124" i="5"/>
  <c r="G3308" i="5"/>
  <c r="G74" i="5"/>
  <c r="G155" i="5"/>
  <c r="G699" i="5"/>
  <c r="G894" i="5"/>
  <c r="G1233" i="5"/>
  <c r="G1471" i="5"/>
  <c r="G1783" i="5"/>
  <c r="G2049" i="5"/>
  <c r="G2732" i="5"/>
  <c r="G2994" i="5"/>
  <c r="G3382" i="5"/>
  <c r="G216" i="5"/>
  <c r="G632" i="5"/>
  <c r="G979" i="5"/>
  <c r="G1685" i="5"/>
  <c r="G2842" i="5"/>
  <c r="G3160" i="5"/>
  <c r="G3365" i="5"/>
  <c r="G44" i="5"/>
  <c r="G473" i="5"/>
  <c r="G310" i="5"/>
  <c r="G1640" i="5"/>
  <c r="G1776" i="5"/>
  <c r="G2847" i="5"/>
  <c r="G3074" i="5"/>
  <c r="G3330" i="5"/>
  <c r="G3371" i="5"/>
  <c r="G3538" i="5"/>
  <c r="G3811" i="5"/>
  <c r="G4055" i="5"/>
  <c r="G4084" i="5"/>
  <c r="G4338" i="5"/>
  <c r="G4267" i="5"/>
  <c r="G3575" i="5"/>
  <c r="G4133" i="5"/>
  <c r="G3691" i="5"/>
  <c r="G3817" i="5"/>
  <c r="G4260" i="5"/>
  <c r="G3995" i="5"/>
  <c r="G4096" i="5"/>
  <c r="G4323" i="5"/>
  <c r="G193" i="5"/>
  <c r="G609" i="5"/>
  <c r="G1143" i="5"/>
  <c r="G1367" i="5"/>
  <c r="G1578" i="5"/>
  <c r="G2007" i="5"/>
  <c r="G2167" i="5"/>
  <c r="G2346" i="5"/>
  <c r="G2739" i="5"/>
  <c r="G2865" i="5"/>
  <c r="G3322" i="5"/>
  <c r="G3446" i="5"/>
  <c r="G167" i="5"/>
  <c r="G458" i="5"/>
  <c r="G752" i="5"/>
  <c r="G927" i="5"/>
  <c r="G1050" i="5"/>
  <c r="G1889" i="5"/>
  <c r="G1962" i="5"/>
  <c r="G2137" i="5"/>
  <c r="G2232" i="5"/>
  <c r="G2382" i="5"/>
  <c r="G2762" i="5"/>
  <c r="G3020" i="5"/>
  <c r="G3233" i="5"/>
  <c r="G3553" i="5"/>
  <c r="G852" i="5"/>
  <c r="G1071" i="5"/>
  <c r="G1254" i="5"/>
  <c r="G1361" i="5"/>
  <c r="G1548" i="5"/>
  <c r="G1706" i="5"/>
  <c r="G1824" i="5"/>
  <c r="G1940" i="5"/>
  <c r="G2159" i="5"/>
  <c r="G2353" i="5"/>
  <c r="G3102" i="5"/>
  <c r="G3192" i="5"/>
  <c r="G3559" i="5"/>
  <c r="G75" i="5"/>
  <c r="G242" i="5"/>
  <c r="G952" i="5"/>
  <c r="G1213" i="5"/>
  <c r="G1617" i="5"/>
  <c r="G1784" i="5"/>
  <c r="G1961" i="5"/>
  <c r="G2158" i="5"/>
  <c r="G2393" i="5"/>
  <c r="G2902" i="5"/>
  <c r="G3302" i="5"/>
  <c r="G3377" i="5"/>
  <c r="G3823" i="5"/>
  <c r="G4003" i="5"/>
  <c r="G4422" i="5"/>
  <c r="G3797" i="5"/>
  <c r="G3953" i="5"/>
  <c r="G4186" i="5"/>
  <c r="G4397" i="5"/>
  <c r="G3899" i="5"/>
  <c r="G4004" i="5"/>
  <c r="G4296" i="5"/>
  <c r="G4584" i="5"/>
  <c r="G3861" i="5"/>
  <c r="G4465" i="5"/>
  <c r="G180" i="5"/>
  <c r="G397" i="5"/>
  <c r="G532" i="5"/>
  <c r="G801" i="5"/>
  <c r="G1078" i="5"/>
  <c r="G1234" i="5"/>
  <c r="G1348" i="5"/>
  <c r="G1777" i="5"/>
  <c r="G1842" i="5"/>
  <c r="G1990" i="5"/>
  <c r="G2206" i="5"/>
  <c r="G2352" i="5"/>
  <c r="G3197" i="5"/>
  <c r="G3618" i="5"/>
  <c r="G377" i="5"/>
  <c r="G207" i="5"/>
  <c r="G333" i="5"/>
  <c r="G457" i="5"/>
  <c r="G731" i="5"/>
  <c r="G1015" i="5"/>
  <c r="G1441" i="5"/>
  <c r="G1710" i="5"/>
  <c r="G2245" i="5"/>
  <c r="G2836" i="5"/>
  <c r="G3150" i="5"/>
  <c r="G3241" i="5"/>
  <c r="G3483" i="5"/>
  <c r="G879" i="5"/>
  <c r="G983" i="5"/>
  <c r="G1130" i="5"/>
  <c r="G1360" i="5"/>
  <c r="G1652" i="5"/>
  <c r="G1834" i="5"/>
  <c r="G2151" i="5"/>
  <c r="G2714" i="5"/>
  <c r="G2999" i="5"/>
  <c r="G3198" i="5"/>
  <c r="G3261" i="5"/>
  <c r="G3387" i="5"/>
  <c r="G557" i="5"/>
  <c r="G109" i="5"/>
  <c r="G512" i="5"/>
  <c r="G739" i="5"/>
  <c r="G906" i="5"/>
  <c r="G1440" i="5"/>
  <c r="G1848" i="5"/>
  <c r="G2183" i="5"/>
  <c r="G2329" i="5"/>
  <c r="G3103" i="5"/>
  <c r="G3400" i="5"/>
  <c r="G4072" i="5"/>
  <c r="G4251" i="5"/>
  <c r="G3935" i="5"/>
  <c r="G4090" i="5"/>
  <c r="G4340" i="5"/>
  <c r="G4507" i="5"/>
  <c r="G4413" i="5"/>
  <c r="G3651" i="5"/>
  <c r="G4381" i="5"/>
  <c r="G4567" i="5"/>
  <c r="G90" i="5"/>
  <c r="G176" i="5"/>
  <c r="G490" i="5"/>
  <c r="G649" i="5"/>
  <c r="G964" i="5"/>
  <c r="G1072" i="5"/>
  <c r="G1310" i="5"/>
  <c r="G1674" i="5"/>
  <c r="G2081" i="5"/>
  <c r="G2246" i="5"/>
  <c r="G2791" i="5"/>
  <c r="G3059" i="5"/>
  <c r="G3174" i="5"/>
  <c r="G3567" i="5"/>
  <c r="G84" i="5"/>
  <c r="G162" i="5"/>
  <c r="G810" i="5"/>
  <c r="G900" i="5"/>
  <c r="G1354" i="5"/>
  <c r="G2166" i="5"/>
  <c r="G3012" i="5"/>
  <c r="G3421" i="5"/>
  <c r="G391" i="5"/>
  <c r="G800" i="5"/>
  <c r="G1813" i="5"/>
  <c r="G1950" i="5"/>
  <c r="G2386" i="5"/>
  <c r="G2917" i="5"/>
  <c r="G3213" i="5"/>
  <c r="G141" i="5"/>
  <c r="G513" i="5"/>
  <c r="G430" i="5"/>
  <c r="G1035" i="5"/>
  <c r="G1403" i="5"/>
  <c r="G1540" i="5"/>
  <c r="G3109" i="5"/>
  <c r="G3391" i="5"/>
  <c r="G3619" i="5"/>
  <c r="G3546" i="5"/>
  <c r="G3829" i="5"/>
  <c r="G4127" i="5"/>
  <c r="G3692" i="5"/>
  <c r="G3796" i="5"/>
  <c r="G4333" i="5"/>
  <c r="G4457" i="5"/>
  <c r="G4142" i="5"/>
  <c r="G4473" i="5"/>
  <c r="G35" i="5"/>
  <c r="G859" i="5"/>
  <c r="G1600" i="5"/>
  <c r="G1982" i="5"/>
  <c r="G2989" i="5"/>
  <c r="G3592" i="5"/>
  <c r="G345" i="5"/>
  <c r="G1088" i="5"/>
  <c r="G1612" i="5"/>
  <c r="G2057" i="5"/>
  <c r="G2806" i="5"/>
  <c r="G829" i="5"/>
  <c r="G1368" i="5"/>
  <c r="G1901" i="5"/>
  <c r="G3123" i="5"/>
  <c r="G591" i="5"/>
  <c r="G972" i="5"/>
  <c r="G1762" i="5"/>
  <c r="G3511" i="5"/>
  <c r="G4543" i="5"/>
  <c r="G296" i="5"/>
  <c r="G100" i="5"/>
  <c r="G456" i="5"/>
  <c r="G657" i="5"/>
  <c r="G887" i="5"/>
  <c r="G1025" i="5"/>
  <c r="G1198" i="5"/>
  <c r="G1623" i="5"/>
  <c r="G1659" i="5"/>
  <c r="G1884" i="5"/>
  <c r="G2080" i="5"/>
  <c r="G2105" i="5"/>
  <c r="G2779" i="5"/>
  <c r="G3044" i="5"/>
  <c r="G3268" i="5"/>
  <c r="G241" i="5"/>
  <c r="G419" i="5"/>
  <c r="G599" i="5"/>
  <c r="G1115" i="5"/>
  <c r="G1212" i="5"/>
  <c r="G1470" i="5"/>
  <c r="G1757" i="5"/>
  <c r="G1913" i="5"/>
  <c r="G2048" i="5"/>
  <c r="G2072" i="5"/>
  <c r="G2144" i="5"/>
  <c r="G2690" i="5"/>
  <c r="G3116" i="5"/>
  <c r="G3603" i="5"/>
  <c r="G287" i="5"/>
  <c r="G769" i="5"/>
  <c r="G899" i="5"/>
  <c r="G1425" i="5"/>
  <c r="G1645" i="5"/>
  <c r="G1747" i="5"/>
  <c r="G1828" i="5"/>
  <c r="G1945" i="5"/>
  <c r="G2033" i="5"/>
  <c r="G2198" i="5"/>
  <c r="G2367" i="5"/>
  <c r="G3682" i="5"/>
  <c r="G192" i="5"/>
  <c r="G270" i="5"/>
  <c r="G428" i="5"/>
  <c r="G639" i="5"/>
  <c r="G851" i="5"/>
  <c r="G978" i="5"/>
  <c r="G1163" i="5"/>
  <c r="G1896" i="5"/>
  <c r="G2013" i="5"/>
  <c r="G2702" i="5"/>
  <c r="G3115" i="5"/>
  <c r="G3247" i="5"/>
  <c r="G3491" i="5"/>
  <c r="G3627" i="5"/>
  <c r="G4126" i="5"/>
  <c r="G4306" i="5"/>
  <c r="G4583" i="5"/>
  <c r="G3669" i="5"/>
  <c r="G3868" i="5"/>
  <c r="G4113" i="5"/>
  <c r="G3781" i="5"/>
  <c r="G3917" i="5"/>
  <c r="G4038" i="5"/>
  <c r="G4316" i="5"/>
  <c r="G4467" i="5"/>
  <c r="G3798" i="5"/>
  <c r="G4011" i="5"/>
  <c r="G4157" i="5"/>
  <c r="G4392" i="5"/>
  <c r="G638" i="5"/>
  <c r="G994" i="5"/>
  <c r="G1206" i="5"/>
  <c r="G1399" i="5"/>
  <c r="G1636" i="5"/>
  <c r="G1814" i="5"/>
  <c r="G1883" i="5"/>
  <c r="G2025" i="5"/>
  <c r="G2175" i="5"/>
  <c r="G2362" i="5"/>
  <c r="G2745" i="5"/>
  <c r="G2907" i="5"/>
  <c r="G280" i="5"/>
  <c r="G951" i="5"/>
  <c r="G1149" i="5"/>
  <c r="G1178" i="5"/>
  <c r="G1920" i="5"/>
  <c r="G2041" i="5"/>
  <c r="G2927" i="5"/>
  <c r="G3248" i="5"/>
  <c r="G3351" i="5"/>
  <c r="G3588" i="5"/>
  <c r="G763" i="5"/>
  <c r="G860" i="5"/>
  <c r="G1136" i="5"/>
  <c r="G1268" i="5"/>
  <c r="G1380" i="5"/>
  <c r="G1572" i="5"/>
  <c r="G1736" i="5"/>
  <c r="G2191" i="5"/>
  <c r="G2372" i="5"/>
  <c r="G2746" i="5"/>
  <c r="G3128" i="5"/>
  <c r="G3628" i="5"/>
  <c r="G272" i="5"/>
  <c r="G114" i="5"/>
  <c r="G582" i="5"/>
  <c r="G1241" i="5"/>
  <c r="G1456" i="5"/>
  <c r="G1684" i="5"/>
  <c r="G1890" i="5"/>
  <c r="G2032" i="5"/>
  <c r="G2190" i="5"/>
  <c r="G2321" i="5"/>
  <c r="G2407" i="5"/>
  <c r="G2937" i="5"/>
  <c r="G3141" i="5"/>
  <c r="G3316" i="5"/>
  <c r="G3410" i="5"/>
  <c r="G3520" i="5"/>
  <c r="G3860" i="5"/>
  <c r="G4030" i="5"/>
  <c r="G4445" i="5"/>
  <c r="G3822" i="5"/>
  <c r="G3973" i="5"/>
  <c r="G4213" i="5"/>
  <c r="G4408" i="5"/>
  <c r="G3725" i="5"/>
  <c r="G3952" i="5"/>
  <c r="G4022" i="5"/>
  <c r="G3916" i="5"/>
  <c r="G3961" i="5"/>
  <c r="G4485" i="5"/>
  <c r="G564" i="5"/>
  <c r="G846" i="5"/>
  <c r="G1104" i="5"/>
  <c r="G1255" i="5"/>
  <c r="G1404" i="5"/>
  <c r="G1791" i="5"/>
  <c r="G2020" i="5"/>
  <c r="G2214" i="5"/>
  <c r="G2796" i="5"/>
  <c r="G3293" i="5"/>
  <c r="G50" i="5"/>
  <c r="G824" i="5"/>
  <c r="G1157" i="5"/>
  <c r="G1240" i="5"/>
  <c r="G1847" i="5"/>
  <c r="G2328" i="5"/>
  <c r="G2974" i="5"/>
  <c r="G3255" i="5"/>
  <c r="G920" i="5"/>
  <c r="G995" i="5"/>
  <c r="G1142" i="5"/>
  <c r="G1247" i="5"/>
  <c r="G1411" i="5"/>
  <c r="G1853" i="5"/>
  <c r="G2174" i="5"/>
  <c r="G2247" i="5"/>
  <c r="G2811" i="5"/>
  <c r="G3049" i="5"/>
  <c r="G3220" i="5"/>
  <c r="G3269" i="5"/>
  <c r="G30" i="5"/>
  <c r="G127" i="5"/>
  <c r="G784" i="5"/>
  <c r="G1170" i="5"/>
  <c r="G1584" i="5"/>
  <c r="G1914" i="5"/>
  <c r="G1967" i="5"/>
  <c r="G3007" i="5"/>
  <c r="G3207" i="5"/>
  <c r="G3430" i="5"/>
  <c r="G3780" i="5"/>
  <c r="G4118" i="5"/>
  <c r="G4493" i="5"/>
  <c r="G3722" i="5"/>
  <c r="G3981" i="5"/>
  <c r="G4414" i="5"/>
  <c r="G4534" i="5"/>
  <c r="G3761" i="5"/>
  <c r="G4350" i="5"/>
  <c r="G4421" i="5"/>
  <c r="G4556" i="5"/>
  <c r="G3532" i="5"/>
  <c r="G3668" i="5"/>
  <c r="G3846" i="5"/>
  <c r="G3934" i="5"/>
  <c r="G4147" i="5"/>
  <c r="G4339" i="5"/>
  <c r="G4593" i="5"/>
  <c r="G168" i="5"/>
  <c r="G202" i="5"/>
  <c r="G541" i="5"/>
  <c r="G700" i="5"/>
  <c r="G921" i="5"/>
  <c r="G1248" i="5"/>
  <c r="G1533" i="5"/>
  <c r="G1735" i="5"/>
  <c r="G2112" i="5"/>
  <c r="G2897" i="5"/>
  <c r="G3191" i="5"/>
  <c r="G311" i="5"/>
  <c r="G95" i="5"/>
  <c r="G185" i="5"/>
  <c r="G600" i="5"/>
  <c r="G1374" i="5"/>
  <c r="G2257" i="5"/>
  <c r="G2684" i="5"/>
  <c r="G2835" i="5"/>
  <c r="G3206" i="5"/>
  <c r="G3519" i="5"/>
  <c r="G525" i="5"/>
  <c r="G870" i="5"/>
  <c r="G1300" i="5"/>
  <c r="G1562" i="5"/>
  <c r="G1989" i="5"/>
  <c r="G2040" i="5"/>
  <c r="G3069" i="5"/>
  <c r="G3226" i="5"/>
  <c r="G334" i="5"/>
  <c r="G547" i="5"/>
  <c r="G442" i="5"/>
  <c r="G1051" i="5"/>
  <c r="G1606" i="5"/>
  <c r="G1872" i="5"/>
  <c r="G2119" i="5"/>
  <c r="G3399" i="5"/>
  <c r="G3506" i="5"/>
  <c r="G3676" i="5"/>
  <c r="G3845" i="5"/>
  <c r="G3747" i="5"/>
  <c r="G4071" i="5"/>
  <c r="G4486" i="5"/>
  <c r="G4153" i="5"/>
  <c r="G631" i="5"/>
  <c r="G1120" i="5"/>
  <c r="G1705" i="5"/>
  <c r="G2401" i="5"/>
  <c r="G3409" i="5"/>
  <c r="G128" i="5"/>
  <c r="G780" i="5"/>
  <c r="G1386" i="5"/>
  <c r="G2000" i="5"/>
  <c r="G2394" i="5"/>
  <c r="G740" i="5"/>
  <c r="G1185" i="5"/>
  <c r="G1697" i="5"/>
  <c r="G249" i="5"/>
  <c r="G841" i="5"/>
  <c r="G1486" i="5"/>
  <c r="G3482" i="5"/>
  <c r="G4107" i="5"/>
  <c r="G4078" i="5"/>
  <c r="G62" i="5"/>
  <c r="G122" i="5"/>
  <c r="G250" i="5"/>
  <c r="G548" i="5"/>
  <c r="G928" i="5"/>
  <c r="G1043" i="5"/>
  <c r="G1218" i="5"/>
  <c r="G1549" i="5"/>
  <c r="G1669" i="5"/>
  <c r="G2182" i="5"/>
  <c r="G2912" i="5"/>
  <c r="G3089" i="5"/>
  <c r="G3301" i="5"/>
  <c r="G3455" i="5"/>
  <c r="G132" i="5"/>
  <c r="G286" i="5"/>
  <c r="G485" i="5"/>
  <c r="G689" i="5"/>
  <c r="G971" i="5"/>
  <c r="G1131" i="5"/>
  <c r="G1373" i="5"/>
  <c r="G1532" i="5"/>
  <c r="G1769" i="5"/>
  <c r="G1798" i="5"/>
  <c r="G2104" i="5"/>
  <c r="G2199" i="5"/>
  <c r="G2738" i="5"/>
  <c r="G3164" i="5"/>
  <c r="G508" i="5"/>
  <c r="G1064" i="5"/>
  <c r="G1226" i="5"/>
  <c r="G1663" i="5"/>
  <c r="G1790" i="5"/>
  <c r="G1981" i="5"/>
  <c r="G2064" i="5"/>
  <c r="G2207" i="5"/>
  <c r="G2335" i="5"/>
  <c r="G2959" i="5"/>
  <c r="G3372" i="5"/>
  <c r="G198" i="5"/>
  <c r="G572" i="5"/>
  <c r="G690" i="5"/>
  <c r="G895" i="5"/>
  <c r="G1184" i="5"/>
  <c r="G1355" i="5"/>
  <c r="G1930" i="5"/>
  <c r="G2056" i="5"/>
  <c r="G2826" i="5"/>
  <c r="G3149" i="5"/>
  <c r="G3276" i="5"/>
  <c r="G3454" i="5"/>
  <c r="G3760" i="5"/>
  <c r="G4039" i="5"/>
  <c r="G4161" i="5"/>
  <c r="G4334" i="5"/>
  <c r="G3738" i="5"/>
  <c r="G3962" i="5"/>
  <c r="G3799" i="5"/>
  <c r="G3943" i="5"/>
  <c r="G4119" i="5"/>
  <c r="G4492" i="5"/>
  <c r="G3650" i="5"/>
  <c r="G3721" i="5"/>
  <c r="G4259" i="5"/>
  <c r="G99" i="5"/>
  <c r="G878" i="5"/>
  <c r="G1079" i="5"/>
  <c r="G1227" i="5"/>
  <c r="G1426" i="5"/>
  <c r="G1711" i="5"/>
  <c r="G1835" i="5"/>
  <c r="G2073" i="5"/>
  <c r="G2763" i="5"/>
  <c r="G3262" i="5"/>
  <c r="G123" i="5"/>
  <c r="G352" i="5"/>
  <c r="G427" i="5"/>
  <c r="G558" i="5"/>
  <c r="G1205" i="5"/>
  <c r="G1485" i="5"/>
  <c r="G1805" i="5"/>
  <c r="G1924" i="5"/>
  <c r="G2065" i="5"/>
  <c r="G2942" i="5"/>
  <c r="G3064" i="5"/>
  <c r="G3357" i="5"/>
  <c r="G3640" i="5"/>
  <c r="G785" i="5"/>
  <c r="G984" i="5"/>
  <c r="G1162" i="5"/>
  <c r="G1288" i="5"/>
  <c r="G1398" i="5"/>
  <c r="G1579" i="5"/>
  <c r="G2088" i="5"/>
  <c r="G2238" i="5"/>
  <c r="G2381" i="5"/>
  <c r="G2881" i="5"/>
  <c r="G3134" i="5"/>
  <c r="G31" i="5"/>
  <c r="G672" i="5"/>
  <c r="G1557" i="5"/>
  <c r="G1902" i="5"/>
  <c r="G2218" i="5"/>
  <c r="G2726" i="5"/>
  <c r="G2984" i="5"/>
  <c r="G3240" i="5"/>
  <c r="G3342" i="5"/>
  <c r="G3431" i="5"/>
  <c r="G3605" i="5"/>
  <c r="G3944" i="5"/>
  <c r="G4044" i="5"/>
  <c r="G4276" i="5"/>
  <c r="G4555" i="5"/>
  <c r="G3735" i="5"/>
  <c r="G4305" i="5"/>
  <c r="G4429" i="5"/>
  <c r="G4043" i="5"/>
  <c r="G4513" i="5"/>
  <c r="G3926" i="5"/>
  <c r="G3991" i="5"/>
  <c r="G4241" i="5"/>
  <c r="G4499" i="5"/>
  <c r="G40" i="5"/>
  <c r="G221" i="5"/>
  <c r="G468" i="5"/>
  <c r="G623" i="5"/>
  <c r="G865" i="5"/>
  <c r="G945" i="5"/>
  <c r="G1135" i="5"/>
  <c r="G1289" i="5"/>
  <c r="G1501" i="5"/>
  <c r="G1804" i="5"/>
  <c r="G1859" i="5"/>
  <c r="G2113" i="5"/>
  <c r="G2219" i="5"/>
  <c r="G2821" i="5"/>
  <c r="G3096" i="5"/>
  <c r="G3471" i="5"/>
  <c r="G85" i="5"/>
  <c r="G264" i="5"/>
  <c r="G645" i="5"/>
  <c r="G840" i="5"/>
  <c r="G1177" i="5"/>
  <c r="G1865" i="5"/>
  <c r="G2340" i="5"/>
  <c r="G3024" i="5"/>
  <c r="G3376" i="5"/>
  <c r="G151" i="5"/>
  <c r="G751" i="5"/>
  <c r="G946" i="5"/>
  <c r="G1044" i="5"/>
  <c r="G1262" i="5"/>
  <c r="G1455" i="5"/>
  <c r="G1725" i="5"/>
  <c r="G1763" i="5"/>
  <c r="G2225" i="5"/>
  <c r="G2852" i="5"/>
  <c r="G3133" i="5"/>
  <c r="G3309" i="5"/>
  <c r="G467" i="5"/>
  <c r="G45" i="5"/>
  <c r="G448" i="5"/>
  <c r="G1385" i="5"/>
  <c r="G1919" i="5"/>
  <c r="G2258" i="5"/>
  <c r="G2696" i="5"/>
  <c r="G3054" i="5"/>
  <c r="G3287" i="5"/>
  <c r="G3670" i="5"/>
  <c r="G3830" i="5"/>
  <c r="G3967" i="5"/>
  <c r="G4132" i="5"/>
  <c r="G4625" i="5"/>
  <c r="G4225" i="5"/>
  <c r="G4428" i="5"/>
  <c r="G4456" i="5"/>
  <c r="G4551" i="5"/>
  <c r="G3789" i="5"/>
  <c r="G4393" i="5"/>
  <c r="G4592" i="5"/>
  <c r="G3746" i="5"/>
  <c r="G3852" i="5"/>
  <c r="G4364" i="5"/>
  <c r="G269" i="5"/>
  <c r="G118" i="5"/>
  <c r="G220" i="5"/>
  <c r="G390" i="5"/>
  <c r="G819" i="5"/>
  <c r="G1269" i="5"/>
  <c r="G1630" i="5"/>
  <c r="G1908" i="5"/>
  <c r="G2131" i="5"/>
  <c r="G2373" i="5"/>
  <c r="G2932" i="5"/>
  <c r="G3219" i="5"/>
  <c r="G418" i="5"/>
  <c r="G145" i="5"/>
  <c r="G653" i="5"/>
  <c r="G1391" i="5"/>
  <c r="G1616" i="5"/>
  <c r="G2026" i="5"/>
  <c r="G2720" i="5"/>
  <c r="G3275" i="5"/>
  <c r="G3565" i="5"/>
  <c r="G542" i="5"/>
  <c r="G1646" i="5"/>
  <c r="G2327" i="5"/>
  <c r="G2832" i="5"/>
  <c r="G3079" i="5"/>
  <c r="G3283" i="5"/>
  <c r="G412" i="5"/>
  <c r="G573" i="5"/>
  <c r="G828" i="5"/>
  <c r="G1089" i="5"/>
  <c r="G1191" i="5"/>
  <c r="G1517" i="5"/>
  <c r="G1629" i="5"/>
  <c r="G2021" i="5"/>
  <c r="G3282" i="5"/>
  <c r="G3364" i="5"/>
  <c r="G3422" i="5"/>
  <c r="G3505" i="5"/>
  <c r="G3788" i="5"/>
  <c r="G4021" i="5"/>
  <c r="G4012" i="5"/>
  <c r="G4285" i="5"/>
  <c r="G4106" i="5"/>
  <c r="G4355" i="5"/>
  <c r="G4526" i="5"/>
  <c r="G4173" i="5"/>
  <c r="G2678" i="5"/>
  <c r="G3038" i="5"/>
  <c r="G368" i="5"/>
  <c r="G3334" i="5"/>
  <c r="G3985" i="5"/>
  <c r="G49" i="5"/>
  <c r="G206" i="5"/>
  <c r="G56" i="5"/>
  <c r="G172" i="5"/>
  <c r="G295" i="5"/>
  <c r="G1955" i="5"/>
  <c r="G66" i="5"/>
  <c r="G322" i="5"/>
  <c r="G1956" i="5"/>
  <c r="G3996" i="5"/>
  <c r="G191" i="5"/>
  <c r="G256" i="5"/>
  <c r="G3604" i="5"/>
  <c r="G39" i="5"/>
  <c r="G104" i="5"/>
  <c r="G215" i="5"/>
  <c r="G12" i="5"/>
  <c r="G4233" i="5"/>
  <c r="G25" i="5"/>
  <c r="G8" i="5"/>
  <c r="G16" i="5"/>
  <c r="G113" i="5"/>
  <c r="G20" i="5"/>
  <c r="G79" i="5"/>
  <c r="G1929" i="5"/>
  <c r="G3710" i="5"/>
  <c r="G447" i="5"/>
  <c r="G271" i="5"/>
  <c r="G26" i="5"/>
  <c r="G108" i="5"/>
  <c r="G257" i="5"/>
  <c r="G3587" i="5"/>
  <c r="F14" i="7"/>
  <c r="F145" i="6"/>
  <c r="F290" i="6"/>
  <c r="F245" i="6"/>
  <c r="F283" i="6"/>
  <c r="F342" i="6"/>
  <c r="F282" i="6"/>
  <c r="F24" i="6"/>
  <c r="F139" i="6"/>
  <c r="F151" i="6"/>
  <c r="F73" i="6"/>
  <c r="I1023" i="8" l="1"/>
  <c r="H1351" i="8"/>
  <c r="I1351" i="8" s="1"/>
  <c r="H2468" i="5"/>
  <c r="H2464" i="5"/>
  <c r="H2544" i="5"/>
  <c r="E517" i="8" s="1"/>
  <c r="H2488" i="5"/>
  <c r="H2520" i="5"/>
  <c r="H2524" i="5"/>
  <c r="E512" i="8" s="1"/>
  <c r="H2416" i="5"/>
  <c r="H2500" i="5"/>
  <c r="H2556" i="5"/>
  <c r="H2512" i="5"/>
  <c r="E509" i="8" s="1"/>
  <c r="H2560" i="5"/>
  <c r="H2564" i="5"/>
  <c r="H2668" i="5"/>
  <c r="E597" i="8" s="1"/>
  <c r="H2528" i="5"/>
  <c r="E513" i="8" s="1"/>
  <c r="H2552" i="5"/>
  <c r="E519" i="8" s="1"/>
  <c r="H2504" i="5"/>
  <c r="E507" i="8" s="1"/>
  <c r="H2532" i="5"/>
  <c r="E514" i="8" s="1"/>
  <c r="H2484" i="5"/>
  <c r="H2432" i="5"/>
  <c r="H2440" i="5"/>
  <c r="H2540" i="5"/>
  <c r="E516" i="8" s="1"/>
  <c r="H2444" i="5"/>
  <c r="E421" i="8" s="1"/>
  <c r="H2548" i="5"/>
  <c r="E518" i="8" s="1"/>
  <c r="H2420" i="5"/>
  <c r="H2456" i="5"/>
  <c r="E473" i="8" s="1"/>
  <c r="H2536" i="5"/>
  <c r="E515" i="8" s="1"/>
  <c r="H2428" i="5"/>
  <c r="H2480" i="5"/>
  <c r="H2476" i="5"/>
  <c r="H2436" i="5"/>
  <c r="H2448" i="5"/>
  <c r="H2660" i="5"/>
  <c r="H2568" i="5"/>
  <c r="E567" i="8" s="1"/>
  <c r="H2492" i="5"/>
  <c r="H2496" i="5"/>
  <c r="E505" i="8" s="1"/>
  <c r="H2460" i="5"/>
  <c r="H2472" i="5"/>
  <c r="H2516" i="5"/>
  <c r="H2508" i="5"/>
  <c r="H2412" i="5"/>
  <c r="G5136" i="5"/>
  <c r="G5142" i="5"/>
  <c r="F429" i="6"/>
  <c r="F432" i="6"/>
  <c r="F430" i="6"/>
  <c r="F431" i="6"/>
  <c r="F362" i="6"/>
  <c r="F360" i="6"/>
  <c r="F361" i="6"/>
  <c r="F77" i="7"/>
  <c r="F421" i="6"/>
  <c r="F58" i="7"/>
  <c r="F76" i="7"/>
  <c r="F419" i="6"/>
  <c r="F60" i="7"/>
  <c r="F75" i="7"/>
  <c r="F417" i="6"/>
  <c r="F418" i="6"/>
  <c r="F420" i="6"/>
  <c r="F59" i="7"/>
  <c r="F57" i="7"/>
  <c r="F62" i="7"/>
  <c r="F78" i="7"/>
  <c r="F61" i="7"/>
  <c r="F79" i="7"/>
  <c r="F74" i="7"/>
  <c r="F31" i="7"/>
  <c r="F386" i="6"/>
  <c r="F401" i="6"/>
  <c r="F73" i="7"/>
  <c r="H5032" i="5"/>
  <c r="E1324" i="8" s="1"/>
  <c r="H4820" i="5"/>
  <c r="H5058" i="5"/>
  <c r="E1332" i="8" s="1"/>
  <c r="F382" i="6"/>
  <c r="H4933" i="5"/>
  <c r="H5075" i="5"/>
  <c r="E1334" i="8" s="1"/>
  <c r="H4893" i="5"/>
  <c r="F369" i="6"/>
  <c r="F398" i="6"/>
  <c r="F71" i="7"/>
  <c r="F72" i="7"/>
  <c r="H5123" i="5"/>
  <c r="F45" i="7"/>
  <c r="H4851" i="5"/>
  <c r="F399" i="6"/>
  <c r="H4966" i="5"/>
  <c r="E1315" i="8" s="1"/>
  <c r="H5088" i="5"/>
  <c r="E1337" i="8" s="1"/>
  <c r="H4996" i="5"/>
  <c r="E1319" i="8" s="1"/>
  <c r="H4808" i="5"/>
  <c r="E1269" i="8" s="1"/>
  <c r="H4844" i="5"/>
  <c r="F405" i="6"/>
  <c r="H5048" i="5"/>
  <c r="F367" i="6"/>
  <c r="F408" i="6"/>
  <c r="F409" i="6"/>
  <c r="H4880" i="5"/>
  <c r="H5018" i="5"/>
  <c r="E1322" i="8" s="1"/>
  <c r="H4870" i="5"/>
  <c r="H4689" i="5"/>
  <c r="H5004" i="5"/>
  <c r="E1320" i="8" s="1"/>
  <c r="F375" i="6"/>
  <c r="H4838" i="5"/>
  <c r="E1274" i="8" s="1"/>
  <c r="H4832" i="5"/>
  <c r="H4655" i="5"/>
  <c r="H4801" i="5"/>
  <c r="E1268" i="8" s="1"/>
  <c r="H4794" i="5"/>
  <c r="H4665" i="5"/>
  <c r="F53" i="7"/>
  <c r="F55" i="7"/>
  <c r="F366" i="6"/>
  <c r="H5094" i="5"/>
  <c r="E1338" i="8" s="1"/>
  <c r="F395" i="6"/>
  <c r="F368" i="6"/>
  <c r="F54" i="7"/>
  <c r="H4775" i="5"/>
  <c r="E1264" i="8" s="1"/>
  <c r="H4761" i="5"/>
  <c r="E1262" i="8" s="1"/>
  <c r="H4681" i="5"/>
  <c r="H4988" i="5"/>
  <c r="E1318" i="8" s="1"/>
  <c r="H4980" i="5"/>
  <c r="E1317" i="8" s="1"/>
  <c r="H4754" i="5"/>
  <c r="E1261" i="8" s="1"/>
  <c r="H5068" i="5"/>
  <c r="E1333" i="8" s="1"/>
  <c r="F407" i="6"/>
  <c r="H4886" i="5"/>
  <c r="E1286" i="8" s="1"/>
  <c r="F52" i="7"/>
  <c r="H4747" i="5"/>
  <c r="E1260" i="8" s="1"/>
  <c r="H4972" i="5"/>
  <c r="E1316" i="8" s="1"/>
  <c r="F56" i="7"/>
  <c r="F400" i="6"/>
  <c r="F396" i="6"/>
  <c r="H4907" i="5"/>
  <c r="F43" i="7"/>
  <c r="F390" i="6"/>
  <c r="H4697" i="5"/>
  <c r="H5082" i="5"/>
  <c r="E1336" i="8" s="1"/>
  <c r="F46" i="7"/>
  <c r="F397" i="6"/>
  <c r="H4713" i="5"/>
  <c r="H5024" i="5"/>
  <c r="E1323" i="8" s="1"/>
  <c r="H5040" i="5"/>
  <c r="E1330" i="8" s="1"/>
  <c r="H4768" i="5"/>
  <c r="E1263" i="8" s="1"/>
  <c r="H4946" i="5"/>
  <c r="E1300" i="8" s="1"/>
  <c r="F387" i="6"/>
  <c r="H4673" i="5"/>
  <c r="H4874" i="5"/>
  <c r="H4939" i="5"/>
  <c r="H4864" i="5"/>
  <c r="E1278" i="8" s="1"/>
  <c r="H4721" i="5"/>
  <c r="H4815" i="5"/>
  <c r="H4900" i="5"/>
  <c r="E1288" i="8" s="1"/>
  <c r="H4826" i="5"/>
  <c r="H4927" i="5"/>
  <c r="E1292" i="8" s="1"/>
  <c r="F42" i="7"/>
  <c r="F44" i="7"/>
  <c r="F376" i="6"/>
  <c r="H4782" i="5"/>
  <c r="F406" i="6"/>
  <c r="H5010" i="5"/>
  <c r="E1321" i="8" s="1"/>
  <c r="H4705" i="5"/>
  <c r="H4660" i="5"/>
  <c r="F381" i="6"/>
  <c r="F69" i="7"/>
  <c r="F47" i="7"/>
  <c r="F48" i="7"/>
  <c r="F70" i="7"/>
  <c r="G18" i="6"/>
  <c r="F388" i="6"/>
  <c r="G2250" i="5"/>
  <c r="G4958" i="5"/>
  <c r="G2278" i="5"/>
  <c r="G2299" i="5"/>
  <c r="G2311" i="5"/>
  <c r="G2288" i="5"/>
  <c r="G2267" i="5"/>
  <c r="H3347" i="5"/>
  <c r="G4915" i="5"/>
  <c r="G4921" i="5"/>
  <c r="G707" i="5"/>
  <c r="G4856" i="5"/>
  <c r="H3395" i="5"/>
  <c r="G4787" i="5"/>
  <c r="G679" i="5"/>
  <c r="H3155" i="5"/>
  <c r="H3160" i="5"/>
  <c r="E924" i="8" s="1"/>
  <c r="H3376" i="5"/>
  <c r="H191" i="5"/>
  <c r="E44" i="8" s="1"/>
  <c r="H3991" i="5"/>
  <c r="H3020" i="5"/>
  <c r="H1818" i="5"/>
  <c r="H30" i="5"/>
  <c r="H2672" i="5"/>
  <c r="H2357" i="5"/>
  <c r="E377" i="8" s="1"/>
  <c r="H3391" i="5"/>
  <c r="H2720" i="5"/>
  <c r="H4625" i="5"/>
  <c r="H2213" i="5"/>
  <c r="H2752" i="5"/>
  <c r="H2757" i="5"/>
  <c r="H58" i="8"/>
  <c r="I58" i="8"/>
  <c r="F58" i="8"/>
  <c r="H642" i="8"/>
  <c r="I642" i="8"/>
  <c r="F642" i="8"/>
  <c r="H405" i="8"/>
  <c r="I405" i="8"/>
  <c r="F405" i="8"/>
  <c r="I626" i="8"/>
  <c r="F626" i="8"/>
  <c r="H626" i="8"/>
  <c r="H66" i="8"/>
  <c r="I66" i="8"/>
  <c r="F66" i="8"/>
  <c r="F765" i="8"/>
  <c r="I765" i="8"/>
  <c r="H765" i="8"/>
  <c r="F735" i="8"/>
  <c r="H735" i="8"/>
  <c r="I735" i="8"/>
  <c r="H60" i="8"/>
  <c r="I60" i="8"/>
  <c r="F60" i="8"/>
  <c r="H409" i="8"/>
  <c r="I409" i="8"/>
  <c r="F409" i="8"/>
  <c r="I294" i="8"/>
  <c r="F294" i="8"/>
  <c r="H294" i="8"/>
  <c r="H666" i="8"/>
  <c r="I666" i="8"/>
  <c r="F666" i="8"/>
  <c r="H738" i="8"/>
  <c r="I738" i="8"/>
  <c r="F738" i="8"/>
  <c r="H484" i="8"/>
  <c r="I484" i="8"/>
  <c r="F484" i="8"/>
  <c r="H140" i="8"/>
  <c r="F140" i="8"/>
  <c r="I140" i="8"/>
  <c r="H542" i="8"/>
  <c r="I542" i="8"/>
  <c r="F542" i="8"/>
  <c r="H1015" i="8"/>
  <c r="F1015" i="8"/>
  <c r="I1200" i="8"/>
  <c r="F1200" i="8"/>
  <c r="H1200" i="8"/>
  <c r="F811" i="8"/>
  <c r="H811" i="8"/>
  <c r="I811" i="8"/>
  <c r="I426" i="8"/>
  <c r="H426" i="8"/>
  <c r="F426" i="8"/>
  <c r="I402" i="8"/>
  <c r="F402" i="8"/>
  <c r="H402" i="8"/>
  <c r="H706" i="8"/>
  <c r="I706" i="8"/>
  <c r="F706" i="8"/>
  <c r="I1234" i="8"/>
  <c r="F1234" i="8"/>
  <c r="H1234" i="8"/>
  <c r="I1192" i="8"/>
  <c r="F1192" i="8"/>
  <c r="H1192" i="8"/>
  <c r="H1029" i="8"/>
  <c r="I1029" i="8"/>
  <c r="F1029" i="8"/>
  <c r="H638" i="8"/>
  <c r="I638" i="8"/>
  <c r="F638" i="8"/>
  <c r="I606" i="8"/>
  <c r="F606" i="8"/>
  <c r="H606" i="8"/>
  <c r="H482" i="8"/>
  <c r="I482" i="8"/>
  <c r="F482" i="8"/>
  <c r="H415" i="8"/>
  <c r="I415" i="8"/>
  <c r="F415" i="8"/>
  <c r="I602" i="8"/>
  <c r="F602" i="8"/>
  <c r="H602" i="8"/>
  <c r="H486" i="8"/>
  <c r="I486" i="8"/>
  <c r="F486" i="8"/>
  <c r="I596" i="8"/>
  <c r="F596" i="8"/>
  <c r="H596" i="8"/>
  <c r="H480" i="8"/>
  <c r="I480" i="8"/>
  <c r="F480" i="8"/>
  <c r="H76" i="8"/>
  <c r="I76" i="8"/>
  <c r="F76" i="8"/>
  <c r="I428" i="8"/>
  <c r="H428" i="8"/>
  <c r="F428" i="8"/>
  <c r="I396" i="8"/>
  <c r="F396" i="8"/>
  <c r="H396" i="8"/>
  <c r="H672" i="8"/>
  <c r="I672" i="8"/>
  <c r="F672" i="8"/>
  <c r="I616" i="8"/>
  <c r="H616" i="8"/>
  <c r="F616" i="8"/>
  <c r="I450" i="8"/>
  <c r="F450" i="8"/>
  <c r="H450" i="8"/>
  <c r="F783" i="8"/>
  <c r="H783" i="8"/>
  <c r="I783" i="8"/>
  <c r="F1028" i="8"/>
  <c r="H1028" i="8"/>
  <c r="I1028" i="8"/>
  <c r="I624" i="8"/>
  <c r="H624" i="8"/>
  <c r="F624" i="8"/>
  <c r="H774" i="8"/>
  <c r="I774" i="8"/>
  <c r="F774" i="8"/>
  <c r="F1060" i="8"/>
  <c r="H1060" i="8"/>
  <c r="I1060" i="8"/>
  <c r="H818" i="8"/>
  <c r="I818" i="8"/>
  <c r="F818" i="8"/>
  <c r="H646" i="8"/>
  <c r="I646" i="8"/>
  <c r="F646" i="8"/>
  <c r="I598" i="8"/>
  <c r="F598" i="8"/>
  <c r="H598" i="8"/>
  <c r="H490" i="8"/>
  <c r="I490" i="8"/>
  <c r="F490" i="8"/>
  <c r="I1211" i="8"/>
  <c r="F1211" i="8"/>
  <c r="H1211" i="8"/>
  <c r="I436" i="8"/>
  <c r="F436" i="8"/>
  <c r="H436" i="8"/>
  <c r="F1042" i="8"/>
  <c r="H1042" i="8"/>
  <c r="I1042" i="8"/>
  <c r="H676" i="8"/>
  <c r="I676" i="8"/>
  <c r="F676" i="8"/>
  <c r="H660" i="8"/>
  <c r="I660" i="8"/>
  <c r="F660" i="8"/>
  <c r="H644" i="8"/>
  <c r="I644" i="8"/>
  <c r="F644" i="8"/>
  <c r="I628" i="8"/>
  <c r="H628" i="8"/>
  <c r="F628" i="8"/>
  <c r="I612" i="8"/>
  <c r="H612" i="8"/>
  <c r="F612" i="8"/>
  <c r="H544" i="8"/>
  <c r="I544" i="8"/>
  <c r="F544" i="8"/>
  <c r="H470" i="8"/>
  <c r="I470" i="8"/>
  <c r="F470" i="8"/>
  <c r="H710" i="8"/>
  <c r="I710" i="8"/>
  <c r="F710" i="8"/>
  <c r="H1047" i="8"/>
  <c r="I1047" i="8"/>
  <c r="F1047" i="8"/>
  <c r="I600" i="8"/>
  <c r="F600" i="8"/>
  <c r="H600" i="8"/>
  <c r="I292" i="8"/>
  <c r="F292" i="8"/>
  <c r="H292" i="8"/>
  <c r="H634" i="8"/>
  <c r="I634" i="8"/>
  <c r="F634" i="8"/>
  <c r="H468" i="8"/>
  <c r="I468" i="8"/>
  <c r="F468" i="8"/>
  <c r="H664" i="8"/>
  <c r="I664" i="8"/>
  <c r="F664" i="8"/>
  <c r="H532" i="8"/>
  <c r="I532" i="8"/>
  <c r="F532" i="8"/>
  <c r="F785" i="8"/>
  <c r="H785" i="8"/>
  <c r="I785" i="8"/>
  <c r="H670" i="8"/>
  <c r="I670" i="8"/>
  <c r="F670" i="8"/>
  <c r="H538" i="8"/>
  <c r="I538" i="8"/>
  <c r="F538" i="8"/>
  <c r="H464" i="8"/>
  <c r="I464" i="8"/>
  <c r="F464" i="8"/>
  <c r="H702" i="8"/>
  <c r="I702" i="8"/>
  <c r="F702" i="8"/>
  <c r="H138" i="8"/>
  <c r="F138" i="8"/>
  <c r="I138" i="8"/>
  <c r="H558" i="8"/>
  <c r="I558" i="8"/>
  <c r="F558" i="8"/>
  <c r="H1041" i="8"/>
  <c r="I1041" i="8"/>
  <c r="F1041" i="8"/>
  <c r="H536" i="8"/>
  <c r="I536" i="8"/>
  <c r="F536" i="8"/>
  <c r="I422" i="8"/>
  <c r="F422" i="8"/>
  <c r="H422" i="8"/>
  <c r="I406" i="8"/>
  <c r="F406" i="8"/>
  <c r="H406" i="8"/>
  <c r="I390" i="8"/>
  <c r="F390" i="8"/>
  <c r="H390" i="8"/>
  <c r="I168" i="8"/>
  <c r="F168" i="8"/>
  <c r="H168" i="8"/>
  <c r="I1205" i="8"/>
  <c r="F1205" i="8"/>
  <c r="H1205" i="8"/>
  <c r="F791" i="8"/>
  <c r="H791" i="8"/>
  <c r="I791" i="8"/>
  <c r="H550" i="8"/>
  <c r="I550" i="8"/>
  <c r="F550" i="8"/>
  <c r="I452" i="8"/>
  <c r="F452" i="8"/>
  <c r="H452" i="8"/>
  <c r="F984" i="8"/>
  <c r="H984" i="8"/>
  <c r="I984" i="8"/>
  <c r="H640" i="8"/>
  <c r="I640" i="8"/>
  <c r="F640" i="8"/>
  <c r="H840" i="8"/>
  <c r="I840" i="8"/>
  <c r="F840" i="8"/>
  <c r="H594" i="8"/>
  <c r="I594" i="8"/>
  <c r="F594" i="8"/>
  <c r="I1215" i="8"/>
  <c r="F1215" i="8"/>
  <c r="H1215" i="8"/>
  <c r="H648" i="8"/>
  <c r="I648" i="8"/>
  <c r="F648" i="8"/>
  <c r="H592" i="8"/>
  <c r="I592" i="8"/>
  <c r="F592" i="8"/>
  <c r="H540" i="8"/>
  <c r="I540" i="8"/>
  <c r="F540" i="8"/>
  <c r="I442" i="8"/>
  <c r="F442" i="8"/>
  <c r="H442" i="8"/>
  <c r="H20" i="8"/>
  <c r="I20" i="8"/>
  <c r="F20" i="8"/>
  <c r="H662" i="8"/>
  <c r="I662" i="8"/>
  <c r="F662" i="8"/>
  <c r="I614" i="8"/>
  <c r="F614" i="8"/>
  <c r="H614" i="8"/>
  <c r="H546" i="8"/>
  <c r="I546" i="8"/>
  <c r="F546" i="8"/>
  <c r="I440" i="8"/>
  <c r="F440" i="8"/>
  <c r="H440" i="8"/>
  <c r="I424" i="8"/>
  <c r="H424" i="8"/>
  <c r="F424" i="8"/>
  <c r="I408" i="8"/>
  <c r="F408" i="8"/>
  <c r="H408" i="8"/>
  <c r="H726" i="8"/>
  <c r="I726" i="8"/>
  <c r="F726" i="8"/>
  <c r="F831" i="8"/>
  <c r="H831" i="8"/>
  <c r="I831" i="8"/>
  <c r="F813" i="8"/>
  <c r="H813" i="8"/>
  <c r="I813" i="8"/>
  <c r="F1000" i="8"/>
  <c r="H1000" i="8"/>
  <c r="I1000" i="8"/>
  <c r="F819" i="8"/>
  <c r="H819" i="8"/>
  <c r="I819" i="8"/>
  <c r="H802" i="8"/>
  <c r="I802" i="8"/>
  <c r="F802" i="8"/>
  <c r="I462" i="8"/>
  <c r="F462" i="8"/>
  <c r="H462" i="8"/>
  <c r="I446" i="8"/>
  <c r="F446" i="8"/>
  <c r="H446" i="8"/>
  <c r="H812" i="8"/>
  <c r="I812" i="8"/>
  <c r="F812" i="8"/>
  <c r="H832" i="8"/>
  <c r="I832" i="8"/>
  <c r="F832" i="8"/>
  <c r="F821" i="8"/>
  <c r="H821" i="8"/>
  <c r="I821" i="8"/>
  <c r="H52" i="8"/>
  <c r="I52" i="8"/>
  <c r="F52" i="8"/>
  <c r="H64" i="8"/>
  <c r="I64" i="8"/>
  <c r="F64" i="8"/>
  <c r="H68" i="8"/>
  <c r="I68" i="8"/>
  <c r="F68" i="8"/>
  <c r="F687" i="8"/>
  <c r="H687" i="8"/>
  <c r="I687" i="8"/>
  <c r="I610" i="8"/>
  <c r="F610" i="8"/>
  <c r="H610" i="8"/>
  <c r="I1183" i="8"/>
  <c r="F1183" i="8"/>
  <c r="H1183" i="8"/>
  <c r="I358" i="8"/>
  <c r="F358" i="8"/>
  <c r="H358" i="8"/>
  <c r="H389" i="8"/>
  <c r="I389" i="8"/>
  <c r="F389" i="8"/>
  <c r="H658" i="8"/>
  <c r="I658" i="8"/>
  <c r="F658" i="8"/>
  <c r="H74" i="8"/>
  <c r="I74" i="8"/>
  <c r="F74" i="8"/>
  <c r="F767" i="8"/>
  <c r="I767" i="8"/>
  <c r="H767" i="8"/>
  <c r="F733" i="8"/>
  <c r="H733" i="8"/>
  <c r="I733" i="8"/>
  <c r="F759" i="8"/>
  <c r="H759" i="8"/>
  <c r="I759" i="8"/>
  <c r="H70" i="8"/>
  <c r="I70" i="8"/>
  <c r="F70" i="8"/>
  <c r="H397" i="8"/>
  <c r="I397" i="8"/>
  <c r="F397" i="8"/>
  <c r="H674" i="8"/>
  <c r="I674" i="8"/>
  <c r="F674" i="8"/>
  <c r="H417" i="8"/>
  <c r="I417" i="8"/>
  <c r="F417" i="8"/>
  <c r="H478" i="8"/>
  <c r="I478" i="8"/>
  <c r="F478" i="8"/>
  <c r="H500" i="8"/>
  <c r="I500" i="8"/>
  <c r="F500" i="8"/>
  <c r="H758" i="8"/>
  <c r="I758" i="8"/>
  <c r="F758" i="8"/>
  <c r="H391" i="8"/>
  <c r="I391" i="8"/>
  <c r="F391" i="8"/>
  <c r="I1186" i="8"/>
  <c r="F1186" i="8"/>
  <c r="H1186" i="8"/>
  <c r="F1092" i="8"/>
  <c r="H1092" i="8"/>
  <c r="I1092" i="8"/>
  <c r="I458" i="8"/>
  <c r="F458" i="8"/>
  <c r="H458" i="8"/>
  <c r="I418" i="8"/>
  <c r="F418" i="8"/>
  <c r="H418" i="8"/>
  <c r="I386" i="8"/>
  <c r="F386" i="8"/>
  <c r="H386" i="8"/>
  <c r="F795" i="8"/>
  <c r="H795" i="8"/>
  <c r="I795" i="8"/>
  <c r="I1201" i="8"/>
  <c r="F1201" i="8"/>
  <c r="H1201" i="8"/>
  <c r="H1105" i="8"/>
  <c r="I1105" i="8"/>
  <c r="F1105" i="8"/>
  <c r="H1057" i="8"/>
  <c r="I1057" i="8"/>
  <c r="F1057" i="8"/>
  <c r="I622" i="8"/>
  <c r="F622" i="8"/>
  <c r="H622" i="8"/>
  <c r="H474" i="8"/>
  <c r="I474" i="8"/>
  <c r="F474" i="8"/>
  <c r="H1031" i="8"/>
  <c r="I1031" i="8"/>
  <c r="F1031" i="8"/>
  <c r="F833" i="8"/>
  <c r="H833" i="8"/>
  <c r="I833" i="8"/>
  <c r="H520" i="8"/>
  <c r="I520" i="8"/>
  <c r="F520" i="8"/>
  <c r="H504" i="8"/>
  <c r="I504" i="8"/>
  <c r="F504" i="8"/>
  <c r="H488" i="8"/>
  <c r="I488" i="8"/>
  <c r="F488" i="8"/>
  <c r="H142" i="8"/>
  <c r="F142" i="8"/>
  <c r="I142" i="8"/>
  <c r="H502" i="8"/>
  <c r="I502" i="8"/>
  <c r="F502" i="8"/>
  <c r="I404" i="8"/>
  <c r="F404" i="8"/>
  <c r="H404" i="8"/>
  <c r="I1231" i="8"/>
  <c r="F1231" i="8"/>
  <c r="H1231" i="8"/>
  <c r="H632" i="8"/>
  <c r="I632" i="8"/>
  <c r="F632" i="8"/>
  <c r="H466" i="8"/>
  <c r="I466" i="8"/>
  <c r="F466" i="8"/>
  <c r="H1063" i="8"/>
  <c r="I1063" i="8"/>
  <c r="F1063" i="8"/>
  <c r="F1002" i="8"/>
  <c r="H1002" i="8"/>
  <c r="I1002" i="8"/>
  <c r="F799" i="8"/>
  <c r="H799" i="8"/>
  <c r="I799" i="8"/>
  <c r="H72" i="8"/>
  <c r="I72" i="8"/>
  <c r="F72" i="8"/>
  <c r="F1008" i="8"/>
  <c r="H1008" i="8"/>
  <c r="I1008" i="8"/>
  <c r="H678" i="8"/>
  <c r="I678" i="8"/>
  <c r="F678" i="8"/>
  <c r="I630" i="8"/>
  <c r="F630" i="8"/>
  <c r="H630" i="8"/>
  <c r="H590" i="8"/>
  <c r="I590" i="8"/>
  <c r="F590" i="8"/>
  <c r="I456" i="8"/>
  <c r="F456" i="8"/>
  <c r="H456" i="8"/>
  <c r="I1209" i="8"/>
  <c r="F1209" i="8"/>
  <c r="H1209" i="8"/>
  <c r="H460" i="8"/>
  <c r="I460" i="8"/>
  <c r="F460" i="8"/>
  <c r="H684" i="8"/>
  <c r="I684" i="8"/>
  <c r="F684" i="8"/>
  <c r="H668" i="8"/>
  <c r="I668" i="8"/>
  <c r="F668" i="8"/>
  <c r="H652" i="8"/>
  <c r="I652" i="8"/>
  <c r="F652" i="8"/>
  <c r="H636" i="8"/>
  <c r="I636" i="8"/>
  <c r="F636" i="8"/>
  <c r="I620" i="8"/>
  <c r="H620" i="8"/>
  <c r="F620" i="8"/>
  <c r="I604" i="8"/>
  <c r="H604" i="8"/>
  <c r="F604" i="8"/>
  <c r="H552" i="8"/>
  <c r="I552" i="8"/>
  <c r="F552" i="8"/>
  <c r="H528" i="8"/>
  <c r="I528" i="8"/>
  <c r="F528" i="8"/>
  <c r="I438" i="8"/>
  <c r="F438" i="8"/>
  <c r="H438" i="8"/>
  <c r="H357" i="8"/>
  <c r="F357" i="8"/>
  <c r="I1207" i="8"/>
  <c r="F1207" i="8"/>
  <c r="H1207" i="8"/>
  <c r="I434" i="8"/>
  <c r="F434" i="8"/>
  <c r="H434" i="8"/>
  <c r="I394" i="8"/>
  <c r="F394" i="8"/>
  <c r="H394" i="8"/>
  <c r="H650" i="8"/>
  <c r="I650" i="8"/>
  <c r="F650" i="8"/>
  <c r="I618" i="8"/>
  <c r="F618" i="8"/>
  <c r="H618" i="8"/>
  <c r="H548" i="8"/>
  <c r="I548" i="8"/>
  <c r="F548" i="8"/>
  <c r="H492" i="8"/>
  <c r="I492" i="8"/>
  <c r="F492" i="8"/>
  <c r="H766" i="8"/>
  <c r="F766" i="8"/>
  <c r="I766" i="8"/>
  <c r="F753" i="8"/>
  <c r="H753" i="8"/>
  <c r="I753" i="8"/>
  <c r="H554" i="8"/>
  <c r="I554" i="8"/>
  <c r="F554" i="8"/>
  <c r="H522" i="8"/>
  <c r="I522" i="8"/>
  <c r="F522" i="8"/>
  <c r="H734" i="8"/>
  <c r="I734" i="8"/>
  <c r="F734" i="8"/>
  <c r="H742" i="8"/>
  <c r="I742" i="8"/>
  <c r="F742" i="8"/>
  <c r="I57" i="8"/>
  <c r="F57" i="8"/>
  <c r="H57" i="8"/>
  <c r="H407" i="8"/>
  <c r="I407" i="8"/>
  <c r="F407" i="8"/>
  <c r="F689" i="8"/>
  <c r="H689" i="8"/>
  <c r="I689" i="8"/>
  <c r="I430" i="8"/>
  <c r="H430" i="8"/>
  <c r="F430" i="8"/>
  <c r="I398" i="8"/>
  <c r="F398" i="8"/>
  <c r="H398" i="8"/>
  <c r="I296" i="8"/>
  <c r="F296" i="8"/>
  <c r="H296" i="8"/>
  <c r="H694" i="8"/>
  <c r="I694" i="8"/>
  <c r="F694" i="8"/>
  <c r="F954" i="8"/>
  <c r="H954" i="8"/>
  <c r="I954" i="8"/>
  <c r="H682" i="8"/>
  <c r="I682" i="8"/>
  <c r="F682" i="8"/>
  <c r="H526" i="8"/>
  <c r="I526" i="8"/>
  <c r="F526" i="8"/>
  <c r="I1224" i="8"/>
  <c r="F1224" i="8"/>
  <c r="H1224" i="8"/>
  <c r="H656" i="8"/>
  <c r="I656" i="8"/>
  <c r="F656" i="8"/>
  <c r="F835" i="8"/>
  <c r="H835" i="8"/>
  <c r="I835" i="8"/>
  <c r="I444" i="8"/>
  <c r="F444" i="8"/>
  <c r="H444" i="8"/>
  <c r="I388" i="8"/>
  <c r="F388" i="8"/>
  <c r="H388" i="8"/>
  <c r="H680" i="8"/>
  <c r="I680" i="8"/>
  <c r="F680" i="8"/>
  <c r="I608" i="8"/>
  <c r="H608" i="8"/>
  <c r="F608" i="8"/>
  <c r="H556" i="8"/>
  <c r="I556" i="8"/>
  <c r="F556" i="8"/>
  <c r="H524" i="8"/>
  <c r="I524" i="8"/>
  <c r="F524" i="8"/>
  <c r="F681" i="8"/>
  <c r="H681" i="8"/>
  <c r="I681" i="8"/>
  <c r="H1021" i="8"/>
  <c r="F1021" i="8"/>
  <c r="H654" i="8"/>
  <c r="I654" i="8"/>
  <c r="F654" i="8"/>
  <c r="H530" i="8"/>
  <c r="I530" i="8"/>
  <c r="F530" i="8"/>
  <c r="H498" i="8"/>
  <c r="I498" i="8"/>
  <c r="F498" i="8"/>
  <c r="I432" i="8"/>
  <c r="H432" i="8"/>
  <c r="F432" i="8"/>
  <c r="I400" i="8"/>
  <c r="F400" i="8"/>
  <c r="H400" i="8"/>
  <c r="I170" i="8"/>
  <c r="F170" i="8"/>
  <c r="H170" i="8"/>
  <c r="F1050" i="8"/>
  <c r="H1050" i="8"/>
  <c r="I1050" i="8"/>
  <c r="H534" i="8"/>
  <c r="I534" i="8"/>
  <c r="F534" i="8"/>
  <c r="F815" i="8"/>
  <c r="H815" i="8"/>
  <c r="I815" i="8"/>
  <c r="H1043" i="8"/>
  <c r="I1043" i="8"/>
  <c r="F1043" i="8"/>
  <c r="H824" i="8"/>
  <c r="I824" i="8"/>
  <c r="F824" i="8"/>
  <c r="H808" i="8"/>
  <c r="I808" i="8"/>
  <c r="F808" i="8"/>
  <c r="H560" i="8"/>
  <c r="I560" i="8"/>
  <c r="F560" i="8"/>
  <c r="I454" i="8"/>
  <c r="F454" i="8"/>
  <c r="H454" i="8"/>
  <c r="H770" i="8"/>
  <c r="I770" i="8"/>
  <c r="F770" i="8"/>
  <c r="F803" i="8"/>
  <c r="H803" i="8"/>
  <c r="I803" i="8"/>
  <c r="F805" i="8"/>
  <c r="H805" i="8"/>
  <c r="I805" i="8"/>
  <c r="H94" i="5"/>
  <c r="H79" i="5"/>
  <c r="E21" i="8" s="1"/>
  <c r="H2690" i="5"/>
  <c r="H122" i="5"/>
  <c r="F15" i="7"/>
  <c r="H1924" i="5"/>
  <c r="F10" i="6"/>
  <c r="H220" i="5"/>
  <c r="E50" i="8" s="1"/>
  <c r="H653" i="5"/>
  <c r="H1823" i="5"/>
  <c r="H61" i="5"/>
  <c r="E17" i="8" s="1"/>
  <c r="H184" i="5"/>
  <c r="E43" i="8" s="1"/>
  <c r="H3592" i="5"/>
  <c r="H3334" i="5"/>
  <c r="H828" i="5"/>
  <c r="H3574" i="5"/>
  <c r="H155" i="5"/>
  <c r="E37" i="8" s="1"/>
  <c r="H2678" i="5"/>
  <c r="E714" i="8" s="1"/>
  <c r="H3381" i="5"/>
  <c r="H3985" i="5"/>
  <c r="E1107" i="8" s="1"/>
  <c r="H3351" i="5"/>
  <c r="E957" i="8" s="1"/>
  <c r="H162" i="5"/>
  <c r="E38" i="8" s="1"/>
  <c r="H150" i="5"/>
  <c r="E36" i="8" s="1"/>
  <c r="H99" i="5"/>
  <c r="H2696" i="5"/>
  <c r="H180" i="5"/>
  <c r="H198" i="5"/>
  <c r="H202" i="5"/>
  <c r="H657" i="5"/>
  <c r="H35" i="5"/>
  <c r="H176" i="5"/>
  <c r="H906" i="5"/>
  <c r="H136" i="5"/>
  <c r="H645" i="5"/>
  <c r="H127" i="5"/>
  <c r="H824" i="5"/>
  <c r="E153" i="8" s="1"/>
  <c r="H1135" i="5"/>
  <c r="E201" i="8" s="1"/>
  <c r="H3308" i="5"/>
  <c r="H39" i="5"/>
  <c r="H108" i="5"/>
  <c r="E27" i="8" s="1"/>
  <c r="H215" i="5"/>
  <c r="E49" i="8" s="1"/>
  <c r="H49" i="5"/>
  <c r="H145" i="5"/>
  <c r="H649" i="5"/>
  <c r="H44" i="5"/>
  <c r="E14" i="8" s="1"/>
  <c r="H211" i="5"/>
  <c r="H118" i="5"/>
  <c r="E29" i="8" s="1"/>
  <c r="H84" i="5"/>
  <c r="H132" i="5"/>
  <c r="H2702" i="5"/>
  <c r="H2714" i="5"/>
  <c r="H225" i="5"/>
  <c r="H140" i="5"/>
  <c r="E34" i="8" s="1"/>
  <c r="H2684" i="5"/>
  <c r="H2726" i="5"/>
  <c r="H894" i="5"/>
  <c r="H1929" i="5"/>
  <c r="E317" i="8" s="1"/>
  <c r="H1919" i="5"/>
  <c r="H89" i="5"/>
  <c r="H113" i="5"/>
  <c r="E28" i="8" s="1"/>
  <c r="H12" i="5"/>
  <c r="H167" i="5"/>
  <c r="E39" i="8" s="1"/>
  <c r="H2708" i="5"/>
  <c r="H3089" i="5"/>
  <c r="E913" i="8" s="1"/>
  <c r="H3710" i="5"/>
  <c r="E1046" i="8" s="1"/>
  <c r="H16" i="5"/>
  <c r="E8" i="8" s="1"/>
  <c r="H25" i="5"/>
  <c r="H104" i="5"/>
  <c r="E26" i="8" s="1"/>
  <c r="H66" i="5"/>
  <c r="H206" i="5"/>
  <c r="E47" i="8" s="1"/>
  <c r="H8" i="5"/>
  <c r="H172" i="5"/>
  <c r="E164" i="8" l="1"/>
  <c r="E22" i="8"/>
  <c r="E359" i="8"/>
  <c r="E900" i="8"/>
  <c r="E956" i="8"/>
  <c r="E1253" i="8"/>
  <c r="E51" i="8"/>
  <c r="E315" i="8"/>
  <c r="E718" i="8"/>
  <c r="E15" i="8"/>
  <c r="E122" i="8"/>
  <c r="E42" i="8"/>
  <c r="E299" i="8"/>
  <c r="E964" i="8"/>
  <c r="E961" i="8"/>
  <c r="E965" i="8"/>
  <c r="E1265" i="8"/>
  <c r="E1255" i="8"/>
  <c r="E1248" i="8"/>
  <c r="E1251" i="8"/>
  <c r="E1293" i="8"/>
  <c r="E414" i="8"/>
  <c r="E416" i="8"/>
  <c r="E564" i="8"/>
  <c r="E32" i="8"/>
  <c r="E33" i="8"/>
  <c r="E717" i="8"/>
  <c r="E124" i="8"/>
  <c r="E24" i="8"/>
  <c r="E1289" i="8"/>
  <c r="E1267" i="8"/>
  <c r="E1283" i="8"/>
  <c r="E1275" i="8"/>
  <c r="E1341" i="8"/>
  <c r="E503" i="8"/>
  <c r="E499" i="8"/>
  <c r="E476" i="8"/>
  <c r="E40" i="8"/>
  <c r="E166" i="8"/>
  <c r="E25" i="8"/>
  <c r="E988" i="8"/>
  <c r="E562" i="8"/>
  <c r="E477" i="8"/>
  <c r="E1294" i="8"/>
  <c r="E1254" i="8"/>
  <c r="E6" i="8"/>
  <c r="E719" i="8"/>
  <c r="E722" i="8"/>
  <c r="E13" i="8"/>
  <c r="E41" i="8"/>
  <c r="E154" i="8"/>
  <c r="E853" i="8"/>
  <c r="E11" i="8"/>
  <c r="E923" i="8"/>
  <c r="E1284" i="8"/>
  <c r="E1246" i="8"/>
  <c r="E1285" i="8"/>
  <c r="E1271" i="8"/>
  <c r="E392" i="8"/>
  <c r="E588" i="8"/>
  <c r="E412" i="8"/>
  <c r="E506" i="8"/>
  <c r="E715" i="8"/>
  <c r="E48" i="8"/>
  <c r="E947" i="8"/>
  <c r="E12" i="8"/>
  <c r="E952" i="8"/>
  <c r="E316" i="8"/>
  <c r="E852" i="8"/>
  <c r="E298" i="8"/>
  <c r="E1247" i="8"/>
  <c r="E1249" i="8"/>
  <c r="E1273" i="8"/>
  <c r="E508" i="8"/>
  <c r="E448" i="8"/>
  <c r="E410" i="8"/>
  <c r="E713" i="8"/>
  <c r="E510" i="8"/>
  <c r="E419" i="8"/>
  <c r="E18" i="8"/>
  <c r="E7" i="8"/>
  <c r="E125" i="8"/>
  <c r="E992" i="8"/>
  <c r="E1272" i="8"/>
  <c r="E46" i="8"/>
  <c r="E30" i="8"/>
  <c r="E1238" i="8"/>
  <c r="E1109" i="8"/>
  <c r="E1252" i="8"/>
  <c r="E1250" i="8"/>
  <c r="E1287" i="8"/>
  <c r="E494" i="8"/>
  <c r="E495" i="8"/>
  <c r="E511" i="8"/>
  <c r="E123" i="8"/>
  <c r="E10" i="8"/>
  <c r="E23" i="8"/>
  <c r="E720" i="8"/>
  <c r="E35" i="8"/>
  <c r="E31" i="8"/>
  <c r="E45" i="8"/>
  <c r="E962" i="8"/>
  <c r="E716" i="8"/>
  <c r="E721" i="8"/>
  <c r="E1270" i="8"/>
  <c r="E1331" i="8"/>
  <c r="E1276" i="8"/>
  <c r="E475" i="8"/>
  <c r="E496" i="8"/>
  <c r="E420" i="8"/>
  <c r="E566" i="8"/>
  <c r="E501" i="8"/>
  <c r="I1021" i="8"/>
  <c r="I1015" i="8"/>
  <c r="I357" i="8"/>
  <c r="H5142" i="5"/>
  <c r="H5136" i="5"/>
  <c r="G5119" i="5"/>
  <c r="G69" i="7"/>
  <c r="G42" i="7"/>
  <c r="G52" i="7"/>
  <c r="G395" i="6"/>
  <c r="H715" i="5"/>
  <c r="E133" i="8" s="1"/>
  <c r="H2275" i="5"/>
  <c r="H4953" i="5"/>
  <c r="E1301" i="8" s="1"/>
  <c r="H4915" i="5"/>
  <c r="E1290" i="8" s="1"/>
  <c r="H4921" i="5"/>
  <c r="E1291" i="8" s="1"/>
  <c r="H2263" i="5"/>
  <c r="H2285" i="5"/>
  <c r="H2307" i="5"/>
  <c r="H2295" i="5"/>
  <c r="H705" i="5"/>
  <c r="E132" i="8" s="1"/>
  <c r="H4856" i="5"/>
  <c r="E1277" i="8" s="1"/>
  <c r="H677" i="5"/>
  <c r="G4651" i="5"/>
  <c r="G4642" i="5"/>
  <c r="I769" i="8"/>
  <c r="H769" i="8"/>
  <c r="F769" i="8"/>
  <c r="I63" i="8"/>
  <c r="F63" i="8"/>
  <c r="H63" i="8"/>
  <c r="H403" i="8"/>
  <c r="I403" i="8"/>
  <c r="F403" i="8"/>
  <c r="I589" i="8"/>
  <c r="F589" i="8"/>
  <c r="H589" i="8"/>
  <c r="H1089" i="8"/>
  <c r="F1089" i="8"/>
  <c r="I1232" i="8"/>
  <c r="F1232" i="8"/>
  <c r="H1232" i="8"/>
  <c r="F491" i="8"/>
  <c r="H491" i="8"/>
  <c r="I491" i="8" s="1"/>
  <c r="I451" i="8"/>
  <c r="F451" i="8"/>
  <c r="H451" i="8"/>
  <c r="H1045" i="8"/>
  <c r="I1045" i="8"/>
  <c r="F1045" i="8"/>
  <c r="F693" i="8"/>
  <c r="H693" i="8"/>
  <c r="I693" i="8"/>
  <c r="I71" i="8"/>
  <c r="F71" i="8"/>
  <c r="H71" i="8"/>
  <c r="H830" i="8"/>
  <c r="I830" i="8"/>
  <c r="F830" i="8"/>
  <c r="H167" i="8"/>
  <c r="I167" i="8"/>
  <c r="F167" i="8"/>
  <c r="I481" i="8"/>
  <c r="F481" i="8"/>
  <c r="H481" i="8"/>
  <c r="I69" i="8"/>
  <c r="F69" i="8"/>
  <c r="H69" i="8"/>
  <c r="I487" i="8"/>
  <c r="F487" i="8"/>
  <c r="H487" i="8"/>
  <c r="F1010" i="8"/>
  <c r="H1010" i="8"/>
  <c r="I1010" i="8"/>
  <c r="H613" i="8"/>
  <c r="I613" i="8"/>
  <c r="F613" i="8"/>
  <c r="F793" i="8"/>
  <c r="H793" i="8"/>
  <c r="I793" i="8"/>
  <c r="F677" i="8"/>
  <c r="H677" i="8"/>
  <c r="I677" i="8"/>
  <c r="H688" i="8"/>
  <c r="I688" i="8"/>
  <c r="F688" i="8"/>
  <c r="H804" i="8"/>
  <c r="I804" i="8"/>
  <c r="F804" i="8"/>
  <c r="H816" i="8"/>
  <c r="I816" i="8"/>
  <c r="F816" i="8"/>
  <c r="F809" i="8"/>
  <c r="H809" i="8"/>
  <c r="I809" i="8"/>
  <c r="I1195" i="8"/>
  <c r="F1195" i="8"/>
  <c r="H1195" i="8"/>
  <c r="F649" i="8"/>
  <c r="H649" i="8"/>
  <c r="I649" i="8"/>
  <c r="I1218" i="8"/>
  <c r="F1218" i="8"/>
  <c r="H1218" i="8"/>
  <c r="F761" i="8"/>
  <c r="I761" i="8"/>
  <c r="H761" i="8"/>
  <c r="F665" i="8"/>
  <c r="H665" i="8"/>
  <c r="I665" i="8"/>
  <c r="I1208" i="8"/>
  <c r="F1208" i="8"/>
  <c r="H1208" i="8"/>
  <c r="H750" i="8"/>
  <c r="I750" i="8"/>
  <c r="F750" i="8"/>
  <c r="H736" i="8"/>
  <c r="I736" i="8"/>
  <c r="F736" i="8"/>
  <c r="I1235" i="8"/>
  <c r="F1235" i="8"/>
  <c r="H1235" i="8"/>
  <c r="H387" i="8"/>
  <c r="I387" i="8"/>
  <c r="F387" i="8"/>
  <c r="I545" i="8"/>
  <c r="F545" i="8"/>
  <c r="H545" i="8"/>
  <c r="F843" i="8"/>
  <c r="H843" i="8"/>
  <c r="I843" i="8"/>
  <c r="I527" i="8"/>
  <c r="F527" i="8"/>
  <c r="H527" i="8"/>
  <c r="F141" i="8"/>
  <c r="H141" i="8"/>
  <c r="I141" i="8"/>
  <c r="F647" i="8"/>
  <c r="H647" i="8"/>
  <c r="I647" i="8"/>
  <c r="I77" i="8"/>
  <c r="F77" i="8"/>
  <c r="H77" i="8"/>
  <c r="I555" i="8"/>
  <c r="F555" i="8"/>
  <c r="H555" i="8"/>
  <c r="H599" i="8"/>
  <c r="I599" i="8"/>
  <c r="F599" i="8"/>
  <c r="I539" i="8"/>
  <c r="F539" i="8"/>
  <c r="H539" i="8"/>
  <c r="I611" i="8"/>
  <c r="F611" i="8"/>
  <c r="H611" i="8"/>
  <c r="F651" i="8"/>
  <c r="H651" i="8"/>
  <c r="I651" i="8"/>
  <c r="F667" i="8"/>
  <c r="H667" i="8"/>
  <c r="I667" i="8"/>
  <c r="F683" i="8"/>
  <c r="H683" i="8"/>
  <c r="I683" i="8"/>
  <c r="I587" i="8"/>
  <c r="F587" i="8"/>
  <c r="H587" i="8"/>
  <c r="I607" i="8"/>
  <c r="F607" i="8"/>
  <c r="H607" i="8"/>
  <c r="I631" i="8"/>
  <c r="F631" i="8"/>
  <c r="H631" i="8"/>
  <c r="I531" i="8"/>
  <c r="F531" i="8"/>
  <c r="H531" i="8"/>
  <c r="I615" i="8"/>
  <c r="F615" i="8"/>
  <c r="H615" i="8"/>
  <c r="F595" i="8"/>
  <c r="H595" i="8"/>
  <c r="I595" i="8"/>
  <c r="F635" i="8"/>
  <c r="H635" i="8"/>
  <c r="I635" i="8"/>
  <c r="F655" i="8"/>
  <c r="H655" i="8"/>
  <c r="I655" i="8"/>
  <c r="F671" i="8"/>
  <c r="H671" i="8"/>
  <c r="I671" i="8"/>
  <c r="I441" i="8"/>
  <c r="F441" i="8"/>
  <c r="H441" i="8"/>
  <c r="F749" i="8"/>
  <c r="H749" i="8"/>
  <c r="I749" i="8"/>
  <c r="F701" i="8"/>
  <c r="H701" i="8"/>
  <c r="I701" i="8"/>
  <c r="I1151" i="8"/>
  <c r="H1151" i="8"/>
  <c r="F1151" i="8"/>
  <c r="I445" i="8"/>
  <c r="F445" i="8"/>
  <c r="H445" i="8"/>
  <c r="I433" i="8"/>
  <c r="F433" i="8"/>
  <c r="H433" i="8"/>
  <c r="H1091" i="8"/>
  <c r="I1091" i="8"/>
  <c r="F1091" i="8"/>
  <c r="H401" i="8"/>
  <c r="I401" i="8"/>
  <c r="F401" i="8"/>
  <c r="H744" i="8"/>
  <c r="I744" i="8"/>
  <c r="F744" i="8"/>
  <c r="I457" i="8"/>
  <c r="F457" i="8"/>
  <c r="H457" i="8"/>
  <c r="H704" i="8"/>
  <c r="I704" i="8"/>
  <c r="F704" i="8"/>
  <c r="F1080" i="8"/>
  <c r="H1080" i="8"/>
  <c r="I1080" i="8"/>
  <c r="H1101" i="8"/>
  <c r="I1101" i="8"/>
  <c r="F1101" i="8"/>
  <c r="I529" i="8"/>
  <c r="F529" i="8"/>
  <c r="H529" i="8"/>
  <c r="I1204" i="8"/>
  <c r="F1204" i="8"/>
  <c r="H1204" i="8"/>
  <c r="I455" i="8"/>
  <c r="F455" i="8"/>
  <c r="H455" i="8"/>
  <c r="I469" i="8"/>
  <c r="F469" i="8"/>
  <c r="H469" i="8"/>
  <c r="F817" i="8"/>
  <c r="H817" i="8"/>
  <c r="I817" i="8"/>
  <c r="I537" i="8"/>
  <c r="F537" i="8"/>
  <c r="H537" i="8"/>
  <c r="H692" i="8"/>
  <c r="I692" i="8"/>
  <c r="F692" i="8"/>
  <c r="H601" i="8"/>
  <c r="I601" i="8"/>
  <c r="F601" i="8"/>
  <c r="I1223" i="8"/>
  <c r="F1223" i="8"/>
  <c r="H1223" i="8"/>
  <c r="I55" i="8"/>
  <c r="F55" i="8"/>
  <c r="H55" i="8"/>
  <c r="H621" i="8"/>
  <c r="I621" i="8"/>
  <c r="F621" i="8"/>
  <c r="F847" i="8"/>
  <c r="H847" i="8"/>
  <c r="I847" i="8"/>
  <c r="I1216" i="8"/>
  <c r="F1216" i="8"/>
  <c r="H1216" i="8"/>
  <c r="H826" i="8"/>
  <c r="I826" i="8"/>
  <c r="F826" i="8"/>
  <c r="I493" i="8"/>
  <c r="F493" i="8"/>
  <c r="H493" i="8"/>
  <c r="H788" i="8"/>
  <c r="I788" i="8"/>
  <c r="F788" i="8"/>
  <c r="F787" i="8"/>
  <c r="H787" i="8"/>
  <c r="I787" i="8"/>
  <c r="F1090" i="8"/>
  <c r="H1090" i="8"/>
  <c r="I1203" i="8"/>
  <c r="F1203" i="8"/>
  <c r="H1203" i="8"/>
  <c r="H629" i="8"/>
  <c r="I629" i="8"/>
  <c r="F629" i="8"/>
  <c r="I1227" i="8"/>
  <c r="F1227" i="8"/>
  <c r="H1227" i="8"/>
  <c r="H810" i="8"/>
  <c r="I810" i="8"/>
  <c r="F810" i="8"/>
  <c r="I768" i="8"/>
  <c r="F768" i="8"/>
  <c r="H768" i="8"/>
  <c r="H696" i="8"/>
  <c r="I696" i="8"/>
  <c r="F696" i="8"/>
  <c r="H746" i="8"/>
  <c r="I746" i="8"/>
  <c r="F746" i="8"/>
  <c r="H686" i="8"/>
  <c r="I686" i="8"/>
  <c r="F686" i="8"/>
  <c r="F661" i="8"/>
  <c r="H661" i="8"/>
  <c r="I661" i="8"/>
  <c r="I1214" i="8"/>
  <c r="F1214" i="8"/>
  <c r="H1214" i="8"/>
  <c r="H295" i="8"/>
  <c r="I295" i="8"/>
  <c r="F295" i="8"/>
  <c r="H411" i="8"/>
  <c r="I411" i="8"/>
  <c r="F411" i="8"/>
  <c r="H609" i="8"/>
  <c r="I609" i="8"/>
  <c r="F609" i="8"/>
  <c r="F637" i="8"/>
  <c r="H637" i="8"/>
  <c r="I637" i="8"/>
  <c r="F669" i="8"/>
  <c r="H669" i="8"/>
  <c r="I669" i="8"/>
  <c r="F1096" i="8"/>
  <c r="H1096" i="8"/>
  <c r="I1096" i="8"/>
  <c r="I1222" i="8"/>
  <c r="F1222" i="8"/>
  <c r="H1222" i="8"/>
  <c r="F950" i="8"/>
  <c r="H950" i="8"/>
  <c r="F827" i="8"/>
  <c r="H827" i="8"/>
  <c r="I827" i="8"/>
  <c r="H169" i="8"/>
  <c r="I169" i="8"/>
  <c r="F169" i="8"/>
  <c r="I449" i="8"/>
  <c r="F449" i="8"/>
  <c r="H449" i="8"/>
  <c r="F741" i="8"/>
  <c r="H741" i="8"/>
  <c r="I741" i="8"/>
  <c r="I1188" i="8"/>
  <c r="F1188" i="8"/>
  <c r="H1188" i="8"/>
  <c r="F745" i="8"/>
  <c r="H745" i="8"/>
  <c r="I745" i="8"/>
  <c r="I561" i="8"/>
  <c r="F561" i="8"/>
  <c r="H561" i="8"/>
  <c r="H732" i="8"/>
  <c r="I732" i="8"/>
  <c r="F732" i="8"/>
  <c r="F673" i="8"/>
  <c r="H673" i="8"/>
  <c r="I673" i="8"/>
  <c r="I427" i="8"/>
  <c r="F427" i="8"/>
  <c r="H427" i="8"/>
  <c r="I459" i="8"/>
  <c r="H459" i="8"/>
  <c r="F459" i="8"/>
  <c r="H1027" i="8"/>
  <c r="I1027" i="8"/>
  <c r="F1027" i="8"/>
  <c r="H1033" i="8"/>
  <c r="I1033" i="8"/>
  <c r="F1033" i="8"/>
  <c r="H1001" i="8"/>
  <c r="I1001" i="8"/>
  <c r="F1001" i="8"/>
  <c r="H834" i="8"/>
  <c r="I834" i="8"/>
  <c r="F834" i="8"/>
  <c r="F773" i="8"/>
  <c r="H773" i="8"/>
  <c r="I773" i="8"/>
  <c r="F1056" i="8"/>
  <c r="H1056" i="8"/>
  <c r="I1056" i="8"/>
  <c r="F1052" i="8"/>
  <c r="H1052" i="8"/>
  <c r="I1052" i="8"/>
  <c r="H754" i="8"/>
  <c r="I754" i="8"/>
  <c r="F754" i="8"/>
  <c r="H848" i="8"/>
  <c r="I848" i="8"/>
  <c r="F848" i="8"/>
  <c r="I1225" i="8"/>
  <c r="F1225" i="8"/>
  <c r="H1225" i="8"/>
  <c r="I1191" i="8"/>
  <c r="F1191" i="8"/>
  <c r="H1191" i="8"/>
  <c r="I1229" i="8"/>
  <c r="F1229" i="8"/>
  <c r="H1229" i="8"/>
  <c r="I1199" i="8"/>
  <c r="F1199" i="8"/>
  <c r="H1199" i="8"/>
  <c r="H617" i="8"/>
  <c r="I617" i="8"/>
  <c r="F617" i="8"/>
  <c r="I549" i="8"/>
  <c r="F549" i="8"/>
  <c r="H549" i="8"/>
  <c r="H708" i="8"/>
  <c r="I708" i="8"/>
  <c r="F708" i="8"/>
  <c r="H1011" i="8"/>
  <c r="I1011" i="8"/>
  <c r="F1011" i="8"/>
  <c r="I461" i="8"/>
  <c r="F461" i="8"/>
  <c r="H461" i="8"/>
  <c r="F729" i="8"/>
  <c r="H729" i="8"/>
  <c r="I729" i="8"/>
  <c r="F1233" i="8"/>
  <c r="H1233" i="8"/>
  <c r="H814" i="8"/>
  <c r="I814" i="8"/>
  <c r="F814" i="8"/>
  <c r="I485" i="8"/>
  <c r="F485" i="8"/>
  <c r="H485" i="8"/>
  <c r="H730" i="8"/>
  <c r="I730" i="8"/>
  <c r="F730" i="8"/>
  <c r="F1020" i="8"/>
  <c r="H1020" i="8"/>
  <c r="F777" i="8"/>
  <c r="H777" i="8"/>
  <c r="I777" i="8"/>
  <c r="F1030" i="8"/>
  <c r="H1030" i="8"/>
  <c r="I1030" i="8"/>
  <c r="H806" i="8"/>
  <c r="I806" i="8"/>
  <c r="F806" i="8"/>
  <c r="F1038" i="8"/>
  <c r="H1038" i="8"/>
  <c r="I1038" i="8"/>
  <c r="F1032" i="8"/>
  <c r="H1032" i="8"/>
  <c r="I1032" i="8"/>
  <c r="H790" i="8"/>
  <c r="I790" i="8"/>
  <c r="F790" i="8"/>
  <c r="F1048" i="8"/>
  <c r="H1048" i="8"/>
  <c r="I1048" i="8"/>
  <c r="F1012" i="8"/>
  <c r="H1012" i="8"/>
  <c r="I1012" i="8"/>
  <c r="H794" i="8"/>
  <c r="I794" i="8"/>
  <c r="F794" i="8"/>
  <c r="F990" i="8"/>
  <c r="H990" i="8"/>
  <c r="I990" i="8"/>
  <c r="F998" i="8"/>
  <c r="H998" i="8"/>
  <c r="I998" i="8"/>
  <c r="H842" i="8"/>
  <c r="I842" i="8"/>
  <c r="F842" i="8"/>
  <c r="F825" i="8"/>
  <c r="H825" i="8"/>
  <c r="I825" i="8"/>
  <c r="F1040" i="8"/>
  <c r="H1040" i="8"/>
  <c r="I1040" i="8"/>
  <c r="F1054" i="8"/>
  <c r="H1054" i="8"/>
  <c r="I1054" i="8"/>
  <c r="H792" i="8"/>
  <c r="I792" i="8"/>
  <c r="F792" i="8"/>
  <c r="I1196" i="8"/>
  <c r="F1196" i="8"/>
  <c r="H1196" i="8"/>
  <c r="I1206" i="8"/>
  <c r="F1206" i="8"/>
  <c r="H1206" i="8"/>
  <c r="I1194" i="8"/>
  <c r="F1194" i="8"/>
  <c r="H1194" i="8"/>
  <c r="I435" i="8"/>
  <c r="F435" i="8"/>
  <c r="H435" i="8"/>
  <c r="I467" i="8"/>
  <c r="F467" i="8"/>
  <c r="H467" i="8"/>
  <c r="H786" i="8"/>
  <c r="I786" i="8"/>
  <c r="F786" i="8"/>
  <c r="I465" i="8"/>
  <c r="F465" i="8"/>
  <c r="H465" i="8"/>
  <c r="F757" i="8"/>
  <c r="H757" i="8"/>
  <c r="I757" i="8"/>
  <c r="I497" i="8"/>
  <c r="F497" i="8"/>
  <c r="H497" i="8"/>
  <c r="F801" i="8"/>
  <c r="H801" i="8"/>
  <c r="I801" i="8"/>
  <c r="H752" i="8"/>
  <c r="I752" i="8"/>
  <c r="F752" i="8"/>
  <c r="I479" i="8"/>
  <c r="F479" i="8"/>
  <c r="H479" i="8"/>
  <c r="I471" i="8"/>
  <c r="F471" i="8"/>
  <c r="H471" i="8"/>
  <c r="F944" i="8"/>
  <c r="H944" i="8"/>
  <c r="I944" i="8"/>
  <c r="H836" i="8"/>
  <c r="I836" i="8"/>
  <c r="F836" i="8"/>
  <c r="H772" i="8"/>
  <c r="I772" i="8"/>
  <c r="F772" i="8"/>
  <c r="F709" i="8"/>
  <c r="H709" i="8"/>
  <c r="I709" i="8"/>
  <c r="F1024" i="8"/>
  <c r="H1024" i="8"/>
  <c r="H820" i="8"/>
  <c r="I820" i="8"/>
  <c r="F820" i="8"/>
  <c r="F1022" i="8"/>
  <c r="H1022" i="8"/>
  <c r="I293" i="8"/>
  <c r="F293" i="8"/>
  <c r="H293" i="8"/>
  <c r="I65" i="8"/>
  <c r="F65" i="8"/>
  <c r="H65" i="8"/>
  <c r="H748" i="8"/>
  <c r="I748" i="8"/>
  <c r="F748" i="8"/>
  <c r="I1187" i="8"/>
  <c r="F1187" i="8"/>
  <c r="H1187" i="8"/>
  <c r="I1213" i="8"/>
  <c r="F1213" i="8"/>
  <c r="H1213" i="8"/>
  <c r="F1086" i="8"/>
  <c r="H1086" i="8"/>
  <c r="I1086" i="8"/>
  <c r="F1014" i="8"/>
  <c r="H1014" i="8"/>
  <c r="H760" i="8"/>
  <c r="I760" i="8"/>
  <c r="F760" i="8"/>
  <c r="I543" i="8"/>
  <c r="F543" i="8"/>
  <c r="H543" i="8"/>
  <c r="I603" i="8"/>
  <c r="F603" i="8"/>
  <c r="H603" i="8"/>
  <c r="I623" i="8"/>
  <c r="F623" i="8"/>
  <c r="H623" i="8"/>
  <c r="I591" i="8"/>
  <c r="F591" i="8"/>
  <c r="H591" i="8"/>
  <c r="I563" i="8"/>
  <c r="F563" i="8"/>
  <c r="H563" i="8"/>
  <c r="F639" i="8"/>
  <c r="H639" i="8"/>
  <c r="I639" i="8"/>
  <c r="F659" i="8"/>
  <c r="H659" i="8"/>
  <c r="I659" i="8"/>
  <c r="F675" i="8"/>
  <c r="H675" i="8"/>
  <c r="I675" i="8"/>
  <c r="F139" i="8"/>
  <c r="H139" i="8"/>
  <c r="I139" i="8"/>
  <c r="I619" i="8"/>
  <c r="F619" i="8"/>
  <c r="H619" i="8"/>
  <c r="I551" i="8"/>
  <c r="F551" i="8"/>
  <c r="H551" i="8"/>
  <c r="I559" i="8"/>
  <c r="F559" i="8"/>
  <c r="H559" i="8"/>
  <c r="I547" i="8"/>
  <c r="F547" i="8"/>
  <c r="H547" i="8"/>
  <c r="I627" i="8"/>
  <c r="F627" i="8"/>
  <c r="H627" i="8"/>
  <c r="F643" i="8"/>
  <c r="H643" i="8"/>
  <c r="I643" i="8"/>
  <c r="F663" i="8"/>
  <c r="H663" i="8"/>
  <c r="I663" i="8"/>
  <c r="I439" i="8"/>
  <c r="F439" i="8"/>
  <c r="H439" i="8"/>
  <c r="I429" i="8"/>
  <c r="F429" i="8"/>
  <c r="H429" i="8"/>
  <c r="I521" i="8"/>
  <c r="F521" i="8"/>
  <c r="H521" i="8"/>
  <c r="I535" i="8"/>
  <c r="F535" i="8"/>
  <c r="H535" i="8"/>
  <c r="F679" i="8"/>
  <c r="H679" i="8"/>
  <c r="I679" i="8"/>
  <c r="I523" i="8"/>
  <c r="F523" i="8"/>
  <c r="H523" i="8"/>
  <c r="I443" i="8"/>
  <c r="F443" i="8"/>
  <c r="H443" i="8"/>
  <c r="I425" i="8"/>
  <c r="F425" i="8"/>
  <c r="H425" i="8"/>
  <c r="I437" i="8"/>
  <c r="F437" i="8"/>
  <c r="H437" i="8"/>
  <c r="H393" i="8"/>
  <c r="I393" i="8"/>
  <c r="F393" i="8"/>
  <c r="H782" i="8"/>
  <c r="I782" i="8"/>
  <c r="F782" i="8"/>
  <c r="I1217" i="8"/>
  <c r="F1217" i="8"/>
  <c r="H1217" i="8"/>
  <c r="I525" i="8"/>
  <c r="F525" i="8"/>
  <c r="H525" i="8"/>
  <c r="I431" i="8"/>
  <c r="F431" i="8"/>
  <c r="H431" i="8"/>
  <c r="I1193" i="8"/>
  <c r="F1193" i="8"/>
  <c r="H1193" i="8"/>
  <c r="I1230" i="8"/>
  <c r="F1230" i="8"/>
  <c r="H1230" i="8"/>
  <c r="I423" i="8"/>
  <c r="F423" i="8"/>
  <c r="H423" i="8"/>
  <c r="H399" i="8"/>
  <c r="I399" i="8"/>
  <c r="F399" i="8"/>
  <c r="I59" i="8"/>
  <c r="F59" i="8"/>
  <c r="H59" i="8"/>
  <c r="I553" i="8"/>
  <c r="F553" i="8"/>
  <c r="H553" i="8"/>
  <c r="I489" i="8"/>
  <c r="F489" i="8"/>
  <c r="H489" i="8"/>
  <c r="F685" i="8"/>
  <c r="H685" i="8"/>
  <c r="I685" i="8"/>
  <c r="H724" i="8"/>
  <c r="I724" i="8"/>
  <c r="F724" i="8"/>
  <c r="F946" i="8"/>
  <c r="H946" i="8"/>
  <c r="I946" i="8"/>
  <c r="H798" i="8"/>
  <c r="I798" i="8"/>
  <c r="F798" i="8"/>
  <c r="F137" i="8"/>
  <c r="H137" i="8"/>
  <c r="I137" i="8"/>
  <c r="H776" i="8"/>
  <c r="I776" i="8"/>
  <c r="F776" i="8"/>
  <c r="H844" i="8"/>
  <c r="I844" i="8"/>
  <c r="F844" i="8"/>
  <c r="I565" i="8"/>
  <c r="F565" i="8"/>
  <c r="H565" i="8"/>
  <c r="F725" i="8"/>
  <c r="H725" i="8"/>
  <c r="I725" i="8"/>
  <c r="F1072" i="8"/>
  <c r="H1072" i="8"/>
  <c r="I1072" i="8"/>
  <c r="I541" i="8"/>
  <c r="F541" i="8"/>
  <c r="H541" i="8"/>
  <c r="H778" i="8"/>
  <c r="I778" i="8"/>
  <c r="F778" i="8"/>
  <c r="H297" i="8"/>
  <c r="I297" i="8"/>
  <c r="F297" i="8"/>
  <c r="H700" i="8"/>
  <c r="I700" i="8"/>
  <c r="F700" i="8"/>
  <c r="H1053" i="8"/>
  <c r="I1053" i="8"/>
  <c r="F1053" i="8"/>
  <c r="F1026" i="8"/>
  <c r="H1026" i="8"/>
  <c r="I61" i="8"/>
  <c r="F61" i="8"/>
  <c r="H61" i="8"/>
  <c r="I1210" i="8"/>
  <c r="F1210" i="8"/>
  <c r="H1210" i="8"/>
  <c r="F1084" i="8"/>
  <c r="H1084" i="8"/>
  <c r="I1084" i="8"/>
  <c r="H712" i="8"/>
  <c r="I712" i="8"/>
  <c r="F712" i="8"/>
  <c r="H846" i="8"/>
  <c r="I846" i="8"/>
  <c r="F846" i="8"/>
  <c r="H728" i="8"/>
  <c r="I728" i="8"/>
  <c r="F728" i="8"/>
  <c r="I1202" i="8"/>
  <c r="F1202" i="8"/>
  <c r="H1202" i="8"/>
  <c r="F1108" i="8"/>
  <c r="H1108" i="8"/>
  <c r="I1108" i="8"/>
  <c r="F291" i="8"/>
  <c r="H291" i="8"/>
  <c r="F697" i="8"/>
  <c r="H697" i="8"/>
  <c r="I697" i="8"/>
  <c r="F657" i="8"/>
  <c r="H657" i="8"/>
  <c r="I657" i="8"/>
  <c r="I1190" i="8"/>
  <c r="F1190" i="8"/>
  <c r="H1190" i="8"/>
  <c r="I1198" i="8"/>
  <c r="F1198" i="8"/>
  <c r="H1198" i="8"/>
  <c r="H1051" i="8"/>
  <c r="I1051" i="8"/>
  <c r="F1051" i="8"/>
  <c r="I1226" i="8"/>
  <c r="F1226" i="8"/>
  <c r="H1226" i="8"/>
  <c r="H1149" i="8"/>
  <c r="I1149" i="8"/>
  <c r="F1149" i="8"/>
  <c r="I453" i="8"/>
  <c r="F453" i="8"/>
  <c r="H453" i="8"/>
  <c r="I483" i="8"/>
  <c r="F483" i="8"/>
  <c r="H483" i="8"/>
  <c r="H395" i="8"/>
  <c r="I395" i="8"/>
  <c r="F395" i="8"/>
  <c r="F1100" i="8"/>
  <c r="H1100" i="8"/>
  <c r="I1100" i="8"/>
  <c r="I73" i="8"/>
  <c r="F73" i="8"/>
  <c r="H73" i="8"/>
  <c r="F737" i="8"/>
  <c r="H737" i="8"/>
  <c r="I737" i="8"/>
  <c r="H625" i="8"/>
  <c r="I625" i="8"/>
  <c r="F625" i="8"/>
  <c r="H764" i="8"/>
  <c r="F764" i="8"/>
  <c r="I764" i="8"/>
  <c r="F641" i="8"/>
  <c r="H641" i="8"/>
  <c r="I641" i="8"/>
  <c r="F1104" i="8"/>
  <c r="H1104" i="8"/>
  <c r="I1104" i="8"/>
  <c r="H1061" i="8"/>
  <c r="I1061" i="8"/>
  <c r="F1061" i="8"/>
  <c r="H1009" i="8"/>
  <c r="I1009" i="8"/>
  <c r="F1009" i="8"/>
  <c r="I557" i="8"/>
  <c r="F557" i="8"/>
  <c r="H557" i="8"/>
  <c r="H784" i="8"/>
  <c r="I784" i="8"/>
  <c r="F784" i="8"/>
  <c r="H828" i="8"/>
  <c r="I828" i="8"/>
  <c r="F828" i="8"/>
  <c r="F841" i="8"/>
  <c r="H841" i="8"/>
  <c r="I841" i="8"/>
  <c r="F839" i="8"/>
  <c r="H839" i="8"/>
  <c r="I839" i="8"/>
  <c r="F807" i="8"/>
  <c r="H807" i="8"/>
  <c r="I807" i="8"/>
  <c r="H800" i="8"/>
  <c r="I800" i="8"/>
  <c r="F800" i="8"/>
  <c r="H1037" i="8"/>
  <c r="I1037" i="8"/>
  <c r="F1037" i="8"/>
  <c r="F645" i="8"/>
  <c r="H645" i="8"/>
  <c r="I645" i="8"/>
  <c r="H756" i="8"/>
  <c r="I756" i="8"/>
  <c r="F756" i="8"/>
  <c r="I1221" i="8"/>
  <c r="F1221" i="8"/>
  <c r="H1221" i="8"/>
  <c r="I447" i="8"/>
  <c r="F447" i="8"/>
  <c r="H447" i="8"/>
  <c r="H690" i="8"/>
  <c r="I690" i="8"/>
  <c r="F690" i="8"/>
  <c r="F633" i="8"/>
  <c r="H633" i="8"/>
  <c r="I633" i="8"/>
  <c r="H740" i="8"/>
  <c r="I740" i="8"/>
  <c r="F740" i="8"/>
  <c r="I1219" i="8"/>
  <c r="F1219" i="8"/>
  <c r="H1219" i="8"/>
  <c r="F705" i="8"/>
  <c r="H705" i="8"/>
  <c r="I705" i="8"/>
  <c r="I463" i="8"/>
  <c r="H463" i="8"/>
  <c r="F463" i="8"/>
  <c r="I533" i="8"/>
  <c r="F533" i="8"/>
  <c r="H533" i="8"/>
  <c r="H1049" i="8"/>
  <c r="I1049" i="8"/>
  <c r="F1049" i="8"/>
  <c r="H762" i="8"/>
  <c r="I762" i="8"/>
  <c r="F762" i="8"/>
  <c r="H698" i="8"/>
  <c r="I698" i="8"/>
  <c r="F698" i="8"/>
  <c r="H605" i="8"/>
  <c r="I605" i="8"/>
  <c r="F605" i="8"/>
  <c r="F974" i="8"/>
  <c r="H974" i="8"/>
  <c r="I974" i="8"/>
  <c r="F781" i="8"/>
  <c r="H781" i="8"/>
  <c r="I781" i="8"/>
  <c r="H780" i="8"/>
  <c r="I780" i="8"/>
  <c r="F780" i="8"/>
  <c r="H1003" i="8"/>
  <c r="I1003" i="8"/>
  <c r="F1003" i="8"/>
  <c r="H1025" i="8"/>
  <c r="F1025" i="8"/>
  <c r="F887" i="8"/>
  <c r="H887" i="8"/>
  <c r="I887" i="8"/>
  <c r="H1007" i="8"/>
  <c r="I1007" i="8"/>
  <c r="F1007" i="8"/>
  <c r="F1062" i="8"/>
  <c r="H1062" i="8"/>
  <c r="I1062" i="8"/>
  <c r="F1004" i="8"/>
  <c r="H1004" i="8"/>
  <c r="I1004" i="8"/>
  <c r="I67" i="8"/>
  <c r="F67" i="8"/>
  <c r="H67" i="8"/>
  <c r="F653" i="8"/>
  <c r="H653" i="8"/>
  <c r="I653" i="8"/>
  <c r="H838" i="8"/>
  <c r="I838" i="8"/>
  <c r="F838" i="8"/>
  <c r="F823" i="8"/>
  <c r="H823" i="8"/>
  <c r="I823" i="8"/>
  <c r="H822" i="8"/>
  <c r="I822" i="8"/>
  <c r="F822" i="8"/>
  <c r="H796" i="8"/>
  <c r="I796" i="8"/>
  <c r="F796" i="8"/>
  <c r="F1044" i="8"/>
  <c r="H1044" i="8"/>
  <c r="I1044" i="8"/>
  <c r="F968" i="8"/>
  <c r="H968" i="8"/>
  <c r="I968" i="8"/>
  <c r="E369" i="8" l="1"/>
  <c r="E1347" i="8"/>
  <c r="E1348" i="8"/>
  <c r="E368" i="8"/>
  <c r="E129" i="8"/>
  <c r="E370" i="8"/>
  <c r="E366" i="8"/>
  <c r="E367" i="8"/>
  <c r="I1022" i="8"/>
  <c r="I291" i="8"/>
  <c r="I950" i="8"/>
  <c r="I1020" i="8"/>
  <c r="I1026" i="8"/>
  <c r="I1089" i="8"/>
  <c r="I1014" i="8"/>
  <c r="I1024" i="8"/>
  <c r="I1025" i="8"/>
  <c r="I1090" i="8"/>
  <c r="I1233" i="8"/>
  <c r="H5115" i="5"/>
  <c r="E1340" i="8" s="1"/>
  <c r="G4788" i="5"/>
  <c r="H4739" i="5"/>
  <c r="E1257" i="8" s="1"/>
  <c r="G4730" i="5"/>
  <c r="H4650" i="5"/>
  <c r="G4632" i="5"/>
  <c r="I1297" i="8"/>
  <c r="H1297" i="8"/>
  <c r="F1297" i="8"/>
  <c r="F1298" i="8"/>
  <c r="I1298" i="8"/>
  <c r="H1298" i="8"/>
  <c r="I1299" i="8"/>
  <c r="F1299" i="8"/>
  <c r="H1299" i="8"/>
  <c r="H1295" i="8"/>
  <c r="F1295" i="8"/>
  <c r="I1295" i="8"/>
  <c r="F1296" i="8"/>
  <c r="I1296" i="8"/>
  <c r="H1296" i="8"/>
  <c r="I1243" i="8"/>
  <c r="H1243" i="8"/>
  <c r="F1243" i="8"/>
  <c r="H1282" i="8"/>
  <c r="F1282" i="8"/>
  <c r="I1282" i="8"/>
  <c r="H1244" i="8"/>
  <c r="F1244" i="8"/>
  <c r="I1244" i="8"/>
  <c r="H1280" i="8"/>
  <c r="F1280" i="8"/>
  <c r="I1280" i="8"/>
  <c r="I1258" i="8"/>
  <c r="H1258" i="8"/>
  <c r="F1258" i="8"/>
  <c r="I1259" i="8"/>
  <c r="H1259" i="8"/>
  <c r="F1259" i="8"/>
  <c r="F1281" i="8"/>
  <c r="I1281" i="8"/>
  <c r="H1281" i="8"/>
  <c r="F1279" i="8"/>
  <c r="I1279" i="8"/>
  <c r="H1279" i="8"/>
  <c r="F1242" i="8"/>
  <c r="I1242" i="8"/>
  <c r="H1242" i="8"/>
  <c r="E1245" i="8" l="1"/>
  <c r="H4787" i="5"/>
  <c r="E1266" i="8" s="1"/>
  <c r="H4729" i="5"/>
  <c r="E1256" i="8" s="1"/>
  <c r="H477" i="8" l="1"/>
  <c r="I477" i="8" s="1"/>
  <c r="F477" i="8"/>
  <c r="H476" i="8"/>
  <c r="I476" i="8" s="1"/>
  <c r="F476" i="8"/>
  <c r="H597" i="8"/>
  <c r="I597" i="8" s="1"/>
  <c r="F597" i="8"/>
  <c r="H506" i="8"/>
  <c r="I506" i="8" s="1"/>
  <c r="F506" i="8"/>
  <c r="H508" i="8"/>
  <c r="I508" i="8" s="1"/>
  <c r="F508" i="8"/>
  <c r="H588" i="8"/>
  <c r="I588" i="8" s="1"/>
  <c r="F588" i="8"/>
  <c r="F852" i="8"/>
  <c r="H853" i="8"/>
  <c r="H1255" i="8"/>
  <c r="F1255" i="8"/>
  <c r="H1276" i="8"/>
  <c r="F1276" i="8"/>
  <c r="F1249" i="8"/>
  <c r="H1249" i="8"/>
  <c r="F1287" i="8"/>
  <c r="H1287" i="8"/>
  <c r="F370" i="6"/>
  <c r="F1246" i="8"/>
  <c r="H1246" i="8"/>
  <c r="H1270" i="8"/>
  <c r="F1270" i="8"/>
  <c r="H1247" i="8"/>
  <c r="F1247" i="8"/>
  <c r="F1275" i="8"/>
  <c r="H1275" i="8"/>
  <c r="F1252" i="8"/>
  <c r="H1252" i="8"/>
  <c r="H1250" i="8"/>
  <c r="F1250" i="8"/>
  <c r="F1283" i="8"/>
  <c r="H1283" i="8"/>
  <c r="F1289" i="8"/>
  <c r="H1289" i="8"/>
  <c r="F374" i="6"/>
  <c r="G374" i="6" s="1"/>
  <c r="F1248" i="8"/>
  <c r="H1248" i="8"/>
  <c r="H1253" i="8"/>
  <c r="F1253" i="8"/>
  <c r="F1251" i="8"/>
  <c r="H1251" i="8"/>
  <c r="H1265" i="8"/>
  <c r="F1265" i="8"/>
  <c r="F1254" i="8"/>
  <c r="H1254" i="8"/>
  <c r="F448" i="8" l="1"/>
  <c r="H448" i="8"/>
  <c r="I448" i="8" s="1"/>
  <c r="F495" i="8"/>
  <c r="H495" i="8"/>
  <c r="I495" i="8" s="1"/>
  <c r="F412" i="8"/>
  <c r="H412" i="8"/>
  <c r="I412" i="8" s="1"/>
  <c r="F420" i="8"/>
  <c r="H420" i="8"/>
  <c r="I420" i="8" s="1"/>
  <c r="H516" i="8"/>
  <c r="I516" i="8" s="1"/>
  <c r="F516" i="8"/>
  <c r="H494" i="8"/>
  <c r="I494" i="8" s="1"/>
  <c r="F494" i="8"/>
  <c r="F503" i="8"/>
  <c r="H503" i="8"/>
  <c r="I503" i="8" s="1"/>
  <c r="H562" i="8"/>
  <c r="I562" i="8" s="1"/>
  <c r="F562" i="8"/>
  <c r="H518" i="8"/>
  <c r="I518" i="8" s="1"/>
  <c r="F518" i="8"/>
  <c r="H510" i="8"/>
  <c r="I510" i="8" s="1"/>
  <c r="F510" i="8"/>
  <c r="H509" i="8"/>
  <c r="I509" i="8" s="1"/>
  <c r="F509" i="8"/>
  <c r="H514" i="8"/>
  <c r="I514" i="8" s="1"/>
  <c r="F514" i="8"/>
  <c r="H515" i="8"/>
  <c r="I515" i="8" s="1"/>
  <c r="F515" i="8"/>
  <c r="H421" i="8"/>
  <c r="I421" i="8" s="1"/>
  <c r="F421" i="8"/>
  <c r="F501" i="8"/>
  <c r="H501" i="8"/>
  <c r="I501" i="8" s="1"/>
  <c r="F567" i="8"/>
  <c r="H567" i="8"/>
  <c r="I567" i="8" s="1"/>
  <c r="F511" i="8"/>
  <c r="H511" i="8"/>
  <c r="I511" i="8" s="1"/>
  <c r="F513" i="8"/>
  <c r="H513" i="8"/>
  <c r="I513" i="8" s="1"/>
  <c r="H475" i="8"/>
  <c r="I475" i="8" s="1"/>
  <c r="F475" i="8"/>
  <c r="H566" i="8"/>
  <c r="I566" i="8" s="1"/>
  <c r="F566" i="8"/>
  <c r="F410" i="8"/>
  <c r="H410" i="8"/>
  <c r="I410" i="8" s="1"/>
  <c r="H564" i="8"/>
  <c r="I564" i="8" s="1"/>
  <c r="F564" i="8"/>
  <c r="F519" i="8"/>
  <c r="H519" i="8"/>
  <c r="I519" i="8" s="1"/>
  <c r="F416" i="8"/>
  <c r="H416" i="8"/>
  <c r="I416" i="8" s="1"/>
  <c r="H496" i="8"/>
  <c r="I496" i="8" s="1"/>
  <c r="F496" i="8"/>
  <c r="F517" i="8"/>
  <c r="H517" i="8"/>
  <c r="I517" i="8" s="1"/>
  <c r="H512" i="8"/>
  <c r="I512" i="8" s="1"/>
  <c r="F512" i="8"/>
  <c r="H419" i="8"/>
  <c r="I419" i="8" s="1"/>
  <c r="F419" i="8"/>
  <c r="F392" i="8"/>
  <c r="H392" i="8"/>
  <c r="I392" i="8" s="1"/>
  <c r="F414" i="8"/>
  <c r="H414" i="8"/>
  <c r="I414" i="8" s="1"/>
  <c r="F499" i="8"/>
  <c r="H499" i="8"/>
  <c r="I499" i="8" s="1"/>
  <c r="F473" i="8"/>
  <c r="H473" i="8"/>
  <c r="I473" i="8" s="1"/>
  <c r="F505" i="8"/>
  <c r="H505" i="8"/>
  <c r="I505" i="8" s="1"/>
  <c r="F507" i="8"/>
  <c r="H507" i="8"/>
  <c r="I507" i="8" s="1"/>
  <c r="F1348" i="8"/>
  <c r="H1348" i="8"/>
  <c r="I1348" i="8" s="1"/>
  <c r="F1347" i="8"/>
  <c r="H1347" i="8"/>
  <c r="I1347" i="8" s="1"/>
  <c r="F853" i="8"/>
  <c r="I1265" i="8"/>
  <c r="I1247" i="8"/>
  <c r="I1251" i="8"/>
  <c r="I1289" i="8"/>
  <c r="I1250" i="8"/>
  <c r="I1249" i="8"/>
  <c r="I1255" i="8"/>
  <c r="I1252" i="8"/>
  <c r="I1270" i="8"/>
  <c r="I1246" i="8"/>
  <c r="I1254" i="8"/>
  <c r="I853" i="8"/>
  <c r="I1248" i="8"/>
  <c r="I1275" i="8"/>
  <c r="I1287" i="8"/>
  <c r="I1283" i="8"/>
  <c r="I1276" i="8"/>
  <c r="I1253" i="8"/>
  <c r="H852" i="8"/>
  <c r="F1331" i="8"/>
  <c r="H1331" i="8"/>
  <c r="H1322" i="8"/>
  <c r="F1322" i="8"/>
  <c r="F1341" i="8"/>
  <c r="H1341" i="8"/>
  <c r="H1272" i="8"/>
  <c r="F1272" i="8"/>
  <c r="H1263" i="8"/>
  <c r="F1263" i="8"/>
  <c r="F1288" i="8"/>
  <c r="H1288" i="8"/>
  <c r="F1273" i="8"/>
  <c r="H1273" i="8"/>
  <c r="F1320" i="8"/>
  <c r="H1320" i="8"/>
  <c r="F1315" i="8"/>
  <c r="H1315" i="8"/>
  <c r="F1337" i="8"/>
  <c r="H1337" i="8"/>
  <c r="F1330" i="8"/>
  <c r="H1330" i="8"/>
  <c r="F1316" i="8"/>
  <c r="H1316" i="8"/>
  <c r="H1334" i="8"/>
  <c r="F1334" i="8"/>
  <c r="F1338" i="8"/>
  <c r="H1338" i="8"/>
  <c r="F1268" i="8"/>
  <c r="H1268" i="8"/>
  <c r="F1285" i="8"/>
  <c r="H1285" i="8"/>
  <c r="H1278" i="8"/>
  <c r="F1278" i="8"/>
  <c r="H1292" i="8"/>
  <c r="F1292" i="8"/>
  <c r="H1294" i="8"/>
  <c r="F1294" i="8"/>
  <c r="H1317" i="8"/>
  <c r="F1317" i="8"/>
  <c r="H1300" i="8"/>
  <c r="F1300" i="8"/>
  <c r="F1336" i="8"/>
  <c r="H1336" i="8"/>
  <c r="F1319" i="8"/>
  <c r="H1319" i="8"/>
  <c r="H1332" i="8"/>
  <c r="F1332" i="8"/>
  <c r="H1321" i="8"/>
  <c r="F1321" i="8"/>
  <c r="H1286" i="8"/>
  <c r="F1286" i="8"/>
  <c r="H1267" i="8"/>
  <c r="F1267" i="8"/>
  <c r="F1260" i="8"/>
  <c r="H1260" i="8"/>
  <c r="F1271" i="8"/>
  <c r="H1271" i="8"/>
  <c r="H1269" i="8"/>
  <c r="F1269" i="8"/>
  <c r="F1261" i="8"/>
  <c r="H1261" i="8"/>
  <c r="F1324" i="8"/>
  <c r="H1324" i="8"/>
  <c r="F1333" i="8"/>
  <c r="H1333" i="8"/>
  <c r="H1318" i="8"/>
  <c r="F1318" i="8"/>
  <c r="F1323" i="8"/>
  <c r="H1323" i="8"/>
  <c r="H1262" i="8"/>
  <c r="F1262" i="8"/>
  <c r="H1264" i="8"/>
  <c r="F1264" i="8"/>
  <c r="H1284" i="8"/>
  <c r="F1284" i="8"/>
  <c r="H1274" i="8"/>
  <c r="F1274" i="8"/>
  <c r="H1293" i="8"/>
  <c r="F1293" i="8"/>
  <c r="G4633" i="5"/>
  <c r="G4643" i="5"/>
  <c r="G4617" i="5"/>
  <c r="I1321" i="8" l="1"/>
  <c r="I1300" i="8"/>
  <c r="I1268" i="8"/>
  <c r="I1330" i="8"/>
  <c r="I1273" i="8"/>
  <c r="I1274" i="8"/>
  <c r="I1262" i="8"/>
  <c r="I1323" i="8"/>
  <c r="I1260" i="8"/>
  <c r="I1294" i="8"/>
  <c r="I1341" i="8"/>
  <c r="I1261" i="8"/>
  <c r="I1319" i="8"/>
  <c r="I1292" i="8"/>
  <c r="I852" i="8"/>
  <c r="I1284" i="8"/>
  <c r="I1318" i="8"/>
  <c r="I1267" i="8"/>
  <c r="I1315" i="8"/>
  <c r="I1322" i="8"/>
  <c r="I1338" i="8"/>
  <c r="I1337" i="8"/>
  <c r="I1288" i="8"/>
  <c r="I1333" i="8"/>
  <c r="I1336" i="8"/>
  <c r="I1278" i="8"/>
  <c r="I1334" i="8"/>
  <c r="I1263" i="8"/>
  <c r="I1331" i="8"/>
  <c r="I1332" i="8"/>
  <c r="I1317" i="8"/>
  <c r="I1293" i="8"/>
  <c r="I1264" i="8"/>
  <c r="I1269" i="8"/>
  <c r="I1286" i="8"/>
  <c r="I1285" i="8"/>
  <c r="I1316" i="8"/>
  <c r="I1320" i="8"/>
  <c r="I1324" i="8"/>
  <c r="I1271" i="8"/>
  <c r="I1272" i="8"/>
  <c r="F1291" i="8"/>
  <c r="F1245" i="8"/>
  <c r="F1277" i="8"/>
  <c r="H1301" i="8"/>
  <c r="F1301" i="8"/>
  <c r="H4630" i="5"/>
  <c r="E1240" i="8" s="1"/>
  <c r="H4640" i="5"/>
  <c r="E1241" i="8" s="1"/>
  <c r="I1301" i="8" l="1"/>
  <c r="H1340" i="8"/>
  <c r="F1340" i="8"/>
  <c r="F1257" i="8"/>
  <c r="H1291" i="8"/>
  <c r="H1245" i="8"/>
  <c r="H1277" i="8"/>
  <c r="G5104" i="5"/>
  <c r="H1266" i="8" l="1"/>
  <c r="H1256" i="8"/>
  <c r="I1291" i="8"/>
  <c r="I1277" i="8"/>
  <c r="I1340" i="8"/>
  <c r="I1245" i="8"/>
  <c r="F1290" i="8"/>
  <c r="H1257" i="8"/>
  <c r="F1266" i="8" l="1"/>
  <c r="F1256" i="8"/>
  <c r="I1256" i="8"/>
  <c r="I1266" i="8"/>
  <c r="I1257" i="8"/>
  <c r="H1290" i="8"/>
  <c r="H1239" i="8"/>
  <c r="I1290" i="8" l="1"/>
  <c r="I1239" i="8"/>
  <c r="F1239" i="8"/>
  <c r="H1240" i="8"/>
  <c r="H1241" i="8" l="1"/>
  <c r="I1240" i="8"/>
  <c r="F1240" i="8"/>
  <c r="F1241" i="8" l="1"/>
  <c r="I1241" i="8"/>
  <c r="G1985" i="5" l="1"/>
  <c r="G3313" i="5"/>
  <c r="G1610" i="5" l="1"/>
  <c r="G4036" i="5"/>
  <c r="G607" i="5"/>
  <c r="G1849" i="5"/>
  <c r="G4501" i="5"/>
  <c r="G2103" i="5"/>
  <c r="G4621" i="5"/>
  <c r="G1129" i="5"/>
  <c r="G1897" i="5"/>
  <c r="G3865" i="5"/>
  <c r="G3027" i="5"/>
  <c r="G2374" i="5"/>
  <c r="G3085" i="5"/>
  <c r="G1182" i="5"/>
  <c r="G3065" i="5"/>
  <c r="G506" i="5"/>
  <c r="G499" i="5"/>
  <c r="G4083" i="5"/>
  <c r="G1341" i="5"/>
  <c r="G3517" i="5"/>
  <c r="G2965" i="5"/>
  <c r="G774" i="5"/>
  <c r="G2985" i="5"/>
  <c r="G1704" i="5"/>
  <c r="G2233" i="5"/>
  <c r="G3732" i="5"/>
  <c r="G3321" i="5"/>
  <c r="G1024" i="5"/>
  <c r="G697" i="5"/>
  <c r="G1062" i="5"/>
  <c r="G4095" i="5"/>
  <c r="G2345" i="5"/>
  <c r="G1224" i="5"/>
  <c r="G4230" i="5"/>
  <c r="G3299" i="5"/>
  <c r="G661" i="5"/>
  <c r="G4468" i="5"/>
  <c r="G4046" i="5"/>
  <c r="G1447" i="5"/>
  <c r="G1462" i="5"/>
  <c r="G1433" i="5"/>
  <c r="G1591" i="5"/>
  <c r="G4326" i="5"/>
  <c r="G3435" i="5"/>
  <c r="G3473" i="5"/>
  <c r="G3460" i="5"/>
  <c r="G1414" i="5"/>
  <c r="G337" i="5"/>
  <c r="G2775" i="5"/>
  <c r="G1416" i="5"/>
  <c r="G335" i="5"/>
  <c r="G1412" i="5"/>
  <c r="G4271" i="5"/>
  <c r="G3402" i="5"/>
  <c r="G2780" i="5"/>
  <c r="G1700" i="5"/>
  <c r="G1420" i="5"/>
  <c r="G3998" i="5"/>
  <c r="G3821" i="5"/>
  <c r="G3238" i="5"/>
  <c r="G3401" i="5"/>
  <c r="G3540" i="5"/>
  <c r="G2898" i="5"/>
  <c r="G1588" i="5"/>
  <c r="G1507" i="5"/>
  <c r="G1491" i="5"/>
  <c r="G1593" i="5"/>
  <c r="G1459" i="5"/>
  <c r="G1448" i="5"/>
  <c r="G251" i="5"/>
  <c r="G3815" i="5"/>
  <c r="G3436" i="5"/>
  <c r="G2853" i="5"/>
  <c r="G1841" i="5"/>
  <c r="G1479" i="5"/>
  <c r="G1474" i="5"/>
  <c r="G1429" i="5"/>
  <c r="G1495" i="5"/>
  <c r="G1442" i="5"/>
  <c r="G4560" i="5"/>
  <c r="G4356" i="5"/>
  <c r="G3411" i="5"/>
  <c r="G3231" i="5"/>
  <c r="G1449" i="5"/>
  <c r="G1504" i="5"/>
  <c r="G4559" i="5"/>
  <c r="G1417" i="5"/>
  <c r="G1427" i="5"/>
  <c r="G4269" i="5"/>
  <c r="G4548" i="5"/>
  <c r="G1418" i="5"/>
  <c r="G4278" i="5"/>
  <c r="G858" i="5"/>
  <c r="G4324" i="5"/>
  <c r="G3526" i="5"/>
  <c r="G1472" i="5"/>
  <c r="G4164" i="5"/>
  <c r="G4058" i="5"/>
  <c r="G3539" i="5"/>
  <c r="G1771" i="5"/>
  <c r="G1699" i="5"/>
  <c r="H1341" i="5" l="1"/>
  <c r="E231" i="8" s="1"/>
  <c r="G1434" i="5"/>
  <c r="G1915" i="5"/>
  <c r="G1909" i="5"/>
  <c r="G4357" i="5"/>
  <c r="G1435" i="5"/>
  <c r="G4279" i="5"/>
  <c r="G2197" i="5"/>
  <c r="G1515" i="5"/>
  <c r="G1492" i="5"/>
  <c r="G329" i="5"/>
  <c r="G2785" i="5"/>
  <c r="G1419" i="5"/>
  <c r="G1587" i="5"/>
  <c r="G2918" i="5"/>
  <c r="G4270" i="5"/>
  <c r="G1547" i="5"/>
  <c r="G2189" i="5"/>
  <c r="G1539" i="5"/>
  <c r="G4165" i="5"/>
  <c r="G4287" i="5"/>
  <c r="G3266" i="5"/>
  <c r="G3273" i="5"/>
  <c r="G1531" i="5"/>
  <c r="G2938" i="5"/>
  <c r="G336" i="5"/>
  <c r="G357" i="5"/>
  <c r="G332" i="5"/>
  <c r="G1463" i="5"/>
  <c r="G1480" i="5"/>
  <c r="G1506" i="5"/>
  <c r="G1494" i="5"/>
  <c r="G1508" i="5"/>
  <c r="G4286" i="5"/>
  <c r="G2947" i="5"/>
  <c r="G2205" i="5"/>
  <c r="G3259" i="5"/>
  <c r="G1493" i="5"/>
  <c r="G338" i="5"/>
  <c r="G1457" i="5"/>
  <c r="G1489" i="5"/>
  <c r="G2628" i="5"/>
  <c r="G4288" i="5"/>
  <c r="G3495" i="5"/>
  <c r="G1502" i="5"/>
  <c r="G1450" i="5"/>
  <c r="G3653" i="5"/>
  <c r="G1476" i="5"/>
  <c r="G3474" i="5"/>
  <c r="G3496" i="5"/>
  <c r="G1478" i="5"/>
  <c r="G1444" i="5"/>
  <c r="G1461" i="5"/>
  <c r="G1510" i="5"/>
  <c r="G1509" i="5"/>
  <c r="G1465" i="5"/>
  <c r="G2827" i="5"/>
  <c r="G1477" i="5"/>
  <c r="G2770" i="5"/>
  <c r="G4561" i="5"/>
  <c r="G2943" i="5"/>
  <c r="G2933" i="5"/>
  <c r="G1432" i="5"/>
  <c r="G2792" i="5"/>
  <c r="G3224" i="5"/>
  <c r="G474" i="5"/>
  <c r="G4509" i="5"/>
  <c r="G4268" i="5"/>
  <c r="G3507" i="5"/>
  <c r="G4558" i="5"/>
  <c r="G1764" i="5"/>
  <c r="G1464" i="5"/>
  <c r="G4272" i="5"/>
  <c r="G4059" i="5"/>
  <c r="G4280" i="5"/>
  <c r="G1586" i="5"/>
  <c r="G1594" i="5"/>
  <c r="G3412" i="5"/>
  <c r="G1592" i="5"/>
  <c r="G745" i="5"/>
  <c r="G3280" i="5"/>
  <c r="G2923" i="5"/>
  <c r="G1590" i="5"/>
  <c r="G4557" i="5"/>
  <c r="G4065" i="5"/>
  <c r="G1446" i="5"/>
  <c r="G3652" i="5"/>
  <c r="G4325" i="5"/>
  <c r="G1523" i="5"/>
  <c r="G3245" i="5"/>
  <c r="G3252" i="5"/>
  <c r="G1487" i="5"/>
  <c r="G3461" i="5"/>
  <c r="G1431" i="5"/>
  <c r="G1164" i="5"/>
  <c r="G574" i="5"/>
  <c r="G4346" i="5"/>
  <c r="G4231" i="5"/>
  <c r="G4302" i="5"/>
  <c r="G3979" i="5"/>
  <c r="G3369" i="5"/>
  <c r="G4466" i="5"/>
  <c r="G3921" i="5"/>
  <c r="G3386" i="5"/>
  <c r="G1651" i="5"/>
  <c r="G956" i="5"/>
  <c r="G4117" i="5"/>
  <c r="G4070" i="5"/>
  <c r="G3689" i="5"/>
  <c r="G2644" i="5"/>
  <c r="G3121" i="5"/>
  <c r="G3190" i="5"/>
  <c r="G416" i="5"/>
  <c r="G842" i="5"/>
  <c r="G3485" i="5"/>
  <c r="G998" i="5"/>
  <c r="G1800" i="5"/>
  <c r="G540" i="5"/>
  <c r="G773" i="5"/>
  <c r="G872" i="5"/>
  <c r="G403" i="5"/>
  <c r="G888" i="5"/>
  <c r="G4125" i="5"/>
  <c r="G3608" i="5"/>
  <c r="G3036" i="5"/>
  <c r="G1267" i="5"/>
  <c r="G4539" i="5"/>
  <c r="G3951" i="5"/>
  <c r="G4191" i="5"/>
  <c r="G3570" i="5"/>
  <c r="G2011" i="5"/>
  <c r="G608" i="5"/>
  <c r="G2882" i="5"/>
  <c r="G805" i="5"/>
  <c r="G292" i="5"/>
  <c r="G988" i="5"/>
  <c r="G409" i="5"/>
  <c r="G1294" i="5"/>
  <c r="G670" i="5"/>
  <c r="H661" i="5"/>
  <c r="G4588" i="5"/>
  <c r="G4361" i="5"/>
  <c r="G4525" i="5"/>
  <c r="G3923" i="5"/>
  <c r="G3314" i="5"/>
  <c r="G4138" i="5"/>
  <c r="G3300" i="5"/>
  <c r="G1564" i="5"/>
  <c r="G933" i="5"/>
  <c r="G4076" i="5"/>
  <c r="G3580" i="5"/>
  <c r="G2244" i="5"/>
  <c r="G1259" i="5"/>
  <c r="G3148" i="5"/>
  <c r="G665" i="5"/>
  <c r="G820" i="5"/>
  <c r="G342" i="5"/>
  <c r="G1018" i="5"/>
  <c r="G407" i="5"/>
  <c r="G1253" i="5"/>
  <c r="G641" i="5"/>
  <c r="G71" i="5"/>
  <c r="G1183" i="5"/>
  <c r="G1141" i="5"/>
  <c r="G777" i="5"/>
  <c r="G278" i="5"/>
  <c r="G4435" i="5"/>
  <c r="G4494" i="5"/>
  <c r="G3026" i="5"/>
  <c r="G4171" i="5"/>
  <c r="G1246" i="5"/>
  <c r="G4453" i="5"/>
  <c r="G3939" i="5"/>
  <c r="G3338" i="5"/>
  <c r="G1570" i="5"/>
  <c r="G2127" i="5"/>
  <c r="G834" i="5"/>
  <c r="G2858" i="5"/>
  <c r="G260" i="5"/>
  <c r="G1077" i="5"/>
  <c r="G4304" i="5"/>
  <c r="G4409" i="5"/>
  <c r="G4198" i="5"/>
  <c r="G3777" i="5"/>
  <c r="G3743" i="5"/>
  <c r="G3173" i="5"/>
  <c r="G3889" i="5"/>
  <c r="G1879" i="5"/>
  <c r="H2345" i="5"/>
  <c r="H1024" i="5"/>
  <c r="H1704" i="5"/>
  <c r="E277" i="8" s="1"/>
  <c r="G4483" i="5"/>
  <c r="G4317" i="5"/>
  <c r="G3639" i="5"/>
  <c r="G4037" i="5"/>
  <c r="G1148" i="5"/>
  <c r="G601" i="5"/>
  <c r="G2874" i="5"/>
  <c r="G1070" i="5"/>
  <c r="G562" i="5"/>
  <c r="G4491" i="5"/>
  <c r="G2400" i="5"/>
  <c r="G1056" i="5"/>
  <c r="G254" i="5"/>
  <c r="G4404" i="5"/>
  <c r="G4367" i="5"/>
  <c r="G1765" i="5"/>
  <c r="G797" i="5"/>
  <c r="G313" i="5"/>
  <c r="G4235" i="5"/>
  <c r="G3448" i="5"/>
  <c r="G3924" i="5"/>
  <c r="G3449" i="5"/>
  <c r="G990" i="5"/>
  <c r="G3908" i="5"/>
  <c r="G1569" i="5"/>
  <c r="G1983" i="5"/>
  <c r="G1772" i="5"/>
  <c r="G1031" i="5"/>
  <c r="G465" i="5"/>
  <c r="G1203" i="5"/>
  <c r="G701" i="5"/>
  <c r="G3950" i="5"/>
  <c r="G534" i="5"/>
  <c r="G767" i="5"/>
  <c r="G857" i="5"/>
  <c r="G321" i="5"/>
  <c r="G455" i="5"/>
  <c r="G4020" i="5"/>
  <c r="G3203" i="5"/>
  <c r="G997" i="5"/>
  <c r="G4533" i="5"/>
  <c r="G4600" i="5"/>
  <c r="G4606" i="5"/>
  <c r="G4163" i="5"/>
  <c r="G3661" i="5"/>
  <c r="G4261" i="5"/>
  <c r="G3843" i="5"/>
  <c r="G3205" i="5"/>
  <c r="G1415" i="5"/>
  <c r="G4018" i="5"/>
  <c r="G3541" i="5"/>
  <c r="G2576" i="5"/>
  <c r="G355" i="5"/>
  <c r="G1634" i="5"/>
  <c r="G598" i="5"/>
  <c r="G3139" i="5"/>
  <c r="G776" i="5"/>
  <c r="G969" i="5"/>
  <c r="G410" i="5"/>
  <c r="G3933" i="5"/>
  <c r="G3702" i="5"/>
  <c r="G2600" i="5"/>
  <c r="G1169" i="5"/>
  <c r="G4303" i="5"/>
  <c r="G3786" i="5"/>
  <c r="G1387" i="5"/>
  <c r="G1598" i="5"/>
  <c r="G1490" i="5"/>
  <c r="G962" i="5"/>
  <c r="G395" i="5"/>
  <c r="G796" i="5"/>
  <c r="G4591" i="5"/>
  <c r="G1307" i="5"/>
  <c r="G2975" i="5"/>
  <c r="G1168" i="5"/>
  <c r="G4434" i="5"/>
  <c r="G1785" i="5"/>
  <c r="G1335" i="5"/>
  <c r="G1010" i="5"/>
  <c r="G3122" i="5"/>
  <c r="G2388" i="5"/>
  <c r="G1119" i="5"/>
  <c r="G2378" i="5"/>
  <c r="G3851" i="5"/>
  <c r="H2103" i="5"/>
  <c r="E342" i="8" s="1"/>
  <c r="G4234" i="5"/>
  <c r="G4463" i="5"/>
  <c r="G3771" i="5"/>
  <c r="G4514" i="5"/>
  <c r="G3922" i="5"/>
  <c r="G3434" i="5"/>
  <c r="G3327" i="5"/>
  <c r="G1430" i="5"/>
  <c r="G1475" i="5"/>
  <c r="G757" i="5"/>
  <c r="G255" i="5"/>
  <c r="G935" i="5"/>
  <c r="G3528" i="5"/>
  <c r="G3763" i="5"/>
  <c r="G4140" i="5"/>
  <c r="G890" i="5"/>
  <c r="G1049" i="5"/>
  <c r="G550" i="5"/>
  <c r="G4470" i="5"/>
  <c r="G3617" i="5"/>
  <c r="G3596" i="5"/>
  <c r="G1093" i="5"/>
  <c r="G4200" i="5"/>
  <c r="G4455" i="5"/>
  <c r="G3957" i="5"/>
  <c r="G3493" i="5"/>
  <c r="G2004" i="5"/>
  <c r="G1217" i="5"/>
  <c r="G2319" i="5"/>
  <c r="G625" i="5"/>
  <c r="G807" i="5"/>
  <c r="G989" i="5"/>
  <c r="G424" i="5"/>
  <c r="G2181" i="5"/>
  <c r="G4459" i="5"/>
  <c r="G4178" i="5"/>
  <c r="G3642" i="5"/>
  <c r="G3625" i="5"/>
  <c r="G2333" i="5"/>
  <c r="G1154" i="5"/>
  <c r="G4013" i="5"/>
  <c r="G4010" i="5"/>
  <c r="G3533" i="5"/>
  <c r="G2608" i="5"/>
  <c r="G1029" i="5"/>
  <c r="G354" i="5"/>
  <c r="G1363" i="5"/>
  <c r="G589" i="5"/>
  <c r="G775" i="5"/>
  <c r="G963" i="5"/>
  <c r="G386" i="5"/>
  <c r="G4045" i="5"/>
  <c r="G3484" i="5"/>
  <c r="G4366" i="5"/>
  <c r="G4589" i="5"/>
  <c r="G4312" i="5"/>
  <c r="G3742" i="5"/>
  <c r="G2652" i="5"/>
  <c r="G2636" i="5"/>
  <c r="G1220" i="5"/>
  <c r="G4389" i="5"/>
  <c r="G4318" i="5"/>
  <c r="G3892" i="5"/>
  <c r="G1505" i="5"/>
  <c r="G1786" i="5"/>
  <c r="G1604" i="5"/>
  <c r="G798" i="5"/>
  <c r="G762" i="5"/>
  <c r="G555" i="5"/>
  <c r="G3457" i="5"/>
  <c r="G3775" i="5"/>
  <c r="G3753" i="5"/>
  <c r="G4104" i="5"/>
  <c r="G1977" i="5"/>
  <c r="G1032" i="5"/>
  <c r="G475" i="5"/>
  <c r="G633" i="5"/>
  <c r="G4469" i="5"/>
  <c r="G4490" i="5"/>
  <c r="G3866" i="5"/>
  <c r="G3972" i="5"/>
  <c r="G3579" i="5"/>
  <c r="G2165" i="5"/>
  <c r="G1063" i="5"/>
  <c r="G4454" i="5"/>
  <c r="G3948" i="5"/>
  <c r="G3492" i="5"/>
  <c r="G2018" i="5"/>
  <c r="G1577" i="5"/>
  <c r="G733" i="5"/>
  <c r="G243" i="5"/>
  <c r="G328" i="5"/>
  <c r="G1175" i="5"/>
  <c r="G3055" i="5"/>
  <c r="G1275" i="5"/>
  <c r="G2351" i="5"/>
  <c r="G1836" i="5"/>
  <c r="G1147" i="5"/>
  <c r="G2990" i="5"/>
  <c r="G1855" i="5"/>
  <c r="G2980" i="5"/>
  <c r="G3654" i="5"/>
  <c r="G1753" i="5"/>
  <c r="G737" i="5"/>
  <c r="G1752" i="5"/>
  <c r="G1111" i="5"/>
  <c r="G2848" i="5"/>
  <c r="G4579" i="5"/>
  <c r="G3878" i="5"/>
  <c r="G3202" i="5"/>
  <c r="G3801" i="5"/>
  <c r="G3184" i="5"/>
  <c r="G1308" i="5"/>
  <c r="G4002" i="5"/>
  <c r="G2012" i="5"/>
  <c r="G853" i="5"/>
  <c r="G498" i="5"/>
  <c r="G1350" i="5"/>
  <c r="G4540" i="5"/>
  <c r="G4172" i="5"/>
  <c r="G4196" i="5"/>
  <c r="G3665" i="5"/>
  <c r="G4294" i="5"/>
  <c r="G3858" i="5"/>
  <c r="G1460" i="5"/>
  <c r="G925" i="5"/>
  <c r="G4057" i="5"/>
  <c r="G4244" i="5"/>
  <c r="G3602" i="5"/>
  <c r="G3850" i="5"/>
  <c r="G1406" i="5"/>
  <c r="G1309" i="5"/>
  <c r="G3586" i="5"/>
  <c r="G943" i="5"/>
  <c r="G358" i="5"/>
  <c r="G1086" i="5"/>
  <c r="G505" i="5"/>
  <c r="G724" i="5"/>
  <c r="G229" i="5"/>
  <c r="G4363" i="5"/>
  <c r="G4565" i="5"/>
  <c r="G2592" i="5"/>
  <c r="G4152" i="5"/>
  <c r="G3355" i="5"/>
  <c r="G1605" i="5"/>
  <c r="G942" i="5"/>
  <c r="G4111" i="5"/>
  <c r="G4308" i="5"/>
  <c r="G2640" i="5"/>
  <c r="G3117" i="5"/>
  <c r="G3140" i="5"/>
  <c r="G1095" i="5"/>
  <c r="G54" i="5"/>
  <c r="G366" i="5"/>
  <c r="G4373" i="5"/>
  <c r="G4337" i="5"/>
  <c r="G4019" i="5"/>
  <c r="G4541" i="5"/>
  <c r="G1779" i="5"/>
  <c r="G4139" i="5"/>
  <c r="G4423" i="5"/>
  <c r="G808" i="5"/>
  <c r="G882" i="5"/>
  <c r="G309" i="5"/>
  <c r="G4442" i="5"/>
  <c r="G4297" i="5"/>
  <c r="G3809" i="5"/>
  <c r="G3135" i="5"/>
  <c r="G3949" i="5"/>
  <c r="G3564" i="5"/>
  <c r="G2157" i="5"/>
  <c r="G1042" i="5"/>
  <c r="G4190" i="5"/>
  <c r="G3932" i="5"/>
  <c r="G1555" i="5"/>
  <c r="G1807" i="5"/>
  <c r="G1628" i="5"/>
  <c r="G799" i="5"/>
  <c r="G252" i="5"/>
  <c r="G1000" i="5"/>
  <c r="G4472" i="5"/>
  <c r="G4314" i="5"/>
  <c r="G4441" i="5"/>
  <c r="G3875" i="5"/>
  <c r="G3175" i="5"/>
  <c r="G4202" i="5"/>
  <c r="G3129" i="5"/>
  <c r="G1303" i="5"/>
  <c r="G3978" i="5"/>
  <c r="G3958" i="5"/>
  <c r="G3494" i="5"/>
  <c r="G2149" i="5"/>
  <c r="G2572" i="5"/>
  <c r="G298" i="5"/>
  <c r="G1190" i="5"/>
  <c r="G1840" i="5"/>
  <c r="G756" i="5"/>
  <c r="G911" i="5"/>
  <c r="G382" i="5"/>
  <c r="G4192" i="5"/>
  <c r="G917" i="5"/>
  <c r="G4056" i="5"/>
  <c r="G1040" i="5"/>
  <c r="G293" i="5"/>
  <c r="G4362" i="5"/>
  <c r="G4549" i="5"/>
  <c r="G4342" i="5"/>
  <c r="G4298" i="5"/>
  <c r="G3888" i="5"/>
  <c r="G760" i="5"/>
  <c r="G1112" i="5"/>
  <c r="G571" i="5"/>
  <c r="G4089" i="5"/>
  <c r="G4240" i="5"/>
  <c r="G4006" i="5"/>
  <c r="G2368" i="5"/>
  <c r="G1279" i="5"/>
  <c r="G3413" i="5"/>
  <c r="G3445" i="5"/>
  <c r="G2399" i="5"/>
  <c r="H2372" i="5"/>
  <c r="E380" i="8" s="1"/>
  <c r="H1129" i="5"/>
  <c r="H1847" i="5"/>
  <c r="G4369" i="5"/>
  <c r="G4620" i="5"/>
  <c r="G1657" i="5"/>
  <c r="G977" i="5"/>
  <c r="G4134" i="5"/>
  <c r="G4101" i="5"/>
  <c r="G3887" i="5"/>
  <c r="G944" i="5"/>
  <c r="G2452" i="5"/>
  <c r="G741" i="5"/>
  <c r="G237" i="5"/>
  <c r="G4293" i="5"/>
  <c r="G4547" i="5"/>
  <c r="G3800" i="5"/>
  <c r="G3098" i="5"/>
  <c r="G3942" i="5"/>
  <c r="G1017" i="5"/>
  <c r="G4189" i="5"/>
  <c r="G3931" i="5"/>
  <c r="G1599" i="5"/>
  <c r="G2221" i="5"/>
  <c r="G835" i="5"/>
  <c r="G245" i="5"/>
  <c r="G1069" i="5"/>
  <c r="G476" i="5"/>
  <c r="G4515" i="5"/>
  <c r="G4166" i="5"/>
  <c r="G3997" i="5"/>
  <c r="G2890" i="5"/>
  <c r="G308" i="5"/>
  <c r="G73" i="5"/>
  <c r="G4330" i="5"/>
  <c r="G4091" i="5"/>
  <c r="G2320" i="5"/>
  <c r="G3104" i="5"/>
  <c r="G285" i="5"/>
  <c r="G4195" i="5"/>
  <c r="G4201" i="5"/>
  <c r="G3694" i="5"/>
  <c r="G4313" i="5"/>
  <c r="G3877" i="5"/>
  <c r="G2424" i="5"/>
  <c r="G4257" i="5"/>
  <c r="G4292" i="5"/>
  <c r="G3886" i="5"/>
  <c r="G3734" i="5"/>
  <c r="G2584" i="5"/>
  <c r="G999" i="5"/>
  <c r="G312" i="5"/>
  <c r="G1260" i="5"/>
  <c r="G3013" i="5"/>
  <c r="G761" i="5"/>
  <c r="G233" i="5"/>
  <c r="G916" i="5"/>
  <c r="G384" i="5"/>
  <c r="G4155" i="5"/>
  <c r="G3744" i="5"/>
  <c r="G3893" i="5"/>
  <c r="G987" i="5"/>
  <c r="G423" i="5"/>
  <c r="G297" i="5"/>
  <c r="G970" i="5"/>
  <c r="G417" i="5"/>
  <c r="G4374" i="5"/>
  <c r="G4239" i="5"/>
  <c r="G4341" i="5"/>
  <c r="G4027" i="5"/>
  <c r="G4590" i="5"/>
  <c r="G3940" i="5"/>
  <c r="G3458" i="5"/>
  <c r="G2019" i="5"/>
  <c r="G4175" i="5"/>
  <c r="G4446" i="5"/>
  <c r="G3913" i="5"/>
  <c r="G2664" i="5"/>
  <c r="G3176" i="5"/>
  <c r="G3638" i="5"/>
  <c r="G1239" i="5"/>
  <c r="G331" i="5"/>
  <c r="G4581" i="5"/>
  <c r="G3165" i="5"/>
  <c r="G4193" i="5"/>
  <c r="G1970" i="5"/>
  <c r="G918" i="5"/>
  <c r="G259" i="5"/>
  <c r="G1102" i="5"/>
  <c r="G919" i="5"/>
  <c r="G4258" i="5"/>
  <c r="G1742" i="5"/>
  <c r="G1741" i="5"/>
  <c r="H2231" i="5"/>
  <c r="H2984" i="5"/>
  <c r="H2964" i="5"/>
  <c r="H4083" i="5"/>
  <c r="G4222" i="5"/>
  <c r="G3960" i="5"/>
  <c r="G3518" i="5"/>
  <c r="G1611" i="5"/>
  <c r="G258" i="5"/>
  <c r="G1087" i="5"/>
  <c r="G880" i="5"/>
  <c r="G327" i="5"/>
  <c r="G3239" i="5"/>
  <c r="G3867" i="5"/>
  <c r="G727" i="5"/>
  <c r="G4252" i="5"/>
  <c r="G3733" i="5"/>
  <c r="G3890" i="5"/>
  <c r="G389" i="5"/>
  <c r="G759" i="5"/>
  <c r="G809" i="5"/>
  <c r="G4375" i="5"/>
  <c r="G3774" i="5"/>
  <c r="G2734" i="5"/>
  <c r="G4170" i="5"/>
  <c r="G3752" i="5"/>
  <c r="G2740" i="5"/>
  <c r="G1231" i="5"/>
  <c r="G3930" i="5"/>
  <c r="G3698" i="5"/>
  <c r="G3172" i="5"/>
  <c r="G3432" i="5"/>
  <c r="G1232" i="5"/>
  <c r="G539" i="5"/>
  <c r="G2588" i="5"/>
  <c r="G768" i="5"/>
  <c r="G253" i="5"/>
  <c r="G866" i="5"/>
  <c r="G381" i="5"/>
  <c r="G4580" i="5"/>
  <c r="G4452" i="5"/>
  <c r="G3433" i="5"/>
  <c r="G425" i="5"/>
  <c r="G778" i="5"/>
  <c r="G307" i="5"/>
  <c r="G3794" i="5"/>
  <c r="G996" i="5"/>
  <c r="G549" i="5"/>
  <c r="G55" i="5"/>
  <c r="G4464" i="5"/>
  <c r="G3914" i="5"/>
  <c r="G3246" i="5"/>
  <c r="G3626" i="5"/>
  <c r="G2395" i="5"/>
  <c r="G4226" i="5"/>
  <c r="G3828" i="5"/>
  <c r="G3844" i="5"/>
  <c r="G1405" i="5"/>
  <c r="G3874" i="5"/>
  <c r="G356" i="5"/>
  <c r="G1033" i="5"/>
  <c r="G554" i="5"/>
  <c r="G277" i="5"/>
  <c r="G4203" i="5"/>
  <c r="G4243" i="5"/>
  <c r="G3320" i="5"/>
  <c r="G3343" i="5"/>
  <c r="G1589" i="5"/>
  <c r="G941" i="5"/>
  <c r="G3609" i="5"/>
  <c r="G2616" i="5"/>
  <c r="G3111" i="5"/>
  <c r="G2765" i="5"/>
  <c r="G1094" i="5"/>
  <c r="G387" i="5"/>
  <c r="G687" i="5"/>
  <c r="G795" i="5"/>
  <c r="G343" i="5"/>
  <c r="G1020" i="5"/>
  <c r="G408" i="5"/>
  <c r="G3453" i="5"/>
  <c r="G1675" i="5"/>
  <c r="G4427" i="5"/>
  <c r="G1719" i="5"/>
  <c r="G1210" i="5"/>
  <c r="G1680" i="5"/>
  <c r="G3075" i="5"/>
  <c r="G1329" i="5"/>
  <c r="G1324" i="5"/>
  <c r="H3064" i="5"/>
  <c r="G4368" i="5"/>
  <c r="G4331" i="5"/>
  <c r="G4162" i="5"/>
  <c r="G3745" i="5"/>
  <c r="G2648" i="5"/>
  <c r="G1225" i="5"/>
  <c r="G4440" i="5"/>
  <c r="G4390" i="5"/>
  <c r="G3693" i="5"/>
  <c r="G2326" i="5"/>
  <c r="G3037" i="5"/>
  <c r="G1085" i="5"/>
  <c r="G373" i="5"/>
  <c r="G1103" i="5"/>
  <c r="G565" i="5"/>
  <c r="G3521" i="5"/>
  <c r="G2145" i="5"/>
  <c r="G4447" i="5"/>
  <c r="G3424" i="5"/>
  <c r="G2005" i="5"/>
  <c r="G1287" i="5"/>
  <c r="G4307" i="5"/>
  <c r="G4419" i="5"/>
  <c r="G3873" i="5"/>
  <c r="G3166" i="5"/>
  <c r="G4199" i="5"/>
  <c r="G3793" i="5"/>
  <c r="G3097" i="5"/>
  <c r="G1280" i="5"/>
  <c r="G3959" i="5"/>
  <c r="G4194" i="5"/>
  <c r="G3759" i="5"/>
  <c r="G3218" i="5"/>
  <c r="G2243" i="5"/>
  <c r="G985" i="5"/>
  <c r="G294" i="5"/>
  <c r="G538" i="5"/>
  <c r="G738" i="5"/>
  <c r="G926" i="5"/>
  <c r="G388" i="5"/>
  <c r="G4495" i="5"/>
  <c r="G4582" i="5"/>
  <c r="G4156" i="5"/>
  <c r="G3904" i="5"/>
  <c r="G3232" i="5"/>
  <c r="G3802" i="5"/>
  <c r="G3204" i="5"/>
  <c r="G3778" i="5"/>
  <c r="G1319" i="5"/>
  <c r="G3274" i="5"/>
  <c r="G3584" i="5"/>
  <c r="G833" i="5"/>
  <c r="G344" i="5"/>
  <c r="G1019" i="5"/>
  <c r="G2580" i="5"/>
  <c r="G749" i="5"/>
  <c r="G72" i="5"/>
  <c r="G1624" i="5"/>
  <c r="G847" i="5"/>
  <c r="G3008" i="5"/>
  <c r="G2259" i="5"/>
  <c r="G1005" i="5"/>
  <c r="G1951" i="5"/>
  <c r="G2802" i="5"/>
  <c r="G597" i="5"/>
  <c r="G1670" i="5"/>
  <c r="G4146" i="5"/>
  <c r="G4248" i="5"/>
  <c r="G750" i="5"/>
  <c r="G2908" i="5"/>
  <c r="G3050" i="5"/>
  <c r="G2995" i="5"/>
  <c r="G1196" i="5"/>
  <c r="G1647" i="5"/>
  <c r="G2970" i="5"/>
  <c r="G4451" i="5"/>
  <c r="G4177" i="5"/>
  <c r="G3607" i="5"/>
  <c r="G4221" i="5"/>
  <c r="G4214" i="5"/>
  <c r="G3772" i="5"/>
  <c r="G3147" i="5"/>
  <c r="G3281" i="5"/>
  <c r="G3795" i="5"/>
  <c r="G1998" i="5"/>
  <c r="G793" i="5"/>
  <c r="G284" i="5"/>
  <c r="G950" i="5"/>
  <c r="G374" i="5"/>
  <c r="G4347" i="5"/>
  <c r="G3915" i="5"/>
  <c r="G3253" i="5"/>
  <c r="G4131" i="5"/>
  <c r="G3675" i="5"/>
  <c r="G1161" i="5"/>
  <c r="G4249" i="5"/>
  <c r="G4026" i="5"/>
  <c r="G3547" i="5"/>
  <c r="G2764" i="5"/>
  <c r="G2620" i="5"/>
  <c r="G383" i="5"/>
  <c r="G1991" i="5"/>
  <c r="G622" i="5"/>
  <c r="G3666" i="5"/>
  <c r="G791" i="5"/>
  <c r="G932" i="5"/>
  <c r="G404" i="5"/>
  <c r="G4215" i="5"/>
  <c r="G4262" i="5"/>
  <c r="G3966" i="5"/>
  <c r="G3362" i="5"/>
  <c r="G3912" i="5"/>
  <c r="G2624" i="5"/>
  <c r="G1211" i="5"/>
  <c r="G4069" i="5"/>
  <c r="G3803" i="5"/>
  <c r="G1445" i="5"/>
  <c r="G1576" i="5"/>
  <c r="G779" i="5"/>
  <c r="G986" i="5"/>
  <c r="G402" i="5"/>
  <c r="G1140" i="5"/>
  <c r="G1041" i="5"/>
  <c r="G514" i="5"/>
  <c r="G4484" i="5"/>
  <c r="G4443" i="5"/>
  <c r="G4103" i="5"/>
  <c r="G1076" i="5"/>
  <c r="G581" i="5"/>
  <c r="G4482" i="5"/>
  <c r="G4383" i="5"/>
  <c r="G4097" i="5"/>
  <c r="G3551" i="5"/>
  <c r="G4188" i="5"/>
  <c r="G3776" i="5"/>
  <c r="G3000" i="5"/>
  <c r="G1266" i="5"/>
  <c r="G4516" i="5"/>
  <c r="G4154" i="5"/>
  <c r="G3726" i="5"/>
  <c r="G2656" i="5"/>
  <c r="G3171" i="5"/>
  <c r="G3225" i="5"/>
  <c r="G1204" i="5"/>
  <c r="G1001" i="5"/>
  <c r="G1197" i="5"/>
  <c r="G673" i="5"/>
  <c r="G4517" i="5"/>
  <c r="G4176" i="5"/>
  <c r="G3637" i="5"/>
  <c r="G3606" i="5"/>
  <c r="G1101" i="5"/>
  <c r="G4204" i="5"/>
  <c r="G4205" i="5"/>
  <c r="G3762" i="5"/>
  <c r="G3260" i="5"/>
  <c r="G3690" i="5"/>
  <c r="G1245" i="5"/>
  <c r="G2632" i="5"/>
  <c r="G630" i="5"/>
  <c r="G815" i="5"/>
  <c r="G330" i="5"/>
  <c r="G405" i="5"/>
  <c r="G1176" i="5"/>
  <c r="G640" i="5"/>
  <c r="G4336" i="5"/>
  <c r="G4105" i="5"/>
  <c r="G1155" i="5"/>
  <c r="G4224" i="5"/>
  <c r="G3552" i="5"/>
  <c r="G3585" i="5"/>
  <c r="G934" i="5"/>
  <c r="G3267" i="5"/>
  <c r="G758" i="5"/>
  <c r="G4151" i="5"/>
  <c r="G4102" i="5"/>
  <c r="G4047" i="5"/>
  <c r="G2220" i="5"/>
  <c r="G3891" i="5"/>
  <c r="G4616" i="5"/>
  <c r="G4571" i="5"/>
  <c r="G4216" i="5"/>
  <c r="G1317" i="5"/>
  <c r="G1055" i="5"/>
  <c r="G1963" i="5"/>
  <c r="G3470" i="5"/>
  <c r="G1730" i="5"/>
  <c r="H3084" i="5"/>
  <c r="H1895" i="5"/>
  <c r="H4499" i="5"/>
  <c r="G4005" i="5"/>
  <c r="G3423" i="5"/>
  <c r="G2747" i="5"/>
  <c r="G385" i="5"/>
  <c r="G2173" i="5"/>
  <c r="G3751" i="5"/>
  <c r="G794" i="5"/>
  <c r="G406" i="5"/>
  <c r="G4439" i="5"/>
  <c r="G4458" i="5"/>
  <c r="G4382" i="5"/>
  <c r="G4077" i="5"/>
  <c r="G4187" i="5"/>
  <c r="G2950" i="5"/>
  <c r="G1252" i="5"/>
  <c r="G4471" i="5"/>
  <c r="G3941" i="5"/>
  <c r="G3706" i="5"/>
  <c r="G3105" i="5"/>
  <c r="G3196" i="5"/>
  <c r="G3779" i="5"/>
  <c r="G1997" i="5"/>
  <c r="G592" i="5"/>
  <c r="G2866" i="5"/>
  <c r="G792" i="5"/>
  <c r="G372" i="5"/>
  <c r="G806" i="5"/>
  <c r="G323" i="5"/>
  <c r="G1113" i="5"/>
  <c r="G1793" i="5"/>
  <c r="G244" i="5"/>
  <c r="G4253" i="5"/>
  <c r="G1318" i="5"/>
  <c r="G4223" i="5"/>
  <c r="G4220" i="5"/>
  <c r="G3773" i="5"/>
  <c r="G3459" i="5"/>
  <c r="G698" i="5"/>
  <c r="H2852" i="5"/>
  <c r="H1697" i="5"/>
  <c r="H2779" i="5"/>
  <c r="H2774" i="5"/>
  <c r="H3815" i="5"/>
  <c r="E1073" i="8" s="1"/>
  <c r="H2897" i="5"/>
  <c r="H3821" i="5"/>
  <c r="E1074" i="8" s="1"/>
  <c r="E857" i="8" l="1"/>
  <c r="E894" i="8"/>
  <c r="E303" i="8"/>
  <c r="E375" i="8"/>
  <c r="E908" i="8"/>
  <c r="E276" i="8"/>
  <c r="E1171" i="8"/>
  <c r="E362" i="8"/>
  <c r="E200" i="8"/>
  <c r="E870" i="8"/>
  <c r="E311" i="8"/>
  <c r="E912" i="8"/>
  <c r="E126" i="8"/>
  <c r="E876" i="8"/>
  <c r="E1121" i="8"/>
  <c r="E856" i="8"/>
  <c r="E890" i="8"/>
  <c r="E186" i="8"/>
  <c r="H3596" i="5"/>
  <c r="H1335" i="5"/>
  <c r="E230" i="8" s="1"/>
  <c r="H1329" i="5"/>
  <c r="E229" i="8" s="1"/>
  <c r="H2197" i="5"/>
  <c r="H2205" i="5"/>
  <c r="H2784" i="5"/>
  <c r="H1907" i="5"/>
  <c r="H1913" i="5"/>
  <c r="H4355" i="5"/>
  <c r="H2937" i="5"/>
  <c r="H2189" i="5"/>
  <c r="H2917" i="5"/>
  <c r="H2826" i="5"/>
  <c r="H2791" i="5"/>
  <c r="G2071" i="5"/>
  <c r="H2922" i="5"/>
  <c r="G688" i="5"/>
  <c r="H4276" i="5"/>
  <c r="H2628" i="5"/>
  <c r="H3224" i="5"/>
  <c r="H4547" i="5"/>
  <c r="E1177" i="8" s="1"/>
  <c r="H3231" i="5"/>
  <c r="H3252" i="5"/>
  <c r="H4284" i="5"/>
  <c r="H2932" i="5"/>
  <c r="H2942" i="5"/>
  <c r="H1769" i="5"/>
  <c r="E284" i="8" s="1"/>
  <c r="H3266" i="5"/>
  <c r="H3537" i="5"/>
  <c r="H2769" i="5"/>
  <c r="H3238" i="5"/>
  <c r="H857" i="5"/>
  <c r="H1840" i="5"/>
  <c r="E302" i="8" s="1"/>
  <c r="H3280" i="5"/>
  <c r="H4065" i="5"/>
  <c r="E1118" i="8" s="1"/>
  <c r="H4266" i="5"/>
  <c r="H2947" i="5"/>
  <c r="H249" i="5"/>
  <c r="H4507" i="5"/>
  <c r="H745" i="5"/>
  <c r="E143" i="8" s="1"/>
  <c r="H4555" i="5"/>
  <c r="H3995" i="5"/>
  <c r="H4322" i="5"/>
  <c r="H3273" i="5"/>
  <c r="H3505" i="5"/>
  <c r="H4161" i="5"/>
  <c r="G1286" i="5"/>
  <c r="G2047" i="5"/>
  <c r="G580" i="5"/>
  <c r="G2095" i="5"/>
  <c r="G2063" i="5"/>
  <c r="G2079" i="5"/>
  <c r="H1762" i="5"/>
  <c r="E283" i="8" s="1"/>
  <c r="H4043" i="5"/>
  <c r="H472" i="5"/>
  <c r="H3299" i="5"/>
  <c r="H4036" i="5"/>
  <c r="H1182" i="5"/>
  <c r="E208" i="8" s="1"/>
  <c r="H327" i="5"/>
  <c r="E85" i="8" s="1"/>
  <c r="H3259" i="5"/>
  <c r="H4054" i="5"/>
  <c r="H3732" i="5"/>
  <c r="E1064" i="8" s="1"/>
  <c r="H3245" i="5"/>
  <c r="H607" i="5"/>
  <c r="E117" i="8" s="1"/>
  <c r="H4230" i="5"/>
  <c r="H1610" i="5"/>
  <c r="E261" i="8" s="1"/>
  <c r="H2865" i="5"/>
  <c r="H1997" i="5"/>
  <c r="E328" i="8" s="1"/>
  <c r="F183" i="6"/>
  <c r="F63" i="6"/>
  <c r="F27" i="7"/>
  <c r="H1055" i="5"/>
  <c r="E190" i="8" s="1"/>
  <c r="F71" i="6"/>
  <c r="H1266" i="5"/>
  <c r="F30" i="7"/>
  <c r="H1576" i="5"/>
  <c r="F188" i="6"/>
  <c r="G188" i="6" s="1"/>
  <c r="F98" i="6"/>
  <c r="F232" i="6"/>
  <c r="H2969" i="5"/>
  <c r="F314" i="6"/>
  <c r="H538" i="5"/>
  <c r="F36" i="7"/>
  <c r="F144" i="6"/>
  <c r="F344" i="6"/>
  <c r="H2616" i="5"/>
  <c r="H3342" i="5"/>
  <c r="E955" i="8" s="1"/>
  <c r="H1403" i="5"/>
  <c r="E241" i="8" s="1"/>
  <c r="F41" i="6"/>
  <c r="F64" i="6"/>
  <c r="H1231" i="5"/>
  <c r="F158" i="6"/>
  <c r="F35" i="6"/>
  <c r="F9" i="7"/>
  <c r="H697" i="5"/>
  <c r="E131" i="8" s="1"/>
  <c r="H4239" i="5"/>
  <c r="E1139" i="8" s="1"/>
  <c r="F343" i="6"/>
  <c r="F331" i="6"/>
  <c r="G3080" i="5"/>
  <c r="G1039" i="5"/>
  <c r="G2955" i="5"/>
  <c r="G1124" i="5"/>
  <c r="G2817" i="5"/>
  <c r="G3787" i="5"/>
  <c r="G1941" i="5"/>
  <c r="G2822" i="5"/>
  <c r="G2913" i="5"/>
  <c r="H2889" i="5"/>
  <c r="H1069" i="5"/>
  <c r="H237" i="5"/>
  <c r="H2452" i="5"/>
  <c r="H1657" i="5"/>
  <c r="H3445" i="5"/>
  <c r="H4089" i="5"/>
  <c r="F170" i="6"/>
  <c r="H756" i="5"/>
  <c r="H2572" i="5"/>
  <c r="E568" i="8" s="1"/>
  <c r="H3978" i="5"/>
  <c r="H3128" i="5"/>
  <c r="F88" i="6"/>
  <c r="H1628" i="5"/>
  <c r="H3809" i="5"/>
  <c r="H724" i="5"/>
  <c r="E134" i="8" s="1"/>
  <c r="F9" i="6"/>
  <c r="F260" i="6"/>
  <c r="H4002" i="5"/>
  <c r="E1111" i="8" s="1"/>
  <c r="F243" i="6"/>
  <c r="H4095" i="5"/>
  <c r="H1853" i="5"/>
  <c r="H2989" i="5"/>
  <c r="H1175" i="5"/>
  <c r="E207" i="8" s="1"/>
  <c r="H2636" i="5"/>
  <c r="H3742" i="5"/>
  <c r="E1065" i="8" s="1"/>
  <c r="H2004" i="5"/>
  <c r="E329" i="8" s="1"/>
  <c r="H3957" i="5"/>
  <c r="H3617" i="5"/>
  <c r="H1010" i="5"/>
  <c r="E184" i="8" s="1"/>
  <c r="H3908" i="5"/>
  <c r="F326" i="6"/>
  <c r="H3517" i="5"/>
  <c r="E979" i="8" s="1"/>
  <c r="H1877" i="5"/>
  <c r="H4408" i="5"/>
  <c r="H3939" i="5"/>
  <c r="H71" i="5"/>
  <c r="E19" i="8" s="1"/>
  <c r="H4076" i="5"/>
  <c r="E1120" i="8" s="1"/>
  <c r="H4138" i="5"/>
  <c r="E1130" i="8" s="1"/>
  <c r="H4361" i="5"/>
  <c r="F246" i="6"/>
  <c r="G2087" i="5"/>
  <c r="G4014" i="5"/>
  <c r="G2363" i="5"/>
  <c r="G3836" i="5"/>
  <c r="G1720" i="5"/>
  <c r="G1729" i="5"/>
  <c r="G2812" i="5"/>
  <c r="G491" i="5"/>
  <c r="G3070" i="5"/>
  <c r="H2881" i="5"/>
  <c r="H4125" i="5"/>
  <c r="E1128" i="8" s="1"/>
  <c r="F213" i="6"/>
  <c r="F132" i="6"/>
  <c r="H1651" i="5"/>
  <c r="H3921" i="5"/>
  <c r="H4302" i="5"/>
  <c r="E1146" i="8" s="1"/>
  <c r="F287" i="6"/>
  <c r="F280" i="6"/>
  <c r="G1811" i="5"/>
  <c r="H4220" i="5"/>
  <c r="E1137" i="8" s="1"/>
  <c r="H3196" i="5"/>
  <c r="H3706" i="5"/>
  <c r="H4614" i="5"/>
  <c r="H2218" i="5"/>
  <c r="F257" i="6"/>
  <c r="H1245" i="5"/>
  <c r="H1101" i="5"/>
  <c r="F218" i="6"/>
  <c r="F55" i="6"/>
  <c r="H2656" i="5"/>
  <c r="H3551" i="5"/>
  <c r="F317" i="6"/>
  <c r="H1076" i="5"/>
  <c r="E193" i="8" s="1"/>
  <c r="F270" i="6"/>
  <c r="H1140" i="5"/>
  <c r="H2624" i="5"/>
  <c r="E578" i="8" s="1"/>
  <c r="F171" i="6"/>
  <c r="H791" i="5"/>
  <c r="E149" i="8" s="1"/>
  <c r="H2762" i="5"/>
  <c r="E854" i="8" s="1"/>
  <c r="H3545" i="5"/>
  <c r="H3675" i="5"/>
  <c r="F332" i="6"/>
  <c r="H950" i="5"/>
  <c r="H4213" i="5"/>
  <c r="H1196" i="5"/>
  <c r="E210" i="8" s="1"/>
  <c r="H3049" i="5"/>
  <c r="H4146" i="5"/>
  <c r="H597" i="5"/>
  <c r="E116" i="8" s="1"/>
  <c r="H1950" i="5"/>
  <c r="H2257" i="5"/>
  <c r="H846" i="5"/>
  <c r="H2580" i="5"/>
  <c r="H3584" i="5"/>
  <c r="F81" i="6"/>
  <c r="F247" i="6"/>
  <c r="H983" i="5"/>
  <c r="E181" i="8" s="1"/>
  <c r="F288" i="6"/>
  <c r="H2648" i="5"/>
  <c r="H1679" i="5"/>
  <c r="H4427" i="5"/>
  <c r="E1163" i="8" s="1"/>
  <c r="H941" i="5"/>
  <c r="E175" i="8" s="1"/>
  <c r="F50" i="6"/>
  <c r="H277" i="5"/>
  <c r="E80" i="8" s="1"/>
  <c r="H2393" i="5"/>
  <c r="E383" i="8" s="1"/>
  <c r="H994" i="5"/>
  <c r="E182" i="8" s="1"/>
  <c r="F114" i="6"/>
  <c r="H864" i="5"/>
  <c r="E160" i="8" s="1"/>
  <c r="H3698" i="5"/>
  <c r="H2732" i="5"/>
  <c r="E849" i="8" s="1"/>
  <c r="H2664" i="5"/>
  <c r="H916" i="5"/>
  <c r="H2584" i="5"/>
  <c r="H3886" i="5"/>
  <c r="H4257" i="5"/>
  <c r="E1141" i="8" s="1"/>
  <c r="F279" i="6"/>
  <c r="G1806" i="5"/>
  <c r="G21" i="5"/>
  <c r="G1189" i="5"/>
  <c r="F29" i="6"/>
  <c r="F8" i="7"/>
  <c r="F19" i="7"/>
  <c r="G19" i="7" s="1"/>
  <c r="H3865" i="5"/>
  <c r="E1081" i="8" s="1"/>
  <c r="H2149" i="5"/>
  <c r="H3133" i="5"/>
  <c r="E920" i="8" s="1"/>
  <c r="F138" i="6"/>
  <c r="H54" i="5"/>
  <c r="H3115" i="5"/>
  <c r="E917" i="8" s="1"/>
  <c r="H3355" i="5"/>
  <c r="H505" i="5"/>
  <c r="E104" i="8" s="1"/>
  <c r="F256" i="6"/>
  <c r="H851" i="5"/>
  <c r="H4579" i="5"/>
  <c r="E1181" i="8" s="1"/>
  <c r="H1111" i="5"/>
  <c r="H737" i="5"/>
  <c r="E136" i="8" s="1"/>
  <c r="H1834" i="5"/>
  <c r="H1273" i="5"/>
  <c r="H241" i="5"/>
  <c r="H2018" i="5"/>
  <c r="E331" i="8" s="1"/>
  <c r="H3948" i="5"/>
  <c r="H3579" i="5"/>
  <c r="H4490" i="5"/>
  <c r="G2928" i="5"/>
  <c r="G3782" i="5"/>
  <c r="G3420" i="5"/>
  <c r="G2031" i="5"/>
  <c r="G2960" i="5"/>
  <c r="F83" i="6"/>
  <c r="F241" i="6"/>
  <c r="F352" i="6"/>
  <c r="H2181" i="5"/>
  <c r="H4433" i="5"/>
  <c r="H1168" i="5"/>
  <c r="E206" i="8" s="1"/>
  <c r="H1307" i="5"/>
  <c r="E226" i="8" s="1"/>
  <c r="H1385" i="5"/>
  <c r="E238" i="8" s="1"/>
  <c r="H3843" i="5"/>
  <c r="E1077" i="8" s="1"/>
  <c r="H3661" i="5"/>
  <c r="H4533" i="5"/>
  <c r="F222" i="6"/>
  <c r="H321" i="5"/>
  <c r="E84" i="8" s="1"/>
  <c r="H767" i="5"/>
  <c r="E146" i="8" s="1"/>
  <c r="H532" i="5"/>
  <c r="E108" i="8" s="1"/>
  <c r="H465" i="5"/>
  <c r="E99" i="8" s="1"/>
  <c r="H4403" i="5"/>
  <c r="F99" i="6"/>
  <c r="F89" i="6"/>
  <c r="H2857" i="5"/>
  <c r="F162" i="6"/>
  <c r="F36" i="6"/>
  <c r="H3313" i="5"/>
  <c r="E948" i="8" s="1"/>
  <c r="H4525" i="5"/>
  <c r="G1722" i="5"/>
  <c r="G1744" i="5"/>
  <c r="G1731" i="5"/>
  <c r="H2011" i="5"/>
  <c r="E330" i="8" s="1"/>
  <c r="H4539" i="5"/>
  <c r="E1176" i="8" s="1"/>
  <c r="F51" i="6"/>
  <c r="H886" i="5"/>
  <c r="E163" i="8" s="1"/>
  <c r="H870" i="5"/>
  <c r="H416" i="5"/>
  <c r="E93" i="8" s="1"/>
  <c r="H3121" i="5"/>
  <c r="E918" i="8" s="1"/>
  <c r="H3689" i="5"/>
  <c r="E1019" i="8" s="1"/>
  <c r="H4117" i="5"/>
  <c r="E1126" i="8" s="1"/>
  <c r="F156" i="6"/>
  <c r="H2632" i="5"/>
  <c r="F31" i="6"/>
  <c r="F289" i="6"/>
  <c r="H2999" i="5"/>
  <c r="F42" i="6"/>
  <c r="H402" i="5"/>
  <c r="E92" i="8" s="1"/>
  <c r="F157" i="6"/>
  <c r="F313" i="6"/>
  <c r="H2907" i="5"/>
  <c r="H3007" i="5"/>
  <c r="F328" i="6"/>
  <c r="F32" i="6"/>
  <c r="F30" i="6"/>
  <c r="H1210" i="5"/>
  <c r="E212" i="8" s="1"/>
  <c r="F255" i="6"/>
  <c r="F312" i="6"/>
  <c r="H381" i="5"/>
  <c r="F26" i="7"/>
  <c r="F8" i="6"/>
  <c r="F45" i="6"/>
  <c r="H1224" i="5"/>
  <c r="E214" i="8" s="1"/>
  <c r="H233" i="5"/>
  <c r="F46" i="6"/>
  <c r="G2121" i="5"/>
  <c r="G2380" i="5"/>
  <c r="G3217" i="5"/>
  <c r="G2807" i="5"/>
  <c r="G1799" i="5"/>
  <c r="G1393" i="5"/>
  <c r="G486" i="5"/>
  <c r="G3724" i="5"/>
  <c r="G1873" i="5"/>
  <c r="G1356" i="5"/>
  <c r="H1015" i="5"/>
  <c r="E185" i="8" s="1"/>
  <c r="H4101" i="5"/>
  <c r="H2399" i="5"/>
  <c r="E384" i="8" s="1"/>
  <c r="H2367" i="5"/>
  <c r="F223" i="6"/>
  <c r="F200" i="6"/>
  <c r="H366" i="5"/>
  <c r="H925" i="5"/>
  <c r="F340" i="6"/>
  <c r="H2847" i="5"/>
  <c r="H2979" i="5"/>
  <c r="H3054" i="5"/>
  <c r="H3972" i="5"/>
  <c r="F318" i="6"/>
  <c r="F306" i="6"/>
  <c r="H1604" i="5"/>
  <c r="H2652" i="5"/>
  <c r="E585" i="8" s="1"/>
  <c r="H4312" i="5"/>
  <c r="E1147" i="8" s="1"/>
  <c r="H3482" i="5"/>
  <c r="G3428" i="5"/>
  <c r="H3532" i="5"/>
  <c r="H2333" i="5"/>
  <c r="H1217" i="5"/>
  <c r="E213" i="8" s="1"/>
  <c r="H1093" i="5"/>
  <c r="F227" i="6"/>
  <c r="F228" i="6"/>
  <c r="H264" i="5"/>
  <c r="E78" i="8" s="1"/>
  <c r="F269" i="6"/>
  <c r="H962" i="5"/>
  <c r="F13" i="7"/>
  <c r="G13" i="7" s="1"/>
  <c r="H4600" i="5"/>
  <c r="E1184" i="8" s="1"/>
  <c r="H1203" i="5"/>
  <c r="H1569" i="5"/>
  <c r="H2873" i="5"/>
  <c r="H1062" i="5"/>
  <c r="E191" i="8" s="1"/>
  <c r="H2125" i="5"/>
  <c r="E345" i="8" s="1"/>
  <c r="H3338" i="5"/>
  <c r="H3024" i="5"/>
  <c r="E901" i="8" s="1"/>
  <c r="H665" i="5"/>
  <c r="H1259" i="5"/>
  <c r="E219" i="8" s="1"/>
  <c r="F161" i="6"/>
  <c r="H4588" i="5"/>
  <c r="E1182" i="8" s="1"/>
  <c r="G1048" i="5"/>
  <c r="G3834" i="5"/>
  <c r="G1733" i="5"/>
  <c r="G1755" i="5"/>
  <c r="G1969" i="5"/>
  <c r="G2111" i="5"/>
  <c r="G3045" i="5"/>
  <c r="G2843" i="5"/>
  <c r="G1861" i="5"/>
  <c r="F173" i="6"/>
  <c r="F35" i="7"/>
  <c r="H3386" i="5"/>
  <c r="E963" i="8" s="1"/>
  <c r="G3212" i="5"/>
  <c r="G1238" i="5"/>
  <c r="F108" i="6"/>
  <c r="G108" i="6" s="1"/>
  <c r="H1252" i="5"/>
  <c r="H4381" i="5"/>
  <c r="H4439" i="5"/>
  <c r="E1165" i="8" s="1"/>
  <c r="H3751" i="5"/>
  <c r="H2173" i="5"/>
  <c r="H2745" i="5"/>
  <c r="E851" i="8" s="1"/>
  <c r="H1961" i="5"/>
  <c r="H4571" i="5"/>
  <c r="E1180" i="8" s="1"/>
  <c r="H4151" i="5"/>
  <c r="E1132" i="8" s="1"/>
  <c r="H638" i="5"/>
  <c r="H815" i="5"/>
  <c r="H4482" i="5"/>
  <c r="H512" i="5"/>
  <c r="E105" i="8" s="1"/>
  <c r="H616" i="5"/>
  <c r="H4069" i="5"/>
  <c r="H3912" i="5"/>
  <c r="H3966" i="5"/>
  <c r="H932" i="5"/>
  <c r="E174" i="8" s="1"/>
  <c r="H2620" i="5"/>
  <c r="H1161" i="5"/>
  <c r="E205" i="8" s="1"/>
  <c r="H4131" i="5"/>
  <c r="F359" i="6"/>
  <c r="G359" i="6" s="1"/>
  <c r="H284" i="5"/>
  <c r="E81" i="8" s="1"/>
  <c r="F54" i="6"/>
  <c r="H4451" i="5"/>
  <c r="E1166" i="8" s="1"/>
  <c r="H1645" i="5"/>
  <c r="E267" i="8" s="1"/>
  <c r="H2994" i="5"/>
  <c r="H4248" i="5"/>
  <c r="E1140" i="8" s="1"/>
  <c r="H1669" i="5"/>
  <c r="H2801" i="5"/>
  <c r="H1005" i="5"/>
  <c r="H1623" i="5"/>
  <c r="H749" i="5"/>
  <c r="E144" i="8" s="1"/>
  <c r="H833" i="5"/>
  <c r="H3904" i="5"/>
  <c r="H3095" i="5"/>
  <c r="E914" i="8" s="1"/>
  <c r="F52" i="6"/>
  <c r="H2143" i="5"/>
  <c r="E348" i="8" s="1"/>
  <c r="F298" i="6"/>
  <c r="H1085" i="5"/>
  <c r="E194" i="8" s="1"/>
  <c r="H2326" i="5"/>
  <c r="H3074" i="5"/>
  <c r="H1674" i="5"/>
  <c r="H3109" i="5"/>
  <c r="E916" i="8" s="1"/>
  <c r="H3320" i="5"/>
  <c r="E949" i="8" s="1"/>
  <c r="F281" i="6"/>
  <c r="H2588" i="5"/>
  <c r="E572" i="8" s="1"/>
  <c r="H3930" i="5"/>
  <c r="H2738" i="5"/>
  <c r="E850" i="8" s="1"/>
  <c r="F341" i="6"/>
  <c r="H878" i="5"/>
  <c r="E162" i="8" s="1"/>
  <c r="F150" i="6"/>
  <c r="F29" i="7"/>
  <c r="H3012" i="5"/>
  <c r="H4292" i="5"/>
  <c r="H2424" i="5"/>
  <c r="F261" i="6"/>
  <c r="G1778" i="5"/>
  <c r="G976" i="5"/>
  <c r="G1885" i="5"/>
  <c r="H3102" i="5"/>
  <c r="E915" i="8" s="1"/>
  <c r="F194" i="6"/>
  <c r="G194" i="6" s="1"/>
  <c r="F23" i="6"/>
  <c r="F182" i="6"/>
  <c r="H1279" i="5"/>
  <c r="H2157" i="5"/>
  <c r="H2640" i="5"/>
  <c r="H4111" i="5"/>
  <c r="H4565" i="5"/>
  <c r="H229" i="5"/>
  <c r="H498" i="5"/>
  <c r="F84" i="6"/>
  <c r="H3184" i="5"/>
  <c r="F72" i="6"/>
  <c r="F229" i="6"/>
  <c r="F242" i="6"/>
  <c r="H1147" i="5"/>
  <c r="E203" i="8" s="1"/>
  <c r="H2351" i="5"/>
  <c r="E376" i="8" s="1"/>
  <c r="H731" i="5"/>
  <c r="E135" i="8" s="1"/>
  <c r="H2165" i="5"/>
  <c r="F40" i="6"/>
  <c r="F299" i="6"/>
  <c r="F212" i="6"/>
  <c r="G1946" i="5"/>
  <c r="G3060" i="5"/>
  <c r="G1381" i="5"/>
  <c r="G1583" i="5"/>
  <c r="G1751" i="5"/>
  <c r="H1154" i="5"/>
  <c r="F233" i="6"/>
  <c r="F174" i="6"/>
  <c r="H1119" i="5"/>
  <c r="H1783" i="5"/>
  <c r="E286" i="8" s="1"/>
  <c r="H2974" i="5"/>
  <c r="H1598" i="5"/>
  <c r="H3702" i="5"/>
  <c r="H969" i="5"/>
  <c r="H1634" i="5"/>
  <c r="H2576" i="5"/>
  <c r="H4018" i="5"/>
  <c r="H455" i="5"/>
  <c r="F126" i="6"/>
  <c r="F258" i="6"/>
  <c r="F120" i="6"/>
  <c r="F217" i="6"/>
  <c r="H819" i="5"/>
  <c r="G1713" i="5"/>
  <c r="H805" i="5"/>
  <c r="E150" i="8" s="1"/>
  <c r="F327" i="6"/>
  <c r="H773" i="5"/>
  <c r="E147" i="8" s="1"/>
  <c r="H840" i="5"/>
  <c r="H3190" i="5"/>
  <c r="H2644" i="5"/>
  <c r="E583" i="8" s="1"/>
  <c r="H956" i="5"/>
  <c r="E1164" i="8" l="1"/>
  <c r="E301" i="8"/>
  <c r="E892" i="8"/>
  <c r="E53" i="8"/>
  <c r="E899" i="8"/>
  <c r="E861" i="8"/>
  <c r="E118" i="8"/>
  <c r="E121" i="8"/>
  <c r="E1156" i="8"/>
  <c r="E975" i="8"/>
  <c r="E893" i="8"/>
  <c r="E897" i="8"/>
  <c r="E871" i="8"/>
  <c r="E353" i="8"/>
  <c r="E16" i="8"/>
  <c r="E593" i="8"/>
  <c r="E905" i="8"/>
  <c r="E586" i="8"/>
  <c r="E1036" i="8"/>
  <c r="E1094" i="8"/>
  <c r="E1155" i="8"/>
  <c r="E215" i="8"/>
  <c r="E872" i="8"/>
  <c r="E1148" i="8"/>
  <c r="E1143" i="8"/>
  <c r="E354" i="8"/>
  <c r="E179" i="8"/>
  <c r="E204" i="8"/>
  <c r="E259" i="8"/>
  <c r="E103" i="8"/>
  <c r="E1145" i="8"/>
  <c r="E985" i="8"/>
  <c r="E1237" i="8"/>
  <c r="E938" i="8"/>
  <c r="E940" i="8"/>
  <c r="E1142" i="8"/>
  <c r="E939" i="8"/>
  <c r="E579" i="8"/>
  <c r="E355" i="8"/>
  <c r="E1179" i="8"/>
  <c r="E271" i="8"/>
  <c r="E1129" i="8"/>
  <c r="E218" i="8"/>
  <c r="E873" i="8"/>
  <c r="E869" i="8"/>
  <c r="E1124" i="8"/>
  <c r="E1175" i="8"/>
  <c r="E1170" i="8"/>
  <c r="E197" i="8"/>
  <c r="E991" i="8"/>
  <c r="E929" i="8"/>
  <c r="E268" i="8"/>
  <c r="E1088" i="8"/>
  <c r="E895" i="8"/>
  <c r="E1071" i="8"/>
  <c r="E1122" i="8"/>
  <c r="E109" i="8"/>
  <c r="E220" i="8"/>
  <c r="E1110" i="8"/>
  <c r="E941" i="8"/>
  <c r="E885" i="8"/>
  <c r="E884" i="8"/>
  <c r="E156" i="8"/>
  <c r="E906" i="8"/>
  <c r="E379" i="8"/>
  <c r="E172" i="8"/>
  <c r="E1131" i="8"/>
  <c r="E880" i="8"/>
  <c r="E98" i="8"/>
  <c r="E1113" i="8"/>
  <c r="E198" i="8"/>
  <c r="E1125" i="8"/>
  <c r="E1006" i="8"/>
  <c r="E989" i="8"/>
  <c r="E1034" i="8"/>
  <c r="E570" i="8"/>
  <c r="E1136" i="8"/>
  <c r="E304" i="8"/>
  <c r="E264" i="8"/>
  <c r="E971" i="8"/>
  <c r="E1138" i="8"/>
  <c r="E1115" i="8"/>
  <c r="E1178" i="8"/>
  <c r="E883" i="8"/>
  <c r="E881" i="8"/>
  <c r="E1154" i="8"/>
  <c r="E993" i="8"/>
  <c r="E183" i="8"/>
  <c r="E1119" i="8"/>
  <c r="E151" i="8"/>
  <c r="E145" i="8"/>
  <c r="E257" i="8"/>
  <c r="E1169" i="8"/>
  <c r="E898" i="8"/>
  <c r="E569" i="8"/>
  <c r="E582" i="8"/>
  <c r="E323" i="8"/>
  <c r="E1159" i="8"/>
  <c r="E1098" i="8"/>
  <c r="E158" i="8"/>
  <c r="E349" i="8"/>
  <c r="E273" i="8"/>
  <c r="E157" i="8"/>
  <c r="E176" i="8"/>
  <c r="E202" i="8"/>
  <c r="E196" i="8"/>
  <c r="E995" i="8"/>
  <c r="E1123" i="8"/>
  <c r="E269" i="8"/>
  <c r="E891" i="8"/>
  <c r="E945" i="8"/>
  <c r="E159" i="8"/>
  <c r="E1144" i="8"/>
  <c r="E314" i="8"/>
  <c r="E581" i="8"/>
  <c r="E875" i="8"/>
  <c r="E256" i="8"/>
  <c r="E272" i="8"/>
  <c r="E1087" i="8"/>
  <c r="E896" i="8"/>
  <c r="E577" i="8"/>
  <c r="E211" i="8"/>
  <c r="E195" i="8"/>
  <c r="E260" i="8"/>
  <c r="E173" i="8"/>
  <c r="E90" i="8"/>
  <c r="E878" i="8"/>
  <c r="E580" i="8"/>
  <c r="E177" i="8"/>
  <c r="E152" i="8"/>
  <c r="E265" i="8"/>
  <c r="E350" i="8"/>
  <c r="E910" i="8"/>
  <c r="E155" i="8"/>
  <c r="E127" i="8"/>
  <c r="E88" i="8"/>
  <c r="E161" i="8"/>
  <c r="E1174" i="8"/>
  <c r="E584" i="8"/>
  <c r="E365" i="8"/>
  <c r="E217" i="8"/>
  <c r="E1097" i="8"/>
  <c r="E1099" i="8"/>
  <c r="E919" i="8"/>
  <c r="E472" i="8"/>
  <c r="E936" i="8"/>
  <c r="E100" i="8"/>
  <c r="E1172" i="8"/>
  <c r="E935" i="8"/>
  <c r="E937" i="8"/>
  <c r="E934" i="8"/>
  <c r="E859" i="8"/>
  <c r="E313" i="8"/>
  <c r="E1102" i="8"/>
  <c r="E373" i="8"/>
  <c r="E62" i="8"/>
  <c r="E1083" i="8"/>
  <c r="E321" i="8"/>
  <c r="E1017" i="8"/>
  <c r="E874" i="8"/>
  <c r="E1160" i="8"/>
  <c r="E1106" i="8"/>
  <c r="E56" i="8"/>
  <c r="E576" i="8"/>
  <c r="E1116" i="8"/>
  <c r="E1133" i="8"/>
  <c r="E75" i="8"/>
  <c r="E855" i="8"/>
  <c r="E866" i="8"/>
  <c r="E858" i="8"/>
  <c r="E927" i="8"/>
  <c r="E222" i="8"/>
  <c r="E372" i="8"/>
  <c r="E352" i="8"/>
  <c r="E928" i="8"/>
  <c r="E1035" i="8"/>
  <c r="E351" i="8"/>
  <c r="E413" i="8"/>
  <c r="E1095" i="8"/>
  <c r="E263" i="8"/>
  <c r="E1093" i="8"/>
  <c r="E1066" i="8"/>
  <c r="E953" i="8"/>
  <c r="E178" i="8"/>
  <c r="E981" i="8"/>
  <c r="E1103" i="8"/>
  <c r="E54" i="8"/>
  <c r="E221" i="8"/>
  <c r="E958" i="8"/>
  <c r="E571" i="8"/>
  <c r="E983" i="8"/>
  <c r="E360" i="8"/>
  <c r="E308" i="8"/>
  <c r="E192" i="8"/>
  <c r="E1117" i="8"/>
  <c r="E977" i="8"/>
  <c r="E886" i="8"/>
  <c r="E982" i="8"/>
  <c r="E933" i="8"/>
  <c r="E356" i="8"/>
  <c r="G150" i="6"/>
  <c r="G306" i="6"/>
  <c r="G138" i="6"/>
  <c r="G200" i="6"/>
  <c r="G144" i="6"/>
  <c r="G120" i="6"/>
  <c r="G126" i="6"/>
  <c r="G132" i="6"/>
  <c r="G114" i="6"/>
  <c r="G23" i="6"/>
  <c r="H2071" i="5"/>
  <c r="E338" i="8" s="1"/>
  <c r="G2055" i="5"/>
  <c r="H580" i="5"/>
  <c r="H1286" i="5"/>
  <c r="H2079" i="5"/>
  <c r="E339" i="8" s="1"/>
  <c r="H2047" i="5"/>
  <c r="E335" i="8" s="1"/>
  <c r="H2063" i="5"/>
  <c r="H2095" i="5"/>
  <c r="E341" i="8" s="1"/>
  <c r="G8" i="7"/>
  <c r="H4010" i="5"/>
  <c r="E1112" i="8" s="1"/>
  <c r="G2039" i="5"/>
  <c r="G570" i="5"/>
  <c r="G1293" i="5"/>
  <c r="G669" i="5"/>
  <c r="G40" i="6"/>
  <c r="G209" i="6"/>
  <c r="G182" i="6"/>
  <c r="H3786" i="5"/>
  <c r="E1069" i="8" s="1"/>
  <c r="H518" i="5"/>
  <c r="G217" i="6"/>
  <c r="H3212" i="5"/>
  <c r="H1859" i="5"/>
  <c r="H1048" i="5"/>
  <c r="E189" i="8" s="1"/>
  <c r="H1354" i="5"/>
  <c r="E233" i="8" s="1"/>
  <c r="H1391" i="5"/>
  <c r="E239" i="8" s="1"/>
  <c r="G1754" i="5"/>
  <c r="G1792" i="5"/>
  <c r="G3527" i="5"/>
  <c r="G1830" i="5"/>
  <c r="G449" i="5"/>
  <c r="G29" i="6"/>
  <c r="G279" i="6"/>
  <c r="H490" i="5"/>
  <c r="E102" i="8" s="1"/>
  <c r="H2821" i="5"/>
  <c r="H1124" i="5"/>
  <c r="H1039" i="5"/>
  <c r="E188" i="8" s="1"/>
  <c r="G26" i="7"/>
  <c r="H1379" i="5"/>
  <c r="E237" i="8" s="1"/>
  <c r="H3059" i="5"/>
  <c r="H1883" i="5"/>
  <c r="H1776" i="5"/>
  <c r="E285" i="8" s="1"/>
  <c r="G593" i="5"/>
  <c r="G1369" i="5"/>
  <c r="G1936" i="5"/>
  <c r="H2842" i="5"/>
  <c r="H2119" i="5"/>
  <c r="G1721" i="5"/>
  <c r="H2031" i="5"/>
  <c r="E333" i="8" s="1"/>
  <c r="G3900" i="5"/>
  <c r="G1397" i="5"/>
  <c r="G1302" i="5"/>
  <c r="G1665" i="5"/>
  <c r="G1686" i="5"/>
  <c r="H2811" i="5"/>
  <c r="H3079" i="5"/>
  <c r="H1238" i="5"/>
  <c r="E216" i="8" s="1"/>
  <c r="H2111" i="5"/>
  <c r="E343" i="8" s="1"/>
  <c r="H1871" i="5"/>
  <c r="H484" i="5"/>
  <c r="E101" i="8" s="1"/>
  <c r="H1797" i="5"/>
  <c r="E288" i="8" s="1"/>
  <c r="H3217" i="5"/>
  <c r="E932" i="8" s="1"/>
  <c r="G1712" i="5"/>
  <c r="G1732" i="5"/>
  <c r="G1375" i="5"/>
  <c r="G1428" i="5"/>
  <c r="G1619" i="5"/>
  <c r="H3771" i="5"/>
  <c r="E1068" i="8" s="1"/>
  <c r="H2959" i="5"/>
  <c r="H2927" i="5"/>
  <c r="H1189" i="5"/>
  <c r="E209" i="8" s="1"/>
  <c r="H1804" i="5"/>
  <c r="E289" i="8" s="1"/>
  <c r="G81" i="6"/>
  <c r="H3069" i="5"/>
  <c r="H2362" i="5"/>
  <c r="H2087" i="5"/>
  <c r="H2912" i="5"/>
  <c r="H1940" i="5"/>
  <c r="H2816" i="5"/>
  <c r="H2954" i="5"/>
  <c r="H1583" i="5"/>
  <c r="H1945" i="5"/>
  <c r="H976" i="5"/>
  <c r="E180" i="8" s="1"/>
  <c r="G2239" i="5"/>
  <c r="G2903" i="5"/>
  <c r="G1641" i="5"/>
  <c r="H3044" i="5"/>
  <c r="H1967" i="5"/>
  <c r="E324" i="8" s="1"/>
  <c r="H2806" i="5"/>
  <c r="G1743" i="5"/>
  <c r="G3835" i="5"/>
  <c r="G222" i="6"/>
  <c r="H3420" i="5"/>
  <c r="H20" i="5"/>
  <c r="G526" i="5"/>
  <c r="G2797" i="5"/>
  <c r="G1993" i="5"/>
  <c r="G1903" i="5"/>
  <c r="G1740" i="5"/>
  <c r="E378" i="8" l="1"/>
  <c r="E307" i="8"/>
  <c r="E865" i="8"/>
  <c r="E909" i="8"/>
  <c r="E106" i="8"/>
  <c r="E223" i="8"/>
  <c r="E309" i="8"/>
  <c r="E904" i="8"/>
  <c r="E9" i="8"/>
  <c r="E114" i="8"/>
  <c r="E864" i="8"/>
  <c r="E305" i="8"/>
  <c r="E911" i="8"/>
  <c r="E907" i="8"/>
  <c r="E868" i="8"/>
  <c r="E931" i="8"/>
  <c r="E863" i="8"/>
  <c r="E344" i="8"/>
  <c r="E319" i="8"/>
  <c r="E882" i="8"/>
  <c r="E320" i="8"/>
  <c r="E879" i="8"/>
  <c r="E889" i="8"/>
  <c r="E969" i="8"/>
  <c r="E888" i="8"/>
  <c r="E862" i="8"/>
  <c r="E258" i="8"/>
  <c r="E340" i="8"/>
  <c r="E199" i="8"/>
  <c r="E337" i="8"/>
  <c r="H2055" i="5"/>
  <c r="E336" i="8" s="1"/>
  <c r="G566" i="5"/>
  <c r="H1293" i="5"/>
  <c r="H2039" i="5"/>
  <c r="E334" i="8" s="1"/>
  <c r="H669" i="5"/>
  <c r="E128" i="8" s="1"/>
  <c r="H570" i="5"/>
  <c r="H1901" i="5"/>
  <c r="H2902" i="5"/>
  <c r="G1458" i="5"/>
  <c r="G1030" i="5"/>
  <c r="G2389" i="5"/>
  <c r="H1373" i="5"/>
  <c r="E236" i="8" s="1"/>
  <c r="G626" i="5"/>
  <c r="G1488" i="5"/>
  <c r="G1976" i="5"/>
  <c r="H1663" i="5"/>
  <c r="H1397" i="5"/>
  <c r="H447" i="5"/>
  <c r="H3525" i="5"/>
  <c r="G1443" i="5"/>
  <c r="G912" i="5"/>
  <c r="G2339" i="5"/>
  <c r="G1692" i="5"/>
  <c r="G1891" i="5"/>
  <c r="H1934" i="5"/>
  <c r="H589" i="5"/>
  <c r="E115" i="8" s="1"/>
  <c r="H1828" i="5"/>
  <c r="H1790" i="5"/>
  <c r="E287" i="8" s="1"/>
  <c r="G1984" i="5"/>
  <c r="G901" i="5"/>
  <c r="H525" i="5"/>
  <c r="E107" i="8" s="1"/>
  <c r="G2227" i="5"/>
  <c r="G3208" i="5"/>
  <c r="G1618" i="5"/>
  <c r="G1718" i="5"/>
  <c r="G786" i="5"/>
  <c r="H1300" i="5"/>
  <c r="H1367" i="5"/>
  <c r="E235" i="8" s="1"/>
  <c r="G1992" i="5"/>
  <c r="G2834" i="5"/>
  <c r="G2408" i="5"/>
  <c r="H2796" i="5"/>
  <c r="H1640" i="5"/>
  <c r="H2237" i="5"/>
  <c r="G1957" i="5"/>
  <c r="G3680" i="5"/>
  <c r="G2379" i="5"/>
  <c r="H1684" i="5"/>
  <c r="H3899" i="5"/>
  <c r="G1867" i="5"/>
  <c r="G3295" i="5"/>
  <c r="G1325" i="5"/>
  <c r="G3289" i="5"/>
  <c r="E270" i="8" l="1"/>
  <c r="E877" i="8"/>
  <c r="E312" i="8"/>
  <c r="E225" i="8"/>
  <c r="E113" i="8"/>
  <c r="E318" i="8"/>
  <c r="E274" i="8"/>
  <c r="E240" i="8"/>
  <c r="E363" i="8"/>
  <c r="E1085" i="8"/>
  <c r="E97" i="8"/>
  <c r="E266" i="8"/>
  <c r="E300" i="8"/>
  <c r="E860" i="8"/>
  <c r="E980" i="8"/>
  <c r="E224" i="8"/>
  <c r="G3611" i="5"/>
  <c r="G3610" i="5"/>
  <c r="F411" i="6"/>
  <c r="F1127" i="8"/>
  <c r="F391" i="6"/>
  <c r="G435" i="5"/>
  <c r="G1550" i="5"/>
  <c r="G1526" i="5"/>
  <c r="G1558" i="5"/>
  <c r="G1534" i="5"/>
  <c r="G347" i="5"/>
  <c r="G1565" i="5"/>
  <c r="G1518" i="5"/>
  <c r="G3167" i="5"/>
  <c r="H562" i="5"/>
  <c r="G3151" i="5"/>
  <c r="G1543" i="5"/>
  <c r="G1527" i="5"/>
  <c r="G1551" i="5"/>
  <c r="G3040" i="5"/>
  <c r="G3143" i="5"/>
  <c r="G1542" i="5"/>
  <c r="G1519" i="5"/>
  <c r="G1535" i="5"/>
  <c r="H1865" i="5"/>
  <c r="G1693" i="5"/>
  <c r="G1413" i="5"/>
  <c r="H3202" i="5"/>
  <c r="E930" i="8" s="1"/>
  <c r="H1889" i="5"/>
  <c r="H2339" i="5"/>
  <c r="E374" i="8" s="1"/>
  <c r="G1714" i="5"/>
  <c r="H2378" i="5"/>
  <c r="H1955" i="5"/>
  <c r="E322" i="8" s="1"/>
  <c r="H1616" i="5"/>
  <c r="H1981" i="5"/>
  <c r="E326" i="8" s="1"/>
  <c r="H910" i="5"/>
  <c r="G1473" i="5"/>
  <c r="G1745" i="5"/>
  <c r="G1734" i="5"/>
  <c r="G902" i="5"/>
  <c r="G3497" i="5"/>
  <c r="G1503" i="5"/>
  <c r="H2225" i="5"/>
  <c r="G1723" i="5"/>
  <c r="G3837" i="5"/>
  <c r="G2833" i="5"/>
  <c r="H1974" i="5"/>
  <c r="E325" i="8" s="1"/>
  <c r="H622" i="5"/>
  <c r="E119" i="8" s="1"/>
  <c r="H2386" i="5"/>
  <c r="E382" i="8" s="1"/>
  <c r="G3437" i="5"/>
  <c r="H3680" i="5"/>
  <c r="E1018" i="8" s="1"/>
  <c r="H2406" i="5"/>
  <c r="H1989" i="5"/>
  <c r="E327" i="8" s="1"/>
  <c r="G2027" i="5"/>
  <c r="G3717" i="5"/>
  <c r="G1756" i="5"/>
  <c r="G787" i="5"/>
  <c r="H1029" i="5"/>
  <c r="G3032" i="5"/>
  <c r="G3462" i="5"/>
  <c r="G4608" i="5"/>
  <c r="G2594" i="5"/>
  <c r="G2610" i="5"/>
  <c r="G4180" i="5"/>
  <c r="G315" i="5"/>
  <c r="G3644" i="5"/>
  <c r="G3880" i="5"/>
  <c r="H1324" i="5"/>
  <c r="E228" i="8" s="1"/>
  <c r="G3765" i="5"/>
  <c r="G291" i="5"/>
  <c r="G300" i="5"/>
  <c r="G306" i="5"/>
  <c r="G348" i="5"/>
  <c r="G4519" i="5"/>
  <c r="G3178" i="5"/>
  <c r="H3287" i="5"/>
  <c r="E942" i="8" s="1"/>
  <c r="G4476" i="5"/>
  <c r="G360" i="5"/>
  <c r="G3631" i="5"/>
  <c r="H3293" i="5"/>
  <c r="E943" i="8" s="1"/>
  <c r="G4207" i="5"/>
  <c r="G2602" i="5"/>
  <c r="E381" i="8" l="1"/>
  <c r="E112" i="8"/>
  <c r="E310" i="8"/>
  <c r="E361" i="8"/>
  <c r="E385" i="8"/>
  <c r="E171" i="8"/>
  <c r="E187" i="8"/>
  <c r="E262" i="8"/>
  <c r="E306" i="8"/>
  <c r="F434" i="6"/>
  <c r="F410" i="6"/>
  <c r="G405" i="6" s="1"/>
  <c r="H1160" i="8"/>
  <c r="H1123" i="8"/>
  <c r="F433" i="6"/>
  <c r="H152" i="8"/>
  <c r="H570" i="8"/>
  <c r="F873" i="8"/>
  <c r="F581" i="8"/>
  <c r="H568" i="8"/>
  <c r="H375" i="8"/>
  <c r="H156" i="8"/>
  <c r="F422" i="6"/>
  <c r="H981" i="8"/>
  <c r="F423" i="6"/>
  <c r="F1184" i="8"/>
  <c r="F380" i="8"/>
  <c r="F353" i="6"/>
  <c r="F354" i="6"/>
  <c r="F355" i="6"/>
  <c r="F583" i="8"/>
  <c r="F975" i="8"/>
  <c r="F569" i="8"/>
  <c r="H572" i="8"/>
  <c r="H1159" i="8"/>
  <c r="H1127" i="8"/>
  <c r="F871" i="8"/>
  <c r="H126" i="8"/>
  <c r="G366" i="6"/>
  <c r="H1555" i="5"/>
  <c r="H435" i="5"/>
  <c r="E95" i="8" s="1"/>
  <c r="F1238" i="8"/>
  <c r="H1238" i="8"/>
  <c r="H36" i="8"/>
  <c r="F36" i="8"/>
  <c r="F13" i="8"/>
  <c r="H13" i="8"/>
  <c r="F1046" i="8"/>
  <c r="H1046" i="8"/>
  <c r="F719" i="8"/>
  <c r="H719" i="8"/>
  <c r="H48" i="8"/>
  <c r="F48" i="8"/>
  <c r="H12" i="8"/>
  <c r="F12" i="8"/>
  <c r="H14" i="8"/>
  <c r="F14" i="8"/>
  <c r="H377" i="8"/>
  <c r="F377" i="8"/>
  <c r="F31" i="8"/>
  <c r="H31" i="8"/>
  <c r="H299" i="8"/>
  <c r="F299" i="8"/>
  <c r="F316" i="8"/>
  <c r="H316" i="8"/>
  <c r="H1109" i="8"/>
  <c r="F1109" i="8"/>
  <c r="F154" i="8"/>
  <c r="H154" i="8"/>
  <c r="F41" i="8"/>
  <c r="H41" i="8"/>
  <c r="H716" i="8"/>
  <c r="F716" i="8"/>
  <c r="F992" i="8"/>
  <c r="H992" i="8"/>
  <c r="H46" i="8"/>
  <c r="F46" i="8"/>
  <c r="H1121" i="8"/>
  <c r="F1121" i="8"/>
  <c r="H10" i="8"/>
  <c r="F10" i="8"/>
  <c r="F964" i="8"/>
  <c r="H964" i="8"/>
  <c r="H720" i="8"/>
  <c r="F720" i="8"/>
  <c r="F913" i="8"/>
  <c r="H913" i="8"/>
  <c r="F715" i="8"/>
  <c r="H715" i="8"/>
  <c r="F362" i="8"/>
  <c r="H362" i="8"/>
  <c r="F298" i="8"/>
  <c r="H298" i="8"/>
  <c r="F717" i="8"/>
  <c r="H717" i="8"/>
  <c r="F51" i="8"/>
  <c r="H51" i="8"/>
  <c r="H315" i="8"/>
  <c r="F315" i="8"/>
  <c r="F900" i="8"/>
  <c r="H900" i="8"/>
  <c r="F17" i="8"/>
  <c r="H17" i="8"/>
  <c r="F35" i="8"/>
  <c r="H35" i="8"/>
  <c r="H359" i="8"/>
  <c r="F359" i="8"/>
  <c r="H153" i="8"/>
  <c r="F153" i="8"/>
  <c r="H947" i="8"/>
  <c r="F947" i="8"/>
  <c r="F923" i="8"/>
  <c r="H923" i="8"/>
  <c r="H30" i="8"/>
  <c r="F30" i="8"/>
  <c r="F49" i="8"/>
  <c r="H49" i="8"/>
  <c r="F201" i="8"/>
  <c r="H201" i="8"/>
  <c r="F1160" i="8"/>
  <c r="F11" i="8"/>
  <c r="H11" i="8"/>
  <c r="F21" i="8"/>
  <c r="H21" i="8"/>
  <c r="F186" i="8"/>
  <c r="H186" i="8"/>
  <c r="H22" i="8"/>
  <c r="F22" i="8"/>
  <c r="H44" i="8"/>
  <c r="F44" i="8"/>
  <c r="H42" i="8"/>
  <c r="F42" i="8"/>
  <c r="F721" i="8"/>
  <c r="H721" i="8"/>
  <c r="F713" i="8"/>
  <c r="H713" i="8"/>
  <c r="F912" i="8"/>
  <c r="H912" i="8"/>
  <c r="H317" i="8"/>
  <c r="F317" i="8"/>
  <c r="F123" i="8"/>
  <c r="H123" i="8"/>
  <c r="H714" i="8"/>
  <c r="F714" i="8"/>
  <c r="F1171" i="8"/>
  <c r="H1171" i="8"/>
  <c r="H1107" i="8"/>
  <c r="F1107" i="8"/>
  <c r="H122" i="8"/>
  <c r="F122" i="8"/>
  <c r="H32" i="8"/>
  <c r="F32" i="8"/>
  <c r="F25" i="8"/>
  <c r="H25" i="8"/>
  <c r="F15" i="8"/>
  <c r="H15" i="8"/>
  <c r="F125" i="8"/>
  <c r="H125" i="8"/>
  <c r="H26" i="8"/>
  <c r="F26" i="8"/>
  <c r="F37" i="8"/>
  <c r="H37" i="8"/>
  <c r="F39" i="8"/>
  <c r="H39" i="8"/>
  <c r="F33" i="8"/>
  <c r="H33" i="8"/>
  <c r="F164" i="8"/>
  <c r="H164" i="8"/>
  <c r="H718" i="8"/>
  <c r="F718" i="8"/>
  <c r="H722" i="8"/>
  <c r="F722" i="8"/>
  <c r="H961" i="8"/>
  <c r="F961" i="8"/>
  <c r="F27" i="8"/>
  <c r="H27" i="8"/>
  <c r="F952" i="8"/>
  <c r="H952" i="8"/>
  <c r="F7" i="8"/>
  <c r="H7" i="8"/>
  <c r="H957" i="8"/>
  <c r="F957" i="8"/>
  <c r="H124" i="8"/>
  <c r="F124" i="8"/>
  <c r="F152" i="8"/>
  <c r="F908" i="8"/>
  <c r="H908" i="8"/>
  <c r="F47" i="8"/>
  <c r="H47" i="8"/>
  <c r="F23" i="8"/>
  <c r="H23" i="8"/>
  <c r="H28" i="8"/>
  <c r="F28" i="8"/>
  <c r="H894" i="8"/>
  <c r="F894" i="8"/>
  <c r="H24" i="8"/>
  <c r="F24" i="8"/>
  <c r="F988" i="8"/>
  <c r="H988" i="8"/>
  <c r="H890" i="8"/>
  <c r="F890" i="8"/>
  <c r="F43" i="8"/>
  <c r="H43" i="8"/>
  <c r="H1562" i="5"/>
  <c r="E255" i="8" s="1"/>
  <c r="H3164" i="5"/>
  <c r="E925" i="8" s="1"/>
  <c r="H1523" i="5"/>
  <c r="H1547" i="5"/>
  <c r="H1515" i="5"/>
  <c r="H1531" i="5"/>
  <c r="F302" i="6"/>
  <c r="G298" i="6" s="1"/>
  <c r="H3036" i="5"/>
  <c r="E903" i="8" s="1"/>
  <c r="H1539" i="5"/>
  <c r="H3139" i="5"/>
  <c r="E921" i="8" s="1"/>
  <c r="H3147" i="5"/>
  <c r="E922" i="8" s="1"/>
  <c r="H1718" i="5"/>
  <c r="E279" i="8" s="1"/>
  <c r="H1690" i="5"/>
  <c r="E275" i="8" s="1"/>
  <c r="H899" i="5"/>
  <c r="E165" i="8" s="1"/>
  <c r="H784" i="5"/>
  <c r="G1320" i="5"/>
  <c r="H3031" i="5"/>
  <c r="H3716" i="5"/>
  <c r="H2831" i="5"/>
  <c r="E867" i="8" s="1"/>
  <c r="H1729" i="5"/>
  <c r="H1740" i="5"/>
  <c r="G634" i="5"/>
  <c r="H1751" i="5"/>
  <c r="H2025" i="5"/>
  <c r="H3834" i="5"/>
  <c r="E1076" i="8" s="1"/>
  <c r="H1710" i="5"/>
  <c r="E278" i="8" s="1"/>
  <c r="F345" i="6"/>
  <c r="F175" i="6"/>
  <c r="F12" i="6"/>
  <c r="F101" i="6"/>
  <c r="F346" i="6"/>
  <c r="F74" i="6"/>
  <c r="F272" i="6"/>
  <c r="F292" i="6"/>
  <c r="F75" i="6"/>
  <c r="F56" i="6"/>
  <c r="F176" i="6"/>
  <c r="F163" i="6"/>
  <c r="F164" i="6"/>
  <c r="F57" i="6"/>
  <c r="F11" i="6"/>
  <c r="F92" i="6"/>
  <c r="F263" i="6"/>
  <c r="F249" i="6"/>
  <c r="F334" i="6"/>
  <c r="F91" i="6"/>
  <c r="F102" i="6"/>
  <c r="F291" i="6"/>
  <c r="F248" i="6"/>
  <c r="F235" i="6"/>
  <c r="F273" i="6"/>
  <c r="F234" i="6"/>
  <c r="F319" i="6"/>
  <c r="F333" i="6"/>
  <c r="F320" i="6"/>
  <c r="F262" i="6"/>
  <c r="H3602" i="5"/>
  <c r="H342" i="5"/>
  <c r="E280" i="8" l="1"/>
  <c r="E994" i="8"/>
  <c r="E86" i="8"/>
  <c r="E282" i="8"/>
  <c r="E148" i="8"/>
  <c r="E1058" i="8"/>
  <c r="E250" i="8"/>
  <c r="E902" i="8"/>
  <c r="E252" i="8"/>
  <c r="E332" i="8"/>
  <c r="E251" i="8"/>
  <c r="E281" i="8"/>
  <c r="E249" i="8"/>
  <c r="E254" i="8"/>
  <c r="E253" i="8"/>
  <c r="H873" i="8"/>
  <c r="I873" i="8" s="1"/>
  <c r="F1123" i="8"/>
  <c r="G429" i="6"/>
  <c r="I47" i="8"/>
  <c r="I957" i="8"/>
  <c r="I961" i="8"/>
  <c r="I24" i="8"/>
  <c r="I39" i="8"/>
  <c r="I908" i="8"/>
  <c r="I722" i="8"/>
  <c r="I1107" i="8"/>
  <c r="I317" i="8"/>
  <c r="I42" i="8"/>
  <c r="I30" i="8"/>
  <c r="I359" i="8"/>
  <c r="I315" i="8"/>
  <c r="I964" i="8"/>
  <c r="I992" i="8"/>
  <c r="I719" i="8"/>
  <c r="I1238" i="8"/>
  <c r="I1127" i="8"/>
  <c r="I43" i="8"/>
  <c r="I153" i="8"/>
  <c r="I890" i="8"/>
  <c r="I894" i="8"/>
  <c r="I952" i="8"/>
  <c r="I37" i="8"/>
  <c r="I1171" i="8"/>
  <c r="I912" i="8"/>
  <c r="I1160" i="8"/>
  <c r="I923" i="8"/>
  <c r="I35" i="8"/>
  <c r="I51" i="8"/>
  <c r="I1109" i="8"/>
  <c r="I377" i="8"/>
  <c r="I156" i="8"/>
  <c r="I26" i="8"/>
  <c r="I1123" i="8"/>
  <c r="I44" i="8"/>
  <c r="I715" i="8"/>
  <c r="I316" i="8"/>
  <c r="I1046" i="8"/>
  <c r="I1159" i="8"/>
  <c r="I375" i="8"/>
  <c r="I718" i="8"/>
  <c r="I28" i="8"/>
  <c r="I27" i="8"/>
  <c r="I164" i="8"/>
  <c r="I125" i="8"/>
  <c r="I713" i="8"/>
  <c r="I201" i="8"/>
  <c r="I17" i="8"/>
  <c r="I717" i="8"/>
  <c r="I10" i="8"/>
  <c r="I716" i="8"/>
  <c r="I14" i="8"/>
  <c r="I572" i="8"/>
  <c r="I568" i="8"/>
  <c r="I988" i="8"/>
  <c r="I23" i="8"/>
  <c r="I124" i="8"/>
  <c r="I32" i="8"/>
  <c r="I714" i="8"/>
  <c r="I22" i="8"/>
  <c r="I947" i="8"/>
  <c r="I913" i="8"/>
  <c r="I41" i="8"/>
  <c r="I13" i="8"/>
  <c r="I33" i="8"/>
  <c r="I15" i="8"/>
  <c r="I123" i="8"/>
  <c r="I721" i="8"/>
  <c r="I186" i="8"/>
  <c r="I21" i="8"/>
  <c r="I49" i="8"/>
  <c r="I900" i="8"/>
  <c r="I298" i="8"/>
  <c r="I1121" i="8"/>
  <c r="I299" i="8"/>
  <c r="I12" i="8"/>
  <c r="I154" i="8"/>
  <c r="I31" i="8"/>
  <c r="I126" i="8"/>
  <c r="I570" i="8"/>
  <c r="I122" i="8"/>
  <c r="I7" i="8"/>
  <c r="I25" i="8"/>
  <c r="I11" i="8"/>
  <c r="I362" i="8"/>
  <c r="I720" i="8"/>
  <c r="I46" i="8"/>
  <c r="I48" i="8"/>
  <c r="I36" i="8"/>
  <c r="I981" i="8"/>
  <c r="I152" i="8"/>
  <c r="H1184" i="8"/>
  <c r="F156" i="8"/>
  <c r="F375" i="8"/>
  <c r="F568" i="8"/>
  <c r="H581" i="8"/>
  <c r="H192" i="8"/>
  <c r="F351" i="8"/>
  <c r="H569" i="8"/>
  <c r="F570" i="8"/>
  <c r="F213" i="8"/>
  <c r="H975" i="8"/>
  <c r="H330" i="8"/>
  <c r="H1165" i="8"/>
  <c r="F1093" i="8"/>
  <c r="H108" i="8"/>
  <c r="G417" i="6"/>
  <c r="F981" i="8"/>
  <c r="H151" i="8"/>
  <c r="H133" i="8"/>
  <c r="F1182" i="8"/>
  <c r="F217" i="8"/>
  <c r="H380" i="8"/>
  <c r="F918" i="8"/>
  <c r="F572" i="8"/>
  <c r="H159" i="8"/>
  <c r="H16" i="8"/>
  <c r="G352" i="6"/>
  <c r="H583" i="8"/>
  <c r="H953" i="8"/>
  <c r="F1155" i="8"/>
  <c r="H850" i="8"/>
  <c r="H1119" i="8"/>
  <c r="H985" i="8"/>
  <c r="F1159" i="8"/>
  <c r="H886" i="8"/>
  <c r="H370" i="8"/>
  <c r="H212" i="8"/>
  <c r="H1137" i="8"/>
  <c r="F1145" i="8"/>
  <c r="H98" i="8"/>
  <c r="H355" i="8"/>
  <c r="F211" i="8"/>
  <c r="F196" i="8"/>
  <c r="H914" i="8"/>
  <c r="H1095" i="8"/>
  <c r="F1125" i="8"/>
  <c r="F1120" i="8"/>
  <c r="H149" i="8"/>
  <c r="F99" i="8"/>
  <c r="H871" i="8"/>
  <c r="H177" i="8"/>
  <c r="F1169" i="8"/>
  <c r="F916" i="8"/>
  <c r="H1129" i="8"/>
  <c r="H104" i="8"/>
  <c r="H935" i="8"/>
  <c r="F1094" i="8"/>
  <c r="F223" i="8"/>
  <c r="F917" i="8"/>
  <c r="F1097" i="8"/>
  <c r="H1146" i="8"/>
  <c r="F1081" i="8"/>
  <c r="H118" i="8"/>
  <c r="H191" i="8"/>
  <c r="F203" i="8"/>
  <c r="F940" i="8"/>
  <c r="F126" i="8"/>
  <c r="F1177" i="8"/>
  <c r="H354" i="8"/>
  <c r="H941" i="8"/>
  <c r="F284" i="8"/>
  <c r="H945" i="8"/>
  <c r="H1139" i="8"/>
  <c r="H993" i="8"/>
  <c r="F286" i="8"/>
  <c r="F172" i="8"/>
  <c r="F920" i="8"/>
  <c r="H226" i="8"/>
  <c r="F849" i="8"/>
  <c r="F939" i="8"/>
  <c r="F205" i="8"/>
  <c r="F1138" i="8"/>
  <c r="F1166" i="8"/>
  <c r="F1176" i="8"/>
  <c r="F1170" i="8"/>
  <c r="F1083" i="8"/>
  <c r="F936" i="8"/>
  <c r="H1141" i="8"/>
  <c r="F1130" i="8"/>
  <c r="H367" i="8"/>
  <c r="F1181" i="8"/>
  <c r="H989" i="8"/>
  <c r="H1077" i="8"/>
  <c r="F384" i="8"/>
  <c r="F88" i="8"/>
  <c r="F190" i="8"/>
  <c r="H353" i="8"/>
  <c r="F1163" i="8"/>
  <c r="H195" i="8"/>
  <c r="H901" i="8"/>
  <c r="H937" i="8"/>
  <c r="F356" i="8"/>
  <c r="F934" i="8"/>
  <c r="F933" i="8"/>
  <c r="H206" i="8"/>
  <c r="F915" i="8"/>
  <c r="F1113" i="8"/>
  <c r="F910" i="8"/>
  <c r="H910" i="8"/>
  <c r="F29" i="8"/>
  <c r="H29" i="8"/>
  <c r="H1131" i="8"/>
  <c r="F1131" i="8"/>
  <c r="F302" i="8"/>
  <c r="H302" i="8"/>
  <c r="H880" i="8"/>
  <c r="F880" i="8"/>
  <c r="H323" i="8"/>
  <c r="F323" i="8"/>
  <c r="H272" i="8"/>
  <c r="F272" i="8"/>
  <c r="F184" i="8"/>
  <c r="H184" i="8"/>
  <c r="F906" i="8"/>
  <c r="H906" i="8"/>
  <c r="F221" i="8"/>
  <c r="H221" i="8"/>
  <c r="F304" i="8"/>
  <c r="H304" i="8"/>
  <c r="F859" i="8"/>
  <c r="H859" i="8"/>
  <c r="H50" i="8"/>
  <c r="F50" i="8"/>
  <c r="H78" i="8"/>
  <c r="F78" i="8"/>
  <c r="F360" i="8"/>
  <c r="H360" i="8"/>
  <c r="F895" i="8"/>
  <c r="H895" i="8"/>
  <c r="H870" i="8"/>
  <c r="F870" i="8"/>
  <c r="H1143" i="8"/>
  <c r="F1143" i="8"/>
  <c r="H1017" i="8"/>
  <c r="F1017" i="8"/>
  <c r="F75" i="8"/>
  <c r="H75" i="8"/>
  <c r="H8" i="8"/>
  <c r="F8" i="8"/>
  <c r="H161" i="8"/>
  <c r="F161" i="8"/>
  <c r="F263" i="8"/>
  <c r="H263" i="8"/>
  <c r="F875" i="8"/>
  <c r="H875" i="8"/>
  <c r="F962" i="8"/>
  <c r="H962" i="8"/>
  <c r="F144" i="8"/>
  <c r="H144" i="8"/>
  <c r="F919" i="8"/>
  <c r="H919" i="8"/>
  <c r="F1178" i="8"/>
  <c r="H1178" i="8"/>
  <c r="H313" i="8"/>
  <c r="F313" i="8"/>
  <c r="F571" i="8"/>
  <c r="H571" i="8"/>
  <c r="H183" i="8"/>
  <c r="F183" i="8"/>
  <c r="F899" i="8"/>
  <c r="H899" i="8"/>
  <c r="F855" i="8"/>
  <c r="H855" i="8"/>
  <c r="H983" i="8"/>
  <c r="F983" i="8"/>
  <c r="F857" i="8"/>
  <c r="H857" i="8"/>
  <c r="F956" i="8"/>
  <c r="H956" i="8"/>
  <c r="H34" i="8"/>
  <c r="F34" i="8"/>
  <c r="F1144" i="8"/>
  <c r="H1144" i="8"/>
  <c r="H874" i="8"/>
  <c r="F874" i="8"/>
  <c r="H1117" i="8"/>
  <c r="F1117" i="8"/>
  <c r="H157" i="8"/>
  <c r="F157" i="8"/>
  <c r="F1142" i="8"/>
  <c r="H1142" i="8"/>
  <c r="H84" i="8"/>
  <c r="F84" i="8"/>
  <c r="H578" i="8"/>
  <c r="F578" i="8"/>
  <c r="F158" i="8"/>
  <c r="H158" i="8"/>
  <c r="F881" i="8"/>
  <c r="H881" i="8"/>
  <c r="F1156" i="8"/>
  <c r="H1156" i="8"/>
  <c r="F143" i="8"/>
  <c r="H143" i="8"/>
  <c r="H892" i="8"/>
  <c r="F892" i="8"/>
  <c r="H1115" i="8"/>
  <c r="F1115" i="8"/>
  <c r="H100" i="8"/>
  <c r="F100" i="8"/>
  <c r="H1133" i="8"/>
  <c r="F1133" i="8"/>
  <c r="F1116" i="8"/>
  <c r="H1116" i="8"/>
  <c r="H379" i="8"/>
  <c r="F379" i="8"/>
  <c r="H311" i="8"/>
  <c r="F311" i="8"/>
  <c r="F308" i="8"/>
  <c r="H308" i="8"/>
  <c r="F1118" i="8"/>
  <c r="H1118" i="8"/>
  <c r="F45" i="8"/>
  <c r="H45" i="8"/>
  <c r="H222" i="8"/>
  <c r="F222" i="8"/>
  <c r="F897" i="8"/>
  <c r="H897" i="8"/>
  <c r="H62" i="8"/>
  <c r="F62" i="8"/>
  <c r="H991" i="8"/>
  <c r="F991" i="8"/>
  <c r="H896" i="8"/>
  <c r="F896" i="8"/>
  <c r="H872" i="8"/>
  <c r="F872" i="8"/>
  <c r="H905" i="8"/>
  <c r="F905" i="8"/>
  <c r="H866" i="8"/>
  <c r="F866" i="8"/>
  <c r="H586" i="8"/>
  <c r="F586" i="8"/>
  <c r="H965" i="8"/>
  <c r="F965" i="8"/>
  <c r="F577" i="8"/>
  <c r="H577" i="8"/>
  <c r="F1164" i="8"/>
  <c r="H1164" i="8"/>
  <c r="H576" i="8"/>
  <c r="F576" i="8"/>
  <c r="F1148" i="8"/>
  <c r="H1148" i="8"/>
  <c r="F342" i="8"/>
  <c r="H342" i="8"/>
  <c r="H878" i="8"/>
  <c r="F878" i="8"/>
  <c r="F198" i="8"/>
  <c r="H198" i="8"/>
  <c r="F1122" i="8"/>
  <c r="H1122" i="8"/>
  <c r="F277" i="8"/>
  <c r="H277" i="8"/>
  <c r="F85" i="8"/>
  <c r="H85" i="8"/>
  <c r="H38" i="8"/>
  <c r="F38" i="8"/>
  <c r="F893" i="8"/>
  <c r="H893" i="8"/>
  <c r="H898" i="8"/>
  <c r="F898" i="8"/>
  <c r="H858" i="8"/>
  <c r="F858" i="8"/>
  <c r="F861" i="8"/>
  <c r="H861" i="8"/>
  <c r="F924" i="8"/>
  <c r="H924" i="8"/>
  <c r="H18" i="8"/>
  <c r="F18" i="8"/>
  <c r="H963" i="8"/>
  <c r="F963" i="8"/>
  <c r="F1237" i="8"/>
  <c r="H1237" i="8"/>
  <c r="H1073" i="8"/>
  <c r="F1073" i="8"/>
  <c r="H584" i="8"/>
  <c r="F584" i="8"/>
  <c r="H321" i="8"/>
  <c r="F321" i="8"/>
  <c r="F166" i="8"/>
  <c r="H166" i="8"/>
  <c r="F1110" i="8"/>
  <c r="H1110" i="8"/>
  <c r="H582" i="8"/>
  <c r="F582" i="8"/>
  <c r="H580" i="8"/>
  <c r="F580" i="8"/>
  <c r="H856" i="8"/>
  <c r="F856" i="8"/>
  <c r="H876" i="8"/>
  <c r="F876" i="8"/>
  <c r="F869" i="8"/>
  <c r="H869" i="8"/>
  <c r="H884" i="8"/>
  <c r="F884" i="8"/>
  <c r="F891" i="8"/>
  <c r="H891" i="8"/>
  <c r="F1172" i="8"/>
  <c r="H1172" i="8"/>
  <c r="F585" i="8"/>
  <c r="H585" i="8"/>
  <c r="H977" i="8"/>
  <c r="F977" i="8"/>
  <c r="F200" i="8"/>
  <c r="H200" i="8"/>
  <c r="F271" i="8"/>
  <c r="H271" i="8"/>
  <c r="H301" i="8"/>
  <c r="F301" i="8"/>
  <c r="H365" i="8"/>
  <c r="F365" i="8"/>
  <c r="H40" i="8"/>
  <c r="F40" i="8"/>
  <c r="F885" i="8"/>
  <c r="H885" i="8"/>
  <c r="F982" i="8"/>
  <c r="H982" i="8"/>
  <c r="F883" i="8"/>
  <c r="H883" i="8"/>
  <c r="F1136" i="8"/>
  <c r="H1136" i="8"/>
  <c r="H303" i="8"/>
  <c r="F303" i="8"/>
  <c r="H276" i="8"/>
  <c r="F276" i="8"/>
  <c r="F1154" i="8"/>
  <c r="H1154" i="8"/>
  <c r="F273" i="8"/>
  <c r="H273" i="8"/>
  <c r="F579" i="8"/>
  <c r="H579" i="8"/>
  <c r="H1315" i="5"/>
  <c r="E227" i="8" s="1"/>
  <c r="H630" i="5"/>
  <c r="E120" i="8" s="1"/>
  <c r="G287" i="6"/>
  <c r="G88" i="6"/>
  <c r="G227" i="6"/>
  <c r="G71" i="6"/>
  <c r="G50" i="6"/>
  <c r="G269" i="6"/>
  <c r="G170" i="6"/>
  <c r="G255" i="6"/>
  <c r="G312" i="6"/>
  <c r="G326" i="6"/>
  <c r="G241" i="6"/>
  <c r="G8" i="6"/>
  <c r="G156" i="6"/>
  <c r="G98" i="6"/>
  <c r="G340" i="6"/>
  <c r="F133" i="8" l="1"/>
  <c r="F192" i="8"/>
  <c r="H217" i="8"/>
  <c r="I217" i="8" s="1"/>
  <c r="H1093" i="8"/>
  <c r="I1093" i="8" s="1"/>
  <c r="F16" i="8"/>
  <c r="H213" i="8"/>
  <c r="F935" i="8"/>
  <c r="I200" i="8"/>
  <c r="I891" i="8"/>
  <c r="I40" i="8"/>
  <c r="I876" i="8"/>
  <c r="I85" i="8"/>
  <c r="I1164" i="8"/>
  <c r="I379" i="8"/>
  <c r="I1115" i="8"/>
  <c r="I1144" i="8"/>
  <c r="I962" i="8"/>
  <c r="I906" i="8"/>
  <c r="I910" i="8"/>
  <c r="I989" i="8"/>
  <c r="I914" i="8"/>
  <c r="I370" i="8"/>
  <c r="I583" i="8"/>
  <c r="I330" i="8"/>
  <c r="I580" i="8"/>
  <c r="I321" i="8"/>
  <c r="I963" i="8"/>
  <c r="I858" i="8"/>
  <c r="I878" i="8"/>
  <c r="I866" i="8"/>
  <c r="I991" i="8"/>
  <c r="I1118" i="8"/>
  <c r="I1116" i="8"/>
  <c r="I158" i="8"/>
  <c r="I983" i="8"/>
  <c r="I313" i="8"/>
  <c r="I8" i="8"/>
  <c r="I870" i="8"/>
  <c r="I50" i="8"/>
  <c r="I880" i="8"/>
  <c r="I177" i="8"/>
  <c r="I886" i="8"/>
  <c r="I133" i="8"/>
  <c r="I975" i="8"/>
  <c r="I856" i="8"/>
  <c r="I277" i="8"/>
  <c r="I342" i="8"/>
  <c r="I577" i="8"/>
  <c r="I62" i="8"/>
  <c r="I892" i="8"/>
  <c r="I855" i="8"/>
  <c r="I1178" i="8"/>
  <c r="I875" i="8"/>
  <c r="I75" i="8"/>
  <c r="I895" i="8"/>
  <c r="I859" i="8"/>
  <c r="I184" i="8"/>
  <c r="I302" i="8"/>
  <c r="I367" i="8"/>
  <c r="I993" i="8"/>
  <c r="I871" i="8"/>
  <c r="I151" i="8"/>
  <c r="I276" i="8"/>
  <c r="I582" i="8"/>
  <c r="I584" i="8"/>
  <c r="I18" i="8"/>
  <c r="I898" i="8"/>
  <c r="I905" i="8"/>
  <c r="I192" i="8"/>
  <c r="I897" i="8"/>
  <c r="I308" i="8"/>
  <c r="I143" i="8"/>
  <c r="I157" i="8"/>
  <c r="I34" i="8"/>
  <c r="I937" i="8"/>
  <c r="I1139" i="8"/>
  <c r="I355" i="8"/>
  <c r="I985" i="8"/>
  <c r="I159" i="8"/>
  <c r="I1184" i="8"/>
  <c r="I935" i="8"/>
  <c r="I16" i="8"/>
  <c r="I303" i="8"/>
  <c r="I365" i="8"/>
  <c r="I977" i="8"/>
  <c r="I884" i="8"/>
  <c r="I1110" i="8"/>
  <c r="I924" i="8"/>
  <c r="I893" i="8"/>
  <c r="I1122" i="8"/>
  <c r="I1148" i="8"/>
  <c r="I1133" i="8"/>
  <c r="I578" i="8"/>
  <c r="I956" i="8"/>
  <c r="I899" i="8"/>
  <c r="I919" i="8"/>
  <c r="I263" i="8"/>
  <c r="I360" i="8"/>
  <c r="I304" i="8"/>
  <c r="I901" i="8"/>
  <c r="I1141" i="8"/>
  <c r="I945" i="8"/>
  <c r="I191" i="8"/>
  <c r="I149" i="8"/>
  <c r="I98" i="8"/>
  <c r="I1119" i="8"/>
  <c r="I569" i="8"/>
  <c r="I579" i="8"/>
  <c r="I585" i="8"/>
  <c r="I869" i="8"/>
  <c r="I1073" i="8"/>
  <c r="I965" i="8"/>
  <c r="I872" i="8"/>
  <c r="I1156" i="8"/>
  <c r="I1117" i="8"/>
  <c r="I183" i="8"/>
  <c r="I1017" i="8"/>
  <c r="I272" i="8"/>
  <c r="I1131" i="8"/>
  <c r="I195" i="8"/>
  <c r="I118" i="8"/>
  <c r="I104" i="8"/>
  <c r="I850" i="8"/>
  <c r="I108" i="8"/>
  <c r="I982" i="8"/>
  <c r="I273" i="8"/>
  <c r="I1136" i="8"/>
  <c r="I885" i="8"/>
  <c r="I166" i="8"/>
  <c r="I1237" i="8"/>
  <c r="I861" i="8"/>
  <c r="I198" i="8"/>
  <c r="I222" i="8"/>
  <c r="I311" i="8"/>
  <c r="I100" i="8"/>
  <c r="I84" i="8"/>
  <c r="I857" i="8"/>
  <c r="I571" i="8"/>
  <c r="I144" i="8"/>
  <c r="I221" i="8"/>
  <c r="I29" i="8"/>
  <c r="I226" i="8"/>
  <c r="I941" i="8"/>
  <c r="I1129" i="8"/>
  <c r="I1137" i="8"/>
  <c r="I380" i="8"/>
  <c r="I301" i="8"/>
  <c r="I1154" i="8"/>
  <c r="I883" i="8"/>
  <c r="I271" i="8"/>
  <c r="I1172" i="8"/>
  <c r="I38" i="8"/>
  <c r="I576" i="8"/>
  <c r="I586" i="8"/>
  <c r="I896" i="8"/>
  <c r="I45" i="8"/>
  <c r="I881" i="8"/>
  <c r="I1142" i="8"/>
  <c r="I874" i="8"/>
  <c r="I161" i="8"/>
  <c r="I1143" i="8"/>
  <c r="I78" i="8"/>
  <c r="I323" i="8"/>
  <c r="I206" i="8"/>
  <c r="I353" i="8"/>
  <c r="I1077" i="8"/>
  <c r="I354" i="8"/>
  <c r="I1146" i="8"/>
  <c r="I1095" i="8"/>
  <c r="I212" i="8"/>
  <c r="I953" i="8"/>
  <c r="I1165" i="8"/>
  <c r="I581" i="8"/>
  <c r="H351" i="8"/>
  <c r="F151" i="8"/>
  <c r="F330" i="8"/>
  <c r="F98" i="8"/>
  <c r="H939" i="8"/>
  <c r="F149" i="8"/>
  <c r="H1081" i="8"/>
  <c r="F1165" i="8"/>
  <c r="F1137" i="8"/>
  <c r="H1083" i="8"/>
  <c r="F226" i="8"/>
  <c r="H1155" i="8"/>
  <c r="H1125" i="8"/>
  <c r="F1129" i="8"/>
  <c r="F941" i="8"/>
  <c r="F108" i="8"/>
  <c r="H339" i="8"/>
  <c r="F850" i="8"/>
  <c r="H1182" i="8"/>
  <c r="F159" i="8"/>
  <c r="H934" i="8"/>
  <c r="H88" i="8"/>
  <c r="H337" i="8"/>
  <c r="H341" i="8"/>
  <c r="H918" i="8"/>
  <c r="F191" i="8"/>
  <c r="F1119" i="8"/>
  <c r="F901" i="8"/>
  <c r="H196" i="8"/>
  <c r="F886" i="8"/>
  <c r="F177" i="8"/>
  <c r="H917" i="8"/>
  <c r="H1166" i="8"/>
  <c r="H1181" i="8"/>
  <c r="F1077" i="8"/>
  <c r="F953" i="8"/>
  <c r="F1146" i="8"/>
  <c r="F354" i="8"/>
  <c r="F355" i="8"/>
  <c r="F985" i="8"/>
  <c r="H1094" i="8"/>
  <c r="H99" i="8"/>
  <c r="F1139" i="8"/>
  <c r="H203" i="8"/>
  <c r="F324" i="8"/>
  <c r="H286" i="8"/>
  <c r="F114" i="8"/>
  <c r="H1113" i="8"/>
  <c r="F195" i="8"/>
  <c r="F993" i="8"/>
  <c r="F367" i="8"/>
  <c r="H211" i="8"/>
  <c r="H223" i="8"/>
  <c r="H1138" i="8"/>
  <c r="H940" i="8"/>
  <c r="H1112" i="8"/>
  <c r="H1176" i="8"/>
  <c r="F914" i="8"/>
  <c r="F370" i="8"/>
  <c r="H1097" i="8"/>
  <c r="F989" i="8"/>
  <c r="H1177" i="8"/>
  <c r="H172" i="8"/>
  <c r="H1169" i="8"/>
  <c r="F937" i="8"/>
  <c r="F338" i="8"/>
  <c r="F212" i="8"/>
  <c r="F1095" i="8"/>
  <c r="H1145" i="8"/>
  <c r="H190" i="8"/>
  <c r="H102" i="8"/>
  <c r="H1120" i="8"/>
  <c r="H284" i="8"/>
  <c r="F118" i="8"/>
  <c r="H849" i="8"/>
  <c r="H933" i="8"/>
  <c r="F104" i="8"/>
  <c r="H936" i="8"/>
  <c r="H916" i="8"/>
  <c r="F353" i="8"/>
  <c r="F1141" i="8"/>
  <c r="F945" i="8"/>
  <c r="F206" i="8"/>
  <c r="H920" i="8"/>
  <c r="H343" i="8"/>
  <c r="H1170" i="8"/>
  <c r="H384" i="8"/>
  <c r="H335" i="8"/>
  <c r="H356" i="8"/>
  <c r="H1130" i="8"/>
  <c r="H1163" i="8"/>
  <c r="H205" i="8"/>
  <c r="H915" i="8"/>
  <c r="F180" i="8"/>
  <c r="H189" i="8"/>
  <c r="H336" i="8"/>
  <c r="G5108" i="5"/>
  <c r="F6" i="8"/>
  <c r="F958" i="8"/>
  <c r="H958" i="8"/>
  <c r="F81" i="8"/>
  <c r="H81" i="8"/>
  <c r="H134" i="8"/>
  <c r="F134" i="8"/>
  <c r="H163" i="8"/>
  <c r="F163" i="8"/>
  <c r="H283" i="8"/>
  <c r="F283" i="8"/>
  <c r="F372" i="8"/>
  <c r="H372" i="8"/>
  <c r="H949" i="8"/>
  <c r="F949" i="8"/>
  <c r="F904" i="8"/>
  <c r="H904" i="8"/>
  <c r="F1106" i="8"/>
  <c r="H1106" i="8"/>
  <c r="H862" i="8"/>
  <c r="F862" i="8"/>
  <c r="F146" i="8"/>
  <c r="H146" i="8"/>
  <c r="H220" i="8"/>
  <c r="F220" i="8"/>
  <c r="F344" i="8"/>
  <c r="H344" i="8"/>
  <c r="F160" i="8"/>
  <c r="H160" i="8"/>
  <c r="H413" i="8"/>
  <c r="F413" i="8"/>
  <c r="F879" i="8"/>
  <c r="H879" i="8"/>
  <c r="F1102" i="8"/>
  <c r="H1102" i="8"/>
  <c r="F1064" i="8"/>
  <c r="H1064" i="8"/>
  <c r="F366" i="8"/>
  <c r="H366" i="8"/>
  <c r="H472" i="8"/>
  <c r="F472" i="8"/>
  <c r="F241" i="8"/>
  <c r="H241" i="8"/>
  <c r="H995" i="8"/>
  <c r="F995" i="8"/>
  <c r="F131" i="8"/>
  <c r="H131" i="8"/>
  <c r="F207" i="8"/>
  <c r="H207" i="8"/>
  <c r="H136" i="8"/>
  <c r="F136" i="8"/>
  <c r="F1174" i="8"/>
  <c r="H1174" i="8"/>
  <c r="F350" i="8"/>
  <c r="H350" i="8"/>
  <c r="F1006" i="8"/>
  <c r="H1006" i="8"/>
  <c r="H132" i="8"/>
  <c r="F132" i="8"/>
  <c r="F1126" i="8"/>
  <c r="H1126" i="8"/>
  <c r="F135" i="8"/>
  <c r="H135" i="8"/>
  <c r="F267" i="8"/>
  <c r="H267" i="8"/>
  <c r="H175" i="8"/>
  <c r="F175" i="8"/>
  <c r="F1128" i="8"/>
  <c r="H1128" i="8"/>
  <c r="F320" i="8"/>
  <c r="H320" i="8"/>
  <c r="H882" i="8"/>
  <c r="F882" i="8"/>
  <c r="H305" i="8"/>
  <c r="F305" i="8"/>
  <c r="F176" i="8"/>
  <c r="H176" i="8"/>
  <c r="F889" i="8"/>
  <c r="H889" i="8"/>
  <c r="F352" i="8"/>
  <c r="H352" i="8"/>
  <c r="F109" i="8"/>
  <c r="H109" i="8"/>
  <c r="F368" i="8"/>
  <c r="H368" i="8"/>
  <c r="H319" i="8"/>
  <c r="F319" i="8"/>
  <c r="H329" i="8"/>
  <c r="F329" i="8"/>
  <c r="H1071" i="8"/>
  <c r="F1071" i="8"/>
  <c r="F1036" i="8"/>
  <c r="H1036" i="8"/>
  <c r="H864" i="8"/>
  <c r="F864" i="8"/>
  <c r="H1065" i="8"/>
  <c r="F1065" i="8"/>
  <c r="H268" i="8"/>
  <c r="F268" i="8"/>
  <c r="H80" i="8"/>
  <c r="F80" i="8"/>
  <c r="H258" i="8"/>
  <c r="F258" i="8"/>
  <c r="H309" i="8"/>
  <c r="F309" i="8"/>
  <c r="F1175" i="8"/>
  <c r="H1175" i="8"/>
  <c r="F909" i="8"/>
  <c r="H909" i="8"/>
  <c r="H264" i="8"/>
  <c r="F264" i="8"/>
  <c r="H147" i="8"/>
  <c r="F147" i="8"/>
  <c r="H307" i="8"/>
  <c r="F307" i="8"/>
  <c r="H214" i="8"/>
  <c r="F214" i="8"/>
  <c r="H907" i="8"/>
  <c r="F907" i="8"/>
  <c r="F215" i="8"/>
  <c r="H215" i="8"/>
  <c r="H1099" i="8"/>
  <c r="F1099" i="8"/>
  <c r="F911" i="8"/>
  <c r="H911" i="8"/>
  <c r="F269" i="8"/>
  <c r="H269" i="8"/>
  <c r="H204" i="8"/>
  <c r="F204" i="8"/>
  <c r="F931" i="8"/>
  <c r="H931" i="8"/>
  <c r="F1124" i="8"/>
  <c r="H1124" i="8"/>
  <c r="H185" i="8"/>
  <c r="F185" i="8"/>
  <c r="H349" i="8"/>
  <c r="F349" i="8"/>
  <c r="F851" i="8"/>
  <c r="H851" i="8"/>
  <c r="H218" i="8"/>
  <c r="F218" i="8"/>
  <c r="H54" i="8"/>
  <c r="F54" i="8"/>
  <c r="H179" i="8"/>
  <c r="F179" i="8"/>
  <c r="F1132" i="8"/>
  <c r="H1132" i="8"/>
  <c r="H373" i="8"/>
  <c r="F373" i="8"/>
  <c r="F105" i="8"/>
  <c r="H105" i="8"/>
  <c r="H155" i="8"/>
  <c r="F155" i="8"/>
  <c r="F948" i="8"/>
  <c r="H948" i="8"/>
  <c r="H197" i="8"/>
  <c r="F197" i="8"/>
  <c r="F117" i="8"/>
  <c r="H117" i="8"/>
  <c r="F1098" i="8"/>
  <c r="H1098" i="8"/>
  <c r="F265" i="8"/>
  <c r="H265" i="8"/>
  <c r="F127" i="8"/>
  <c r="H127" i="8"/>
  <c r="F865" i="8"/>
  <c r="H865" i="8"/>
  <c r="F348" i="8"/>
  <c r="H348" i="8"/>
  <c r="F378" i="8"/>
  <c r="H378" i="8"/>
  <c r="H955" i="8"/>
  <c r="F955" i="8"/>
  <c r="H1103" i="8"/>
  <c r="F1103" i="8"/>
  <c r="F314" i="8"/>
  <c r="H314" i="8"/>
  <c r="H1147" i="8"/>
  <c r="F1147" i="8"/>
  <c r="F1066" i="8"/>
  <c r="H1066" i="8"/>
  <c r="F1140" i="8"/>
  <c r="H1140" i="8"/>
  <c r="F1034" i="8"/>
  <c r="H1034" i="8"/>
  <c r="F150" i="8"/>
  <c r="H150" i="8"/>
  <c r="H383" i="8"/>
  <c r="F383" i="8"/>
  <c r="H199" i="8"/>
  <c r="F199" i="8"/>
  <c r="F1088" i="8"/>
  <c r="H1088" i="8"/>
  <c r="F162" i="8"/>
  <c r="H162" i="8"/>
  <c r="H202" i="8"/>
  <c r="F202" i="8"/>
  <c r="F927" i="8"/>
  <c r="H927" i="8"/>
  <c r="H888" i="8"/>
  <c r="F888" i="8"/>
  <c r="F194" i="8"/>
  <c r="H194" i="8"/>
  <c r="H979" i="8"/>
  <c r="F979" i="8"/>
  <c r="F90" i="8"/>
  <c r="H90" i="8"/>
  <c r="H173" i="8"/>
  <c r="F173" i="8"/>
  <c r="F93" i="8"/>
  <c r="H93" i="8"/>
  <c r="H193" i="8"/>
  <c r="F193" i="8"/>
  <c r="H56" i="8"/>
  <c r="F56" i="8"/>
  <c r="F928" i="8"/>
  <c r="H928" i="8"/>
  <c r="F174" i="8"/>
  <c r="H174" i="8"/>
  <c r="H938" i="8"/>
  <c r="F938" i="8"/>
  <c r="H1087" i="8"/>
  <c r="F1087" i="8"/>
  <c r="H145" i="8"/>
  <c r="F145" i="8"/>
  <c r="F257" i="8"/>
  <c r="H257" i="8"/>
  <c r="H210" i="8"/>
  <c r="F210" i="8"/>
  <c r="H331" i="8"/>
  <c r="F331" i="8"/>
  <c r="H116" i="8"/>
  <c r="F116" i="8"/>
  <c r="F121" i="8"/>
  <c r="H121" i="8"/>
  <c r="H854" i="8"/>
  <c r="F854" i="8"/>
  <c r="H260" i="8"/>
  <c r="F260" i="8"/>
  <c r="H369" i="8"/>
  <c r="F369" i="8"/>
  <c r="H971" i="8"/>
  <c r="F971" i="8"/>
  <c r="H345" i="8"/>
  <c r="F345" i="8"/>
  <c r="F19" i="8"/>
  <c r="H19" i="8"/>
  <c r="F328" i="8"/>
  <c r="H328" i="8"/>
  <c r="H256" i="8"/>
  <c r="F256" i="8"/>
  <c r="F53" i="8"/>
  <c r="H53" i="8"/>
  <c r="F929" i="8"/>
  <c r="H929" i="8"/>
  <c r="H238" i="8"/>
  <c r="F238" i="8"/>
  <c r="F259" i="8"/>
  <c r="H259" i="8"/>
  <c r="F219" i="8"/>
  <c r="H219" i="8"/>
  <c r="H1035" i="8"/>
  <c r="F1035" i="8"/>
  <c r="F182" i="8"/>
  <c r="H182" i="8"/>
  <c r="H1111" i="8"/>
  <c r="F1111" i="8"/>
  <c r="F1179" i="8"/>
  <c r="H1179" i="8"/>
  <c r="F1180" i="8"/>
  <c r="H1180" i="8"/>
  <c r="F593" i="8"/>
  <c r="H593" i="8"/>
  <c r="H1019" i="8"/>
  <c r="F1019" i="8"/>
  <c r="H181" i="8"/>
  <c r="F181" i="8"/>
  <c r="F376" i="8"/>
  <c r="H376" i="8"/>
  <c r="F178" i="8"/>
  <c r="H178" i="8"/>
  <c r="H208" i="8"/>
  <c r="F208" i="8"/>
  <c r="H868" i="8"/>
  <c r="F868" i="8"/>
  <c r="F261" i="8"/>
  <c r="H261" i="8"/>
  <c r="H92" i="8"/>
  <c r="F92" i="8"/>
  <c r="F103" i="8"/>
  <c r="H103" i="8"/>
  <c r="H6" i="8"/>
  <c r="I213" i="8" l="1"/>
  <c r="I868" i="8"/>
  <c r="I181" i="8"/>
  <c r="I345" i="8"/>
  <c r="I854" i="8"/>
  <c r="I210" i="8"/>
  <c r="I938" i="8"/>
  <c r="I56" i="8"/>
  <c r="I199" i="8"/>
  <c r="I1103" i="8"/>
  <c r="I1132" i="8"/>
  <c r="I851" i="8"/>
  <c r="I931" i="8"/>
  <c r="I1175" i="8"/>
  <c r="I109" i="8"/>
  <c r="I175" i="8"/>
  <c r="I132" i="8"/>
  <c r="I136" i="8"/>
  <c r="I283" i="8"/>
  <c r="I336" i="8"/>
  <c r="I205" i="8"/>
  <c r="I920" i="8"/>
  <c r="I933" i="8"/>
  <c r="I223" i="8"/>
  <c r="I196" i="8"/>
  <c r="I934" i="8"/>
  <c r="I1125" i="8"/>
  <c r="I939" i="8"/>
  <c r="I259" i="8"/>
  <c r="I121" i="8"/>
  <c r="I257" i="8"/>
  <c r="I174" i="8"/>
  <c r="I1066" i="8"/>
  <c r="I127" i="8"/>
  <c r="I1099" i="8"/>
  <c r="I307" i="8"/>
  <c r="I268" i="8"/>
  <c r="I1071" i="8"/>
  <c r="I305" i="8"/>
  <c r="I267" i="8"/>
  <c r="I1006" i="8"/>
  <c r="I207" i="8"/>
  <c r="I879" i="8"/>
  <c r="I904" i="8"/>
  <c r="I1163" i="8"/>
  <c r="I849" i="8"/>
  <c r="I1097" i="8"/>
  <c r="I211" i="8"/>
  <c r="I203" i="8"/>
  <c r="I1155" i="8"/>
  <c r="I256" i="8"/>
  <c r="I971" i="8"/>
  <c r="I955" i="8"/>
  <c r="I215" i="8"/>
  <c r="I352" i="8"/>
  <c r="I472" i="8"/>
  <c r="I220" i="8"/>
  <c r="I163" i="8"/>
  <c r="I1130" i="8"/>
  <c r="I1182" i="8"/>
  <c r="I103" i="8"/>
  <c r="I208" i="8"/>
  <c r="I1019" i="8"/>
  <c r="I1111" i="8"/>
  <c r="I193" i="8"/>
  <c r="I979" i="8"/>
  <c r="I202" i="8"/>
  <c r="I383" i="8"/>
  <c r="I197" i="8"/>
  <c r="I373" i="8"/>
  <c r="I178" i="8"/>
  <c r="I593" i="8"/>
  <c r="I182" i="8"/>
  <c r="I328" i="8"/>
  <c r="I928" i="8"/>
  <c r="I93" i="8"/>
  <c r="I194" i="8"/>
  <c r="I162" i="8"/>
  <c r="I150" i="8"/>
  <c r="I378" i="8"/>
  <c r="I265" i="8"/>
  <c r="I948" i="8"/>
  <c r="I179" i="8"/>
  <c r="I349" i="8"/>
  <c r="I204" i="8"/>
  <c r="I147" i="8"/>
  <c r="I309" i="8"/>
  <c r="I1065" i="8"/>
  <c r="I329" i="8"/>
  <c r="I882" i="8"/>
  <c r="I320" i="8"/>
  <c r="I135" i="8"/>
  <c r="I350" i="8"/>
  <c r="I131" i="8"/>
  <c r="I366" i="8"/>
  <c r="I146" i="8"/>
  <c r="I356" i="8"/>
  <c r="I284" i="8"/>
  <c r="I99" i="8"/>
  <c r="I1181" i="8"/>
  <c r="I1083" i="8"/>
  <c r="I238" i="8"/>
  <c r="I889" i="8"/>
  <c r="I413" i="8"/>
  <c r="I949" i="8"/>
  <c r="I134" i="8"/>
  <c r="I335" i="8"/>
  <c r="I1120" i="8"/>
  <c r="I1176" i="8"/>
  <c r="I1094" i="8"/>
  <c r="I1166" i="8"/>
  <c r="I918" i="8"/>
  <c r="I339" i="8"/>
  <c r="I92" i="8"/>
  <c r="I369" i="8"/>
  <c r="I116" i="8"/>
  <c r="I145" i="8"/>
  <c r="I1147" i="8"/>
  <c r="I269" i="8"/>
  <c r="I261" i="8"/>
  <c r="I376" i="8"/>
  <c r="I1180" i="8"/>
  <c r="I929" i="8"/>
  <c r="I19" i="8"/>
  <c r="I1088" i="8"/>
  <c r="I1034" i="8"/>
  <c r="I314" i="8"/>
  <c r="I348" i="8"/>
  <c r="I1098" i="8"/>
  <c r="I54" i="8"/>
  <c r="I185" i="8"/>
  <c r="I907" i="8"/>
  <c r="I264" i="8"/>
  <c r="I258" i="8"/>
  <c r="I864" i="8"/>
  <c r="I319" i="8"/>
  <c r="I1128" i="8"/>
  <c r="I1126" i="8"/>
  <c r="I1174" i="8"/>
  <c r="I1064" i="8"/>
  <c r="I160" i="8"/>
  <c r="I372" i="8"/>
  <c r="I81" i="8"/>
  <c r="I189" i="8"/>
  <c r="I384" i="8"/>
  <c r="I916" i="8"/>
  <c r="I102" i="8"/>
  <c r="I1169" i="8"/>
  <c r="I1112" i="8"/>
  <c r="I1113" i="8"/>
  <c r="I917" i="8"/>
  <c r="I341" i="8"/>
  <c r="I351" i="8"/>
  <c r="I1035" i="8"/>
  <c r="I260" i="8"/>
  <c r="I331" i="8"/>
  <c r="I1087" i="8"/>
  <c r="I173" i="8"/>
  <c r="I888" i="8"/>
  <c r="I155" i="8"/>
  <c r="I1124" i="8"/>
  <c r="I911" i="8"/>
  <c r="I909" i="8"/>
  <c r="I1036" i="8"/>
  <c r="I368" i="8"/>
  <c r="I176" i="8"/>
  <c r="I995" i="8"/>
  <c r="I862" i="8"/>
  <c r="I1170" i="8"/>
  <c r="I936" i="8"/>
  <c r="I190" i="8"/>
  <c r="I172" i="8"/>
  <c r="I940" i="8"/>
  <c r="I337" i="8"/>
  <c r="I1081" i="8"/>
  <c r="I1179" i="8"/>
  <c r="I219" i="8"/>
  <c r="I53" i="8"/>
  <c r="I90" i="8"/>
  <c r="I927" i="8"/>
  <c r="I1140" i="8"/>
  <c r="I865" i="8"/>
  <c r="I117" i="8"/>
  <c r="I105" i="8"/>
  <c r="I218" i="8"/>
  <c r="I214" i="8"/>
  <c r="I80" i="8"/>
  <c r="I241" i="8"/>
  <c r="I1102" i="8"/>
  <c r="I344" i="8"/>
  <c r="I1106" i="8"/>
  <c r="I958" i="8"/>
  <c r="I915" i="8"/>
  <c r="I343" i="8"/>
  <c r="I1145" i="8"/>
  <c r="I1177" i="8"/>
  <c r="I1138" i="8"/>
  <c r="I286" i="8"/>
  <c r="I88" i="8"/>
  <c r="I6" i="8"/>
  <c r="G1812" i="5"/>
  <c r="F339" i="8"/>
  <c r="F337" i="8"/>
  <c r="F341" i="8"/>
  <c r="H324" i="8"/>
  <c r="G4518" i="5"/>
  <c r="G3879" i="5"/>
  <c r="G4179" i="5"/>
  <c r="G4206" i="5"/>
  <c r="G3764" i="5"/>
  <c r="G4475" i="5"/>
  <c r="G4607" i="5"/>
  <c r="G3630" i="5"/>
  <c r="G359" i="5"/>
  <c r="G2593" i="5"/>
  <c r="G2609" i="5"/>
  <c r="G2601" i="5"/>
  <c r="G3177" i="5"/>
  <c r="G3643" i="5"/>
  <c r="G314" i="5"/>
  <c r="G299" i="5"/>
  <c r="H114" i="8"/>
  <c r="H180" i="8"/>
  <c r="H338" i="8"/>
  <c r="F1112" i="8"/>
  <c r="F343" i="8"/>
  <c r="F102" i="8"/>
  <c r="F189" i="8"/>
  <c r="G5110" i="5"/>
  <c r="F335" i="8"/>
  <c r="H129" i="8"/>
  <c r="F336" i="8"/>
  <c r="H236" i="8"/>
  <c r="F115" i="8"/>
  <c r="G5130" i="5"/>
  <c r="G5111" i="5"/>
  <c r="F380" i="6"/>
  <c r="G380" i="6" s="1"/>
  <c r="G5109" i="5"/>
  <c r="G3568" i="5"/>
  <c r="G396" i="5"/>
  <c r="G3463" i="5"/>
  <c r="G3655" i="5"/>
  <c r="G441" i="5"/>
  <c r="G3859" i="5"/>
  <c r="G3438" i="5"/>
  <c r="F932" i="8"/>
  <c r="H932" i="8"/>
  <c r="F233" i="8"/>
  <c r="H233" i="8"/>
  <c r="H969" i="8"/>
  <c r="F969" i="8"/>
  <c r="F188" i="8"/>
  <c r="H188" i="8"/>
  <c r="H1085" i="8"/>
  <c r="F1085" i="8"/>
  <c r="F9" i="8"/>
  <c r="H9" i="8"/>
  <c r="F288" i="8"/>
  <c r="H288" i="8"/>
  <c r="F209" i="8"/>
  <c r="H209" i="8"/>
  <c r="F863" i="8"/>
  <c r="H863" i="8"/>
  <c r="F237" i="8"/>
  <c r="H237" i="8"/>
  <c r="H1069" i="8"/>
  <c r="F1069" i="8"/>
  <c r="F318" i="8"/>
  <c r="H318" i="8"/>
  <c r="F101" i="8"/>
  <c r="H101" i="8"/>
  <c r="H240" i="8"/>
  <c r="F240" i="8"/>
  <c r="H285" i="8"/>
  <c r="F285" i="8"/>
  <c r="H270" i="8"/>
  <c r="F270" i="8"/>
  <c r="F980" i="8"/>
  <c r="H980" i="8"/>
  <c r="F300" i="8"/>
  <c r="H300" i="8"/>
  <c r="H216" i="8"/>
  <c r="F216" i="8"/>
  <c r="F289" i="8"/>
  <c r="H289" i="8"/>
  <c r="H274" i="8"/>
  <c r="F274" i="8"/>
  <c r="H224" i="8"/>
  <c r="F224" i="8"/>
  <c r="F239" i="8"/>
  <c r="H239" i="8"/>
  <c r="F1068" i="8"/>
  <c r="H1068" i="8"/>
  <c r="F312" i="8"/>
  <c r="H312" i="8"/>
  <c r="F877" i="8"/>
  <c r="H877" i="8"/>
  <c r="H106" i="8"/>
  <c r="F106" i="8"/>
  <c r="F225" i="8"/>
  <c r="H225" i="8"/>
  <c r="H363" i="8"/>
  <c r="F363" i="8"/>
  <c r="H333" i="8"/>
  <c r="F333" i="8"/>
  <c r="H860" i="8"/>
  <c r="F860" i="8"/>
  <c r="F340" i="8"/>
  <c r="H340" i="8"/>
  <c r="H266" i="8"/>
  <c r="F266" i="8"/>
  <c r="G4028" i="5"/>
  <c r="G3475" i="5"/>
  <c r="G3403" i="5"/>
  <c r="G3560" i="5"/>
  <c r="G3414" i="5"/>
  <c r="G546" i="5"/>
  <c r="G3498" i="5"/>
  <c r="G3805" i="5"/>
  <c r="G3328" i="5"/>
  <c r="G556" i="5"/>
  <c r="G3723" i="5"/>
  <c r="G3804" i="5"/>
  <c r="G3513" i="5"/>
  <c r="F65" i="6"/>
  <c r="G1362" i="5"/>
  <c r="G3629" i="5"/>
  <c r="G4420" i="5"/>
  <c r="G4351" i="5"/>
  <c r="G273" i="5"/>
  <c r="G375" i="5"/>
  <c r="G4399" i="5"/>
  <c r="G2249" i="5"/>
  <c r="G3854" i="5"/>
  <c r="G429" i="5"/>
  <c r="G426" i="5"/>
  <c r="G693" i="5"/>
  <c r="G3370" i="5"/>
  <c r="G3671" i="5"/>
  <c r="G1349" i="5"/>
  <c r="G4415" i="5"/>
  <c r="G4391" i="5"/>
  <c r="G4335" i="5"/>
  <c r="G3363" i="5"/>
  <c r="I860" i="8" l="1"/>
  <c r="I106" i="8"/>
  <c r="I224" i="8"/>
  <c r="I318" i="8"/>
  <c r="I209" i="8"/>
  <c r="I188" i="8"/>
  <c r="I236" i="8"/>
  <c r="I877" i="8"/>
  <c r="I932" i="8"/>
  <c r="I338" i="8"/>
  <c r="I101" i="8"/>
  <c r="I863" i="8"/>
  <c r="I969" i="8"/>
  <c r="I1085" i="8"/>
  <c r="I312" i="8"/>
  <c r="I274" i="8"/>
  <c r="I300" i="8"/>
  <c r="I288" i="8"/>
  <c r="I129" i="8"/>
  <c r="I180" i="8"/>
  <c r="I233" i="8"/>
  <c r="I333" i="8"/>
  <c r="I216" i="8"/>
  <c r="I266" i="8"/>
  <c r="I363" i="8"/>
  <c r="I340" i="8"/>
  <c r="I225" i="8"/>
  <c r="I1068" i="8"/>
  <c r="I289" i="8"/>
  <c r="I285" i="8"/>
  <c r="I1069" i="8"/>
  <c r="I114" i="8"/>
  <c r="I270" i="8"/>
  <c r="I980" i="8"/>
  <c r="I237" i="8"/>
  <c r="I9" i="8"/>
  <c r="I324" i="8"/>
  <c r="I239" i="8"/>
  <c r="I240" i="8"/>
  <c r="H1811" i="5"/>
  <c r="H291" i="5"/>
  <c r="E82" i="8" s="1"/>
  <c r="H2600" i="5"/>
  <c r="E574" i="8" s="1"/>
  <c r="H4186" i="5"/>
  <c r="H306" i="5"/>
  <c r="E83" i="8" s="1"/>
  <c r="H2608" i="5"/>
  <c r="H4606" i="5"/>
  <c r="H4170" i="5"/>
  <c r="E1134" i="8" s="1"/>
  <c r="H3637" i="5"/>
  <c r="E997" i="8" s="1"/>
  <c r="H2592" i="5"/>
  <c r="H4463" i="5"/>
  <c r="H3873" i="5"/>
  <c r="H3171" i="5"/>
  <c r="H352" i="5"/>
  <c r="H3759" i="5"/>
  <c r="E1067" i="8" s="1"/>
  <c r="H4513" i="5"/>
  <c r="F129" i="8"/>
  <c r="F236" i="8"/>
  <c r="H4026" i="5"/>
  <c r="H374" i="8"/>
  <c r="H115" i="8"/>
  <c r="F325" i="8"/>
  <c r="H112" i="8"/>
  <c r="F119" i="8"/>
  <c r="H5129" i="5"/>
  <c r="F389" i="6"/>
  <c r="G386" i="6" s="1"/>
  <c r="H2243" i="5"/>
  <c r="H3428" i="5"/>
  <c r="H3564" i="5"/>
  <c r="H395" i="5"/>
  <c r="H3453" i="5"/>
  <c r="H3858" i="5"/>
  <c r="H3650" i="5"/>
  <c r="H441" i="5"/>
  <c r="E96" i="8" s="1"/>
  <c r="H3399" i="5"/>
  <c r="H361" i="8"/>
  <c r="F361" i="8"/>
  <c r="H128" i="8"/>
  <c r="F128" i="8"/>
  <c r="H385" i="8"/>
  <c r="F385" i="8"/>
  <c r="F322" i="8"/>
  <c r="H322" i="8"/>
  <c r="F334" i="8"/>
  <c r="H334" i="8"/>
  <c r="F113" i="8"/>
  <c r="H113" i="8"/>
  <c r="F306" i="8"/>
  <c r="H306" i="8"/>
  <c r="F287" i="8"/>
  <c r="H287" i="8"/>
  <c r="F107" i="8"/>
  <c r="H107" i="8"/>
  <c r="F97" i="8"/>
  <c r="H97" i="8"/>
  <c r="F235" i="8"/>
  <c r="H235" i="8"/>
  <c r="F1018" i="8"/>
  <c r="H1018" i="8"/>
  <c r="H554" i="5"/>
  <c r="E111" i="8" s="1"/>
  <c r="H3327" i="5"/>
  <c r="H3470" i="5"/>
  <c r="H546" i="5"/>
  <c r="E110" i="8" s="1"/>
  <c r="H3558" i="5"/>
  <c r="E986" i="8" s="1"/>
  <c r="H3409" i="5"/>
  <c r="H3489" i="5"/>
  <c r="H3721" i="5"/>
  <c r="H3793" i="5"/>
  <c r="H3511" i="5"/>
  <c r="G63" i="6"/>
  <c r="H3362" i="5"/>
  <c r="H4346" i="5"/>
  <c r="E1153" i="8" s="1"/>
  <c r="H2319" i="5"/>
  <c r="E371" i="8" s="1"/>
  <c r="H4413" i="5"/>
  <c r="E1161" i="8" s="1"/>
  <c r="H3369" i="5"/>
  <c r="H687" i="5"/>
  <c r="H372" i="5"/>
  <c r="H4419" i="5"/>
  <c r="E1162" i="8" s="1"/>
  <c r="H1347" i="5"/>
  <c r="E232" i="8" s="1"/>
  <c r="H3665" i="5"/>
  <c r="E1016" i="8" s="1"/>
  <c r="H423" i="5"/>
  <c r="E94" i="8" s="1"/>
  <c r="H1360" i="5"/>
  <c r="E234" i="8" s="1"/>
  <c r="H4330" i="5"/>
  <c r="E1152" i="8" s="1"/>
  <c r="H4389" i="5"/>
  <c r="E1157" i="8" s="1"/>
  <c r="H3850" i="5"/>
  <c r="H4397" i="5"/>
  <c r="E1158" i="8" s="1"/>
  <c r="H269" i="5"/>
  <c r="E79" i="8" s="1"/>
  <c r="H3625" i="5"/>
  <c r="E996" i="8" s="1"/>
  <c r="E967" i="8" l="1"/>
  <c r="E1079" i="8"/>
  <c r="E1185" i="8"/>
  <c r="E959" i="8"/>
  <c r="E972" i="8"/>
  <c r="E87" i="8"/>
  <c r="E575" i="8"/>
  <c r="E973" i="8"/>
  <c r="E91" i="8"/>
  <c r="E926" i="8"/>
  <c r="E999" i="8"/>
  <c r="E1344" i="8"/>
  <c r="E1078" i="8"/>
  <c r="E89" i="8"/>
  <c r="E978" i="8"/>
  <c r="E951" i="8"/>
  <c r="E987" i="8"/>
  <c r="E1082" i="8"/>
  <c r="E1135" i="8"/>
  <c r="E970" i="8"/>
  <c r="E1114" i="8"/>
  <c r="E1168" i="8"/>
  <c r="E130" i="8"/>
  <c r="E1070" i="8"/>
  <c r="E960" i="8"/>
  <c r="E1059" i="8"/>
  <c r="E966" i="8"/>
  <c r="E364" i="8"/>
  <c r="E573" i="8"/>
  <c r="E290" i="8"/>
  <c r="E976" i="8"/>
  <c r="E1173" i="8"/>
  <c r="H325" i="8"/>
  <c r="I325" i="8" s="1"/>
  <c r="F374" i="8"/>
  <c r="I287" i="8"/>
  <c r="I113" i="8"/>
  <c r="I322" i="8"/>
  <c r="I306" i="8"/>
  <c r="I385" i="8"/>
  <c r="I112" i="8"/>
  <c r="I97" i="8"/>
  <c r="I1018" i="8"/>
  <c r="I128" i="8"/>
  <c r="I115" i="8"/>
  <c r="I107" i="8"/>
  <c r="I334" i="8"/>
  <c r="I374" i="8"/>
  <c r="I235" i="8"/>
  <c r="I361" i="8"/>
  <c r="F112" i="8"/>
  <c r="F275" i="8"/>
  <c r="H119" i="8"/>
  <c r="H867" i="8"/>
  <c r="F279" i="8"/>
  <c r="F930" i="8"/>
  <c r="H930" i="8"/>
  <c r="F326" i="8"/>
  <c r="H326" i="8"/>
  <c r="F1058" i="8"/>
  <c r="H1058" i="8"/>
  <c r="H187" i="8"/>
  <c r="F187" i="8"/>
  <c r="F310" i="8"/>
  <c r="H310" i="8"/>
  <c r="F148" i="8"/>
  <c r="H148" i="8"/>
  <c r="H171" i="8"/>
  <c r="F171" i="8"/>
  <c r="H327" i="8"/>
  <c r="F327" i="8"/>
  <c r="F902" i="8"/>
  <c r="H902" i="8"/>
  <c r="F382" i="8"/>
  <c r="H382" i="8"/>
  <c r="H262" i="8"/>
  <c r="F262" i="8"/>
  <c r="F332" i="8"/>
  <c r="H332" i="8"/>
  <c r="H381" i="8"/>
  <c r="F381" i="8"/>
  <c r="G1481" i="5"/>
  <c r="G1466" i="5"/>
  <c r="I327" i="8" l="1"/>
  <c r="I867" i="8"/>
  <c r="I187" i="8"/>
  <c r="I171" i="8"/>
  <c r="I1058" i="8"/>
  <c r="I381" i="8"/>
  <c r="I382" i="8"/>
  <c r="I148" i="8"/>
  <c r="I332" i="8"/>
  <c r="I326" i="8"/>
  <c r="I902" i="8"/>
  <c r="I310" i="8"/>
  <c r="I930" i="8"/>
  <c r="I119" i="8"/>
  <c r="I262" i="8"/>
  <c r="H275" i="8"/>
  <c r="H279" i="8"/>
  <c r="F227" i="8"/>
  <c r="F867" i="8"/>
  <c r="H165" i="8"/>
  <c r="F165" i="8"/>
  <c r="F278" i="8"/>
  <c r="H278" i="8"/>
  <c r="F282" i="8"/>
  <c r="H282" i="8"/>
  <c r="H281" i="8"/>
  <c r="F281" i="8"/>
  <c r="F1076" i="8"/>
  <c r="H1076" i="8"/>
  <c r="F280" i="8"/>
  <c r="H280" i="8"/>
  <c r="H1470" i="5"/>
  <c r="G1436" i="5"/>
  <c r="G1496" i="5"/>
  <c r="H1455" i="5"/>
  <c r="G1421" i="5"/>
  <c r="G1451" i="5"/>
  <c r="E245" i="8" l="1"/>
  <c r="E246" i="8"/>
  <c r="I280" i="8"/>
  <c r="I279" i="8"/>
  <c r="I278" i="8"/>
  <c r="I275" i="8"/>
  <c r="I1076" i="8"/>
  <c r="I165" i="8"/>
  <c r="I281" i="8"/>
  <c r="I282" i="8"/>
  <c r="H227" i="8"/>
  <c r="G5103" i="5"/>
  <c r="G5102" i="5"/>
  <c r="H120" i="8"/>
  <c r="F120" i="8"/>
  <c r="G1511" i="5"/>
  <c r="H1485" i="5"/>
  <c r="H1410" i="5"/>
  <c r="E242" i="8" s="1"/>
  <c r="H1425" i="5"/>
  <c r="G3827" i="5"/>
  <c r="H1440" i="5"/>
  <c r="E244" i="8" l="1"/>
  <c r="E243" i="8"/>
  <c r="E247" i="8"/>
  <c r="F1344" i="8"/>
  <c r="H1344" i="8"/>
  <c r="I1344" i="8" s="1"/>
  <c r="I227" i="8"/>
  <c r="I120" i="8"/>
  <c r="H5100" i="5"/>
  <c r="E1339" i="8" s="1"/>
  <c r="H3827" i="5"/>
  <c r="E1075" i="8" s="1"/>
  <c r="H1500" i="5"/>
  <c r="E248" i="8" s="1"/>
  <c r="F290" i="8" l="1"/>
  <c r="H290" i="8"/>
  <c r="F1016" i="8"/>
  <c r="F1153" i="8"/>
  <c r="F79" i="8"/>
  <c r="F1152" i="8"/>
  <c r="F978" i="8"/>
  <c r="H978" i="8"/>
  <c r="I290" i="8" l="1"/>
  <c r="I978" i="8"/>
  <c r="H1016" i="8"/>
  <c r="H1153" i="8"/>
  <c r="H79" i="8"/>
  <c r="H1152" i="8"/>
  <c r="H371" i="8"/>
  <c r="F371" i="8"/>
  <c r="H232" i="8"/>
  <c r="F232" i="8"/>
  <c r="H234" i="8"/>
  <c r="F234" i="8"/>
  <c r="I234" i="8" l="1"/>
  <c r="I1016" i="8"/>
  <c r="I1153" i="8"/>
  <c r="I371" i="8"/>
  <c r="I79" i="8"/>
  <c r="I232" i="8"/>
  <c r="I1152" i="8"/>
  <c r="H242" i="8" l="1"/>
  <c r="H246" i="8"/>
  <c r="F246" i="8"/>
  <c r="F243" i="8"/>
  <c r="H243" i="8"/>
  <c r="F247" i="8"/>
  <c r="H247" i="8"/>
  <c r="F245" i="8"/>
  <c r="H245" i="8"/>
  <c r="F242" i="8" l="1"/>
  <c r="I245" i="8"/>
  <c r="I246" i="8"/>
  <c r="I247" i="8"/>
  <c r="I242" i="8"/>
  <c r="I243" i="8"/>
  <c r="F1339" i="8"/>
  <c r="H1339" i="8"/>
  <c r="H1075" i="8"/>
  <c r="F1075" i="8"/>
  <c r="H244" i="8"/>
  <c r="F244" i="8"/>
  <c r="I1075" i="8" l="1"/>
  <c r="I1339" i="8"/>
  <c r="I244" i="8"/>
  <c r="H248" i="8"/>
  <c r="F248" i="8"/>
  <c r="I248" i="8" l="1"/>
  <c r="F1185" i="8" l="1"/>
  <c r="H1185" i="8"/>
  <c r="F91" i="8"/>
  <c r="H91" i="8"/>
  <c r="F942" i="8"/>
  <c r="H942" i="8"/>
  <c r="F1168" i="8"/>
  <c r="H1168" i="8"/>
  <c r="H110" i="8"/>
  <c r="F110" i="8"/>
  <c r="F1173" i="8"/>
  <c r="H1173" i="8"/>
  <c r="F986" i="8"/>
  <c r="H986" i="8"/>
  <c r="F921" i="8"/>
  <c r="H921" i="8"/>
  <c r="H951" i="8"/>
  <c r="F951" i="8"/>
  <c r="F970" i="8"/>
  <c r="H970" i="8"/>
  <c r="F251" i="8"/>
  <c r="H251" i="8"/>
  <c r="H973" i="8"/>
  <c r="F973" i="8"/>
  <c r="F95" i="8"/>
  <c r="H95" i="8"/>
  <c r="H1161" i="8"/>
  <c r="F1161" i="8"/>
  <c r="F1162" i="8"/>
  <c r="H1162" i="8"/>
  <c r="F960" i="8"/>
  <c r="H960" i="8"/>
  <c r="F255" i="8"/>
  <c r="H255" i="8"/>
  <c r="H999" i="8"/>
  <c r="F999" i="8"/>
  <c r="H1079" i="8"/>
  <c r="F1079" i="8"/>
  <c r="H967" i="8"/>
  <c r="F967" i="8"/>
  <c r="F1134" i="8"/>
  <c r="H1134" i="8"/>
  <c r="F972" i="8"/>
  <c r="H972" i="8"/>
  <c r="F1158" i="8"/>
  <c r="H1158" i="8"/>
  <c r="F89" i="8"/>
  <c r="H89" i="8"/>
  <c r="H959" i="8"/>
  <c r="F959" i="8"/>
  <c r="H252" i="8"/>
  <c r="F252" i="8"/>
  <c r="F253" i="8"/>
  <c r="H253" i="8"/>
  <c r="H1135" i="8"/>
  <c r="F1135" i="8"/>
  <c r="F364" i="8"/>
  <c r="H364" i="8"/>
  <c r="F922" i="8"/>
  <c r="H922" i="8"/>
  <c r="H250" i="8"/>
  <c r="F250" i="8"/>
  <c r="F976" i="8"/>
  <c r="H976" i="8"/>
  <c r="H230" i="8"/>
  <c r="F230" i="8"/>
  <c r="H943" i="8"/>
  <c r="F943" i="8"/>
  <c r="F966" i="8"/>
  <c r="H966" i="8"/>
  <c r="H1059" i="8"/>
  <c r="F1059" i="8"/>
  <c r="I1135" i="8" l="1"/>
  <c r="I967" i="8"/>
  <c r="I970" i="8"/>
  <c r="I1173" i="8"/>
  <c r="I91" i="8"/>
  <c r="I253" i="8"/>
  <c r="I1158" i="8"/>
  <c r="I999" i="8"/>
  <c r="I1161" i="8"/>
  <c r="I89" i="8"/>
  <c r="I976" i="8"/>
  <c r="I250" i="8"/>
  <c r="I1079" i="8"/>
  <c r="I255" i="8"/>
  <c r="I95" i="8"/>
  <c r="I1185" i="8"/>
  <c r="I922" i="8"/>
  <c r="I972" i="8"/>
  <c r="I951" i="8"/>
  <c r="I110" i="8"/>
  <c r="I252" i="8"/>
  <c r="I960" i="8"/>
  <c r="I921" i="8"/>
  <c r="I1168" i="8"/>
  <c r="I364" i="8"/>
  <c r="I1134" i="8"/>
  <c r="I973" i="8"/>
  <c r="I230" i="8"/>
  <c r="I1059" i="8"/>
  <c r="I966" i="8"/>
  <c r="I959" i="8"/>
  <c r="I1162" i="8"/>
  <c r="I251" i="8"/>
  <c r="I986" i="8"/>
  <c r="I942" i="8"/>
  <c r="I943" i="8"/>
  <c r="H903" i="8"/>
  <c r="F903" i="8"/>
  <c r="F1078" i="8"/>
  <c r="H1078" i="8"/>
  <c r="H987" i="8"/>
  <c r="F987" i="8"/>
  <c r="H228" i="8"/>
  <c r="F228" i="8"/>
  <c r="H94" i="8"/>
  <c r="F94" i="8"/>
  <c r="F1070" i="8"/>
  <c r="H1070" i="8"/>
  <c r="F1114" i="8"/>
  <c r="H1114" i="8"/>
  <c r="F231" i="8"/>
  <c r="H231" i="8"/>
  <c r="H254" i="8"/>
  <c r="F254" i="8"/>
  <c r="H130" i="8"/>
  <c r="F130" i="8"/>
  <c r="F86" i="8"/>
  <c r="H86" i="8"/>
  <c r="F925" i="8"/>
  <c r="H925" i="8"/>
  <c r="F111" i="8"/>
  <c r="H111" i="8"/>
  <c r="F249" i="8"/>
  <c r="H249" i="8"/>
  <c r="H96" i="8"/>
  <c r="F96" i="8"/>
  <c r="F1074" i="8"/>
  <c r="H1074" i="8"/>
  <c r="F229" i="8"/>
  <c r="H229" i="8"/>
  <c r="H1157" i="8"/>
  <c r="F1157" i="8"/>
  <c r="I1074" i="8" l="1"/>
  <c r="I925" i="8"/>
  <c r="I231" i="8"/>
  <c r="I228" i="8"/>
  <c r="I86" i="8"/>
  <c r="I1114" i="8"/>
  <c r="I96" i="8"/>
  <c r="I987" i="8"/>
  <c r="I249" i="8"/>
  <c r="I1070" i="8"/>
  <c r="I1078" i="8"/>
  <c r="I130" i="8"/>
  <c r="I229" i="8"/>
  <c r="I111" i="8"/>
  <c r="I1157" i="8"/>
  <c r="I254" i="8"/>
  <c r="I94" i="8"/>
  <c r="I903" i="8"/>
  <c r="H1067" i="8" l="1"/>
  <c r="F1067" i="8"/>
  <c r="H997" i="8"/>
  <c r="F997" i="8"/>
  <c r="F994" i="8"/>
  <c r="H994" i="8"/>
  <c r="F83" i="8"/>
  <c r="H83" i="8"/>
  <c r="F996" i="8"/>
  <c r="H996" i="8"/>
  <c r="H82" i="8"/>
  <c r="F82" i="8"/>
  <c r="I994" i="8" l="1"/>
  <c r="I997" i="8"/>
  <c r="I82" i="8"/>
  <c r="I996" i="8"/>
  <c r="I83" i="8"/>
  <c r="I1067" i="8"/>
  <c r="H574" i="8"/>
  <c r="F574" i="8"/>
  <c r="F575" i="8"/>
  <c r="H575" i="8"/>
  <c r="F1082" i="8"/>
  <c r="H1082" i="8"/>
  <c r="F87" i="8"/>
  <c r="H87" i="8"/>
  <c r="F926" i="8"/>
  <c r="H926" i="8"/>
  <c r="F573" i="8"/>
  <c r="H573" i="8"/>
  <c r="I575" i="8" l="1"/>
  <c r="I573" i="8"/>
  <c r="I926" i="8"/>
  <c r="I87" i="8"/>
  <c r="I574" i="8"/>
  <c r="I1082" i="8"/>
  <c r="G2133" i="5" l="1"/>
  <c r="G2139" i="5"/>
  <c r="H2137" i="5" l="1"/>
  <c r="E347" i="8" s="1"/>
  <c r="H2131" i="5"/>
  <c r="E346" i="8" s="1"/>
  <c r="H347" i="8" l="1"/>
  <c r="F347" i="8"/>
  <c r="F346" i="8"/>
  <c r="H346" i="8"/>
  <c r="I346" i="8" l="1"/>
  <c r="I1359" i="8" s="1"/>
  <c r="I347" i="8"/>
  <c r="I1358" i="8"/>
</calcChain>
</file>

<file path=xl/sharedStrings.xml><?xml version="1.0" encoding="utf-8"?>
<sst xmlns="http://schemas.openxmlformats.org/spreadsheetml/2006/main" count="14720" uniqueCount="3830">
  <si>
    <t>COMPOSIÇÕES DE CUSTO UNITÁRIO</t>
  </si>
  <si>
    <t>ITEM</t>
  </si>
  <si>
    <t>DESCRIÇÃO</t>
  </si>
  <si>
    <t>DISCRIMINAÇÃO DA COMPOSIÇÃO</t>
  </si>
  <si>
    <t>UNIDADE</t>
  </si>
  <si>
    <t>COEFICIENTE</t>
  </si>
  <si>
    <t>CUSTO UNITÁRIO</t>
  </si>
  <si>
    <t>CUSTO TOTAL</t>
  </si>
  <si>
    <t>TOTAL DO SERVIÇO</t>
  </si>
  <si>
    <t>QTD</t>
  </si>
  <si>
    <t>SF-00001</t>
  </si>
  <si>
    <t>Engenheiro civil de obra junior com encargos complementares</t>
  </si>
  <si>
    <t>h</t>
  </si>
  <si>
    <t>SF-00002</t>
  </si>
  <si>
    <t>Mestre de obras com encargos complementares</t>
  </si>
  <si>
    <t>SF-00003</t>
  </si>
  <si>
    <t>Engenheiro Civil de Obra Pleno com encargos complementares</t>
  </si>
  <si>
    <t>SF-00004</t>
  </si>
  <si>
    <t>Engenheiro Civil Pleno com encargos complementares</t>
  </si>
  <si>
    <t>Anotação de Responsabilidade Técnica</t>
  </si>
  <si>
    <t>un</t>
  </si>
  <si>
    <t>SF-00005</t>
  </si>
  <si>
    <t>Pedreiro com Encargos Complementares</t>
  </si>
  <si>
    <t>Servente com Encargos Complementares</t>
  </si>
  <si>
    <t>SF-00006</t>
  </si>
  <si>
    <t>SF-00007</t>
  </si>
  <si>
    <t>SF-00008</t>
  </si>
  <si>
    <t>Montador de estrutura metálica com encargos complementares</t>
  </si>
  <si>
    <t>SF-00009</t>
  </si>
  <si>
    <t>SF-00010</t>
  </si>
  <si>
    <t>Eletricista com encargos complementares</t>
  </si>
  <si>
    <t>SF-00011</t>
  </si>
  <si>
    <t>Martelete ou rompedor pneumático manual, 28 kg, com silenciador - CHP diurno. AF_07/2016</t>
  </si>
  <si>
    <t>chp</t>
  </si>
  <si>
    <t>Martelete ou rompedor pneumático manual, 28 kg, com silenciador - CHI diurno. AF_07/2016</t>
  </si>
  <si>
    <t>chi</t>
  </si>
  <si>
    <t>Azulejista ou ladrilhista com encargos complementares</t>
  </si>
  <si>
    <t>SF-00012</t>
  </si>
  <si>
    <t>SF-00013</t>
  </si>
  <si>
    <t>Encanador ou Bombeiro Hidráulico com Encargos Complementares</t>
  </si>
  <si>
    <t>SF-00014</t>
  </si>
  <si>
    <t>CABO DE ACO GALVANIZADO, DIAMETRO 9,53 MM (3/8"), COM ALMA DE FIBRA 6 X 25 F</t>
  </si>
  <si>
    <t>kg</t>
  </si>
  <si>
    <t>SF-00016</t>
  </si>
  <si>
    <t>Carpinteiro de esquadria com encargos complementares</t>
  </si>
  <si>
    <t>SF-00017</t>
  </si>
  <si>
    <t>SF-00018</t>
  </si>
  <si>
    <t>SF-00019</t>
  </si>
  <si>
    <t>SF-00020</t>
  </si>
  <si>
    <t>SF-00021</t>
  </si>
  <si>
    <t>Ajudante especializado com encargos complementares</t>
  </si>
  <si>
    <t>SF-00022</t>
  </si>
  <si>
    <t>Ajudante de operação em geral com encargos complementares</t>
  </si>
  <si>
    <t>SF-00023</t>
  </si>
  <si>
    <t>Marmorista/graniteiro com encargos complementares</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</si>
  <si>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</si>
  <si>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</si>
  <si>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</si>
  <si>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</si>
  <si>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</si>
  <si>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</si>
  <si>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</si>
  <si>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</si>
  <si>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</si>
  <si>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</si>
  <si>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</si>
  <si>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</si>
  <si>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</si>
  <si>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Vidraceiro com encargos complementares</t>
  </si>
  <si>
    <t>SF-00036</t>
  </si>
  <si>
    <t>SF-00037</t>
  </si>
  <si>
    <t>SF-00038</t>
  </si>
  <si>
    <r>
      <t xml:space="preserve">Obs.: remoção </t>
    </r>
    <r>
      <rPr>
        <b/>
        <u/>
        <sz val="10"/>
        <rFont val="Arial"/>
        <family val="2"/>
      </rPr>
      <t>com</t>
    </r>
    <r>
      <rPr>
        <b/>
        <sz val="10"/>
        <rFont val="Arial"/>
        <family val="2"/>
      </rPr>
      <t xml:space="preserve"> reaproveitamento</t>
    </r>
  </si>
  <si>
    <t>SF-00039</t>
  </si>
  <si>
    <t>Auxiliar de eletricista com encargos complementares</t>
  </si>
  <si>
    <t>SF-00040</t>
  </si>
  <si>
    <t>SF-00041</t>
  </si>
  <si>
    <t>SF-00042</t>
  </si>
  <si>
    <t>Carpinteiro de formas com encargos complementares</t>
  </si>
  <si>
    <t>SF-00043</t>
  </si>
  <si>
    <t>SF-00044</t>
  </si>
  <si>
    <t>Montador eletromecãnico com encargos complementares</t>
  </si>
  <si>
    <t>SF-00045</t>
  </si>
  <si>
    <t>SF-00046</t>
  </si>
  <si>
    <t>SF-00048</t>
  </si>
  <si>
    <t>LOCACAO DE ANDAIME METALICO TIPO FACHADEIRO, LARGURA DE 1,20 M, ALTURA POR PECA DE 2,0 M, INCLUINDO SAPATAS E ITENS NECESSARIOS A INSTALACAO</t>
  </si>
  <si>
    <t>M2XMES</t>
  </si>
  <si>
    <t>SF-00049</t>
  </si>
  <si>
    <t>MXMES</t>
  </si>
  <si>
    <t>SF-00051</t>
  </si>
  <si>
    <t>CORDA DE POLIAMIDA 12 MM TIPO BOMBEIRO, PARA TRABALHO EM ALTURA</t>
  </si>
  <si>
    <t>100m</t>
  </si>
  <si>
    <t>SF-00057</t>
  </si>
  <si>
    <t>m</t>
  </si>
  <si>
    <t>Prego de aco polido com cabeca 18 x 27 (2 1/2 x 10)</t>
  </si>
  <si>
    <t>m2</t>
  </si>
  <si>
    <t>SF-00070</t>
  </si>
  <si>
    <t>Chapa de madeira compensada resinada 1,10 x 2,20 m # 6 mm</t>
  </si>
  <si>
    <t>SARRAFO DE MADEIRA NAO APARELHADA *2,5 X 10 CM, MACARANDUBA, ANGELIM OU EQUIVALENTE DA REGIAO</t>
  </si>
  <si>
    <t>TABUA DE MADEIRA NAO APARELHADA *2,5 X 30* CM, CEDRINHO OU EQUIVALENTE DA REGIAO</t>
  </si>
  <si>
    <t>PREGO DE ACO POLIDO COM CABECA 18 X 30 (2 3/4 X 10)</t>
  </si>
  <si>
    <t>Ajudante de pintor com encargos complementares</t>
  </si>
  <si>
    <t>Pintor com encargos complementares</t>
  </si>
  <si>
    <t>Oleo de linhaca</t>
  </si>
  <si>
    <t>L</t>
  </si>
  <si>
    <t>Cal hidratada para pintura</t>
  </si>
  <si>
    <t>Pigmento em po para argamassas, cimentos e outros</t>
  </si>
  <si>
    <t>SF-00073</t>
  </si>
  <si>
    <t>SF-00074</t>
  </si>
  <si>
    <t>Auxiliar de encanador ou bombeiro hidráulico com encargos complementares</t>
  </si>
  <si>
    <t>ARGAMASSA TRAÇO 1:3 (EM VOLUME DE CIMENTO E AREIA MÉDIA ÚMIDA), PREPARO MANUAL. AF_08/2019</t>
  </si>
  <si>
    <t>m3</t>
  </si>
  <si>
    <t>SF-00075</t>
  </si>
  <si>
    <t>SF-00076</t>
  </si>
  <si>
    <t>SF-00077</t>
  </si>
  <si>
    <t>LANÇAMENTO COM USO DE BALDES, ADENSAMENTO E ACABAMENTO DE CONCRETO EM ESTRUTURAS. AF_12/2015</t>
  </si>
  <si>
    <t>Areia media - posto jazida/fornecedor (retirado na jazida, sem transporte)</t>
  </si>
  <si>
    <t>Cimento Portland composto CP II-32</t>
  </si>
  <si>
    <t>Pedra britada n. 1 (9,5 a 19 mm) posto pedreira/fornecedor, sem frete</t>
  </si>
  <si>
    <t>Operador de betoneira estacionária/misturador com encargos complementares</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</si>
  <si>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</si>
  <si>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</si>
  <si>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CARGA, MANOBRAS E DESCARGA DE AREIA, BRITA, PEDRA DE MAO E SOLOS COM CAMINHAO BASCULANTE 6 M3 (DESCARGA LIVRE)</t>
  </si>
  <si>
    <t>M3</t>
  </si>
  <si>
    <t>TRANSPORTE COM CAMINHÃO BASCULANTE DE 6 M3, EM VIA URBANA PAVIMENTADA, DMT ATÉ 30 KM (UNIDADE: M3xKM). AF_01/2018</t>
  </si>
  <si>
    <t>M3xKM</t>
  </si>
  <si>
    <t>Obs.: Considerando fornecedor de areia e brita a 20 km do Senado Federal.</t>
  </si>
  <si>
    <t>SF-00078</t>
  </si>
  <si>
    <t>SF-00079</t>
  </si>
  <si>
    <t>LOCACAO DE ESCORA METALICA TELESCOPICA, COM ALTURA REGULAVEL DE *1,80* A *3,20*M, COM CAPACIDADE DE CARGA DE NO MINIMO 1000 KGF (10 KN), INCLUSO TRIPE E FORCADO</t>
  </si>
  <si>
    <t>MES</t>
  </si>
  <si>
    <t>Ajudante de carpinteiro com encargos complementares</t>
  </si>
  <si>
    <t>SF-00080</t>
  </si>
  <si>
    <t>ACETILENO (RECARGA PARA CILINDRO DE CONJUNTO OXICORTE GRANDE)</t>
  </si>
  <si>
    <t>CANTONEIRA ACO ABAS IGUAIS (QUALQUER BITOLA), ESPESSURA ENTRE 1/8" E 1/4"</t>
  </si>
  <si>
    <t>Chapa de aco USI-SAC 350, de (2,44x6)m, com espessura de 1/2"</t>
  </si>
  <si>
    <t>ELETRODO REVESTIDO AWS - E7018, DIAMETRO IGUAL A 4,00 MM</t>
  </si>
  <si>
    <t>OXIGENIO, RECARGA PARA CILINDRO DE CONJUNTO OXICORTE GRANDE</t>
  </si>
  <si>
    <t>Perfil "H" de aco carbono, padrao americano, de (6"x6")</t>
  </si>
  <si>
    <t>Perda em perfil de aco carbono tipo "H", de 6"x6" - 5% - equivalente ao elementar MAT095450</t>
  </si>
  <si>
    <t>Repintura interna ou externa sobre ferro, inclusive lixamento, limpeza, demao de tinta anti oxido Ferroloide ou equivalente e outra de tinta alquidica esmaltada Condor ou equivalente.</t>
  </si>
  <si>
    <t>Retificador de solda, eletrico, de 430A. Custo horario corrido.</t>
  </si>
  <si>
    <t>Talha Guincho manual de 10Kg, sem operador, com as seguintes especificacoes minimas: capacidade de icamento de 1500Kg e de tracao de 1800Kg, cabo de aco com curso ilimitado, alavanca, gancho e carretel. Custo horario corrido.</t>
  </si>
  <si>
    <t>SF-00081</t>
  </si>
  <si>
    <t>TABUA DE MADEIRA NAO APARELHADA *2,5 X 20* CM, CEDRINHO OU EQUIVALENTE DA REGIAO</t>
  </si>
  <si>
    <t>SF-00082</t>
  </si>
  <si>
    <t>Pedreiro Com Encargos Complementares</t>
  </si>
  <si>
    <t>Pedra britada n. 2 (19 a 38 mm) posto pedreira/fornecedor, sem frete</t>
  </si>
  <si>
    <t>Bloco de concreto tipo canaleta 11,5 x 19 x 39 cm</t>
  </si>
  <si>
    <t xml:space="preserve">un </t>
  </si>
  <si>
    <t>Aco CA-50, 10,0 mm, vergalhao</t>
  </si>
  <si>
    <t>SF-00083</t>
  </si>
  <si>
    <t>Argamassa polimerica impermeabilizante semiflexivel, bicomponente (membrana impermeabilizante acrilica)</t>
  </si>
  <si>
    <t>Impermeabilizador com encargos complementares</t>
  </si>
  <si>
    <t>SF-00084</t>
  </si>
  <si>
    <t>mil</t>
  </si>
  <si>
    <t>Tela de aco soldada galvanizada/zincada para alvenaria, fio D = *1,20 a 1,70* mm, malha 15 x 15 mm, (C x L) *50 x 7,5* cm</t>
  </si>
  <si>
    <t>Pino de aco com furo, haste = 27 mm (acao direta)</t>
  </si>
  <si>
    <t>cento</t>
  </si>
  <si>
    <t>ARGAMASSA TRAÇO 1:2:8 (EM VOLUME DE CIMENTO, CAL E AREIA MÉDIA ÚMIDA) PARA EMBOÇO/MASSA ÚNICA/ASSENTAMENTO DE ALVENARIA DE VEDAÇÃO, PREPARO MECÂNICO COM BETONEIRA 400 L. AF_08/2019</t>
  </si>
  <si>
    <t>SF-00085</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</si>
  <si>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</si>
  <si>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</si>
  <si>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</si>
  <si>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</si>
  <si>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</si>
  <si>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Parafuso dry wall, em aco fosfatizado, cabeca trombeta e ponta agulha (TA), comprimento 25 mm</t>
  </si>
  <si>
    <t>Parafuso dry wall, em aco zincado, cabeca lentilha e ponta broca (LB), largura 4,2 mm, comprimento 13 mm</t>
  </si>
  <si>
    <t>SF-00086</t>
  </si>
  <si>
    <t>ARGAMASSA TRAÇO 1:2:9 (EM VOLUME DE CIMENTO, CAL E AREIA MÉDIA ÚMIDA) PARA EMBOÇO/MASSA ÚNICA/ASSENTAMENTO DE ALVENARIA DE VEDAÇÃO, PREPARO MECÂNICO COM BETONEIRA 600 L. AF_08/2019</t>
  </si>
  <si>
    <t>SF-00087</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</si>
  <si>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</si>
  <si>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</si>
  <si>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</si>
  <si>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</si>
  <si>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</si>
  <si>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Parafuso Dry Wall, Em Aco Fosfatizado, Cabeca Trombeta E Ponta Agulha (Ta), Comprimento 25 Mm</t>
  </si>
  <si>
    <t>Parafuso Dry Wall, Em Aco Zincado, Cabeca Lentilha E Ponta Broca (Lb), Largura 4,2 Mm, Comprimento 13 Mm</t>
  </si>
  <si>
    <t>SF-00088</t>
  </si>
  <si>
    <t>SF-00089</t>
  </si>
  <si>
    <t>Bloco ceramico de vedacao com furos na vertical, 9 x 19 x 39 cm - 4,5 MPa (NBR 15270)</t>
  </si>
  <si>
    <t>SF-00090</t>
  </si>
  <si>
    <t>ARGAMASSA INDUSTRIALIZADA PARA CHAPISCO COLANTE, PREPARO COM MISTURADOR DE EIXO HORIZONTAL DE 300 KG. AF_08/2019</t>
  </si>
  <si>
    <t>SF-00091</t>
  </si>
  <si>
    <t>ARGAMASSA TRAÇO 1:3 (EM VOLUME DE CIMENTO E AREIA GROSSA ÚMIDA) PARA CHAPISCO CONVENCIONAL, PREPARO MANUAL. AF_08/2019</t>
  </si>
  <si>
    <t>SF-00092</t>
  </si>
  <si>
    <t>Gesseiro com encargos complementares</t>
  </si>
  <si>
    <t>Gesso cola</t>
  </si>
  <si>
    <t>Obs.: Fonte para o coeficiente do gesso (0,75 kg/m2) : http://www.gessotrevo.com.br/gesso_cola.php - acesso em 16/08/18</t>
  </si>
  <si>
    <t>SF-00093</t>
  </si>
  <si>
    <t>Argamassa industrializada multiuso, para revestimento interno e externo e assentamento de blocos diversos</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</si>
  <si>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</si>
  <si>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</si>
  <si>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</si>
  <si>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</si>
  <si>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</si>
  <si>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RESINA ACRILICA BASE AGUA - COR BRANCA</t>
  </si>
  <si>
    <t>Obs.: Rendimento da resina e do selante de acordo com recomendações do fabricante (Bautech). Consumo médio. Selante: 5 m por kg. Resina: 165 m2 por embalagem de 18 L.</t>
  </si>
  <si>
    <t>http://www.bautechbrasil.com.br/produtos/selantes-especiais/bautech-selante-acr%C3%ADlico</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</si>
  <si>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</si>
  <si>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</si>
  <si>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</si>
  <si>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</si>
  <si>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</si>
  <si>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</si>
  <si>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</si>
  <si>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</si>
  <si>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</si>
  <si>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Lixa em folha para parede ou madeira, numero 120 (cor vermelha)</t>
  </si>
  <si>
    <t>Massa acrilica para paredes interior/exterior</t>
  </si>
  <si>
    <t>gl</t>
  </si>
  <si>
    <t>SF-00099</t>
  </si>
  <si>
    <t>Massa corrida PVA para paredes internas</t>
  </si>
  <si>
    <t>18L</t>
  </si>
  <si>
    <t>SF-00100</t>
  </si>
  <si>
    <t>Tinta acrilica premium, cor branco fosco</t>
  </si>
  <si>
    <t>SF-00101</t>
  </si>
  <si>
    <t>Verniz a base de água para madeira</t>
  </si>
  <si>
    <t>SF-00102</t>
  </si>
  <si>
    <t>Tinta esmalte sintetico a base de água</t>
  </si>
  <si>
    <t>SF-00103</t>
  </si>
  <si>
    <t>SF-00104</t>
  </si>
  <si>
    <t>REVESTIMENTO EM CERAMICA ESMALTADA EXTRA, PEI MAIOR OU IGUAL 4, FORMATO MAIOR A 2025 CM2</t>
  </si>
  <si>
    <t>SF-00105</t>
  </si>
  <si>
    <t>ARGAMASSA TRAÇO 1:4 (EM VOLUME DE CIMENTO E AREIA MÉDIA ÚMIDA) PARA CONTRAPISO, PREPARO MANUAL. AF_08/2019</t>
  </si>
  <si>
    <t>Aditivo adesivo liquido para argamassas de revestimentos cimenticios</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</si>
  <si>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</si>
  <si>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</si>
  <si>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</si>
  <si>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</si>
  <si>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</si>
  <si>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</si>
  <si>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</si>
  <si>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</si>
  <si>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</si>
  <si>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</si>
  <si>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</si>
  <si>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</si>
  <si>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</si>
  <si>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</si>
  <si>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</si>
  <si>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</si>
  <si>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</si>
  <si>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</si>
  <si>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</si>
  <si>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</si>
  <si>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</si>
  <si>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Cola a base de resina sintetica para chapa de laminado melaminico</t>
  </si>
  <si>
    <t>SF-00117</t>
  </si>
  <si>
    <t>SF-00118</t>
  </si>
  <si>
    <t>SF-00119</t>
  </si>
  <si>
    <t>SF-00120</t>
  </si>
  <si>
    <t>SF-00121</t>
  </si>
  <si>
    <t>ABERTURA PARA ENCAIXE DE CUBA OU LAVATORIO EM BANCADA DE MARMORE/ GRANITO OU OUTRO TIPO DE PEDRA NATURAL</t>
  </si>
  <si>
    <t>SF-00122</t>
  </si>
  <si>
    <t>FURO PARA TORNEIRA OU OUTROS ACESSORIOS  EM BANCADA DE MARMORE/ GRANITO OU OUTRO TIPO DE PEDRA NATURAL</t>
  </si>
  <si>
    <t>SF-00123</t>
  </si>
  <si>
    <t>Granito Cinza Andorinha ou equivalente, com 20 mm de espessura e 150 mm de altura, polido, para rodabancada</t>
  </si>
  <si>
    <t>SF-00124</t>
  </si>
  <si>
    <t>Granito Cinza Andorinha, com 20 mm de espessura, polido, para bancadas, com testeira com acabamento em meia esquadria</t>
  </si>
  <si>
    <t>SF-00125</t>
  </si>
  <si>
    <t>Cimento branco</t>
  </si>
  <si>
    <t>Granito Cinza Andorinha ou equivalente, com 20 mm de espessura, polido em todas as faces aparentes, para divisórias</t>
  </si>
  <si>
    <t>ARGAMASSA TRAÇO 1:4 (EM VOLUME DE CIMENTO E AREIA MÉDIA ÚMIDA), PREPARO MANUAL. AF_08/2019</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</si>
  <si>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</si>
  <si>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</si>
  <si>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</si>
  <si>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</si>
  <si>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</si>
  <si>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</si>
  <si>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</si>
  <si>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</si>
  <si>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</si>
  <si>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</si>
  <si>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</si>
  <si>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</si>
  <si>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Perfil tipo cantoneira em L, em aco galvanizado, branco, para forro removivel, *23* x 3000 mm (L x C)</t>
  </si>
  <si>
    <t>Placa de PVC com espessura mínima de 5 mm na cor branca</t>
  </si>
  <si>
    <t>SF-00140</t>
  </si>
  <si>
    <t>ARAME GALVANIZADO 6 BWG, D = 5,16 MM (0,157 KG/M), OU 8 BWG, D = 4,19 MM (0,101 KG/M), OU 10 BWG, D = 3,40 MM (0,0713 KG/M)</t>
  </si>
  <si>
    <t>Forro de PVC, frisado, branco, regua de 10 cm, espessura de 8 mm a 10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</si>
  <si>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</si>
  <si>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</si>
  <si>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</si>
  <si>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 ATARRACHANTE, CABECA CHATA, FENDA SIMPLES, 1/4 (6,35 MM) X 25 MM</t>
  </si>
  <si>
    <t>SF-00141</t>
  </si>
  <si>
    <t>SF-00142</t>
  </si>
  <si>
    <t>Forro de PVC modular em placas de 625 mm x 1250 mm</t>
  </si>
  <si>
    <t>SF-00143</t>
  </si>
  <si>
    <t>Forro em chapa galvanizada</t>
  </si>
  <si>
    <t>Pintura eletrostática</t>
  </si>
  <si>
    <t>SF-00144</t>
  </si>
  <si>
    <t>SF-00145</t>
  </si>
  <si>
    <t>SF-00146</t>
  </si>
  <si>
    <t>FORRO DE FIBRA MINERAL EM PLACAS DE 625 X 625 MM, E = 15 MM, BORDA RETA, COM PINTURA ANTIMOFO, APOIADO EM PERFIL DE ACO GALVANIZADO COM 24 MM DE BASE - INSTALADO</t>
  </si>
  <si>
    <t>SF-00147</t>
  </si>
  <si>
    <t>Placa de fibra mineral para forro, de 625 x 625 mm, E = 15 mm, borda reta, com pintura antimofo (nao inclui perfis)</t>
  </si>
  <si>
    <t>UN</t>
  </si>
  <si>
    <t>SF-00148</t>
  </si>
  <si>
    <t>SF-00149</t>
  </si>
  <si>
    <t>SF-00150</t>
  </si>
  <si>
    <t>Perfil tabica fechada, lisa, formato Z, em aco galvanizado natural, largura total na horizontal *40* mm, para estrutura forro drywall</t>
  </si>
  <si>
    <t>SF-00151</t>
  </si>
  <si>
    <t>ADESIVO ACRILICO/COLA DE CONTATO</t>
  </si>
  <si>
    <t>SF-00152</t>
  </si>
  <si>
    <t>Baguetes metálicos</t>
  </si>
  <si>
    <t>SF-00153</t>
  </si>
  <si>
    <t>Massa para vidro</t>
  </si>
  <si>
    <t>SF-00154</t>
  </si>
  <si>
    <t>Parafuso frances M16 em aco galvanizado, comprimento = 45 mm, diametro = 16 mm, cabeca abaulada</t>
  </si>
  <si>
    <t>Espelho cristal comum #5mm</t>
  </si>
  <si>
    <t>SF-00155</t>
  </si>
  <si>
    <t>SF-00156</t>
  </si>
  <si>
    <t>Silicone acetico uso geral incolor 280 g</t>
  </si>
  <si>
    <t>Obs.: considerando que cada bisnaga rende, no mínimo, 3 m de aplicação.</t>
  </si>
  <si>
    <t>SF-00157</t>
  </si>
  <si>
    <t>Vidro liso incolor 4mm - sem colocacao</t>
  </si>
  <si>
    <t>SF-00158</t>
  </si>
  <si>
    <t>VIDRO LISO INCOLOR 6 MM - SEM COLOCACAO</t>
  </si>
  <si>
    <t>SF-00159</t>
  </si>
  <si>
    <t>SF-00160</t>
  </si>
  <si>
    <t>Mola Hidráulica de piso universal para portas de batente e portas vai-e-vem em aço inoxidável. Ref.: DORMA, modelo BTS 75V, com eixo intercambiável tipo "B"</t>
  </si>
  <si>
    <t>Impermeabilizante Dorma SealProtect</t>
  </si>
  <si>
    <t>SF-00161</t>
  </si>
  <si>
    <t>SF-00166</t>
  </si>
  <si>
    <t>Vedacao PVC, 100 mm, para saida vaso sanitario</t>
  </si>
  <si>
    <t>Tubo de ligação para bacia sanitária em PVC, com acabamento cromado, ajustável ou não. Ref.: DECA 1968C ou equivalente</t>
  </si>
  <si>
    <t>SF-00167</t>
  </si>
  <si>
    <t>Adesivo plastico para PVC, frasco com 850 gr</t>
  </si>
  <si>
    <t>Tubo PVC, serie R, DN 100 mm, para esgoto ou aguas pluviais predial (NBR 5688)</t>
  </si>
  <si>
    <t>Solucao limpadora para PVC, frasco com 1000 cm3</t>
  </si>
  <si>
    <t>Lixa d'agua em folha, grao 100</t>
  </si>
  <si>
    <t>SF-00168</t>
  </si>
  <si>
    <t>SF-00169</t>
  </si>
  <si>
    <t>SF-00170</t>
  </si>
  <si>
    <t>Tubo PVC, serie R, DN 75 mm, para esgoto ou aguas pluviais predial (NBR 5688)</t>
  </si>
  <si>
    <t>SF-00171</t>
  </si>
  <si>
    <t>Tubo PVC, soldavel, DN 25 mm, agua fria (NBR-5648)</t>
  </si>
  <si>
    <t>SF-00172</t>
  </si>
  <si>
    <t>Tubo PVC, soldavel, DN 32 mm, agua fria (NBR-5648)</t>
  </si>
  <si>
    <t>SF-00173</t>
  </si>
  <si>
    <t>Tubo PVC, soldavel, DN 40 mm, agua fria (NBR-5648)</t>
  </si>
  <si>
    <t>SF-00174</t>
  </si>
  <si>
    <t>TUBO PVC, SOLDAVEL, DN 50 MM, PARA AGUA FRIA (NBR-5648)</t>
  </si>
  <si>
    <t>SF-00175</t>
  </si>
  <si>
    <t>Base registro gaveta 3/4" em liga de cobre, mod 4509.202 ref: DECA ou equivalente</t>
  </si>
  <si>
    <t>FITA VEDA ROSCA EM ROLOS DE 18 MM X 50 M (L X C)</t>
  </si>
  <si>
    <t>SF-00176</t>
  </si>
  <si>
    <t>Anel borracha para tubo esgoto predial DN 75 mm (NBR 5688)</t>
  </si>
  <si>
    <t>Caixa sifonada PVC, 150 x 185 x 75 mm, com grelha quadrada branca</t>
  </si>
  <si>
    <t>Pasta lubrificante para tubos e conexoes com junta elastica (uso em PVC, aco, polietileno e outros) ( de *400* g)</t>
  </si>
  <si>
    <t>SF-00177</t>
  </si>
  <si>
    <t>CAIXA SIFONADA PVC, 250 X 230 X 75 MM, COM TAMPA E PORTA TAMPA QUADRADA BRANCA</t>
  </si>
  <si>
    <t>SF-00178</t>
  </si>
  <si>
    <t>Grelha quadrada para ralo, com caixilho, dimensões 10x10cm, em Aço polido, ref.: Moldenox ou equivalente</t>
  </si>
  <si>
    <t>SF-00179</t>
  </si>
  <si>
    <t>Grelha quadrada para ralo, com caixilho, dimensões 15x15cm, em Aço polido, ref.: Moldenox ou equivalente</t>
  </si>
  <si>
    <t>SF-00180</t>
  </si>
  <si>
    <t>Ralo seco PVC conico, 100 x 40 mm,  com grelha redonda branca</t>
  </si>
  <si>
    <t>SF-00181</t>
  </si>
  <si>
    <t>Assento poliéster com fixação cromada na cor branco gelo, ref: AP.75.17 – Linha Fast/Aspen – Deca ou equivalente</t>
  </si>
  <si>
    <t>SF-00182</t>
  </si>
  <si>
    <t>Bacia sanitaria (vaso) convencional de louca branca</t>
  </si>
  <si>
    <t>Parafuso niquelado com acabamento cromado para fixar peca sanitaria, inclui porca cega, arruela e bucha de nylon tamanho S-10</t>
  </si>
  <si>
    <t>SF-00183</t>
  </si>
  <si>
    <t>Bacia convencional com saída horizontal (Modelo P.90.17 – Linha Ravena – Deca)</t>
  </si>
  <si>
    <t>SF-00184</t>
  </si>
  <si>
    <t>Cuba oval de embutir, mod.: L37, cor branca ref: DECA ou equivalente</t>
  </si>
  <si>
    <t>Massa plastica para marmore/granito</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</si>
  <si>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</si>
  <si>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</si>
  <si>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</si>
  <si>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</si>
  <si>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</si>
  <si>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Parafuso niquelado 3 1/2" com acabamento cromado para fixar peca sanitaria, inclui porca cega, arruela e bucha de nylon tamanho S-8</t>
  </si>
  <si>
    <t>SF-00188</t>
  </si>
  <si>
    <t>Fita veda rosca em rolos de 18 mm x 10 m (L x C)</t>
  </si>
  <si>
    <t>Obs.: Redução do coeficiente de MO, considerando que esse serviço não inclui engate flexível e válvula de descarga.</t>
  </si>
  <si>
    <t>SF-00189</t>
  </si>
  <si>
    <t>SF-00190</t>
  </si>
  <si>
    <t>Lavatorio louca branca suspenso *40 x 30* cm</t>
  </si>
  <si>
    <t>SF-00191</t>
  </si>
  <si>
    <t>Mictorio sifonado louca branca sem complementos</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</si>
  <si>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</si>
  <si>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</si>
  <si>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</si>
  <si>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</si>
  <si>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</si>
  <si>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</si>
  <si>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</si>
  <si>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</si>
  <si>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</si>
  <si>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</si>
  <si>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Engate / rabicho flexivel inox 1/2 " x 40 cm</t>
  </si>
  <si>
    <t>SF-00198</t>
  </si>
  <si>
    <t>Sifão regulável com tubo de saída corrugado para cozinha, cromado.  Ref.: Modelo VSM182 – Esteves</t>
  </si>
  <si>
    <t>SF-00199</t>
  </si>
  <si>
    <t>Sifao em metal cromado para pia ou lavatorio, 1 x 1.1/2 "</t>
  </si>
  <si>
    <t>SF-00200</t>
  </si>
  <si>
    <t>Sifao em metal cromado para tanque, 1.1/4 x 1.1/2 "</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</si>
  <si>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</si>
  <si>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</si>
  <si>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</si>
  <si>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</si>
  <si>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</si>
  <si>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</si>
  <si>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</si>
  <si>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</si>
  <si>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</si>
  <si>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</si>
  <si>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</si>
  <si>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TORNEIRA CROMADA DE MESA PARA LAVATORIO TEMPORIZADA PRESSAO BICA BAIXA</t>
  </si>
  <si>
    <t>SF-00207</t>
  </si>
  <si>
    <t>Torneira de parede para cozinha bica móvel com arejador articulado, cromada. Ref.: Código B5815C2CRB – Linha City – Celite</t>
  </si>
  <si>
    <t>SF-00208</t>
  </si>
  <si>
    <t>Torneira cromada com bico para jardim/tanque 1/2 " ou 3/4 " (ref 1153)</t>
  </si>
  <si>
    <t>SF-00209</t>
  </si>
  <si>
    <t xml:space="preserve">Válvula de descarga 1 1/2" cromada. ref.: modelo 2565.C.112.CONF – linha Hydra Eco Conforto – Deca </t>
  </si>
  <si>
    <t>Fita veda rosca em rolos de 18 mm x 50 m (L x C)</t>
  </si>
  <si>
    <t>SF-00210</t>
  </si>
  <si>
    <t>Valvula de descarga metalica, base 1 1/2 " e acabamento metalico cromado</t>
  </si>
  <si>
    <t>SF-00211</t>
  </si>
  <si>
    <t>Válvula de descarga 1 1/4" . Ref.: Modelo 2565.C.114.CONF – Linha Hydra Eco Conforto – Deca</t>
  </si>
  <si>
    <t>SF-00212</t>
  </si>
  <si>
    <t>Valvula de descarga metalica, base 1 1/4 " e acabamento metalico cromado</t>
  </si>
  <si>
    <t>SF-00213</t>
  </si>
  <si>
    <t>Valvula em metal cromado para lavatorio, 1 " sem ladrao</t>
  </si>
  <si>
    <t>SF-00214</t>
  </si>
  <si>
    <t>Valvula em metal cromado para tanque, 1.1/2 " sem ladrao</t>
  </si>
  <si>
    <t>SF-00215</t>
  </si>
  <si>
    <t>Valvula de descarga em metal cromado para mictorio com acionamento por pressao e fechamento automatico</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</si>
  <si>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</si>
  <si>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</si>
  <si>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</si>
  <si>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</si>
  <si>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Bucha de nylon, diametro do furo 8 mm, comprimento 40 mm, com parafuso de rosca soberba, cabeca chata, fenda simples, 4,8 x 50 mm</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</si>
  <si>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</si>
  <si>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</si>
  <si>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</si>
  <si>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</si>
  <si>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</si>
  <si>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</si>
  <si>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</si>
  <si>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</si>
  <si>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</si>
  <si>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</si>
  <si>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</si>
  <si>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</si>
  <si>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Fixação utilizando parafuso e bucha de nylon, somente mão de obra. af_10/2016</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</si>
  <si>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</si>
  <si>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</si>
  <si>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</si>
  <si>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</si>
  <si>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</si>
  <si>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</si>
  <si>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</si>
  <si>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Caixa de passagem, em PVC, de 4" x 2", para eletroduto flexivel corrugado</t>
  </si>
  <si>
    <t>SF-00228</t>
  </si>
  <si>
    <t>Caixa 4x2 para drywall</t>
  </si>
  <si>
    <t>SF-00229</t>
  </si>
  <si>
    <t>Caixa de passagem, em PVC, de 4" x 4", para eletroduto flexivel corrugado</t>
  </si>
  <si>
    <t>SF-00230</t>
  </si>
  <si>
    <t>Caixa 4x4 para drywall</t>
  </si>
  <si>
    <t>SF-00231</t>
  </si>
  <si>
    <t>Caixa de passagem em alumínio c/ tampa, 100x100x50mm</t>
  </si>
  <si>
    <t>SF-00232</t>
  </si>
  <si>
    <t>Caixa de passagem em alumínio c/ tampa, 200x200x100mm</t>
  </si>
  <si>
    <t>SF-00233</t>
  </si>
  <si>
    <t>CAIXA DE PASSAGEM ELETRICA DE PAREDE, DE EMBUTIR, EM PVC, COM TAMPA APARAFUSADA, DIMENSOES 150 X 150 X *75* MM</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</si>
  <si>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</si>
  <si>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</si>
  <si>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</si>
  <si>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</si>
  <si>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</si>
  <si>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Bucha de nylon sem aba S6, com parafuso de 4,20 x 40 mm em aco zincado com rosca soberba, cabeca chata e fenda Phillips</t>
  </si>
  <si>
    <t>Condulete de aluminio tipo X, para eletroduto roscavel de 1", com tampa cega</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</si>
  <si>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</si>
  <si>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</si>
  <si>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</si>
  <si>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</si>
  <si>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PORCA ZINCADA, SEXTAVADA, DIAMETRO 1/4"</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</si>
  <si>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</si>
  <si>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</si>
  <si>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</si>
  <si>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</si>
  <si>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</si>
  <si>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</si>
  <si>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</si>
  <si>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</si>
  <si>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</si>
  <si>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</si>
  <si>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</si>
  <si>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</si>
  <si>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</si>
  <si>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</si>
  <si>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</si>
  <si>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</si>
  <si>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</si>
  <si>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</si>
  <si>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</si>
  <si>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</si>
  <si>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</si>
  <si>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</si>
  <si>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</si>
  <si>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</si>
  <si>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</si>
  <si>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</si>
  <si>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</si>
  <si>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</si>
  <si>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</si>
  <si>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</si>
  <si>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</si>
  <si>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Fixação de tubos verticais de PPR diâmetros menores ou iguais a 40 mm com abraçadeira metálica rígida tipo D 1/2", fixada em perfilado em alvenaria. af_05/2015</t>
  </si>
  <si>
    <t>Luva de emenda para eletroduto, aço galvanizado, DN 40 mm (1 1/2''), aparente, instalada em parede - fornecimento e instalação. af_11/2016_p</t>
  </si>
  <si>
    <t>SF-00245</t>
  </si>
  <si>
    <t>Eletroduto de aço com costura galvanização eletrolítica Ø 1 1/4"</t>
  </si>
  <si>
    <t>Luva de emenda para eletroduto, aço galvanizado, DN 32 mm (1 1/4''), aparente, instalada em parede - fornecimento e instalação. af_11/2016_p</t>
  </si>
  <si>
    <t>SF-00246</t>
  </si>
  <si>
    <t>Eletroduto de aço com costura galvanização eletrolítica Ø 1"</t>
  </si>
  <si>
    <t>Luva de emenda para eletroduto, aço galvanizado, DN 25 mm (1''), aparente, instalada em parede - fornecimento e instalação. af_11/2016_p</t>
  </si>
  <si>
    <t>SF-00247</t>
  </si>
  <si>
    <t>Eletroduto de aço com costura galvanização eletrolítica Ø 2"</t>
  </si>
  <si>
    <t>FIXAÇÃO DE TUBOS VERTICAIS DE PPR DIÂMETROS MAIORES QUE 40 MM E MENORES OU IGUAIS A 75 MM COM ABRAÇADEIRA METÁLICA RÍGIDA TIPO D 2", FIXADA EM PERFILADO EM ALVENARIA. AF_05/2015</t>
  </si>
  <si>
    <t>M</t>
  </si>
  <si>
    <t>Luva de emenda para eletroduto, aço galvanizado, DN 50 mm (2''), aparente, instalada em parede - fornecimento e instalação. af_11/2016_p</t>
  </si>
  <si>
    <t>SF-00248</t>
  </si>
  <si>
    <t>Eletroduto de aço com costura galvanização eletrolítica Ø 3/4"</t>
  </si>
  <si>
    <t>Luva de emenda para eletroduto, aço galvanizado, DN 20 mm (3/4''), aparente, instalada em parede - fornecimento e instalação. af_11/2016_p</t>
  </si>
  <si>
    <t>SF-00249</t>
  </si>
  <si>
    <t>Eletroduto PVC flexivel corrugado, reforcado, cor laranja, de 32 mm, para lajes e pisos</t>
  </si>
  <si>
    <t>Fixação de tubos horizontais de PVC, CPVC ou cobre diâmetros menores ou iguais a 40 mm ou eletrocalhas até 150mm de largura, com abraçadeira metálica rígida tipo d 1/2, fixada em perfilado em laje. af_05/2015</t>
  </si>
  <si>
    <t>SF-00250</t>
  </si>
  <si>
    <t>Eletroduto PVC flexivel corrugado, reforcado, cor laranja, de 25 mm, para lajes e pisos</t>
  </si>
  <si>
    <t>SF-00251</t>
  </si>
  <si>
    <t>Eletroduto flexivel, em aco galvanizado, revestido externamente com PVC preto, diametro externo de 32 mm (1"), tipo sealtubo</t>
  </si>
  <si>
    <t>SF-00252</t>
  </si>
  <si>
    <t>Eletroduto flexivel, em aco galvanizado, revestido externamente com PVC preto, diametro externo de 25 mm (3/4"), tipo sealtubo</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</si>
  <si>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</si>
  <si>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</si>
  <si>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</si>
  <si>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</si>
  <si>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</si>
  <si>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</si>
  <si>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Espelho / placa de 3 postos 4" x 2", para instalacao de tomadas e interruptores</t>
  </si>
  <si>
    <t>Suporte de fixacao para espelho / placa 4" x 2", para 3 modulos, para instalacao de tomadas e interruptores (somente suporte)</t>
  </si>
  <si>
    <t>SF-00255</t>
  </si>
  <si>
    <t>Espelho / placa de 6 postos 4" x 4", para instalacao de tomadas e interruptores</t>
  </si>
  <si>
    <t>Suporte de fixacao para espelho / placa 4" x 4", para 6 modulos, para instalacao de tomadas e interruptores (somente suporte)</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</si>
  <si>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</si>
  <si>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</si>
  <si>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</si>
  <si>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</si>
  <si>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</si>
  <si>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</si>
  <si>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</si>
  <si>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</si>
  <si>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Interruptor paralelo 10A, 250V (apenas modulo)</t>
  </si>
  <si>
    <t>SF-00260</t>
  </si>
  <si>
    <t>Interruptor simples 10A, 250V (apenas modulo)</t>
  </si>
  <si>
    <t>SF-00261</t>
  </si>
  <si>
    <t>Módulo para saída de fio</t>
  </si>
  <si>
    <t>SF-00262</t>
  </si>
  <si>
    <t>Módulo sensor de presença</t>
  </si>
  <si>
    <t>SF-00263</t>
  </si>
  <si>
    <t>TOMADA 2P+T 10A, 250V  (APENAS MODULO)</t>
  </si>
  <si>
    <t>SF-00264</t>
  </si>
  <si>
    <t>TOMADA 2P+T 20A, 250V  (APENAS MODULO)</t>
  </si>
  <si>
    <t>SF-00265</t>
  </si>
  <si>
    <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</si>
  <si>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</si>
  <si>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</si>
  <si>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</si>
  <si>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</si>
  <si>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</si>
  <si>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</si>
  <si>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</si>
  <si>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</si>
  <si>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</si>
  <si>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</si>
  <si>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</si>
  <si>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</si>
  <si>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</si>
  <si>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</si>
  <si>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</si>
  <si>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</si>
  <si>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</si>
  <si>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PP 3x2,5mm2 300/500 V, extraflexível (classe 5), com condutor de proteção, com isolação, enchimento e cobertura de PVC</t>
  </si>
  <si>
    <t>Plugue (macho) com 3 polos (2P+T), para 10A</t>
  </si>
  <si>
    <t>Plugue (fêmea) com 3 polos (2P+T), para 10A</t>
  </si>
  <si>
    <t>SF-00274</t>
  </si>
  <si>
    <t>Luminária de embutir T5 2 x 14W, ref: Intral DE-500 (cod. 08017); Lumicenter FAA20-E214</t>
  </si>
  <si>
    <t>Reator eletrônico 2x14W, ref: Philips EB214A26; Philips EL214-28A26; Lumicenter LEB. 214; MarGirus PB 2X14 AF2</t>
  </si>
  <si>
    <t>Lâmpada fluorescente T5 de 14W, ref: Osram HE 14W/840 SMARTLUX; Philips TL5-14W-HE/840; GE F14W/T5/840</t>
  </si>
  <si>
    <t>SF-00275</t>
  </si>
  <si>
    <t>Luminária de sobrepor T5 2 x 14W, ref: Intral DS-500 (cod. 08021); Lumicenter FAA20-S214</t>
  </si>
  <si>
    <t>SF-00276</t>
  </si>
  <si>
    <t>Luminária de embutir T5 2 x 28W, ref: Intral DE-500 (cod. 08025); Lumicenter FAA20-E228</t>
  </si>
  <si>
    <t>Reator eletrônico 2x28W, ref: Philips EB228A26; Philips EL214-28A26; Intral REH-T5 2x28/127-220/50-60 (cod. 02475); MarGirus PB 2X28 AF2.</t>
  </si>
  <si>
    <t>Lâmpada fluorescente T5 de 28W, ref: Osram HE 28W/840 SMARTLUX; Philips TL5-28W-HE/840; GE F28W/T5/840</t>
  </si>
  <si>
    <t>SF-00277</t>
  </si>
  <si>
    <t>Luminária de sobrepor T5 2 x 28W, ref: Intral DS-500 (cod. 08029); Lumicenter FAA20-S228</t>
  </si>
  <si>
    <t>SF-00278</t>
  </si>
  <si>
    <t>Cabo flexível isolado em EPR não halogenado 10 mm² 0,6 a 1 kV</t>
  </si>
  <si>
    <t>Fita isolante adesiva antichama, uso ate 750 V, em rolo de 19 mm x 5 m</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</si>
  <si>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</si>
  <si>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</si>
  <si>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</si>
  <si>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</si>
  <si>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</si>
  <si>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</si>
  <si>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</si>
  <si>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</si>
  <si>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</si>
  <si>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</si>
  <si>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</si>
  <si>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</si>
  <si>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</si>
  <si>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dispositovos de proteção contra surto (DPS), módulo diferencial residual (DR), borneiras, barramentos e outros itens necessários, conforme especificação</t>
  </si>
  <si>
    <t>SF-00293</t>
  </si>
  <si>
    <t>MONTADOR ELETROMECÃNICO COM ENCARGOS COMPLEMENTARES</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</si>
  <si>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</si>
  <si>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</si>
  <si>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</si>
  <si>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</si>
  <si>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</si>
  <si>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</si>
  <si>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Chapa de aco galvanizada bitola GSG 22, E = 0,80 mm (6,40 kg/m2)</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</si>
  <si>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</si>
  <si>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</si>
  <si>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</si>
  <si>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</si>
  <si>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</si>
  <si>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</si>
  <si>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</si>
  <si>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</si>
  <si>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</si>
  <si>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</si>
  <si>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</si>
  <si>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</si>
  <si>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</si>
  <si>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</si>
  <si>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</si>
  <si>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</si>
  <si>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</si>
  <si>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</si>
  <si>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</si>
  <si>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</si>
  <si>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</si>
  <si>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</si>
  <si>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</si>
  <si>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</si>
  <si>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</si>
  <si>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</si>
  <si>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</si>
  <si>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</si>
  <si>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</si>
  <si>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Marceneiro com encargos complementares</t>
  </si>
  <si>
    <t>SF-00313</t>
  </si>
  <si>
    <t>Bomba para condensado de ar-condicionado para instalação oculta, 1F/220V/60Hz, vazão 14 l/h (a 0 mmca). Ref.: Elgin Mini Orange</t>
  </si>
  <si>
    <t>SF-00314</t>
  </si>
  <si>
    <t>Fita aluminizada 48 mm</t>
  </si>
  <si>
    <t>SF-00315</t>
  </si>
  <si>
    <t>Fita PVC 100 mm</t>
  </si>
  <si>
    <t>SF-00316</t>
  </si>
  <si>
    <t>Mangueira emborrachada 3/4"</t>
  </si>
  <si>
    <t>SF-00317</t>
  </si>
  <si>
    <t>Serralheiro com encargos complementares</t>
  </si>
  <si>
    <t>Auxiliar de serralheiro com encargos complementares</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</si>
  <si>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</si>
  <si>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</si>
  <si>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</si>
  <si>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</si>
  <si>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</si>
  <si>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</si>
  <si>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</si>
  <si>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</si>
  <si>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</si>
  <si>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</si>
  <si>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</si>
  <si>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</si>
  <si>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</si>
  <si>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VALVULA DE ESFERA BRUTA EM BRONZE, BITOLA 1 1/2 " (REF 1552-B)</t>
  </si>
  <si>
    <t>SF-00324</t>
  </si>
  <si>
    <t>VALVULA DE ESFERA BRUTA EM BRONZE, BITOLA 1 1/4 " (REF 1552-B)</t>
  </si>
  <si>
    <t>SF-00325</t>
  </si>
  <si>
    <t>Valvula de esfera bruta em bronze, bitola 1 " (ref 1552-B)</t>
  </si>
  <si>
    <t>SF-00326</t>
  </si>
  <si>
    <t>Valvula de esfera bruta em bronze, bitola 3/4 " (ref 1552-B)</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</si>
  <si>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</si>
  <si>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</si>
  <si>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</si>
  <si>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</si>
  <si>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</si>
  <si>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</si>
  <si>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</si>
  <si>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</si>
  <si>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</si>
  <si>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</si>
  <si>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</si>
  <si>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</si>
  <si>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</si>
  <si>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</si>
  <si>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</si>
  <si>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</si>
  <si>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</si>
  <si>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</si>
  <si>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</si>
  <si>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</si>
  <si>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</si>
  <si>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</si>
  <si>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</si>
  <si>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</si>
  <si>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</si>
  <si>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</si>
  <si>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</si>
  <si>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</si>
  <si>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TUBO ACO CARBONO SEM COSTURA 1 1/2", E= *3,68 MM, SCHEDULE 40, 4,05 KG/M</t>
  </si>
  <si>
    <t>SF-00341</t>
  </si>
  <si>
    <t>SF-00342</t>
  </si>
  <si>
    <t>SF-00343</t>
  </si>
  <si>
    <t>TUBO ACO CARBONO SEM COSTURA 3/4", E= *2,87 MM, SCHEDULE 40, *1,69 KG/M</t>
  </si>
  <si>
    <t>SF-00344</t>
  </si>
  <si>
    <t>Tubo de cobre flexivel, D = 1/2 ", E = 0,79 mm, para ar-condicionado/ instalacoes gas residenciais e comerciais</t>
  </si>
  <si>
    <t>SF-00345</t>
  </si>
  <si>
    <t>Tubo de cobre flexivel, D = 1/4 ", E = 0,79 mm, para ar-condicionado/ instalacoes gas residenciais e comerciais</t>
  </si>
  <si>
    <t>SF-00346</t>
  </si>
  <si>
    <t>Tubo de cobre flexivel, D = 3/4 ", E = 0,79 mm, para ar-condicionado/ instalacoes gas residenciais e comerciais</t>
  </si>
  <si>
    <t>SF-00347</t>
  </si>
  <si>
    <t>Tubo de cobre flexivel, D = 3/8 ", E = 0,79 mm, para ar-condicionado/ instalacoes gas residenciais e comerciais</t>
  </si>
  <si>
    <t>SF-00348</t>
  </si>
  <si>
    <t>Tubo de cobre flexivel, D = 5/8 ", E = 0,79 mm, para ar-condicionado/ instalacoes gas residenciais e comerciais</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</si>
  <si>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</si>
  <si>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</si>
  <si>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</si>
  <si>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</si>
  <si>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</si>
  <si>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</si>
  <si>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</si>
  <si>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</si>
  <si>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Suporte mao-francesa em aco, abas iguais 40 cm, capacidade minima 70 kg, branco</t>
  </si>
  <si>
    <t>Chapa de MDF branco liso 2 faces, e = 25 mm, de *2,75 x 1,85* m</t>
  </si>
  <si>
    <t>SF-00356</t>
  </si>
  <si>
    <t>Painel de TV de 120 x 180 cm, fabricado em MDP. Ref.: Urbe Móveis Plus</t>
  </si>
  <si>
    <t>SF-00357</t>
  </si>
  <si>
    <t>Painel de TV de 160 x 160 cm, fabricado em MDP. Ref.: HB Móveis Life Canyon, HB Móveis Livin</t>
  </si>
  <si>
    <t>SF-00358</t>
  </si>
  <si>
    <t>Painel de TV de 90 x 120 cm, fabricado em MDP. Ref.: Germai Ipanema 90 x 120 x 26,5</t>
  </si>
  <si>
    <t>SF-00359</t>
  </si>
  <si>
    <t>BATENTE PARA PORTA DE MADEIRA, PADRÃO MÉDIO - FORNECIMENTO E MONTAGEM. AF_12/2019</t>
  </si>
  <si>
    <t>SF-00360</t>
  </si>
  <si>
    <t>Chapa de proteção em aço inox AISI 304, largura conforme projeto, 400 mm de altura, chapa com espessura de 1 mm, acabamento escovado fosco</t>
  </si>
  <si>
    <t>SF-00361</t>
  </si>
  <si>
    <t>DOBRADICA EM LATAO, 3 " X 2 1/2 ", E= 1,9 A 2 MM, COM ANEL, CROMADO, TAMPA BOLA, COM PARAFUSOS</t>
  </si>
  <si>
    <t>PARAFUSO ROSCA SOBERBA ZINCADO CABECA CHATA FENDA SIMPLES 3,5 X 25 MM (1 ")</t>
  </si>
  <si>
    <t>CARPINTEIRO DE ESQUADRIA COM ENCARGOS COMPLEMENTARES</t>
  </si>
  <si>
    <t>H</t>
  </si>
  <si>
    <t>SERVENTE COM ENCARGOS COMPLEMENTARES</t>
  </si>
  <si>
    <t>SF-00362</t>
  </si>
  <si>
    <t>SF-00363</t>
  </si>
  <si>
    <t>SF-00364</t>
  </si>
  <si>
    <t>SF-00365</t>
  </si>
  <si>
    <t>PORTA DE MADEIRA, FOLHA MEDIA (NBR 15930) DE 100 X 210 CM, E = 35 MM, NUCLEO SARRAFEADO, CAPA LISA EM HDF, ACABAMENTO EM LAMINADO NATURAL PARA VERNIZ</t>
  </si>
  <si>
    <t>SF-00366</t>
  </si>
  <si>
    <t>SF-00367</t>
  </si>
  <si>
    <t>PEDREIRO COM ENCARGOS COMPLEMENTARES</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</si>
  <si>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</si>
  <si>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</si>
  <si>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</si>
  <si>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</si>
  <si>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</si>
  <si>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</si>
  <si>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</si>
  <si>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</si>
  <si>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</si>
  <si>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</si>
  <si>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</si>
  <si>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</si>
  <si>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</si>
  <si>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</si>
  <si>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</si>
  <si>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</si>
  <si>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</si>
  <si>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</si>
  <si>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</si>
  <si>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</si>
  <si>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</si>
  <si>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CABO TELEFONICO CCI 50, 2 PARES, USO INTERNO, SEM BLINDAGEM</t>
  </si>
  <si>
    <t>SF-00379</t>
  </si>
  <si>
    <t>Tampa p/ conector /RJ45. ref.: Schneider Electric PRM47761 (padrão Keystone), Schneider Electric PRM47771 (padrão AMP)</t>
  </si>
  <si>
    <t>Tomada RJ45, 8 fios, CAT 5E (apenas modulo)</t>
  </si>
  <si>
    <t>SF-00380</t>
  </si>
  <si>
    <t>Grelha para retorno para portas, divisórias e paredes 525x325 mm, Ref. Trox AGS-T</t>
  </si>
  <si>
    <t>SF-00408</t>
  </si>
  <si>
    <t>CJ</t>
  </si>
  <si>
    <t>SF-00467</t>
  </si>
  <si>
    <t>ESPUMA EXPANSIVA DE POLIURETANO, APLICACAO MANUAL - 500 ML</t>
  </si>
  <si>
    <t>SF-00563</t>
  </si>
  <si>
    <t>ARGAMASSA PRONTA PARA CONTRAPISO</t>
  </si>
  <si>
    <t>SF-00564</t>
  </si>
  <si>
    <t>ARGAMASSA INDUSTRIALIZADA MULTIUSO, PARA REVESTIMENTO INTERNO E EXTERNO E ASSENTAMENTO DE BLOCOS DIVERSOS</t>
  </si>
  <si>
    <t>SF-00565</t>
  </si>
  <si>
    <t>CIMENTO PORTLAND COMPOSTO CP II-32</t>
  </si>
  <si>
    <t>SF-00566</t>
  </si>
  <si>
    <t>SF-00567</t>
  </si>
  <si>
    <t>SF-00568</t>
  </si>
  <si>
    <t>AREIA MEDIA - POSTO JAZIDA/FORNECEDOR (RETIRADO NA JAZIDA, SEM TRANSPORTE)</t>
  </si>
  <si>
    <t>TRANSPORTE COM CAMINHÃO BASCULANTE DE 6 M3, EM VIA URBANA PAVIMENTADA, DMT ATÉ 30 KM (UNIDADE: TxKM). AF_01/2018</t>
  </si>
  <si>
    <t>TxKM</t>
  </si>
  <si>
    <t>Obs.: Considerando fornecedor de areia a 20 km do Senado Federal.</t>
  </si>
  <si>
    <t>SF-00569</t>
  </si>
  <si>
    <t>PEDRA BRITADA N. 0, OU PEDRISCO (4,8 A 9,5 MM) POSTO PEDREIRA/FORNECEDOR, SEM FRETE</t>
  </si>
  <si>
    <t>Obs.: Considerando fornecedor de brita a 20 km do Senado Federal.</t>
  </si>
  <si>
    <t>SF-00570</t>
  </si>
  <si>
    <t>PEDRA BRITADA N. 1 (9,5 a 19 MM) POSTO PEDREIRA/FORNECEDOR, SEM FRETE</t>
  </si>
  <si>
    <t>SF-00571</t>
  </si>
  <si>
    <t>SF-00572</t>
  </si>
  <si>
    <t>SF-00573</t>
  </si>
  <si>
    <t>SF-00574</t>
  </si>
  <si>
    <t>SF-00575</t>
  </si>
  <si>
    <t>SF-00576</t>
  </si>
  <si>
    <t>ACO CA-50, 6,3 MM, VERGALHAO</t>
  </si>
  <si>
    <t>SF-00577</t>
  </si>
  <si>
    <t>ACO CA-50, 8,0 MM, VERGALHAO</t>
  </si>
  <si>
    <t>SF-00578</t>
  </si>
  <si>
    <t>ACO CA-50, 10,0 MM, VERGALHAO</t>
  </si>
  <si>
    <t>SF-00579</t>
  </si>
  <si>
    <t>ACO CA-50, 12,5 MM OU 16,0 MM, VERGALHAO</t>
  </si>
  <si>
    <t>SF-00580</t>
  </si>
  <si>
    <t>SF-00581</t>
  </si>
  <si>
    <t>ADESIVO ESTRUTURAL A BASE DE RESINA EPOXI, BICOMPONENTE, PASTOSO (TIXOTROPICO)</t>
  </si>
  <si>
    <t>SF-00588</t>
  </si>
  <si>
    <t>ADITIVO IMPERMEABILIZANTE DE PEGA NORMAL PARA ARGAMASSAS E CONCRETOS SEM ARMACAO, LIQUIDO E ISENTO DE CLORETOS</t>
  </si>
  <si>
    <t>SF-00708</t>
  </si>
  <si>
    <t>ENGENHEIRO CIVIL DE OBRA PLENO COM ENCARGOS COMPLEMENTARES</t>
  </si>
  <si>
    <t>Obs: considerando 220h/mês e encargos sociais indicados na tabela do SINAPI.</t>
  </si>
  <si>
    <t>SF-00709</t>
  </si>
  <si>
    <t>ALMOXARIFE COM ENCARGOS COMPLEMENTARES</t>
  </si>
  <si>
    <t>SF-00710</t>
  </si>
  <si>
    <t>SF-00711</t>
  </si>
  <si>
    <t>AJUDANTE DE CARPINTEIRO COM ENCARGOS COMPLEMENTARES</t>
  </si>
  <si>
    <t>SF-00712</t>
  </si>
  <si>
    <t>AUXILIAR DE SERRALHEIRO COM ENCARGOS COMPLEMENTARES</t>
  </si>
  <si>
    <t>SF-00713</t>
  </si>
  <si>
    <t>SF-00714</t>
  </si>
  <si>
    <t>SF-00715</t>
  </si>
  <si>
    <t>SF-00716</t>
  </si>
  <si>
    <t>SF-00717</t>
  </si>
  <si>
    <t>SF-00844</t>
  </si>
  <si>
    <t>Kg</t>
  </si>
  <si>
    <t>SF-00845</t>
  </si>
  <si>
    <t>VIDRO LISO INCOLOR 5MM - SEM COLOCACAO</t>
  </si>
  <si>
    <t>SF-00846</t>
  </si>
  <si>
    <t>VIDRO TEMPERADO INCOLOR E = 8 MM, SEM COLOCACAO</t>
  </si>
  <si>
    <t>SF-00849</t>
  </si>
  <si>
    <t>VIDRO TEMPERADO INCOLOR E = 10 MM, SEM COLOCACAO</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</si>
  <si>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</si>
  <si>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</si>
  <si>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</si>
  <si>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</si>
  <si>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</si>
  <si>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</si>
  <si>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</si>
  <si>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</si>
  <si>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</si>
  <si>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</si>
  <si>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</si>
  <si>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</si>
  <si>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</si>
  <si>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</si>
  <si>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</si>
  <si>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</si>
  <si>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</si>
  <si>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</si>
  <si>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</si>
  <si>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</si>
  <si>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</si>
  <si>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</si>
  <si>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</si>
  <si>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</si>
  <si>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</si>
  <si>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</si>
  <si>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Obs: considerando remoção de uma folha de 2,10 m x 0,80 m.</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</si>
  <si>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</si>
  <si>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</si>
  <si>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</si>
  <si>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</si>
  <si>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</si>
  <si>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</si>
  <si>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</si>
  <si>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PERFIL DE ALUMINIO ANODIZADO</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</si>
  <si>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</si>
  <si>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</si>
  <si>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</si>
  <si>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</si>
  <si>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</si>
  <si>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</si>
  <si>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</si>
  <si>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</si>
  <si>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</si>
  <si>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</si>
  <si>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</si>
  <si>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</si>
  <si>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</si>
  <si>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</si>
  <si>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</si>
  <si>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</si>
  <si>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</si>
  <si>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</si>
  <si>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</si>
  <si>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</si>
  <si>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</si>
  <si>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</si>
  <si>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</si>
  <si>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</si>
  <si>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</si>
  <si>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</si>
  <si>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</si>
  <si>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</si>
  <si>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</si>
  <si>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</si>
  <si>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</si>
  <si>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Vidro laminado incolor de 8mm de espessura</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</si>
  <si>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</si>
  <si>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</si>
  <si>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</si>
  <si>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</si>
  <si>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</si>
  <si>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</si>
  <si>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</si>
  <si>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</si>
  <si>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</si>
  <si>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</si>
  <si>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</si>
  <si>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</si>
  <si>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</si>
  <si>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</si>
  <si>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</si>
  <si>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</si>
  <si>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</si>
  <si>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</si>
  <si>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</si>
  <si>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</si>
  <si>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</si>
  <si>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</si>
  <si>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</si>
  <si>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</si>
  <si>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</si>
  <si>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</si>
  <si>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</si>
  <si>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</si>
  <si>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</si>
  <si>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</si>
  <si>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</si>
  <si>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KG</t>
  </si>
  <si>
    <t>ESPACADOR / DISTANCIADOR CIRCULAR COM ENTRADA LATERAL, EM PLASTICO, PARA VERGALHAO *4,2 A 12,5* MM, COBRIMENTO 20 MM</t>
  </si>
  <si>
    <t>AJUDANTE DE ARMADOR COM ENCARGOS COMPLEMENTARES</t>
  </si>
  <si>
    <t>ARMADOR COM ENCARGOS COMPLEMENTARES</t>
  </si>
  <si>
    <t>CORTE E DOBRA DE AÇO CA-50, DIÂMETRO DE 8,0 MM, UTILIZADO EM ESTRUTURAS DIVERSAS, EXCETO LAJES. AF_12/2015</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</si>
  <si>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</si>
  <si>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</si>
  <si>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</si>
  <si>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</si>
  <si>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</si>
  <si>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</si>
  <si>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</si>
  <si>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</si>
  <si>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</si>
  <si>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</si>
  <si>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</si>
  <si>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</si>
  <si>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</si>
  <si>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</si>
  <si>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</si>
  <si>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</si>
  <si>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</si>
  <si>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</si>
  <si>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</si>
  <si>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</si>
  <si>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VIDRO MARTELADO OU CANELADO, 4 MM - SEM COLOCACAO</t>
  </si>
  <si>
    <t>SF-00910</t>
  </si>
  <si>
    <t>VIDRO LISO FUME, E = 5 MM - SEM COLOCACAO</t>
  </si>
  <si>
    <t>SF-00911</t>
  </si>
  <si>
    <t>SF-00912</t>
  </si>
  <si>
    <t>PARAFUSO FRANCES M16 EM ACO GALVANIZADO, COMPRIMENTO = 45 MM, DIAMETRO = 16 MM, CABECA ABAULADA</t>
  </si>
  <si>
    <t>SF-00913</t>
  </si>
  <si>
    <t>Espelho fumê/bronze 4mm lapidado</t>
  </si>
  <si>
    <t>SF-00914</t>
  </si>
  <si>
    <t>SF-00915</t>
  </si>
  <si>
    <t>GRAUTE CIMENTICIO PARA USO GERAL</t>
  </si>
  <si>
    <t>SF-00916</t>
  </si>
  <si>
    <t>CORTE E DOBRA DE AÇO CA-50, DIÂMETRO DE 12,5 MM, UTILIZADO EM ESTRUTURAS DIVERSAS, EXCETO LAJES. AF_12/2015</t>
  </si>
  <si>
    <t>SF-00917</t>
  </si>
  <si>
    <t>CORTE E DOBRA DE AÇO CA-50, DIÂMETRO DE 20,0 MM, UTILIZADO EM ESTRUTURAS DIVERSAS, EXCETO LAJES. AF_12/2015</t>
  </si>
  <si>
    <t>SF-00918</t>
  </si>
  <si>
    <t>SF-00919</t>
  </si>
  <si>
    <t>SF-00920</t>
  </si>
  <si>
    <t>COMPACTADOR DE SOLOS DE PERCUSSÃO (SOQUETE) COM MOTOR A GASOLINA 4 TEMPOS, POTÊNCIA 4 CV - CHP DIURNO. AF_08/2015</t>
  </si>
  <si>
    <t>CHP</t>
  </si>
  <si>
    <t>COMPACTADOR DE SOLOS DE PERCUSSÃO (SOQUETE) COM MOTOR A GASOLINA 4 TEMPOS, POTÊNCIA 4 CV - CHI DIURNO. AF_08/2015</t>
  </si>
  <si>
    <t>CHI</t>
  </si>
  <si>
    <t>UMIDIFICAÇÃO DE MATERIAL PARA VALAS COM CAMINHÃO PIPA 10000L. AF_11/2016</t>
  </si>
  <si>
    <t>SF-00921</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</si>
  <si>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</si>
  <si>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</si>
  <si>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</si>
  <si>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Obs.: Considerando fornecedor de argila a 20 km do Senado Federal.</t>
  </si>
  <si>
    <t>SF-00922</t>
  </si>
  <si>
    <t>TUBO DE COBRE CLASSE "E", DN = 22 MM, PARA INSTALACAO HIDRAULICA PREDIAL</t>
  </si>
  <si>
    <t>AUXILIAR DE ENCANADOR OU BOMBEIRO HIDRÁULICO COM ENCARGOS COMPLEMENTARES</t>
  </si>
  <si>
    <t>ENCANADOR OU BOMBEIRO HIDRÁULICO COM ENCARGOS COMPLEMENTARES</t>
  </si>
  <si>
    <t>SF-00923</t>
  </si>
  <si>
    <t>TUBO DE COBRE CLASSE "E", DN = 28 MM, PARA INSTALACAO HIDRAULICA PREDIAL</t>
  </si>
  <si>
    <t>SF-00924</t>
  </si>
  <si>
    <t>TUBO DE COBRE CLASSE "E", DN = 42 MM, PARA INSTALACAO HIDRAULICA PREDIAL</t>
  </si>
  <si>
    <t>SF-00925</t>
  </si>
  <si>
    <t>PARAFUSO NIQUELADO COM ACABAMENTO CROMADO PARA FIXAR PECA SANITARIA, INCLUI PORCA CEGA, ARRUELA E BUCHA DE NYLON TAMANHO S-10</t>
  </si>
  <si>
    <t>VEDACAO PVC, 100 MM, PARA SAIDA VASO SANITARIO</t>
  </si>
  <si>
    <t>BACIA SANITARIA (VASO) CONVENCIONAL PARA PCD SEM FURO FRONTAL, DE LOUCA BRANCA, SEM ASSENTO</t>
  </si>
  <si>
    <t>SF-00926</t>
  </si>
  <si>
    <t>Assento poliéster, mod.: Vogue plus, cor branca, com fixação cromada. AP.51 ref: DECA ou equivalente</t>
  </si>
  <si>
    <t>Servente Com Encargos Complementares</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</si>
  <si>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</si>
  <si>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</si>
  <si>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</si>
  <si>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</si>
  <si>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</si>
  <si>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</si>
  <si>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</si>
  <si>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</si>
  <si>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</si>
  <si>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</si>
  <si>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</si>
  <si>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</si>
  <si>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</si>
  <si>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</si>
  <si>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</si>
  <si>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</si>
  <si>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</si>
  <si>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</si>
  <si>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</si>
  <si>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</si>
  <si>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</si>
  <si>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MONTADOR DE ESTRUTURA METÁLICA COM ENCARGOS COMPLEMENTARES</t>
  </si>
  <si>
    <t>TRANSPORTE HORIZONTAL MANUAL, DE TUBO DE AÇO CARBONO LEVE OU MÉDIO, PRETO OU GALVANIZADO, COM DIÂMETRO MAIOR QUE 32 MM E MENOR OU IGUAL A 65 MM (UNIDADE: MXKM). AF_07/2019</t>
  </si>
  <si>
    <t>MXKM</t>
  </si>
  <si>
    <t>SF-00938</t>
  </si>
  <si>
    <t>SF-00940</t>
  </si>
  <si>
    <t>ABRACADEIRA DE NYLON PARA AMARRACAO DE CABOS, COMPRIMENTO DE 200 X *4,6* MM</t>
  </si>
  <si>
    <t>TELA FACHADEIRA EM POLIETILENO, ROLO DE 3 X 100 M (L X C), COR BRANCA, SEM LOGOMARCA - PARA PROTECAO DE OBRAS</t>
  </si>
  <si>
    <t>M2</t>
  </si>
  <si>
    <t>CARPINTEIRO DE FORMAS COM ENCARGOS COMPLEMENTARES</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</si>
  <si>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</si>
  <si>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</si>
  <si>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</si>
  <si>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</si>
  <si>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</si>
  <si>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</si>
  <si>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</si>
  <si>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TAMPAO FOFO ARTICULADO P/ REGISTRO, CLASSE A15 CARGA MAXIMA 1,5 T, *400 X 400* MM</t>
  </si>
  <si>
    <t>ARGAMASSA TRAÇO 1:4 (EM VOLUME DE CIMENTO E AREIA GROSSA ÚMIDA) PARA CHAPISCO CONVENCIONAL, PREPARO MECÂNICO COM BETONEIRA 400 L. AF_08/2019</t>
  </si>
  <si>
    <t>SF-00947</t>
  </si>
  <si>
    <t>Arquiteto de obra pleno com encargos complementares</t>
  </si>
  <si>
    <t>SF-00948</t>
  </si>
  <si>
    <t>LOCACAO DE ANDAIME SUSPENSO OU BALANCIM MANUAL, CAPACIDADE DE CARGA TOTAL DE APROXIMADAMENTE 250 KG/M2, PLATAFORMA DE 1,50 M X 0,80 M (C X L), CABO DE 45 M</t>
  </si>
  <si>
    <t>SF-00950</t>
  </si>
  <si>
    <t>LAVADORA DE ALTA PRESSAO (LAVA-JATO) PARA AGUA FRIA, PRESSAO DE OPERACAO ENTRE 1400 E 1900 LIB/POL2, VAZAO MAXIMA ENTRE 400 E 700 L/H - CHP DIURNO. AF_04/2019</t>
  </si>
  <si>
    <t>SF-00951</t>
  </si>
  <si>
    <t>SF-00952</t>
  </si>
  <si>
    <t>SF-00953</t>
  </si>
  <si>
    <t>MANTA LIQUIDA DE BASE ASFALTICA MODIFICADA COM A ADICAO DE ELASTOMEROS DILUIDOS EM SOLVENTE ORGANICO, APLICACAO A FRIO (MEMBRANA IMPERMEABILIZANTE ASFASTICA)</t>
  </si>
  <si>
    <t>Ajudante Especializado Com Encargos Complementares</t>
  </si>
  <si>
    <t>IMPERMEABILIZADOR COM ENCARGOS COMPLEMENTARES</t>
  </si>
  <si>
    <t>SF-00954</t>
  </si>
  <si>
    <t>CAMADA SEPARADORA DE FILME DE POLIETILENO 20 A 25 MICRA</t>
  </si>
  <si>
    <t>ARGAMASSA TRAÇO 1:3 (EM VOLUME DE CIMENTO E AREIA MÉDIA ÚMIDA) PARA CONTRAPISO, PREPARO MANUAL. AF_08/2019</t>
  </si>
  <si>
    <t>SF-00955</t>
  </si>
  <si>
    <t>TELA DE ARAME GALVANIZADA, HEXAGONAL, FIO 0,56 MM (24 BWG), MALHA 1/2", H = 1 M</t>
  </si>
  <si>
    <t>SF-00956</t>
  </si>
  <si>
    <t>SF-00957</t>
  </si>
  <si>
    <t>SF-00958</t>
  </si>
  <si>
    <t>Papel kraft betumado</t>
  </si>
  <si>
    <t>SF-00959</t>
  </si>
  <si>
    <t>SF-00960</t>
  </si>
  <si>
    <t>SF-00961</t>
  </si>
  <si>
    <t>Broca com ponta de widia Ø 3/8" x 160 mm</t>
  </si>
  <si>
    <t>Furadeira de impacto elétrica - 0,65 kW, Ø mandril 5/8"</t>
  </si>
  <si>
    <t>h prod</t>
  </si>
  <si>
    <t>GRAUTE FGK=25 MPA; TRAÇO 1:0,02:1,2:1,5 (CIMENTO/ CAL/ AREIA GROSSA/ BRITA 0) - PREPARO MECÂNICO COM BETONEIRA 400 L. AF_02/2015</t>
  </si>
  <si>
    <r>
      <rPr>
        <b/>
        <sz val="10"/>
        <rFont val="Arial"/>
        <family val="2"/>
      </rPr>
      <t>Fontes:</t>
    </r>
    <r>
      <rPr>
        <sz val="10"/>
        <rFont val="Arial"/>
        <family val="2"/>
      </rPr>
      <t xml:space="preserve"> PINI 05.102.000020.SER</t>
    </r>
  </si>
  <si>
    <t>SF-00962</t>
  </si>
  <si>
    <t>Insert metálico tipo 2, conforme projeto</t>
  </si>
  <si>
    <t>SF-00964</t>
  </si>
  <si>
    <t>Mármore branco especial 20mm</t>
  </si>
  <si>
    <t>SF-00965</t>
  </si>
  <si>
    <t>PARAFUSO DE ACO TIPO CHUMBADOR PARABOLT, DIAMETRO 3/8", COMPRIMENTO 75 MM</t>
  </si>
  <si>
    <t>Insert metálico tipo 1, conforme projeto</t>
  </si>
  <si>
    <r>
      <rPr>
        <b/>
        <sz val="10"/>
        <rFont val="Arial"/>
        <family val="2"/>
      </rPr>
      <t>Fontes:</t>
    </r>
    <r>
      <rPr>
        <sz val="10"/>
        <rFont val="Arial"/>
        <family val="2"/>
      </rPr>
      <t xml:space="preserve"> ORSE 03735, PINI 05.102.000020.SER e 05.108.000450.SER</t>
    </r>
  </si>
  <si>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</si>
  <si>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</si>
  <si>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</si>
  <si>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</si>
  <si>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</si>
  <si>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r>
      <rPr>
        <b/>
        <sz val="10"/>
        <rFont val="Arial"/>
        <family val="2"/>
      </rPr>
      <t>Fontes:</t>
    </r>
    <r>
      <rPr>
        <sz val="10"/>
        <rFont val="Arial"/>
        <family val="2"/>
      </rPr>
      <t xml:space="preserve"> PINI 05.102.000020.SER e 05.108.000450.SER</t>
    </r>
  </si>
  <si>
    <t>SF-00970</t>
  </si>
  <si>
    <t>SF-00971</t>
  </si>
  <si>
    <t>SF-00972</t>
  </si>
  <si>
    <t>Ajudante de pintor com Encargos Complementares</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</si>
  <si>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</si>
  <si>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</si>
  <si>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</si>
  <si>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</si>
  <si>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</si>
  <si>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</si>
  <si>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</si>
  <si>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</si>
  <si>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</si>
  <si>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</si>
  <si>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</si>
  <si>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Primer de secagem rápida e alto poder de aderência ao concreto</t>
  </si>
  <si>
    <t>Corpo de apoio em polietileno para aplicação de mástiques em juntas</t>
  </si>
  <si>
    <t>SELANTE ELASTICO MONOCOMPONENTE A BASE DE POLIURETANO (PU) PARA JUNTAS DIVERSAS</t>
  </si>
  <si>
    <t>310ml</t>
  </si>
  <si>
    <t>SF-00978</t>
  </si>
  <si>
    <t>SF-00980</t>
  </si>
  <si>
    <t>CHUVEIRO COMUM EM PLASTICO BRANCO, COM CANO, 3 TEMPERATURAS, 5500 W (110/220 V)</t>
  </si>
  <si>
    <t>FITA VEDA ROSCA EM ROLOS DE 18 MM X 10 M (L X C)</t>
  </si>
  <si>
    <t>SF-00981</t>
  </si>
  <si>
    <t>CONCRETO MAGRO PARA LASTRO, TRAÇO 1:4,5:4,5 (CIMENTO/ AREIA MÉDIA/ BRITA 1)  - PREPARO MECÂNICO COM BETONEIRA 600 L. AF_07/2016</t>
  </si>
  <si>
    <t>SF-00982</t>
  </si>
  <si>
    <t>TELA DE ACO SOLDADA NERVURADA, CA-60, Q-196, (3,11 KG/M2), DIAMETRO DO FIO = 5,0 MM, LARGURA = 2,45 M, ESPACAMENTO DA MALHA = 10 X 10 CM</t>
  </si>
  <si>
    <t>CONCRETO FCK = 20MPA, TRAÇO 1:2,7:3 (CIMENTO/ AREIA MÉDIA/ BRITA 1)  - PREPARO MECÂNICO COM BETONEIRA 600 L. AF_07/2016</t>
  </si>
  <si>
    <t>310ML</t>
  </si>
  <si>
    <t>SF-00983</t>
  </si>
  <si>
    <t>SF-00984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</si>
  <si>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</si>
  <si>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</si>
  <si>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SF-00986</t>
  </si>
  <si>
    <t>APARELHO PARA CORTE E SOLDA OXI-ACETILENO SOBRE RODAS, INCLUSIVE CILINDROS E MAÇARICOS - CHP DIURNO. AF_12/2015</t>
  </si>
  <si>
    <t>Soldador com encargos complementares</t>
  </si>
  <si>
    <t>SF-00987</t>
  </si>
  <si>
    <t>SF-00988</t>
  </si>
  <si>
    <t>SF-00989</t>
  </si>
  <si>
    <t>GRAMA BATATAIS EM PLACAS, SEM PLANTIO</t>
  </si>
  <si>
    <t>JARDINEIRO COM ENCARGOS COMPLEMENTARES</t>
  </si>
  <si>
    <t>CALCARIO DOLOMITICO A (POSTO PEDREIRA/FORNECEDOR, SEM FRETE)</t>
  </si>
  <si>
    <t>TERRA VEGETAL (GRANEL)</t>
  </si>
  <si>
    <t>FERTILIZANTE NPK - 10:10:10</t>
  </si>
  <si>
    <t>FERTILIZANTE ORGANICO COMPOSTO, CLASSE A</t>
  </si>
  <si>
    <t>t</t>
  </si>
  <si>
    <t>Obs.: Considerando fornecedor de calcário a 20km do Senado Federal.</t>
  </si>
  <si>
    <t>SF-00990</t>
  </si>
  <si>
    <t>TINTA ACRILICA PREMIUM PARA PISO</t>
  </si>
  <si>
    <t>PINTOR COM ENCARGOS COMPLEMENTARES</t>
  </si>
  <si>
    <t>Obs: considerando uma demão, meio-fio de 30 cm x 15 cm x 13 cm (altura, base inferior, base superior), enterrado 5 cm.</t>
  </si>
  <si>
    <t>SF-00991</t>
  </si>
  <si>
    <t>Obs.: Considerando fornecedor de areia a 20km do Senado Federal.</t>
  </si>
  <si>
    <t>SF-00992</t>
  </si>
  <si>
    <t>PEDRA BRITADA N. 2 (19 A 38 MM) POSTO PEDREIRA/FORNECEDOR, SEM FRETE</t>
  </si>
  <si>
    <t>CAMINHÃO BASCULANTE 6 M3, PESO BRUTO TOTAL 16.000 KG, CARGA ÚTIL MÁXIMA 13.071 KG, DISTÂNCIA ENTRE EIXOS 4,80 M, POTÊNCIA 230 CV INCLUSIVE CAÇAMBA METÁLICA - CHP DIURNO. AF_06/2014</t>
  </si>
  <si>
    <t>TUBO DRENO, CORRUGADO, ESPIRALADO, FLEXIVEL, PERFURADO, EM POLIETILENO DE ALTA DENSIDADE (PEAD), DN 100 MM, (4") PARA DRENAGEM - EM ROLO (NORMA DNIT 093/2006 - E.M)</t>
  </si>
  <si>
    <t>PLACA VIBRATÓRIA REVERSÍVEL COM MOTOR 4 TEMPOS A GASOLINA, FORÇA CENTRÍFUGA DE 25 KN (2500 KGF), POTÊNCIA 5,5 CV - CHP DIURNO. AF_08/2015</t>
  </si>
  <si>
    <t>Obs.: Considerando fornecedor de brita a 20km do Senado Federal.</t>
  </si>
  <si>
    <t>SF-00994</t>
  </si>
  <si>
    <t>Insert metálico tipo 3, conforme projeto</t>
  </si>
  <si>
    <t>SF-01001</t>
  </si>
  <si>
    <t>LOCACAO DE CONTAINER 2,30  X  6,00 M, ALT. 2,50 M, COM 1 SANITARIO, PARA ESCRITORIO, COMPLETO, SEM DIVISORIAS INTERNAS</t>
  </si>
  <si>
    <t>SF-01011</t>
  </si>
  <si>
    <t>MARTELETE OU ROMPEDOR PNEUMÁTICO MANUAL, 28 KG, COM SILENCIADOR - CHP DIURNO. AF_07/2016</t>
  </si>
  <si>
    <t>MARTELETE OU ROMPEDOR PNEUMÁTICO MANUAL, 28 KG, COM SILENCIADOR - CHI DIURNO. AF_07/2016</t>
  </si>
  <si>
    <t>SF-01012</t>
  </si>
  <si>
    <t>SF-01013</t>
  </si>
  <si>
    <t>Impermeabilizante Idea HP</t>
  </si>
  <si>
    <t>Obs: Rendimento informado na especificação do serviço (12 m2 para 1 L, considerando duas demãos).</t>
  </si>
  <si>
    <t>Fonte: SINAPI 73872/2</t>
  </si>
  <si>
    <t>SF-01014</t>
  </si>
  <si>
    <t>PLACA VINILICA SEMIFLEXIVEL PARA REVESTIMENTO DE PISOS E PAREDES, E = 2 MM (SEM COLOCACAO)</t>
  </si>
  <si>
    <t>POLIDORA DE PISO (POLITRIZ), PESO DE 100KG, DIÂMETRO 450 MM, MOTOR ELÉTRICO, POTÊNCIA 4 HP - CHP DIURNO. AF_09/2016</t>
  </si>
  <si>
    <t>POLIDORA DE PISO (POLITRIZ), PESO DE 100KG, DIÂMETRO 450 MM, MOTOR ELÉTRICO, POTÊNCIA 4 HP - CHI DIURNO. AF_09/2016</t>
  </si>
  <si>
    <t>SF-01029</t>
  </si>
  <si>
    <t>LOCACAO DE CONTAINER 2,30 X 6,00 M, ALT. 2,50 M,  PARA SANITARIO,  COM 4 BACIAS, 8 CHUVEIROS,1 LAVATORIO E 1 MICTORIO</t>
  </si>
  <si>
    <t>SF-01030</t>
  </si>
  <si>
    <t>LOCACAO DE CONTAINER 2,30  X  6,00 M, ALT. 2,50 M, PARA ESCRITORIO, SEM DIVISORIAS INTERNAS E SEM SANITARIO</t>
  </si>
  <si>
    <t>SF-01031</t>
  </si>
  <si>
    <t>PLACA DE OBRA (PARA CONSTRUCAO CIVIL) EM CHAPA GALVANIZADA *N. 22*, ADESIVADA, DE *2,0 X 1,125* M</t>
  </si>
  <si>
    <t>SF-01041</t>
  </si>
  <si>
    <t>TÉCNICO EM SEGURANÇA DO TRABALHO COM ENCARGOS COMPLEMENTARES</t>
  </si>
  <si>
    <t>SF-01053</t>
  </si>
  <si>
    <t>Adesivo epóxi estrutural - bisnaga de 50ml</t>
  </si>
  <si>
    <t>SF-01054</t>
  </si>
  <si>
    <t>Perfil metálico em chapa #14 dobrada</t>
  </si>
  <si>
    <t>SILICONE ACETICO USO GERAL INCOLOR 280 G</t>
  </si>
  <si>
    <t>Fonte: SIURB 08-01-70 e CDHU 403091</t>
  </si>
  <si>
    <t>SF-01059</t>
  </si>
  <si>
    <t>Granito Vermelho Brasília, com 20 mm de espessura, polido, com testeira para acabamento em meia esquadria, para bancadas</t>
  </si>
  <si>
    <t>SF-01060</t>
  </si>
  <si>
    <t>BUCHA DE NYLON SEM ABA S10, COM PARAFUSO DE 6,10 X 65 MM EM ACO ZINCADO COM ROSCA SOBERBA, CABECA CHATA E FENDA PHILLIPS</t>
  </si>
  <si>
    <t>GUARNICAO/MOLDURA DE ACABAMENTO PARA ESQUADRIA DE ALUMINIO ANODIZADO NATURAL, PARA 1 FACE</t>
  </si>
  <si>
    <t>PORTA DE ABRIR EM ALUMINIO TIPO VENEZIANA, ACABAMENTO ANODIZADO NATURAL, SEM GUARNICAO/ALIZAR/VISTA, 87 X 210 CM</t>
  </si>
  <si>
    <t>Pedreiro com encargos complementares</t>
  </si>
  <si>
    <t>SF-01061</t>
  </si>
  <si>
    <t>JANELA MAXIM AR EM ALUMINIO, 80 X 60 CM (A X L), BATENTE/REQUADRO DE 4 A 14 CM, COM VIDRO, SEM GUARNICAO/ALIZAR</t>
  </si>
  <si>
    <t>PARAFUSO DE ACO ZINCADO COM ROSCA SOBERBA, CABECA CHATA E FENDA SIMPLES, DIAMETRO 4,2 MM, COMPRIMENTO * 32 * MM</t>
  </si>
  <si>
    <t>SF-01062</t>
  </si>
  <si>
    <t>PORTA DE ENROLAR MANUAL COMPLETA, ARTICULADA RAIADA LARGA, EM ACO GALVANIZADO NATURAL, CHAPA NUMERO 24 (SEM INSTALACAO)</t>
  </si>
  <si>
    <t>SF-01063</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</si>
  <si>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</si>
  <si>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</si>
  <si>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</si>
  <si>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</si>
  <si>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</si>
  <si>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 " (REF 1552-B)</t>
  </si>
  <si>
    <t>VALVULA DE ESFERA BRUTA EM BRONZE, BITOLA 1/2 " (REF 1552-B)</t>
  </si>
  <si>
    <t>TUBO ACO GALVANIZADO COM COSTURA, CLASSE MEDIA, DN 1", E = 3,38 MM, PESO 2,50 KG/M (NBR 5580)</t>
  </si>
  <si>
    <t xml:space="preserve">MEDIDOR DE GÁS EM ALUMÍNIO. Ref. LAO G6 </t>
  </si>
  <si>
    <t>SF-01064</t>
  </si>
  <si>
    <t>Válvula de esfera tripartida Classe 300</t>
  </si>
  <si>
    <t>SF-01065</t>
  </si>
  <si>
    <t>CHAPA DE MADEIRA COMPENSADA RESINADA PARA FORMA DE CONCRETO, DE *2,2 X 1,1* M, E = 17 MM</t>
  </si>
  <si>
    <t>DESMOLDANTE PROTETOR PARA FORMAS DE MADEIRA, DE BASE OLEOSA EMULSIONADA EM AGUA</t>
  </si>
  <si>
    <t>PREGO DE ACO POLIDO COM CABECA 15 X 15 (1 1/4 X 13)</t>
  </si>
  <si>
    <t>VIBRADOR DE IMERSÃO, DIÂMETRO DE PONTEIRA 45MM, MOTOR ELÉTRICO TRIFÁSICO POTÊNCIA DE 2 CV - CHP DIURNO. AF_06/2015</t>
  </si>
  <si>
    <t>VIBRADOR DE IMERSÃO, DIÂMETRO DE PONTEIRA 45MM, MOTOR ELÉTRICO TRIFÁSICO POTÊNCIA DE 2 CV - CHI DIURNO. AF_06/2015</t>
  </si>
  <si>
    <t>SERRA CIRCULAR DE BANCADA COM MOTOR ELÉTRICO POTÊNCIA DE 5HP, COM COIFA PARA DISCO 10" - CHP DIURNO. AF_08/2015</t>
  </si>
  <si>
    <t>SERRA CIRCULAR DE BANCADA COM MOTOR ELÉTRICO POTÊNCIA DE 5HP, COM COIFA PARA DISCO 10" - CHI DIURNO. AF_08/2015</t>
  </si>
  <si>
    <t>ARMAÇÃO DE LAJE DE UMA ESTRUTURA CONVENCIONAL DE CONCRETO ARMADO EM UMA EDIFICAÇÃO TÉRREA OU SOBRADO UTILIZANDO AÇO CA-60 DE 4,2 MM - MONTAGEM. AF_12/2015</t>
  </si>
  <si>
    <t>CONCRETO FCK = 15MPA, TRAÇO 1:3,4:3,5 (CIMENTO/ AREIA MÉDIA/ BRITA 1)  - PREPARO MECÂNICO COM BETONEIRA 600 L. AF_07/2016</t>
  </si>
  <si>
    <t>SF-01066</t>
  </si>
  <si>
    <t>ELETRODUTO/DUTO PEAD FLEXIVEL PAREDE SIMPLES, CORRUGACAO HELICOIDAL, COR PRETA, SEM ROSCA, DE 3",  PARA CABEAMENTO SUBTERRANEO (NBR 15715)</t>
  </si>
  <si>
    <t>AUXILIAR DE ELETRICISTA COM ENCARGOS COMPLEMENTARES</t>
  </si>
  <si>
    <t>ELETRICISTA COM ENCARGOS COMPLEMENTARES</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</si>
  <si>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</si>
  <si>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</si>
  <si>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</si>
  <si>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</si>
  <si>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</si>
  <si>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</si>
  <si>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</si>
  <si>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</si>
  <si>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</si>
  <si>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PISO TATIL ALERTA OU DIRECIONAL, DE BORRACHA, COLORIDO, 25 X 25 CM, E = 5 MM, PARA COLA</t>
  </si>
  <si>
    <t>SF-01073</t>
  </si>
  <si>
    <t>Granito Vermelho Brasília ou equivalente, com 30 mm de espessura, polido em todas as faces aparentes, para divisórias</t>
  </si>
  <si>
    <t>SF-01074</t>
  </si>
  <si>
    <t>TAMPAO FOFO ARTICULADO P/ REGISTRO, CLASSE A15 CARGA MAX 1,5 T, *200 X 200* MM</t>
  </si>
  <si>
    <t>SF-01076</t>
  </si>
  <si>
    <t>Cerâmica GAIL (Referência 1009 Placa Cerâmica Linha Gressit da Marca Gail, tamanho 240 mm x 116 mm, espessura 9 mm)</t>
  </si>
  <si>
    <t>SF-01077</t>
  </si>
  <si>
    <t>AREIA PARA ATERRO - POSTO JAZIDA/FORNECEDOR (RETIRADO NA JAZIDA, SEM TRANSPORTE)</t>
  </si>
  <si>
    <t>SF-01078</t>
  </si>
  <si>
    <t>CHAPA DE ACO GROSSA, ASTM A36, E = 3/8 " (9,53 MM) 74,69 KG/M2</t>
  </si>
  <si>
    <t>ELETRODO REVESTIDO AWS - E6013, DIAMETRO IGUAL A 2,50 MM</t>
  </si>
  <si>
    <t>PARAFUSO DE FERRO POLIDO, SEXTAVADO, COM ROSCA INTEIRA, DIAMETRO 5/16", COMPRIMENTO 3/4", COM PORCA E ARRUELA LISA LEVE</t>
  </si>
  <si>
    <t>PERFIL DE BORRACHA EPDM MACICO *12 X 15* MM PARA ESQUADRIAS</t>
  </si>
  <si>
    <t>VIDRO COMUM LAMINADO LISO INCOLOR DUPLO, ESPESSURA TOTAL 8 MM (CADA CAMADA DE 4 MM) - COLOCADO</t>
  </si>
  <si>
    <t>SERRALHEIRO COM ENCARGOS COMPLEMENTARES</t>
  </si>
  <si>
    <t>SF-01080</t>
  </si>
  <si>
    <t>Perfil "U" em aço galvanizado 25mm x 25mm, espessura 1,5mm (#16)</t>
  </si>
  <si>
    <t>SF-01082</t>
  </si>
  <si>
    <t>ALIMENTACAO - HORISTA (COLETADO CAIXA)</t>
  </si>
  <si>
    <t>SF-01083</t>
  </si>
  <si>
    <t>TRANSPORTE - HORISTA (COLETADO CAIXA)</t>
  </si>
  <si>
    <t>SF-01088</t>
  </si>
  <si>
    <t>COTOVELO DE COBRE 90 GRAUS (REF 607) SEM ANEL DE SOLDA, BOLSA X BOLSA, 35 MM</t>
  </si>
  <si>
    <t>SOLDA ESTANHO/COBRE PARA CONEXOES DE COBRE, FIO 2,5 MM, CARRETEL 500 GR (SEM CHUMBO)</t>
  </si>
  <si>
    <t>LIXA D'AGUA EM FOLHA, GRAO 100</t>
  </si>
  <si>
    <t>PASTA PARA SOLDA DE TUBOS E CONEXOES DE COBRE (EMBALAGEM COM 250 G)</t>
  </si>
  <si>
    <t>SF-01089</t>
  </si>
  <si>
    <t>COTOVELO DE COBRE 90 GRAUS (REF 607) SEM ANEL DE SOLDA, BOLSA X BOLSA, 42 MM</t>
  </si>
  <si>
    <t>SF-01090</t>
  </si>
  <si>
    <t>COTOVELO DE COBRE 90 GRAUS (REF 607) SEM ANEL DE SOLDA, BOLSA X BOLSA, 22 MM</t>
  </si>
  <si>
    <t>SF-01092</t>
  </si>
  <si>
    <t>LUVA DE COBRE (REF 600) SEM ANEL DE SOLDA, BOLSA X BOLSA, 35 MM</t>
  </si>
  <si>
    <t>SF-01093</t>
  </si>
  <si>
    <t>LUVA DE COBRE (REF 600) SEM ANEL DE SOLDA, BOLSA X BOLSA, 42 MM</t>
  </si>
  <si>
    <t>SF-01094</t>
  </si>
  <si>
    <t>LUVA DE COBRE (REF 600) SEM ANEL DE SOLDA, BOLSA X BOLSA, 22 MM</t>
  </si>
  <si>
    <t>SF-01097</t>
  </si>
  <si>
    <t>TUBO DE COBRE CLASSE "A", DN = 1 1/4 " (35 MM), PARA INSTALACOES DE MEDIA PRESSAO PARA GASES COMBUSTIVEIS E MEDICINAIS</t>
  </si>
  <si>
    <t>SF-01098</t>
  </si>
  <si>
    <t>TUBO DE COBRE CLASSE "A", DN = 1 1/2 " (42 MM), PARA INSTALACOES DE MEDIA PRESSAO PARA GASES COMBUSTIVEIS E MEDICINAIS</t>
  </si>
  <si>
    <t>SF-01101</t>
  </si>
  <si>
    <t>ELETRODUTO FLEXIVEL, EM ACO GALVANIZADO, REVESTIDO EXTERNAMENTE COM PVC PRETO, DIAMETRO EXTERNO DE 50 MM( 1 1/2"), TIPO SEALTUBO</t>
  </si>
  <si>
    <t>SF-01102</t>
  </si>
  <si>
    <t>TECNICO DE EDIFICACOES COM ENCARGOS COMPLEMENTARES</t>
  </si>
  <si>
    <t>SF-01104</t>
  </si>
  <si>
    <t>ENGENHEIRO CIVIL PLENO COM ENCARGOS COMPLEMENTARES</t>
  </si>
  <si>
    <t>SF-01105</t>
  </si>
  <si>
    <t>TAQUEADOR OU TAQUEIRO COM ENCARGOS COMPLEMENTARES</t>
  </si>
  <si>
    <t>Laminado melamínico texturizado esp. 1,3 mm</t>
  </si>
  <si>
    <t>SF-01106</t>
  </si>
  <si>
    <t>Granito Preto Absoluto, com 20 mm de espessura</t>
  </si>
  <si>
    <t>SF-01107</t>
  </si>
  <si>
    <t>Granito Arabesco, com 20 mm de espessura</t>
  </si>
  <si>
    <t>SF-01108</t>
  </si>
  <si>
    <t>PISO EM PORCELANATO RETIFICADO EXTRA, FORMATO MENOR OU IGUAL A 2025 CM2</t>
  </si>
  <si>
    <t>AZULEJISTA OU LADRILHISTA COM ENCARGOS COMPLEMENTARES</t>
  </si>
  <si>
    <t>SF-01109</t>
  </si>
  <si>
    <t>JUNTA PLASTICA DE DILATACAO PARA PISOS, COR CINZA, 17 X 3 MM (ALTURA X ESPESSURA)</t>
  </si>
  <si>
    <t>SF-01110</t>
  </si>
  <si>
    <t>Piso vinílico em manta esp. 2 mm</t>
  </si>
  <si>
    <t>SF-01111</t>
  </si>
  <si>
    <t>SELANTE MONOCOMPONENTE A BASE DE SILICONE DE BAIXO MODULO, PARA JUNTAS DE PAVIMENTACAO</t>
  </si>
  <si>
    <t>SF-01112</t>
  </si>
  <si>
    <t>Lixa grana 100 para superfície metálica</t>
  </si>
  <si>
    <t>Fonte: Pini 20.105.000010.SER e Pini 20.105.000015.SER</t>
  </si>
  <si>
    <t>SF-01113</t>
  </si>
  <si>
    <t>Raspagem, calafetagem, aplicação de synteko alto brilho em piso de madeira</t>
  </si>
  <si>
    <t>SF-01114</t>
  </si>
  <si>
    <t>TACO DE MADEIRA PARA PISO, IPE (CERNE) OU EQUIVALENTE DA REGIAO, 7 X 42 CM, E = 2 CM</t>
  </si>
  <si>
    <t>COLA BRANCA BASE PVA</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</si>
  <si>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</si>
  <si>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</si>
  <si>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</si>
  <si>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</si>
  <si>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</si>
  <si>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</si>
  <si>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</si>
  <si>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</si>
  <si>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ARAME GALVANIZADO 18 BWG, D = 1,24MM (0,009 KG/M)</t>
  </si>
  <si>
    <t>SISAL EM FIBRA</t>
  </si>
  <si>
    <t>CENTO</t>
  </si>
  <si>
    <t>GESSEIRO COM ENCARGOS COMPLEMENTARES</t>
  </si>
  <si>
    <t>SF-01120</t>
  </si>
  <si>
    <t>MASSA PARA TEXTURA LISA DE BASE ACRILICA, USO INTERNO E EXTERNO</t>
  </si>
  <si>
    <t>SF-01121</t>
  </si>
  <si>
    <t>TINTA ACRILICA PREMIUM, COR BRANCO FOSCO</t>
  </si>
  <si>
    <t>Obs.: Acréscimo de 15% no coeficiente da tinta para suprir a diferença de preço da tinta branca para as tintas de cores especiais.</t>
  </si>
  <si>
    <t>SF-01122</t>
  </si>
  <si>
    <t>SF-01123</t>
  </si>
  <si>
    <t>SF-01124</t>
  </si>
  <si>
    <t>PRIMER EPOXI</t>
  </si>
  <si>
    <t>GL</t>
  </si>
  <si>
    <t>SF-01125</t>
  </si>
  <si>
    <t>LIXA EM FOLHA PARA PAREDE OU MADEIRA, NUMERO 120 (COR VERMELHA)</t>
  </si>
  <si>
    <t>SOLVENTE DILUENTE A BASE DE AGUARRAS</t>
  </si>
  <si>
    <t>VERNIZ POLIURETANO BRILHANTE PARA MADEIRA, COM FILTRO SOLAR, USO INTERNO E EXTERNO</t>
  </si>
  <si>
    <t>SF-01126</t>
  </si>
  <si>
    <t>Carga inerte para tratamento antiderrapante em piso (ref.: Sikadur 512 ou 515)</t>
  </si>
  <si>
    <t>SF-01127</t>
  </si>
  <si>
    <t>PRIMER UNIVERSAL, FUNDO ANTICORROSIVO TIPO ZARCAO</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</si>
  <si>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</si>
  <si>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</si>
  <si>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LIXA EM FOLHA PARA FERRO, NUMERO 150</t>
  </si>
  <si>
    <t>SF-01128</t>
  </si>
  <si>
    <t>Compressor de ar portátil de 71 PCM - 15 kW</t>
  </si>
  <si>
    <t>Serra para corte de concreto e asfalto - 10 kW</t>
  </si>
  <si>
    <t>Cordão de polietileno expandido</t>
  </si>
  <si>
    <t>Disco diamantado - D = 350 mm</t>
  </si>
  <si>
    <t>SELANTE A BASE DE ALCATRAO E POLIURETANO PARA JUNTAS HORIZONTAIS</t>
  </si>
  <si>
    <t>SF-01129</t>
  </si>
  <si>
    <t>PO DE PEDRA (POSTO PEDREIRA/FORNECEDOR, SEM FRETE)</t>
  </si>
  <si>
    <t>BLOQUETE/PISO DE CONCRETO - MODELO BLOCO PISOGRAMA/CONCREGRAMA 2 FUROS, DIMENSOES APROX. DE 35 CM X 15 CM E ESPESSURA DE 7 CM (+/- 1 CM), COR NATURAL</t>
  </si>
  <si>
    <t>CALCETEIRO COM ENCARGOS COMPLEMENTARES</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</si>
  <si>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</si>
  <si>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</si>
  <si>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</si>
  <si>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Obs: considerando fornecedor de areia e brita a 20 km do Senado Federal</t>
  </si>
  <si>
    <t>SF-01130</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</si>
  <si>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</si>
  <si>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</si>
  <si>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</si>
  <si>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</si>
  <si>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</si>
  <si>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</si>
  <si>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</si>
  <si>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</si>
  <si>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</si>
  <si>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</si>
  <si>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AREIA GROSSA - POSTO JAZIDA/FORNECEDOR (RETIRADO NA JAZIDA, SEM TRANSPORTE)</t>
  </si>
  <si>
    <t>EMULSAO ASFALTICA CATIONICA RL-1C PARA USO EM PAVIMENTACAO ASFALTICA (COLETADO CAIXA NA ANP ACRESCIDO DE ICMS)</t>
  </si>
  <si>
    <t>T</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</si>
  <si>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</si>
  <si>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</si>
  <si>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</si>
  <si>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AF_03/2016</t>
  </si>
  <si>
    <t>TANQUE DE ASFALTO ESTACIONÁRIO COM SERPENTINA, CAPACIDADE 30.000 L - CHP DIURNO. AF_06/2014</t>
  </si>
  <si>
    <t>SF-01131</t>
  </si>
  <si>
    <t>Compactador manual de placa vibratória - 3 kW - CHP</t>
  </si>
  <si>
    <t>Compactador manual de placa vibratória - 3 kW - CHI</t>
  </si>
  <si>
    <t>Asfalto a frio ensacado</t>
  </si>
  <si>
    <t>SF-01132</t>
  </si>
  <si>
    <t>CAMINHÃO TOCO, PBT 16.000 KG, CARGA ÚTIL MÁX. 10.685 KG, DIST. ENTRE EIXOS 4,8 M, POTÊNCIA 189 CV, INCLUSIVE CARROCERIA FIXA ABERTA DE MADEIRA P/ TRANSPORTE GERAL DE CARGA SECA, DIMEN. APROX. 2,5 X 7,00 X 0,50 M - CHP DIURNO. AF_06/2014</t>
  </si>
  <si>
    <t>TINTA A BASE DE RESINA ACRILICA, PARA SINALIZACAO HORIZONTAL VIARIA (NBR 11862)</t>
  </si>
  <si>
    <t>MICROESFERAS DE VIDRO PARA SINALIZACAO HORIZONTAL VIARIA, TIPO I-B (PREMIX) - NBR 16184</t>
  </si>
  <si>
    <t>MÁQUINA DEMARCADORA DE FAIXA DE TRÁFEGO À FRIO, AUTOPROPELIDA, POTÊNCIA 38 HP - CHP DIURNO. AF_07/2016</t>
  </si>
  <si>
    <t>SF-01133</t>
  </si>
  <si>
    <t>HASTE RETA PARA GANCHO DE FERRO GALVANIZADO, COM ROSCA 1/4 " X 30 CM PARA FIXACAO DE TELHA METALICA, INCLUI PORCA E ARRUELAS DE VEDACAO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</si>
  <si>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</si>
  <si>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</si>
  <si>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</si>
  <si>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SF-01134</t>
  </si>
  <si>
    <t>SF-01135</t>
  </si>
  <si>
    <t>Telha metálica trapezoidal galvanizada GR 25 com espessura de 0,43 mm, com largura de 1020 mm e comprimento de 5 metros.</t>
  </si>
  <si>
    <t>SF-01136</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</si>
  <si>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</si>
  <si>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</si>
  <si>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</si>
  <si>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</si>
  <si>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</si>
  <si>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</si>
  <si>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</si>
  <si>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</si>
  <si>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</si>
  <si>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</si>
  <si>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</si>
  <si>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CONJUNTO ARRUELAS DE VEDACAO 5/16" PARA TELHA FIBROCIMENTO (UMA ARRUELA METALICA E UMA ARRUELA PVC - CONICAS)</t>
  </si>
  <si>
    <t>PARAFUSO ZINCADO ROSCA SOBERBA, CABECA SEXTAVADA, 5/16 " X 250 MM, PARA FIXACAO DE TELHA EM MADEIRA</t>
  </si>
  <si>
    <t>TELHA DE FIBROCIMENTO ONDULADA E = 6 MM, DE 2,44 X 1,10 M (SEM AMIANTO)</t>
  </si>
  <si>
    <t>SF-01141</t>
  </si>
  <si>
    <t>CUMEEIRA UNIVERSAL PARA TELHA ONDULADA DE FIBROCIMENTO, E = 6 MM, ABA 210 MM, COMPRIMENTO 1100 MM (SEM AMIANTO)</t>
  </si>
  <si>
    <t>SF-01142</t>
  </si>
  <si>
    <t>CUMEEIRA SHED PARA TELHA ONDULADA DE FIBROCIMENTO, E = 6 MM, ABA 280 MM, COMPRIMENTO 1100 MM (SEM AMIANTO)</t>
  </si>
  <si>
    <t>SF-01143</t>
  </si>
  <si>
    <t>Parafuso rosca soberba galvanizado Ø 8 mm x 250 mm</t>
  </si>
  <si>
    <t>SF-01147</t>
  </si>
  <si>
    <t>FUNDO ANTICORROSIVO PARA METAIS FERROSOS (ZARCAO)</t>
  </si>
  <si>
    <t>SF-01148</t>
  </si>
  <si>
    <t>SF-01149</t>
  </si>
  <si>
    <t>Lava-jato água fria pressão 1700 psi</t>
  </si>
  <si>
    <t>loc/un/h</t>
  </si>
  <si>
    <t>Solução limpadora diluída em água</t>
  </si>
  <si>
    <t>SF-01150</t>
  </si>
  <si>
    <t>ANEL BORRACHA, DN 150 MM, PARA TUBO SERIE REFORCADA ESGOTO PREDIAL</t>
  </si>
  <si>
    <t>REDUCAO EXCENTRICA PVC, SERIE R, DN 150 X 100 MM, PARA ESGOTO PREDIAL</t>
  </si>
  <si>
    <t>PASTA LUBRIFICANTE PARA TUBOS E CONEXOES COM JUNTA ELASTICA (USO EM PVC, ACO, POLIETILENO E OUTROS) ( DE *400* G)</t>
  </si>
  <si>
    <t>ADESIVO PLASTICO PARA PVC, FRASCO COM 850 GR</t>
  </si>
  <si>
    <t>TUBO PVC, SERIE R, DN 150 MM, PARA ESGOTO OU AGUAS PLUVIAIS PREDIAL (NBR 5688)</t>
  </si>
  <si>
    <t>SOLUCAO LIMPADORA PARA PVC, FRASCO COM 1000 CM3</t>
  </si>
  <si>
    <t>RALO FOFO SEMIESFERICO, 150 MM, PARA LAJES/ CALHAS</t>
  </si>
  <si>
    <t>SF-01151</t>
  </si>
  <si>
    <t>SF-01152</t>
  </si>
  <si>
    <t>ADITIVO ADESIVO LIQUIDO PARA ARGAMASSAS DE REVESTIMENTOS CIMENTICIOS</t>
  </si>
  <si>
    <t>ARGAMASSA TRAÇO 1:4 (EM VOLUME DE CIMENTO E AREIA MÉDIA ÚMIDA) PARA CONTRAPISO, PREPARO MECÂNICO COM BETONEIRA 400 L. AF_08/2019</t>
  </si>
  <si>
    <t>SF-01153</t>
  </si>
  <si>
    <t>SF-01154</t>
  </si>
  <si>
    <t>GEOTEXTIL NAO TECIDO AGULHADO DE FILAMENTOS CONTINUOS 100% POLIESTER, RESITENCIA A TRACAO = 10 KN/M</t>
  </si>
  <si>
    <t>SF-01155</t>
  </si>
  <si>
    <t>POLIESTIRENO EXPANDIDO/EPS (ISOPOR), TIPO 2F, PLACA, ISOLAMENTO TERMOACUSTICO, E = 20 MM, 1000 X 500 MM</t>
  </si>
  <si>
    <t>SF-01156</t>
  </si>
  <si>
    <t>SF-01157</t>
  </si>
  <si>
    <t>SF-01158</t>
  </si>
  <si>
    <t>Pintura inibidora de raízes</t>
  </si>
  <si>
    <t>SF-01159</t>
  </si>
  <si>
    <t>Geocomposto Drenante industrializado formado por estrutura drenante de pelo menos 10 mm</t>
  </si>
  <si>
    <t>SF-01160</t>
  </si>
  <si>
    <t>PREGO DE ACO POLIDO COM CABECA 18 X 27 (2 1/2 X 10)</t>
  </si>
  <si>
    <t>REBITE DE ALUMINIO VAZADO DE REPUXO, 3,2 X 8 MM (1KG = 1025 UNIDADES)</t>
  </si>
  <si>
    <t>SOLDA EM BARRA DE ESTANHO-CHUMBO 50/50</t>
  </si>
  <si>
    <t>CALHA QUADRADA DE CHAPA DE ACO GALVANIZADA NUM 24, CORTE 100 CM</t>
  </si>
  <si>
    <t>SF-01161</t>
  </si>
  <si>
    <t>RUFO INTERNO/EXTERNO DE CHAPA DE ACO GALVANIZADA NUM 24, CORTE 25 CM</t>
  </si>
  <si>
    <t>SF-01163</t>
  </si>
  <si>
    <t>ACO CA-50, 10,0 MM, OU 12,5 MM, OU 16,0 MM, OU 20,0 MM, DOBRADO E CORTADO</t>
  </si>
  <si>
    <t>Chapa de madeira compensada resinada 1,10 x 2,20 m # 10 mm</t>
  </si>
  <si>
    <t>BETONEIRA CAPACIDADE NOMINAL DE 600 L, CAPACIDADE DE MISTURA 360 L, MOTOR ELÉTRICO TRIFÁSICO POTÊNCIA DE 4 CV, SEM CARREGADOR - CHP DIURNO. AF_11/2014</t>
  </si>
  <si>
    <t>PREGO DE ACO POLIDO COM CABECA 17 X 21 (2 X 11)</t>
  </si>
  <si>
    <t>SF-01164</t>
  </si>
  <si>
    <t>TELA DE ACO SOLDADA NERVURADA, CA-60, Q-92, (1,48 KG/M2), DIAMETRO DO FIO = 4,2 MM, LARGURA = 2,45 X 60 M DE COMPRIMENTO, ESPACAMENTO DA MALHA = 15  X 15 CM</t>
  </si>
  <si>
    <t>SF-01165</t>
  </si>
  <si>
    <t>PARAFUSO, COMUM, ASTM A307, SEXTAVADO, DIAMETRO 1/2" (12,7 MM), COMPRIMENTO 1" (25,4 MM)</t>
  </si>
  <si>
    <t>PERFIL "U" ENRIJECIDO DE ACO GALVANIZADO, DOBRADO, 150 X 60 X 20 MM, E = 3,00 MM OU 200 X 75 X 25 MM, E = 3,75 MM</t>
  </si>
  <si>
    <t>SF-01166</t>
  </si>
  <si>
    <t>Obs: considerando rendimento informado na especificação técnica do produto indicado como referência comercial (Lata de 3,6L rende até 3 demãos, com 25 m²/demão).</t>
  </si>
  <si>
    <t>SF-01167</t>
  </si>
  <si>
    <t>Tinta aluminizada de base asfáltica</t>
  </si>
  <si>
    <t>SF-01168</t>
  </si>
  <si>
    <t>POLIESTIRENO EXPANDIDO/EPS (ISOPOR), PEROLAS, PARA CONCRETO LEVE</t>
  </si>
  <si>
    <t>Obs: considerando fornecedor de areia a 20 km do Senado Federal</t>
  </si>
  <si>
    <t>SF-01169</t>
  </si>
  <si>
    <t>PRIMER PARA MANTA ASFALTICA A BASE DE ASFALTO MODIFICADO DILUIDO EM SOLVENTE, APLICACAO A FRIO</t>
  </si>
  <si>
    <t>AJUDANTE ESPECIALIZADO COM ENCARGOS COMPLEMENTARES</t>
  </si>
  <si>
    <t>Obs: Adotou-se o consumo de 350 mL/m², conforme recomendação do fabricante do produto para aplicação homogênea.</t>
  </si>
  <si>
    <t>http://vedacit.com.br/produtos/primer-eco-vedacit</t>
  </si>
  <si>
    <t>SF-01170</t>
  </si>
  <si>
    <t>MEMBRANA IMPERMEABILIZANTE A BASE DE POLIURETANO</t>
  </si>
  <si>
    <t>SF-01171</t>
  </si>
  <si>
    <t>MANTA ASFALTICA ELASTOMERICA EM POLIESTER 4 MM, TIPO III, CLASSE B, ACABAMENTO PP (NBR 9952)</t>
  </si>
  <si>
    <t>GAS DE COZINHA - GLP</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</si>
  <si>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</si>
  <si>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</si>
  <si>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</si>
  <si>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</si>
  <si>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</si>
  <si>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</si>
  <si>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</si>
  <si>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</si>
  <si>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</si>
  <si>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MEMBRANA IMPERMEABILIZANTE ACRILICA MONOCOMPONENTE</t>
  </si>
  <si>
    <t>SF-01175</t>
  </si>
  <si>
    <t>Asfalto elastomérico</t>
  </si>
  <si>
    <t>*Adotou-se o consumo de 2 kg/m², valor intermediário da recomendação do fabricante do produto.</t>
  </si>
  <si>
    <t>http://www.denverimper.com.br/files/produtos/0000001-0000500/122/e5fe48d2b8810574e94921c5fb6cea0c.pdf</t>
  </si>
  <si>
    <t>SF-01176</t>
  </si>
  <si>
    <t>MANTA ASFALTICA ELASTOMERICA EM POLIESTER 3 MM, TIPO III, CLASSE B, ACABAMENTO PP (NBR 9952)</t>
  </si>
  <si>
    <t>SF-01177</t>
  </si>
  <si>
    <t>SF-01179</t>
  </si>
  <si>
    <t>ADITIVO LIQUIDO INCORPORADOR DE AR PARA CONCRETO E ARGAMASSA, LIQUIDO E ISENTO DE CLORETOS</t>
  </si>
  <si>
    <t>Obs: considerando 1,01 L/kg, conforme especificado na ficha técnica do produto indicado como referência comercial.</t>
  </si>
  <si>
    <t>SF-01180</t>
  </si>
  <si>
    <t>Obs: considerando fornecedor de brita a 20 km do Senado Federal</t>
  </si>
  <si>
    <t>SF-01232</t>
  </si>
  <si>
    <t>Cola de contato a base d'água</t>
  </si>
  <si>
    <t>Adjuvante para argamassa base PVA</t>
  </si>
  <si>
    <t>Carpete aveludado azul royal, para uso comercial, adequado para tráfego pesado, conforme especificações técnicas.</t>
  </si>
  <si>
    <t>SF-01233</t>
  </si>
  <si>
    <t>COMPOSIÇÕES DE CUSTO UNITÁRIO AUXILIARES DE 1º NÍVEL</t>
  </si>
  <si>
    <t>TOTAL</t>
  </si>
  <si>
    <t>Servente com encargos complementares</t>
  </si>
  <si>
    <t>Encanador ou bombeiro hidráulico com encargos complementares</t>
  </si>
  <si>
    <t>Abracadeira em aco para amarracao de eletrodutos, tipo D, com 1/2" e parafuso de fixacao</t>
  </si>
  <si>
    <t>Chapa de madeira compensada resinada para forma de concreto, de *2,2 x 1,1* m, e = 17 mm</t>
  </si>
  <si>
    <t>Prego de aco polido com cabeca 17 x 21 (2 x 11)</t>
  </si>
  <si>
    <t>Serra circular de bancada com motor elétrico potência de 5HP, com coifa para disco 10" - CHP diurno. af_08/2015</t>
  </si>
  <si>
    <t>Serra circular de bancada com motor elétrico potência de 5HP, com coifa para disco 10" - CHI diurno. af_08/2015</t>
  </si>
  <si>
    <t>Cal hidratada CH-I para argamassas</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</si>
  <si>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</si>
  <si>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</si>
  <si>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Areia grossa - posto jazida/fornecedor (retirado na jazida, sem transporte)</t>
  </si>
  <si>
    <t>Argamassa industrializada para chapisco colante</t>
  </si>
  <si>
    <t>Misturador de argamassa, eixo horizontal, capacidade de mistura 300 kg, motor elétrico potência 5 cv - CHP diurno. af_06/2014</t>
  </si>
  <si>
    <t>Misturador de argamassa, eixo horizontal, capacidade de mistura 300 kg, motor elétrico potência 5 cv - CHI diurno. af_06/2014</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</si>
  <si>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</si>
  <si>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</si>
  <si>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</si>
  <si>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</si>
  <si>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</si>
  <si>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Fixação de tubos verticais de PPR diâmetros maiores que 40 mm e menores ou iguais a 75 mm com abraçadeira metálica rígida tipo D 2", fixada em perfilado em alvenaria. af_05/2015</t>
  </si>
  <si>
    <t>Abracadeira em aco para amarracao de eletrodutos, tipo D, com 2" e parafuso de fixacao</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</si>
  <si>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</si>
  <si>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</si>
  <si>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ACO CA-50, 20,0 MM OU 25,0 MM, VERGALHAO</t>
  </si>
  <si>
    <t>Vibrador de imersão, diâmetro de ponteira 45mm, motor elétrico trifásico potência de 2 CV - CHP diurno. AF_06/2015</t>
  </si>
  <si>
    <t>Vibrador de imersão, diâmetro de ponteira 45mm, motor elétrico trifásico potência de 2 CV - CHI diurno. AF_06/2015</t>
  </si>
  <si>
    <t>OPERADOR DE BETONEIRA ESTACIONÁRIA/MISTURADOR COM ENCARGOS COMPLEMENTARES</t>
  </si>
  <si>
    <t>BETONEIRA CAPACIDADE NOMINAL DE 600 L, CAPACIDADE DE MISTURA 360 L, MOTOR ELÉTRICO TRIFÁSICO POTÊNCIA DE 4 CV, SEM CARREGADOR - CHI DIURNO. AF_11/2014</t>
  </si>
  <si>
    <t>CAL HIDRATADA CH-I PARA ARGAMASSAS</t>
  </si>
  <si>
    <t>BATENTE/ PORTAL/ ADUELA/ MARCO MACICO, E= *3 CM, L= *13 CM, *60 CM A 120* CM X *210 CM,  EM CEDRINHO/ ANGELIM COMERCIAL/ EUCALIPTO/ CURUPIXA/ PEROBA/ CUMARU OU EQUIVALENTE DA REGIAO (NAO INCLUI ALIZARES)</t>
  </si>
  <si>
    <t>JG</t>
  </si>
  <si>
    <t>PREGO DE ACO POLIDO COM CABECA 12 X 12</t>
  </si>
  <si>
    <t>CORTE E DOBRA DE AÇO CA-60, DIÂMETRO DE 4,2 MM, UTILIZADO EM LAJE. AF_12/2015</t>
  </si>
  <si>
    <t>Contrapiso em argamassa traço 1:4 (cimento e areia), preparo mecânico com betoneira 400 l, aplicado em áreas secas sobre laje, aderido, espessura 3cm. AF_06/2014</t>
  </si>
  <si>
    <t>Fixação de tubos verticais de PPR diâmetros maiores que 40 mm e menores ou iguais a 75 mm com abraçadeira metálica rígida tipo D 1 1/2", fixada em perfilado em alvenaria. af_05/2015</t>
  </si>
  <si>
    <t>Abracadeira em aco para amarracao de eletrodutos, tipo D, com 1 1/2" e parafuso de fixacao</t>
  </si>
  <si>
    <t>CONCRETO MAGRO PARA LASTRO, TRAÇO 1:4,5:4,5 (CIMENTO/ AREIA MÉDIA/ BRITA 1)  - PREPARO MECÂNICO COM BETONEIRA 400 L. AF_07/2016</t>
  </si>
  <si>
    <t>ARGAMASSA TRAÇO 1:0,5:4,5 (EM VOLUME DE CIMENTO, CAL E AREIA MÉDIA ÚMIDA) PARA ASSENTAMENTO DE ALVENARIA, PREPARO MANUAL. AF_08/2019</t>
  </si>
  <si>
    <t>ACO CA-60, 4,2 MM, OU 5,0 MM, OU 6,0 MM, OU 7,0 MM, VERGALHAO</t>
  </si>
  <si>
    <t>COMPOSIÇÕES DE CUSTO UNITÁRIO AUXILIARES DE 2º NÍVEL</t>
  </si>
  <si>
    <t>PLANILHA ORÇAMENTÁRIA</t>
  </si>
  <si>
    <t>QUANTIDADE</t>
  </si>
  <si>
    <t>CUSTO DIRETO</t>
  </si>
  <si>
    <t>BDI (%)</t>
  </si>
  <si>
    <t>PREÇO UNITÁRIO COM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</si>
  <si>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</si>
  <si>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</si>
  <si>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</si>
  <si>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</si>
  <si>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</si>
  <si>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</si>
  <si>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</si>
  <si>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</si>
  <si>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</si>
  <si>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 de gesso</t>
  </si>
  <si>
    <t>Demolição de infraestrutura elétrica (eletrodutos, eletrocalhas, cabos)</t>
  </si>
  <si>
    <t>Demolição de revestimento cerâmico, granito, mármore ou granitina</t>
  </si>
  <si>
    <t>Demolição de revestimento em argamassa</t>
  </si>
  <si>
    <t>Demolição de tubulação hidrossanitária embutida com conexões e acessórios</t>
  </si>
  <si>
    <t>Demolição em concreto armado</t>
  </si>
  <si>
    <t>SF-00015</t>
  </si>
  <si>
    <t>Locação de caçambas</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</si>
  <si>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</si>
  <si>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</si>
  <si>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</si>
  <si>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</si>
  <si>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</si>
  <si>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</si>
  <si>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</si>
  <si>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</si>
  <si>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</si>
  <si>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</si>
  <si>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</si>
  <si>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</si>
  <si>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</si>
  <si>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t>
  </si>
  <si>
    <t>Remoção de laminado melamínico (LDAP), em PVC ou vinílico</t>
  </si>
  <si>
    <t>Remoção de louças</t>
  </si>
  <si>
    <t>Remoção de luminária</t>
  </si>
  <si>
    <t>Remoção de metais e acessórios</t>
  </si>
  <si>
    <t>Remoção de painéis de vidro temperado</t>
  </si>
  <si>
    <t>Remoção de película</t>
  </si>
  <si>
    <t>Remoção de persianas</t>
  </si>
  <si>
    <t>Remoção de pintura ou textura</t>
  </si>
  <si>
    <t>Remoção de placas de forro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</si>
  <si>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</si>
  <si>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</si>
  <si>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</si>
  <si>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</si>
  <si>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</si>
  <si>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</si>
  <si>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</si>
  <si>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</si>
  <si>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</si>
  <si>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</si>
  <si>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</si>
  <si>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</si>
  <si>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</si>
  <si>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</si>
  <si>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</si>
  <si>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</si>
  <si>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</si>
  <si>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</si>
  <si>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</si>
  <si>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</si>
  <si>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</si>
  <si>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</si>
  <si>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</si>
  <si>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</si>
  <si>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</si>
  <si>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</si>
  <si>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</si>
  <si>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</si>
  <si>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</si>
  <si>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</si>
  <si>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</si>
  <si>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</si>
  <si>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</si>
  <si>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</si>
  <si>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</si>
  <si>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</si>
  <si>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</si>
  <si>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</si>
  <si>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</si>
  <si>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</si>
  <si>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</si>
  <si>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</si>
  <si>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</si>
  <si>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</si>
  <si>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</si>
  <si>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</si>
  <si>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</si>
  <si>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</si>
  <si>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</si>
  <si>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</si>
  <si>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</si>
  <si>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</si>
  <si>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para linha de vida</t>
  </si>
  <si>
    <t>Tapume</t>
  </si>
  <si>
    <t>SF-00071</t>
  </si>
  <si>
    <t>Trole para linha de vida horizontal</t>
  </si>
  <si>
    <t>SF-00072</t>
  </si>
  <si>
    <t>Trole para travaqueda retrátil</t>
  </si>
  <si>
    <t>Limpeza final de obra</t>
  </si>
  <si>
    <t>Abertura/fechamento rasgo em alvenaria</t>
  </si>
  <si>
    <t>Furo em concreto de até 75mm de diâmetro</t>
  </si>
  <si>
    <t>Furo em concreto para diâmetros maiores que 75mm</t>
  </si>
  <si>
    <t>Concreto virado em betoneira, fck = 15 MPa</t>
  </si>
  <si>
    <t>Concreto virado em betoneira, fck = 25MPa</t>
  </si>
  <si>
    <t>Escoramento metálico</t>
  </si>
  <si>
    <t>Estrutura metálica em aço</t>
  </si>
  <si>
    <t>Forma para estruturas de concreto</t>
  </si>
  <si>
    <t>Verga/contraverga/cinta em bloco de concreto canaleta 11,5 x 19 x 39 cm</t>
  </si>
  <si>
    <t>Impermeabilização de superfície com revestimento bicomponente semi flexível</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</si>
  <si>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</si>
  <si>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</si>
  <si>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</si>
  <si>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</si>
  <si>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</si>
  <si>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</si>
  <si>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</si>
  <si>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</si>
  <si>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Reboco com argamassa industrializada e=2,0 cm</t>
  </si>
  <si>
    <t>Regularização com argamassa industrializada e=0,5 cm</t>
  </si>
  <si>
    <t>Tratamento de trincas superficiais</t>
  </si>
  <si>
    <t>Aplicação de fundo selador base água</t>
  </si>
  <si>
    <t>Fundo anticorrosivo e de aderência (base água)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</si>
  <si>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</si>
  <si>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</si>
  <si>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</si>
  <si>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</si>
  <si>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</si>
  <si>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</si>
  <si>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</si>
  <si>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</si>
  <si>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(e=2cm)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</si>
  <si>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</si>
  <si>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</si>
  <si>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</si>
  <si>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</si>
  <si>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</si>
  <si>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</si>
  <si>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</si>
  <si>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</si>
  <si>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</si>
  <si>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</si>
  <si>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</si>
  <si>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</si>
  <si>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</si>
  <si>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</si>
  <si>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</si>
  <si>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</si>
  <si>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20mm para rodabancada</t>
  </si>
  <si>
    <t>Granito Cinza Andorinha 20mm para bancadas</t>
  </si>
  <si>
    <t>Granito Cinza Andorinha 20mm para divisória</t>
  </si>
  <si>
    <t>Granito Preto São Gabriel 20mm para rodabancada</t>
  </si>
  <si>
    <t>Granito Preto São Gabriel 20mm para bancadas</t>
  </si>
  <si>
    <t>Instalação de bancada de granito ou mármore reaproveitada</t>
  </si>
  <si>
    <t>Instalação de rodapé reaproveitado, de mármore ou granito</t>
  </si>
  <si>
    <t>Instalação de soleira ou peitoril, de mármore ou granito, reaproveitados</t>
  </si>
  <si>
    <t>Mármore Branco Especial 20mm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</si>
  <si>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</si>
  <si>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</si>
  <si>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</si>
  <si>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</si>
  <si>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</si>
  <si>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</si>
  <si>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</si>
  <si>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</si>
  <si>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</si>
  <si>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</si>
  <si>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</si>
  <si>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</si>
  <si>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</si>
  <si>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</si>
  <si>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6000mm</t>
  </si>
  <si>
    <t>Forro de PVC em réguas de 100 x 6000mm,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</si>
  <si>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</si>
  <si>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</si>
  <si>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</si>
  <si>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</si>
  <si>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</si>
  <si>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</si>
  <si>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</si>
  <si>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</si>
  <si>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</si>
  <si>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</si>
  <si>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Cordão de massa de vidraceiro</t>
  </si>
  <si>
    <t>Espelho cristal, e=5 mm</t>
  </si>
  <si>
    <t>Instalação de vidro reaproveitado</t>
  </si>
  <si>
    <t>Substituição da calafetação com selante</t>
  </si>
  <si>
    <t>Vidro liso comum transparente 4mm</t>
  </si>
  <si>
    <t>Vidro liso comum transparente 6mm</t>
  </si>
  <si>
    <t>Instalação de painéis de vidro temperado reaproveitados</t>
  </si>
  <si>
    <t>Mola hidráulica de piso</t>
  </si>
  <si>
    <t>Instalação de persianas reaproveitadas</t>
  </si>
  <si>
    <t>SF-00162</t>
  </si>
  <si>
    <t>Persiana vertical em alumínio 90 mm, cor verde claro</t>
  </si>
  <si>
    <t>SF-00163</t>
  </si>
  <si>
    <t>Persiana vertical em tecido Juta Resinado sem blecaute de 90mm, cor bege</t>
  </si>
  <si>
    <t>SF-00164</t>
  </si>
  <si>
    <t>Persiana vertical em tecido sintético sem blecaute de 90mm, cores verde escuro ou branca</t>
  </si>
  <si>
    <t>SF-00165</t>
  </si>
  <si>
    <t>Película jateada</t>
  </si>
  <si>
    <t>Tubo de ligação para bacia sanitária</t>
  </si>
  <si>
    <t>Tubo PVC esgoto ou aguas pluviais predial DN 100mm</t>
  </si>
  <si>
    <t>Tubo PVC esgoto ou aguas pluviais predial DN 40mm</t>
  </si>
  <si>
    <t>Tubo PVC esgoto ou aguas pluviais predial DN 50mm</t>
  </si>
  <si>
    <t>Tubo PVC esgoto ou aguas pluviais predial DN 75mm</t>
  </si>
  <si>
    <t>Tubo PVC soldável agua fria DN 25mm</t>
  </si>
  <si>
    <t>Tubo PVC soldável agua fria DN 32mm</t>
  </si>
  <si>
    <t>Tubo PVC soldável agua fria DN 40mm</t>
  </si>
  <si>
    <t>Tubo PVC soldável agua fria DN 50mm</t>
  </si>
  <si>
    <t>Base registro gaveta 3/4"</t>
  </si>
  <si>
    <t>Caixa sifonada de PVC DN 150mm</t>
  </si>
  <si>
    <t>Caixa sifonada de PVC DN 250mm</t>
  </si>
  <si>
    <t>Grelha quadrada para ralo 10x10cm</t>
  </si>
  <si>
    <t>Grelha quadrada para ralo 15x15cm</t>
  </si>
  <si>
    <t>Ralo seco PVC DN 100x40mm</t>
  </si>
  <si>
    <t>Assento para bacia convencional – Linha Administrativa</t>
  </si>
  <si>
    <t>Bacia convencional – Linha Administrativa</t>
  </si>
  <si>
    <t>Bacia convencional com saída horizontal</t>
  </si>
  <si>
    <t>Cuba oval de embutir</t>
  </si>
  <si>
    <t>Cuba retangular em aço inox – Linha Administrativa</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</si>
  <si>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</si>
  <si>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</si>
  <si>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</si>
  <si>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</si>
  <si>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</si>
  <si>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</si>
  <si>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 – Linha Administrativa</t>
  </si>
  <si>
    <t>Acabamento para registro GD – Linha Administrativa</t>
  </si>
  <si>
    <t>Acabamento para registro PQ – Linha Administrativa</t>
  </si>
  <si>
    <t>Ducha higiênica – Linha Administrativa</t>
  </si>
  <si>
    <t>Instalação de metais e acessórios reaproveitados</t>
  </si>
  <si>
    <t>Ligação flexível 1/2” x 40 cm – Linha Administrativa</t>
  </si>
  <si>
    <t>Sifão articulado para cozinha – Linha Administrativa</t>
  </si>
  <si>
    <t>Sifão para lavatório 1 1/2"</t>
  </si>
  <si>
    <t>Sifão para tanque – Linha Administrativa</t>
  </si>
  <si>
    <t>Torneira de mesa para cozinha bica móvel – Linha Administrativa</t>
  </si>
  <si>
    <t>Torneira de mesa para cozinha bica móvel com arejador – Linha Administrativa</t>
  </si>
  <si>
    <t>Torneira de mesa para lavatório – Linha Acessibilidade</t>
  </si>
  <si>
    <t>Torneira de mesa para lavatório bica alta – Linha Administrativa</t>
  </si>
  <si>
    <t>Torneira de mesa para lavatório bica baixa – Linha Administrativa</t>
  </si>
  <si>
    <t>Torneira de mesa para lavatório com fechamento automático – Linha Administrativa</t>
  </si>
  <si>
    <t>Torneira de parede para cozinha bica móvel – Linha Administrativa</t>
  </si>
  <si>
    <t>Torneira de parede para tanque – Linha Administrativa</t>
  </si>
  <si>
    <t>Válvula de descarga 1 1/2" – Linha Acessibilidade</t>
  </si>
  <si>
    <t>Válvula de descarga 1 1/2" – Linha Administrativa</t>
  </si>
  <si>
    <t>Válvula de descarga 1 1/4" – Linha Acessibilidade</t>
  </si>
  <si>
    <t>Válvula de descarga 1 1/4" – Linha Administrativa</t>
  </si>
  <si>
    <t>Válvula de escoamento para lavatório – Linha Administrativa</t>
  </si>
  <si>
    <t>Válvula de escoamento para tanque – Linha Administrativa</t>
  </si>
  <si>
    <t>Válvula descarga para mictório – Linha Administrativa</t>
  </si>
  <si>
    <t>Alarme de emergência para sanitários PNE</t>
  </si>
  <si>
    <t>Barra de apoio 40cm – Linha Acessibilidade</t>
  </si>
  <si>
    <t>Barra de apoio 70cm – Linha Acessibilidade</t>
  </si>
  <si>
    <t>Barra de apoio 80cm – Linha Acessibilidade</t>
  </si>
  <si>
    <t>Barra de apoio lateral fixa 30cm – Linha Acessibilidade</t>
  </si>
  <si>
    <t>Lavatório suspenso – Linha Acessibilidade</t>
  </si>
  <si>
    <t>Lavatório suspenso com Coluna – Linha Acessibilidade</t>
  </si>
  <si>
    <t>Cabide – Linha Administrativa</t>
  </si>
  <si>
    <t>Papeleira – Linha Administrativa</t>
  </si>
  <si>
    <t>Porta toalha argola – Linha Administrativa</t>
  </si>
  <si>
    <t>Porta toalha barra – Linha Administrativa</t>
  </si>
  <si>
    <t>Caixa 4x2 de embutir para alvenaria</t>
  </si>
  <si>
    <t>Caixa 4x4 de embutir para alvenaria</t>
  </si>
  <si>
    <t>Caixa de passagem em alumínio 100x100x50mm</t>
  </si>
  <si>
    <t>Caixa de passagem em alumínio 200x200x100mm</t>
  </si>
  <si>
    <t>Caixa de passagem em PVC 150x150x75mm</t>
  </si>
  <si>
    <t>Caixa para piso elevado</t>
  </si>
  <si>
    <t>Canaleta em alumínio aparente 73mmx25mm</t>
  </si>
  <si>
    <t>Condulete de alumínio de 1’’</t>
  </si>
  <si>
    <t>Eletrocalha 100x50 mm</t>
  </si>
  <si>
    <t>Eletrocalha 200x100 mm</t>
  </si>
  <si>
    <t>Eletrocalha 200x50 mm</t>
  </si>
  <si>
    <t>Eletrocalha 300x100 mm</t>
  </si>
  <si>
    <t>Eletrocalha 300x50 mm</t>
  </si>
  <si>
    <t>Eletrocalha 400x50 mm</t>
  </si>
  <si>
    <t>Eletrocalha 50x50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</si>
  <si>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</si>
  <si>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</si>
  <si>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</si>
  <si>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</si>
  <si>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</si>
  <si>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32mm)</t>
  </si>
  <si>
    <t>Eletroduto de PVC Corrugado Reforçado 3/4'' (DE 25mm)</t>
  </si>
  <si>
    <t>Eletroduto flexível metálico com capa de PVC 1’’</t>
  </si>
  <si>
    <t>Eletroduto flexível metálico com capa de PVC 3/4"</t>
  </si>
  <si>
    <t>Perfilado 38x38mm</t>
  </si>
  <si>
    <t>Espelho 4x2</t>
  </si>
  <si>
    <t>Espelho 4x4</t>
  </si>
  <si>
    <t>Interruptor para condulete</t>
  </si>
  <si>
    <t>Módulo interruptor paralelo</t>
  </si>
  <si>
    <t>Módulo interruptor simples</t>
  </si>
  <si>
    <t>Módulo tomada 10 A</t>
  </si>
  <si>
    <t>Módulo tomada 20 A</t>
  </si>
  <si>
    <t>Tampa cega metálica para caixas de piso 4x2</t>
  </si>
  <si>
    <t>Tampa cega metálica para caixas de piso 4x4</t>
  </si>
  <si>
    <t>Tampa cega para condulete</t>
  </si>
  <si>
    <t>Tampa RJ45 dupla para condulete</t>
  </si>
  <si>
    <t>Tomada para condulete</t>
  </si>
  <si>
    <t>Tomada para perfilado e eletrocalha</t>
  </si>
  <si>
    <t>Bloco autônomo de emergência</t>
  </si>
  <si>
    <t>Instalação de luminária reaproveitada</t>
  </si>
  <si>
    <t>Luminária 2x14 W de embutir</t>
  </si>
  <si>
    <t>Luminária 2x14 W de sobrepor</t>
  </si>
  <si>
    <t>Luminária 2x28 W de embutir</t>
  </si>
  <si>
    <t>Luminária 2x28 W de sobrepor</t>
  </si>
  <si>
    <t>Condutor 10mm²</t>
  </si>
  <si>
    <t>Condutor 16mm²</t>
  </si>
  <si>
    <t>Condutor 2,5 mm²</t>
  </si>
  <si>
    <t>Condutor 3x2,5 mm²</t>
  </si>
  <si>
    <t>Condutor 4 mm²</t>
  </si>
  <si>
    <t>Condutor 4x2,5 mm²</t>
  </si>
  <si>
    <t>Condutor 6 mm²</t>
  </si>
  <si>
    <t>Quadro elétrico TTA</t>
  </si>
  <si>
    <t>SF-00286</t>
  </si>
  <si>
    <t>Ar-condicionado do tipo split piso-teto inverter 54.000BTU/h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</si>
  <si>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</si>
  <si>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</si>
  <si>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</si>
  <si>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</si>
  <si>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</si>
  <si>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</si>
  <si>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</si>
  <si>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</si>
  <si>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</si>
  <si>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</si>
  <si>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</si>
  <si>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</si>
  <si>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Instalação de fancolete reaproveitado</t>
  </si>
  <si>
    <t>Instalação de split reaproveitado</t>
  </si>
  <si>
    <t>Exaustor axial 340 m3/h</t>
  </si>
  <si>
    <t>Exaustor axial 865 m3/h</t>
  </si>
  <si>
    <t>Duto chapa galvanizada # 22</t>
  </si>
  <si>
    <t>Duto flexível 6”</t>
  </si>
  <si>
    <t>Duto flexível 8”</t>
  </si>
  <si>
    <t>Difusor de ar quadrado 360x360 mm</t>
  </si>
  <si>
    <t>Difusor de ar quadrado com caixa plenum AK6 360x360 mm</t>
  </si>
  <si>
    <t>Difusor de ar quadrado para insuflamento em duas direções perpendiculares 376x376 mm</t>
  </si>
  <si>
    <t>Difusor de ar retangular para insuflamento em duas direções 371x208 mm</t>
  </si>
  <si>
    <t>Difusor de ar retangular para insuflamento em três direções 264x432 mm</t>
  </si>
  <si>
    <t>Difusor de ar retangular para insuflamento em três direções 320x562 mm</t>
  </si>
  <si>
    <t>Difusor de ar retangular para insuflamento em três direções 371x208 mm</t>
  </si>
  <si>
    <t>Difusor de ar retangular para insuflamento em uma direção 371x208 mm</t>
  </si>
  <si>
    <t>Grelha para retorno retangular 425x225 mm</t>
  </si>
  <si>
    <t>Grelha para retorno retangular 525x325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</si>
  <si>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</si>
  <si>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</si>
  <si>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</si>
  <si>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</si>
  <si>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</si>
  <si>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</si>
  <si>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</si>
  <si>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</si>
  <si>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</si>
  <si>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</si>
  <si>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</si>
  <si>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</si>
  <si>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</si>
  <si>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</si>
  <si>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</si>
  <si>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</si>
  <si>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</si>
  <si>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</si>
  <si>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</si>
  <si>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</si>
  <si>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</si>
  <si>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</si>
  <si>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</si>
  <si>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</si>
  <si>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</si>
  <si>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</si>
  <si>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ferro de 1 1/4"</t>
  </si>
  <si>
    <t>Isolamento elastomérico para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</si>
  <si>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</si>
  <si>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</si>
  <si>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</si>
  <si>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</si>
  <si>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</si>
  <si>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</si>
  <si>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</si>
  <si>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</si>
  <si>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</si>
  <si>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</si>
  <si>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</si>
  <si>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</si>
  <si>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</si>
  <si>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</si>
  <si>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</si>
  <si>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</si>
  <si>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porta e gavetas</t>
  </si>
  <si>
    <t>Instalação de armários reaproveitados</t>
  </si>
  <si>
    <t>Mesa/tampo de MDF, fixada em parede com mão-francesa</t>
  </si>
  <si>
    <t>Painel para TV de 120 x 180 cm</t>
  </si>
  <si>
    <t>Painel para TV de 160 x 160 cm</t>
  </si>
  <si>
    <t>Painel para TV de 90 x 120 cm</t>
  </si>
  <si>
    <t>Chapa de proteção para porta – Linha Acessibilidade</t>
  </si>
  <si>
    <t>Instalação de batentes de madeira reaproveitados</t>
  </si>
  <si>
    <t>Instalação de folhas de portas e dobradiças reaproveitadas</t>
  </si>
  <si>
    <t>Dobradiça para porta</t>
  </si>
  <si>
    <t>Fechadura para banheiro maçaneta em barra</t>
  </si>
  <si>
    <t>Fechadura para porta externa maçaneta em barra</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</si>
  <si>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</si>
  <si>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</si>
  <si>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</si>
  <si>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</si>
  <si>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</si>
  <si>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</si>
  <si>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</si>
  <si>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</si>
  <si>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</si>
  <si>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525x325 mm</t>
  </si>
  <si>
    <t>SF-00381</t>
  </si>
  <si>
    <t>Anilina</t>
  </si>
  <si>
    <t>SF-00382</t>
  </si>
  <si>
    <t>Seladora incolor</t>
  </si>
  <si>
    <t>Litro</t>
  </si>
  <si>
    <t>SF-00383</t>
  </si>
  <si>
    <t>Veladura</t>
  </si>
  <si>
    <t>900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</si>
  <si>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</si>
  <si>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</si>
  <si>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</si>
  <si>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</si>
  <si>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</si>
  <si>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</si>
  <si>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</si>
  <si>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</si>
  <si>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</si>
  <si>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</si>
  <si>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</si>
  <si>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</si>
  <si>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</si>
  <si>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</si>
  <si>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</si>
  <si>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</si>
  <si>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</si>
  <si>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</si>
  <si>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</si>
  <si>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</si>
  <si>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</si>
  <si>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</si>
  <si>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- 10mm x 15mm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</si>
  <si>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</si>
  <si>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</si>
  <si>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</si>
  <si>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</si>
  <si>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</si>
  <si>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</si>
  <si>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</si>
  <si>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</si>
  <si>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</si>
  <si>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</si>
  <si>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</si>
  <si>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</si>
  <si>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</si>
  <si>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</si>
  <si>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</si>
  <si>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</si>
  <si>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</si>
  <si>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</si>
  <si>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</si>
  <si>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</si>
  <si>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SF-00405</t>
  </si>
  <si>
    <t>Dobradiça para porta com anel</t>
  </si>
  <si>
    <t>SF-00406</t>
  </si>
  <si>
    <t>Dobradiça curva para porta de armário (com parafuso de fixação)</t>
  </si>
  <si>
    <t>SF-00407</t>
  </si>
  <si>
    <t>Fechadura para porta externa maçaneta em barra (fornecimento)</t>
  </si>
  <si>
    <t>Fechadura para Porta Externa com Espelho - Millenio</t>
  </si>
  <si>
    <t>SF-00409</t>
  </si>
  <si>
    <t>Fechadura para Porta de Banheiro com Espelho - Millenio</t>
  </si>
  <si>
    <t>SF-00410</t>
  </si>
  <si>
    <t>Fechadura para porta de divisória - Soprano</t>
  </si>
  <si>
    <t>SF-00411</t>
  </si>
  <si>
    <t>Tarjeta Livre / Ocupado para portas de banheiro</t>
  </si>
  <si>
    <t>SF-00412</t>
  </si>
  <si>
    <t>Fechadura tubular cilíndrica para porta de divisória</t>
  </si>
  <si>
    <t>SF-00413</t>
  </si>
  <si>
    <t>Fechadura Cilíndrica para Armário</t>
  </si>
  <si>
    <t>SF-00414</t>
  </si>
  <si>
    <t>Fechadura de embutir para armário e gaveta</t>
  </si>
  <si>
    <t>SF-00415</t>
  </si>
  <si>
    <t>Fechadura de embutir para móveis – Fechamento Superior - Referência 861</t>
  </si>
  <si>
    <t>SF-00416</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</si>
  <si>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</si>
  <si>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</si>
  <si>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</si>
  <si>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</si>
  <si>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</si>
  <si>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</si>
  <si>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</si>
  <si>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</si>
  <si>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</si>
  <si>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</si>
  <si>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</si>
  <si>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</si>
  <si>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</si>
  <si>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</si>
  <si>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</si>
  <si>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</si>
  <si>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</si>
  <si>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</si>
  <si>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</si>
  <si>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</si>
  <si>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</si>
  <si>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</si>
  <si>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25mm de diâmetro</t>
  </si>
  <si>
    <t>SF-00428</t>
  </si>
  <si>
    <t>Puxador em botão convexo de 25mm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</si>
  <si>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</si>
  <si>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</si>
  <si>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</si>
  <si>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</si>
  <si>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</si>
  <si>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</si>
  <si>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</si>
  <si>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</si>
  <si>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</si>
  <si>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</si>
  <si>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</si>
  <si>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</si>
  <si>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</si>
  <si>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</si>
  <si>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</si>
  <si>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</si>
  <si>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</si>
  <si>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</si>
  <si>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</si>
  <si>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</si>
  <si>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</si>
  <si>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</si>
  <si>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</si>
  <si>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</si>
  <si>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</si>
  <si>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</si>
  <si>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</si>
  <si>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</si>
  <si>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</si>
  <si>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SF-00443</t>
  </si>
  <si>
    <t>Puxador alça 102mm</t>
  </si>
  <si>
    <t>SF-00444</t>
  </si>
  <si>
    <t>Puxador tipo “C” em arco - 128mm</t>
  </si>
  <si>
    <t>SF-00445</t>
  </si>
  <si>
    <t>Puxador tipo “C” em arco - 96mm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</si>
  <si>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</si>
  <si>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</si>
  <si>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</si>
  <si>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</si>
  <si>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</si>
  <si>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</si>
  <si>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</si>
  <si>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</si>
  <si>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</si>
  <si>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</si>
  <si>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</si>
  <si>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</si>
  <si>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</si>
  <si>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</si>
  <si>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</si>
  <si>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</si>
  <si>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</si>
  <si>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</si>
  <si>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</si>
  <si>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</si>
  <si>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</si>
  <si>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</si>
  <si>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</si>
  <si>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</si>
  <si>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</si>
  <si>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</si>
  <si>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</si>
  <si>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</si>
  <si>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</si>
  <si>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</si>
  <si>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</si>
  <si>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25mmx25mm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</si>
  <si>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</si>
  <si>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</si>
  <si>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</si>
  <si>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</si>
  <si>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</si>
  <si>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</si>
  <si>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</si>
  <si>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</si>
  <si>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</si>
  <si>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</si>
  <si>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</si>
  <si>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</si>
  <si>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SF-00468</t>
  </si>
  <si>
    <t>Adesivo de Contato à Base d’água</t>
  </si>
  <si>
    <t>SF-00469</t>
  </si>
  <si>
    <t>Adesivo de Contato de Alto Desempenho sem Toluol</t>
  </si>
  <si>
    <t>SF-00470</t>
  </si>
  <si>
    <t>Laminado fenólico melamínico texturizado - Azul Noturno</t>
  </si>
  <si>
    <t>SF-00471</t>
  </si>
  <si>
    <t>Laminado fenólico melamínico texturizado - Branco</t>
  </si>
  <si>
    <t>SF-00472</t>
  </si>
  <si>
    <t>Laminado fenólico melamínico texturizado - Ovo</t>
  </si>
  <si>
    <t>SF-00473</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</si>
  <si>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</si>
  <si>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</si>
  <si>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</si>
  <si>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</si>
  <si>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</si>
  <si>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</si>
  <si>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</si>
  <si>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</si>
  <si>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</si>
  <si>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</si>
  <si>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</si>
  <si>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</si>
  <si>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</si>
  <si>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</si>
  <si>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</si>
  <si>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SF-00482</t>
  </si>
  <si>
    <t>Compensado Laminado de cerejeira em duas faces - 10 mm</t>
  </si>
  <si>
    <t>SF-00483</t>
  </si>
  <si>
    <t>Compensado Laminado de cerejeira em duas faces - 15 mm</t>
  </si>
  <si>
    <t>SF-00484</t>
  </si>
  <si>
    <t>Compensado Laminado de cerejeira em duas faces - 20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</si>
  <si>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</si>
  <si>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</si>
  <si>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</si>
  <si>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</si>
  <si>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</si>
  <si>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</si>
  <si>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</si>
  <si>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</si>
  <si>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SF-00489</t>
  </si>
  <si>
    <t>Tábua de Madeira bruta aparelhada - Pinus</t>
  </si>
  <si>
    <t>SF-00490</t>
  </si>
  <si>
    <t>Sarrafo De Madeira</t>
  </si>
  <si>
    <t>SF-00491</t>
  </si>
  <si>
    <t>Caibro De Madeira</t>
  </si>
  <si>
    <t>SF-00492</t>
  </si>
  <si>
    <t>Pontalete De Madeira</t>
  </si>
  <si>
    <t>SF-00493</t>
  </si>
  <si>
    <t>Ripa De Madeira</t>
  </si>
  <si>
    <t>SF-00494</t>
  </si>
  <si>
    <t>Painel de MDF Laminado – Branco - 06mm</t>
  </si>
  <si>
    <t>SF-00495</t>
  </si>
  <si>
    <t>Painel de MDF Laminado – Ovo - 06mm</t>
  </si>
  <si>
    <t>SF-00496</t>
  </si>
  <si>
    <t>Painel de MDF Laminado - Branco - 15mm</t>
  </si>
  <si>
    <t>SF-00497</t>
  </si>
  <si>
    <t>Painel de MDF Laminado – Ovo - 15mm</t>
  </si>
  <si>
    <t>SF-00498</t>
  </si>
  <si>
    <t>Painel de MDF Laminado – Branco - 18mm</t>
  </si>
  <si>
    <t>SF-00499</t>
  </si>
  <si>
    <t>Painel de MDF Laminado – Ovo - 18mm</t>
  </si>
  <si>
    <t>SF-00500</t>
  </si>
  <si>
    <t>Cantoneira laminada em aço abas iguais 1" x 3/16"</t>
  </si>
  <si>
    <t>SF-00501</t>
  </si>
  <si>
    <t>Cantoneira laminada em aço abas iguais 1"1/4 x 3/16"</t>
  </si>
  <si>
    <t>SF-00502</t>
  </si>
  <si>
    <t>Cantoneira laminada em aço abas iguais 2” x 1/8”</t>
  </si>
  <si>
    <t>SF-00503</t>
  </si>
  <si>
    <t>Cantoneira laminada em aço abas Iguais 2” x 3/16”</t>
  </si>
  <si>
    <t>SF-00504</t>
  </si>
  <si>
    <t>Cantoneira laminada em aço abas Iguais 5/8” x 1/8”</t>
  </si>
  <si>
    <t>SF-00505</t>
  </si>
  <si>
    <t>Chapa aço galvanizado # 16 (kg)</t>
  </si>
  <si>
    <t>SF-00506</t>
  </si>
  <si>
    <t>Ferro chato 1"x1/8"</t>
  </si>
  <si>
    <t>SF-00507</t>
  </si>
  <si>
    <t>Ferro chato 1"x3/16"</t>
  </si>
  <si>
    <t>SF-00508</t>
  </si>
  <si>
    <t>Ferro chato  3/4"x1/4" ou 7/8"x1/4" ou 1” x 1/4”</t>
  </si>
  <si>
    <t>SF-00509</t>
  </si>
  <si>
    <t>Ferro chato 3/4"x1/8"</t>
  </si>
  <si>
    <t>SF-00510</t>
  </si>
  <si>
    <t>Ferro chato 3/4"x3/16"</t>
  </si>
  <si>
    <t>SF-00511</t>
  </si>
  <si>
    <t>Ferro chato 5/8"x1/8"</t>
  </si>
  <si>
    <t>SF-00512</t>
  </si>
  <si>
    <t>Ferro chato 5/8"x3/16"</t>
  </si>
  <si>
    <t>SF-00513</t>
  </si>
  <si>
    <t>Ferro chato 7/8"x1/8"</t>
  </si>
  <si>
    <t>SF-00514</t>
  </si>
  <si>
    <t>Ferro chato 7/8"x3/16"</t>
  </si>
  <si>
    <t>SF-00515</t>
  </si>
  <si>
    <t>Perfil trilho Stanley 60mm x 55mm, # 16</t>
  </si>
  <si>
    <t>SF-00516</t>
  </si>
  <si>
    <t>Perfil U Enrijecido 100mm x 50mm x 17mm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</si>
  <si>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</si>
  <si>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</si>
  <si>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</si>
  <si>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</si>
  <si>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</si>
  <si>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</si>
  <si>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</si>
  <si>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</si>
  <si>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</si>
  <si>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</si>
  <si>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</si>
  <si>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</si>
  <si>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</si>
  <si>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</si>
  <si>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</si>
  <si>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30 x 30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</si>
  <si>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</si>
  <si>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</si>
  <si>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</si>
  <si>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</si>
  <si>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</si>
  <si>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</si>
  <si>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</si>
  <si>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</si>
  <si>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</si>
  <si>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</si>
  <si>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</si>
  <si>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</si>
  <si>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</si>
  <si>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</si>
  <si>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</si>
  <si>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</si>
  <si>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</si>
  <si>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Dobrado – 1/8” x 7/8” x 6000 mm a  1/8’’ x 1’’ x 6000 mm</t>
  </si>
  <si>
    <t>SF-00534</t>
  </si>
  <si>
    <t>Perfil Marco Vincado – 140 x 32 mm</t>
  </si>
  <si>
    <t>SF-00535</t>
  </si>
  <si>
    <t>Perfil Acabamento - 140 x 15 mm</t>
  </si>
  <si>
    <t>SF-00536</t>
  </si>
  <si>
    <t>Perfil Trilho Superior Tipo “G” - 45 x 30 mm</t>
  </si>
  <si>
    <t>SF-00537</t>
  </si>
  <si>
    <t>Perfil Tampa Trilho “G”</t>
  </si>
  <si>
    <t>SF-00538</t>
  </si>
  <si>
    <t>Chapa Perfurada de Aço Carbono - 3000 x 1200 x 3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</si>
  <si>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</si>
  <si>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</si>
  <si>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</si>
  <si>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</si>
  <si>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</si>
  <si>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</si>
  <si>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</si>
  <si>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</si>
  <si>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</si>
  <si>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</si>
  <si>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</si>
  <si>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</si>
  <si>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</si>
  <si>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</si>
  <si>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</si>
  <si>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</si>
  <si>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</si>
  <si>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</si>
  <si>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</si>
  <si>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</si>
  <si>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</si>
  <si>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</si>
  <si>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</si>
  <si>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</si>
  <si>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</si>
  <si>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- 16x16 a 20x20 - chapa 18</t>
  </si>
  <si>
    <t>SF-00552</t>
  </si>
  <si>
    <t>Tubo quadrado em metalon - 25x25 a 40x40 - chapa 18</t>
  </si>
  <si>
    <t>SF-00553</t>
  </si>
  <si>
    <t>Tubo quadrado em metalon - 50x50 - chapa 18</t>
  </si>
  <si>
    <t>SF-00554</t>
  </si>
  <si>
    <t>Tubo retangular em metalon - 30x20 - chapa 18</t>
  </si>
  <si>
    <t>SF-00555</t>
  </si>
  <si>
    <t>Tubo retangular em metalon - 40x20 a 50x30 - chapa 18</t>
  </si>
  <si>
    <t>SF-00556</t>
  </si>
  <si>
    <t>Concertina simples em aço galvanizado, lâminas de 22 x 15mm, diâmetro 45 cm (rolo com 40 espiras)</t>
  </si>
  <si>
    <t>Rolo</t>
  </si>
  <si>
    <t>SF-00557</t>
  </si>
  <si>
    <t>Tela de estuque</t>
  </si>
  <si>
    <t>SF-00558</t>
  </si>
  <si>
    <t>Tela tipo galinheiro (hexagonal) galvanizada 2" BWG 22</t>
  </si>
  <si>
    <t>SF-00559</t>
  </si>
  <si>
    <t>Arame galvanizado, bitola 16 BWG (1,65mm)</t>
  </si>
  <si>
    <t>SF-00560</t>
  </si>
  <si>
    <t>Arame galvanizado nº 20</t>
  </si>
  <si>
    <t>SF-00561</t>
  </si>
  <si>
    <t>Tela em aço galvanizado, tipo alambrado, malha 2, fio 12</t>
  </si>
  <si>
    <t>SF-00562</t>
  </si>
  <si>
    <t>Massa Adesiva Plástica</t>
  </si>
  <si>
    <t>Argamassa Para Contrapiso</t>
  </si>
  <si>
    <t>40 kg</t>
  </si>
  <si>
    <t>Argamassa Múltiplo Uso</t>
  </si>
  <si>
    <t>Cimento Portland CP II E 32</t>
  </si>
  <si>
    <t>50 kg</t>
  </si>
  <si>
    <t>Argamassa Colante tipo AC III</t>
  </si>
  <si>
    <t>20 kg</t>
  </si>
  <si>
    <t>Gesso Para Uso Geral</t>
  </si>
  <si>
    <t>Areia Média</t>
  </si>
  <si>
    <t>Brita Nº 0</t>
  </si>
  <si>
    <t>Brita Nº 1</t>
  </si>
  <si>
    <t>Bloco Cerâmico De 08 Furos</t>
  </si>
  <si>
    <t>Tijolo Maciço</t>
  </si>
  <si>
    <t>Bloco De Concreto Com 02 Furos</t>
  </si>
  <si>
    <t>Bloco De Concreto Tipo Canaleta</t>
  </si>
  <si>
    <t>Vergalhão Ca-60 Diâmetro 5,0 Mm</t>
  </si>
  <si>
    <t>Vergalhão Ca-50 Diâmetro 6,3 Mm</t>
  </si>
  <si>
    <t>Vergalhão Ca-50 Diâmetro 8,0 Mm</t>
  </si>
  <si>
    <t>Vergalhão Ca-50 Diâmetro 10,0 Mm</t>
  </si>
  <si>
    <t>Vergalhão Ca-50 Diâmetro 12,5 Mm</t>
  </si>
  <si>
    <t>Arame Recozido Nº 18</t>
  </si>
  <si>
    <t>Adesivo Estrutural Epóxi Bicomponente</t>
  </si>
  <si>
    <t>SF-00582</t>
  </si>
  <si>
    <t>Adesivo Selante Poliuretano</t>
  </si>
  <si>
    <t>SF-00583</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</si>
  <si>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</si>
  <si>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</si>
  <si>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</si>
  <si>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</si>
  <si>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</si>
  <si>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</si>
  <si>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</si>
  <si>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</si>
  <si>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</si>
  <si>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</si>
  <si>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</si>
  <si>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</si>
  <si>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</si>
  <si>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</si>
  <si>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</si>
  <si>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</si>
  <si>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SF-00592</t>
  </si>
  <si>
    <t>Lona Plástica</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</si>
  <si>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</si>
  <si>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</si>
  <si>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</si>
  <si>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</si>
  <si>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</si>
  <si>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</si>
  <si>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</si>
  <si>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</si>
  <si>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</si>
  <si>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</si>
  <si>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</si>
  <si>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</si>
  <si>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</si>
  <si>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</si>
  <si>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</si>
  <si>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</si>
  <si>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</si>
  <si>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</si>
  <si>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</si>
  <si>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</si>
  <si>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</si>
  <si>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</si>
  <si>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</si>
  <si>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</si>
  <si>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</si>
  <si>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</si>
  <si>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</si>
  <si>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</si>
  <si>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</si>
  <si>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</si>
  <si>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</si>
  <si>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</si>
  <si>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</si>
  <si>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</si>
  <si>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</si>
  <si>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</si>
  <si>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</si>
  <si>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</si>
  <si>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</si>
  <si>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</si>
  <si>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</si>
  <si>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</si>
  <si>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</si>
  <si>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</si>
  <si>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</si>
  <si>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</si>
  <si>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</si>
  <si>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t>
  </si>
  <si>
    <t>SF-00617</t>
  </si>
  <si>
    <t>Parafuso Philips Cabeça Chata - 3.0 x 22</t>
  </si>
  <si>
    <t>SF-00618</t>
  </si>
  <si>
    <t>Parafuso Philips Cabeça Chata - 3.0 x 25</t>
  </si>
  <si>
    <t>SF-00619</t>
  </si>
  <si>
    <t>Parafuso Philips Cabeça Chata - 3.0 x 30</t>
  </si>
  <si>
    <t>SF-00620</t>
  </si>
  <si>
    <t>Parafuso Philips Cabeça Chata - 3.5 x 14</t>
  </si>
  <si>
    <t>SF-00621</t>
  </si>
  <si>
    <t>Parafuso Philips Cabeça Chata - 3.5 x 16</t>
  </si>
  <si>
    <t>SF-00622</t>
  </si>
  <si>
    <t>Parafuso Philips Cabeça Chata - 3.5 x 20</t>
  </si>
  <si>
    <t>SF-00623</t>
  </si>
  <si>
    <t>Parafuso Philips Cabeça Chata - 3.5 x 22  mm</t>
  </si>
  <si>
    <t>SF-00624</t>
  </si>
  <si>
    <t>Parafuso Philips Cabeça Chata - 3.5 x 25 mm</t>
  </si>
  <si>
    <t>SF-00625</t>
  </si>
  <si>
    <t>Parafuso Philips Cabeça Chata - 3.5 x 30</t>
  </si>
  <si>
    <t>SF-00626</t>
  </si>
  <si>
    <t>Parafuso Philips Cabeça Chata - 3.5 x 35</t>
  </si>
  <si>
    <t>SF-00627</t>
  </si>
  <si>
    <t>Parafuso Philips Cabeça Chata - 3.5 x 40</t>
  </si>
  <si>
    <t>SF-00628</t>
  </si>
  <si>
    <t>Parafuso Phillips Cabeça Chata - 40x40mm</t>
  </si>
  <si>
    <t>SF-00629</t>
  </si>
  <si>
    <t>Parafuso Phillips Cabeça Chata - 4.0x45mm</t>
  </si>
  <si>
    <t>SF-00630</t>
  </si>
  <si>
    <t>Parafuso Phillips Cabeça Chata - 4.0x50mm</t>
  </si>
  <si>
    <t>SF-00631</t>
  </si>
  <si>
    <t>Parafuso Phillips cabeça chata - 4.0x60mm</t>
  </si>
  <si>
    <t>SF-00632</t>
  </si>
  <si>
    <t>Parafuso Philips Cabeça Chata - 4.0 x 30</t>
  </si>
  <si>
    <t>SF-00633</t>
  </si>
  <si>
    <t>Parafuso Philips Cabeça Chata - 4.0 x 35</t>
  </si>
  <si>
    <t>SF-00634</t>
  </si>
  <si>
    <t>Parafuso Philips Cabeça Chata - 5.0 x 60</t>
  </si>
  <si>
    <t>SF-00635</t>
  </si>
  <si>
    <t>Parafuso Philips Cabeça Chata - 6.0 x 60</t>
  </si>
  <si>
    <t>SF-00636</t>
  </si>
  <si>
    <t>Parafuso Philips Cabeça Chata - 6.0 x 65</t>
  </si>
  <si>
    <t>SF-00637</t>
  </si>
  <si>
    <t>Porca Tipo Borboleta – 1/4”</t>
  </si>
  <si>
    <t>SF-00638</t>
  </si>
  <si>
    <t>Parafuso Philips Cabeça Oval - 4.0 x 16</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</si>
  <si>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</si>
  <si>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</si>
  <si>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</si>
  <si>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</si>
  <si>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</si>
  <si>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</si>
  <si>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</si>
  <si>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</si>
  <si>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</si>
  <si>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</si>
  <si>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</si>
  <si>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</si>
  <si>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</si>
  <si>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</si>
  <si>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</si>
  <si>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</si>
  <si>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</si>
  <si>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</si>
  <si>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</si>
  <si>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</si>
  <si>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</si>
  <si>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</si>
  <si>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</si>
  <si>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</si>
  <si>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</si>
  <si>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</si>
  <si>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</si>
  <si>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</si>
  <si>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</si>
  <si>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</si>
  <si>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</si>
  <si>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</si>
  <si>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</si>
  <si>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</si>
  <si>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</si>
  <si>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</si>
  <si>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</si>
  <si>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</si>
  <si>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</si>
  <si>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</si>
  <si>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</si>
  <si>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</si>
  <si>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</si>
  <si>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</si>
  <si>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</si>
  <si>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</si>
  <si>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</si>
  <si>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</si>
  <si>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</si>
  <si>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</si>
  <si>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</si>
  <si>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</si>
  <si>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</si>
  <si>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</si>
  <si>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</si>
  <si>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</si>
  <si>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</si>
  <si>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</si>
  <si>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</si>
  <si>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</si>
  <si>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</si>
  <si>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</si>
  <si>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</si>
  <si>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</si>
  <si>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</si>
  <si>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</si>
  <si>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</si>
  <si>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</si>
  <si>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</si>
  <si>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</si>
  <si>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</si>
  <si>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</si>
  <si>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</si>
  <si>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</si>
  <si>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</si>
  <si>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</si>
  <si>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</si>
  <si>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</si>
  <si>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</si>
  <si>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</si>
  <si>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</si>
  <si>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</si>
  <si>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</si>
  <si>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</si>
  <si>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SF-00681</t>
  </si>
  <si>
    <t>Lonas</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</si>
  <si>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</si>
  <si>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</si>
  <si>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</si>
  <si>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</si>
  <si>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</si>
  <si>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</si>
  <si>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</si>
  <si>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</si>
  <si>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</si>
  <si>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</si>
  <si>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</si>
  <si>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</si>
  <si>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</si>
  <si>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</si>
  <si>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</si>
  <si>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</si>
  <si>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</si>
  <si>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</si>
  <si>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</si>
  <si>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</si>
  <si>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</si>
  <si>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</si>
  <si>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</si>
  <si>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</si>
  <si>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</si>
  <si>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</si>
  <si>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</si>
  <si>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</si>
  <si>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</si>
  <si>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</si>
  <si>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</si>
  <si>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</si>
  <si>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</si>
  <si>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</si>
  <si>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</si>
  <si>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</si>
  <si>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</si>
  <si>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</si>
  <si>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</si>
  <si>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</si>
  <si>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</si>
  <si>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</si>
  <si>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</si>
  <si>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</si>
  <si>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</si>
  <si>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</si>
  <si>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</si>
  <si>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</si>
  <si>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</si>
  <si>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</si>
  <si>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</si>
  <si>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</si>
  <si>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</si>
  <si>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</si>
  <si>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</si>
  <si>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</si>
  <si>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</si>
  <si>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</si>
  <si>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</si>
  <si>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</si>
  <si>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</si>
  <si>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</si>
  <si>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</si>
  <si>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SF-00718</t>
  </si>
  <si>
    <t>Alicate  de corte diagonal 6''</t>
  </si>
  <si>
    <t>SF-00719</t>
  </si>
  <si>
    <t>Alicate de pressão de 10"</t>
  </si>
  <si>
    <t>SF-00720</t>
  </si>
  <si>
    <t>Alicate meia cana 6''</t>
  </si>
  <si>
    <t>SF-00721</t>
  </si>
  <si>
    <t>SF-00722</t>
  </si>
  <si>
    <t>Alicate universal de 8"</t>
  </si>
  <si>
    <t>SF-00723</t>
  </si>
  <si>
    <t>Arco de serra</t>
  </si>
  <si>
    <t>SF-00724</t>
  </si>
  <si>
    <t>Aspirador de pó industrial</t>
  </si>
  <si>
    <t>SF-00725</t>
  </si>
  <si>
    <t>Balde metálico para concreto 10 L</t>
  </si>
  <si>
    <t>SF-00726</t>
  </si>
  <si>
    <t>Caixa para ferramenta sanfonada metálica com cadeado</t>
  </si>
  <si>
    <t>SF-00727</t>
  </si>
  <si>
    <t>Carretel com linha em caixa de pó para marcação</t>
  </si>
  <si>
    <t>SF-00728</t>
  </si>
  <si>
    <t>Carrinho de mão reforçado</t>
  </si>
  <si>
    <t>SF-00729</t>
  </si>
  <si>
    <t>Cavadeira articulada</t>
  </si>
  <si>
    <t>SF-00730</t>
  </si>
  <si>
    <t>Chave de fenda de 1/2" x 10"</t>
  </si>
  <si>
    <t>SF-00731</t>
  </si>
  <si>
    <t>Chave de fenda de 1/4" x 6"</t>
  </si>
  <si>
    <t>SF-00732</t>
  </si>
  <si>
    <t>Chave de fenda de 3/16" x 5"</t>
  </si>
  <si>
    <t>SF-00733</t>
  </si>
  <si>
    <t>Chave Philips PH2 1/4" x 6"</t>
  </si>
  <si>
    <t>SF-00734</t>
  </si>
  <si>
    <t>Chave Philips PH3 5/16" x 8"</t>
  </si>
  <si>
    <t>SF-00735</t>
  </si>
  <si>
    <t>Compressor de Ar 50 L</t>
  </si>
  <si>
    <t>SF-00736</t>
  </si>
  <si>
    <t>Enxadão com cabo</t>
  </si>
  <si>
    <t>SF-00737</t>
  </si>
  <si>
    <t>Enxadão estreito com cabo</t>
  </si>
  <si>
    <t>SF-00738</t>
  </si>
  <si>
    <t>Escada tipo tesoura duplo acesso de fibra com 2m</t>
  </si>
  <si>
    <t>SF-00739</t>
  </si>
  <si>
    <t>Escada tipo tesoura e singela de fibra com 2 m</t>
  </si>
  <si>
    <t>SF-00740</t>
  </si>
  <si>
    <t>Escala métrica de madeira 2m</t>
  </si>
  <si>
    <t>SF-00741</t>
  </si>
  <si>
    <t>Esmerilhadeira Angular 4,5’’</t>
  </si>
  <si>
    <t>SF-00742</t>
  </si>
  <si>
    <t>Esmerilhadeira Angular 7’’</t>
  </si>
  <si>
    <t>SF-00743</t>
  </si>
  <si>
    <t>Espátula forjada de 12 cm</t>
  </si>
  <si>
    <t>SF-00744</t>
  </si>
  <si>
    <t>Espátula forjada de 4 cm</t>
  </si>
  <si>
    <t>SF-00745</t>
  </si>
  <si>
    <t>Espátula forjada de 8 cm</t>
  </si>
  <si>
    <t>SF-00746</t>
  </si>
  <si>
    <t>Esquadro de metal de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</si>
  <si>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</si>
  <si>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</si>
  <si>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</si>
  <si>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</si>
  <si>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</si>
  <si>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</si>
  <si>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</si>
  <si>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</si>
  <si>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</si>
  <si>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</si>
  <si>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</si>
  <si>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</si>
  <si>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</si>
  <si>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de 1/4’’, 4-13 mm</t>
  </si>
  <si>
    <t>SF-00754</t>
  </si>
  <si>
    <t>Kit Parafusadeira de Impacto à Bateria</t>
  </si>
  <si>
    <t>SF-00755</t>
  </si>
  <si>
    <t>Linha de pedreiro de 100m</t>
  </si>
  <si>
    <t>SF-00756</t>
  </si>
  <si>
    <t>Marreta de 1 kg</t>
  </si>
  <si>
    <t>SF-00757</t>
  </si>
  <si>
    <t>Marreta de borracha de 600g</t>
  </si>
  <si>
    <t>SF-00758</t>
  </si>
  <si>
    <t>Martelo de bola, 500 gramas</t>
  </si>
  <si>
    <t>SF-00759</t>
  </si>
  <si>
    <t>Martelo de pena, 300 gramas</t>
  </si>
  <si>
    <t>SF-00760</t>
  </si>
  <si>
    <t>Martelo de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</si>
  <si>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</si>
  <si>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</si>
  <si>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</si>
  <si>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</si>
  <si>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</si>
  <si>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</si>
  <si>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</si>
  <si>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</si>
  <si>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</si>
  <si>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</si>
  <si>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</si>
  <si>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</si>
  <si>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</si>
  <si>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</si>
  <si>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</si>
  <si>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</si>
  <si>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SF-00769</t>
  </si>
  <si>
    <t>Prumo de centro</t>
  </si>
  <si>
    <t>SF-00770</t>
  </si>
  <si>
    <t>Prumo de parede</t>
  </si>
  <si>
    <t>SF-00771</t>
  </si>
  <si>
    <t>Rebitador manual</t>
  </si>
  <si>
    <t>SF-00772</t>
  </si>
  <si>
    <t>Régua de alumínio para pedreiro com 2m</t>
  </si>
  <si>
    <t>SF-00773</t>
  </si>
  <si>
    <t>Serrote comum</t>
  </si>
  <si>
    <t>SF-00774</t>
  </si>
  <si>
    <t>Serrote de costa</t>
  </si>
  <si>
    <t>SF-00775</t>
  </si>
  <si>
    <t>Tesoura de 25 cm</t>
  </si>
  <si>
    <t>SF-00776</t>
  </si>
  <si>
    <t>Tesoura de chapas tipo aviação</t>
  </si>
  <si>
    <t>SF-00777</t>
  </si>
  <si>
    <t>Trena de 5m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</si>
  <si>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</si>
  <si>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</si>
  <si>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</si>
  <si>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</si>
  <si>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</si>
  <si>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</si>
  <si>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</si>
  <si>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</si>
  <si>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</si>
  <si>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</si>
  <si>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</si>
  <si>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</si>
  <si>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</si>
  <si>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</si>
  <si>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</si>
  <si>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</si>
  <si>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</si>
  <si>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</si>
  <si>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</si>
  <si>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</si>
  <si>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</si>
  <si>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</si>
  <si>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</si>
  <si>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</si>
  <si>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</si>
  <si>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</si>
  <si>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</si>
  <si>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</si>
  <si>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</si>
  <si>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</si>
  <si>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</si>
  <si>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</si>
  <si>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</si>
  <si>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</si>
  <si>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</si>
  <si>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</si>
  <si>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</si>
  <si>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</si>
  <si>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</si>
  <si>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</si>
  <si>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</si>
  <si>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</si>
  <si>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</si>
  <si>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</si>
  <si>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</si>
  <si>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</si>
  <si>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</si>
  <si>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</si>
  <si>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</si>
  <si>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</si>
  <si>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</si>
  <si>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</si>
  <si>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</si>
  <si>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</si>
  <si>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</si>
  <si>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250A</t>
  </si>
  <si>
    <t>SF-00806</t>
  </si>
  <si>
    <t>Maçarico para gás GLP</t>
  </si>
  <si>
    <t>SF-00807</t>
  </si>
  <si>
    <t>Máquina de solda inversora AC/DC 180 A 220 Volts</t>
  </si>
  <si>
    <t>SF-00808</t>
  </si>
  <si>
    <t>Betoneira monofásica 400 litros</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</si>
  <si>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</si>
  <si>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</si>
  <si>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</si>
  <si>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</si>
  <si>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</si>
  <si>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</si>
  <si>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</si>
  <si>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</si>
  <si>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</si>
  <si>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</si>
  <si>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SF-00814</t>
  </si>
  <si>
    <t>Desempenadeira de aço lisa</t>
  </si>
  <si>
    <t>SF-00815</t>
  </si>
  <si>
    <t>Desempenadeira estriada em PVC 14 x 27 cm</t>
  </si>
  <si>
    <t>SF-00816</t>
  </si>
  <si>
    <t>Desempenadeira lisa em PVC 18 x 30 cm</t>
  </si>
  <si>
    <t>SF-00817</t>
  </si>
  <si>
    <t>Martelete demolidor 1,7 kW (12 kg)</t>
  </si>
  <si>
    <t>SF-00818</t>
  </si>
  <si>
    <t>Martelete demolidor 2kW (30 kg)</t>
  </si>
  <si>
    <t>SF-00819</t>
  </si>
  <si>
    <t>Rolo lã de carneiro 23cm com suporte</t>
  </si>
  <si>
    <t>SF-00820</t>
  </si>
  <si>
    <t>Trado perfurador para terra manual 25 cm</t>
  </si>
  <si>
    <t>SF-00821</t>
  </si>
  <si>
    <t>Plataforma de trabalho aéreo articulada</t>
  </si>
  <si>
    <t>dia</t>
  </si>
  <si>
    <t>SF-00822</t>
  </si>
  <si>
    <t>Relógio Biométrico</t>
  </si>
  <si>
    <t>SF-00823</t>
  </si>
  <si>
    <t>Camisa polo manga curta com logotipo da empresa na frente e indicação da categoria profissional nas costas</t>
  </si>
  <si>
    <t>pç</t>
  </si>
  <si>
    <t>SF-00824</t>
  </si>
  <si>
    <t>Camisa polo manga longa com logotipo da empresa na frente e indicação da categoria profissional nas costas</t>
  </si>
  <si>
    <t>SF-00825</t>
  </si>
  <si>
    <t>Calças de material resistente e cor escura</t>
  </si>
  <si>
    <t>SF-00826</t>
  </si>
  <si>
    <t>Gorros com pala (boné) na mesma cor da camisa</t>
  </si>
  <si>
    <t>SF-00827</t>
  </si>
  <si>
    <t>Bota com solado de borracha</t>
  </si>
  <si>
    <t>SF-00828</t>
  </si>
  <si>
    <t>Bota de borracha de cano longo</t>
  </si>
  <si>
    <t>SF-00829</t>
  </si>
  <si>
    <t>Capa de chuva</t>
  </si>
  <si>
    <t>SF-00830</t>
  </si>
  <si>
    <t>Capacete de segurança</t>
  </si>
  <si>
    <t>SF-00831</t>
  </si>
  <si>
    <t>Cinto de segurança tipo paraquedista</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</si>
  <si>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</si>
  <si>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</si>
  <si>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</si>
  <si>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</si>
  <si>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</si>
  <si>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</si>
  <si>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</si>
  <si>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</si>
  <si>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</si>
  <si>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 com proteção lateral total</t>
  </si>
  <si>
    <t>SF-00837</t>
  </si>
  <si>
    <t>Protetor auditivo flexível de inserção</t>
  </si>
  <si>
    <t>SF-00838</t>
  </si>
  <si>
    <t>Protetor Facial</t>
  </si>
  <si>
    <t>SF-00839</t>
  </si>
  <si>
    <t>Talabarte de Posicionamento (Restrição de Movimento)</t>
  </si>
  <si>
    <t>SF-00840</t>
  </si>
  <si>
    <t>Talabarte em Y</t>
  </si>
  <si>
    <t>SF-00841</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</si>
  <si>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</si>
  <si>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</si>
  <si>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</si>
  <si>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</si>
  <si>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</si>
  <si>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</si>
  <si>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</si>
  <si>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</si>
  <si>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SF-00847</t>
  </si>
  <si>
    <t>Corte em vidro ou espelho reaproveitado</t>
  </si>
  <si>
    <t>SF-00848</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</si>
  <si>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</si>
  <si>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</si>
  <si>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</si>
  <si>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</si>
  <si>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</si>
  <si>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</si>
  <si>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</si>
  <si>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</si>
  <si>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</si>
  <si>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</si>
  <si>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</si>
  <si>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</si>
  <si>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</si>
  <si>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</si>
  <si>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</si>
  <si>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</si>
  <si>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</si>
  <si>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</si>
  <si>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1,58mm</t>
  </si>
  <si>
    <t>Trilho superior em alumínio 60mm x 49,5mm, para vidro temperado</t>
  </si>
  <si>
    <t>Perfil em alumínio para acabamento de trilho superior</t>
  </si>
  <si>
    <t>Perfil guia inferior de alumínio 39,3 mm x 24 mm para vidro temperado 10mm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</si>
  <si>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</si>
  <si>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</si>
  <si>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</si>
  <si>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</si>
  <si>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</si>
  <si>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</si>
  <si>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</si>
  <si>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</si>
  <si>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</si>
  <si>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</si>
  <si>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</si>
  <si>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SF-00882</t>
  </si>
  <si>
    <t>Suporte tipo “Spiderglass” para vidro temperado</t>
  </si>
  <si>
    <t>Dobradiça automática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</si>
  <si>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</si>
  <si>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</si>
  <si>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</si>
  <si>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</si>
  <si>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</si>
  <si>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</si>
  <si>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de latão - diâmetro 25mm</t>
  </si>
  <si>
    <t>Trinco sem miolo para vidro temperado</t>
  </si>
  <si>
    <t>Tubo de alumínio quadrado 50x50</t>
  </si>
  <si>
    <t>Veda fresta adesivo “E” branco</t>
  </si>
  <si>
    <t>Vedapress 10mm</t>
  </si>
  <si>
    <t>Regulagem de ferragens</t>
  </si>
  <si>
    <t>Vidro fumê / bronze temperado 10mm</t>
  </si>
  <si>
    <t>Puxador em aço inox sob medida – Tipo B</t>
  </si>
  <si>
    <t>Armação de aço CA-50 bitolas de 5,0mm a 8,00mm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</si>
  <si>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</si>
  <si>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</si>
  <si>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</si>
  <si>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</si>
  <si>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</si>
  <si>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</si>
  <si>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</si>
  <si>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</si>
  <si>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45cm, para portas de vidro temperado</t>
  </si>
  <si>
    <t>Transporte de vidros</t>
  </si>
  <si>
    <t>m2 x km</t>
  </si>
  <si>
    <t>Vidro fantasia 4mm (canelado, martelado, pontilhado e mini-boreal)</t>
  </si>
  <si>
    <t>Vidro fumê/bronze 5mm</t>
  </si>
  <si>
    <t>Recuperação de massa em esquadria metálica</t>
  </si>
  <si>
    <t>Instalação de espelho reaproveitado</t>
  </si>
  <si>
    <t>Finesson (parafuso de fixação francês)</t>
  </si>
  <si>
    <t>Graute industrializado, fck ≥ 25MPa</t>
  </si>
  <si>
    <t>Armação de aço CA-50 bitolas de 10,0mm a 12,50mm</t>
  </si>
  <si>
    <t>Armação de aço CA-50 bitolas de 16,0mm a 25,0mm</t>
  </si>
  <si>
    <t>Remoção de mola hidráulica de piso</t>
  </si>
  <si>
    <t>Escavação manual de valas</t>
  </si>
  <si>
    <t>Reaterro de vala com compactação mecanizada</t>
  </si>
  <si>
    <t>Aterro de vala com compactação mecanizada</t>
  </si>
  <si>
    <t>Tubo de cobre classe "E" 22mm</t>
  </si>
  <si>
    <t>Tubo de cobre classe "E" 28 mm</t>
  </si>
  <si>
    <t>Tubo de cobre classe "E" 42mm</t>
  </si>
  <si>
    <t>Bacia convencional - Linha Acessibilidade</t>
  </si>
  <si>
    <t>Assento para bacia convencional - Linha Acessibilidade</t>
  </si>
  <si>
    <t>Base registro de gaveta 1 1/2”</t>
  </si>
  <si>
    <t>Condutor 25mm²</t>
  </si>
  <si>
    <t>Condutor 35mm²</t>
  </si>
  <si>
    <t>Condutor 50mm²</t>
  </si>
  <si>
    <t>Condutor 70mm²</t>
  </si>
  <si>
    <t>Condutor 95mm²</t>
  </si>
  <si>
    <t>Condutor 120mm²</t>
  </si>
  <si>
    <t>Condutor 150mm²</t>
  </si>
  <si>
    <t>Condutor 185mm²</t>
  </si>
  <si>
    <t>Condutor 240mm²</t>
  </si>
  <si>
    <t>Montagem e desmontagem de andaime fachadeiro</t>
  </si>
  <si>
    <t>Montagem e desmontagem de andaime tubular</t>
  </si>
  <si>
    <t>SF-00939</t>
  </si>
  <si>
    <t>Tensor com indicador de tensão para linha de vida</t>
  </si>
  <si>
    <t>Locação de fechamento para andaimes com tela 100% polietileno</t>
  </si>
  <si>
    <t>SF-00941</t>
  </si>
  <si>
    <t>Plataforma de trabalho aéreo tesoura</t>
  </si>
  <si>
    <t>Remoção de folha de porta de enrolar</t>
  </si>
  <si>
    <t>Base registro de gaveta 1"</t>
  </si>
  <si>
    <t>Base registro de pressão 3/4"</t>
  </si>
  <si>
    <t>SF-00945</t>
  </si>
  <si>
    <t>Porta para box de banheiro em laminado estrutural</t>
  </si>
  <si>
    <t>Tampa em ferro fundido T33</t>
  </si>
  <si>
    <t>Arquiteto(a) com experiência em intervenção no patrimônio cultural</t>
  </si>
  <si>
    <t xml:space="preserve">hh </t>
  </si>
  <si>
    <t>Locação de andaime suspenso tipo leve</t>
  </si>
  <si>
    <t xml:space="preserve">un x mês </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</si>
  <si>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</si>
  <si>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</si>
  <si>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</si>
  <si>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</si>
  <si>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</si>
  <si>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com emulsão asfáltica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</si>
  <si>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</si>
  <si>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</si>
  <si>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</si>
  <si>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</si>
  <si>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</si>
  <si>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</si>
  <si>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</si>
  <si>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</si>
  <si>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</si>
  <si>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SF-00963</t>
  </si>
  <si>
    <t>Fixadores metálicos para rochas ornamentais, sob medida</t>
  </si>
  <si>
    <t>Mármore Branco Especial 20mm argamassado (Ed. Principal e Anexo 1)</t>
  </si>
  <si>
    <t>Mármore Branco Especial 20mm com inserts e argamassa (Ed. Principal e Anexo 1)</t>
  </si>
  <si>
    <t>Mármore Branco Especial 30mm argamassado (Ed. Principal e Anexo 1)</t>
  </si>
  <si>
    <t>Mármore Branco Especial 30mm com inserts e argamassa (Ed. Principal e Anexo 1)</t>
  </si>
  <si>
    <t>Mármore branco especial, e=30mm, instalação em fixadores metálicos existentes (modelo Edifício Principal)</t>
  </si>
  <si>
    <t>SF-00969</t>
  </si>
  <si>
    <t>Instalação de placas de mármore 30mm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</si>
  <si>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</si>
  <si>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</si>
  <si>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</si>
  <si>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</si>
  <si>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</si>
  <si>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revestimento)</t>
  </si>
  <si>
    <t>Rejuntamento de placas de rocha ornamental em fachada</t>
  </si>
  <si>
    <t>Junta de movimentação em fachada</t>
  </si>
  <si>
    <t>Adesivo Selante Poliuretano – fornecimento e aplicação</t>
  </si>
  <si>
    <t>SF-00979</t>
  </si>
  <si>
    <t>Esquadria para fachada do Bloco 14</t>
  </si>
  <si>
    <t>Chuveiro elétrico</t>
  </si>
  <si>
    <t>Base para pavimentação com concreto magro</t>
  </si>
  <si>
    <t xml:space="preserve">m3 </t>
  </si>
  <si>
    <t>Pavimentação em concreto armado simples</t>
  </si>
  <si>
    <t>Remoção de reservatório d’água</t>
  </si>
  <si>
    <t>Transporte e destinação final de entulho para distâncias até 30 km</t>
  </si>
  <si>
    <t>m3 x km</t>
  </si>
  <si>
    <t>SF-00985</t>
  </si>
  <si>
    <t>Locação de Caminhão Munck</t>
  </si>
  <si>
    <t>Demolição de estrutura metálica</t>
  </si>
  <si>
    <t xml:space="preserve">kg </t>
  </si>
  <si>
    <t>Escavação manual com profundidade maior do que 1,30 m</t>
  </si>
  <si>
    <t>Escavação mecânica com profundidade maior do que 1,30 m</t>
  </si>
  <si>
    <t>Grama Batatais em placas de 40 x 40 cm</t>
  </si>
  <si>
    <t>Pintura de meios-fios com tinta acrílica</t>
  </si>
  <si>
    <t>Meios-fios em concreto pré-moldado</t>
  </si>
  <si>
    <t>Tubo PEAD corrugado para drenagem – Diâmetro 100 mm</t>
  </si>
  <si>
    <t>SF-00993</t>
  </si>
  <si>
    <t>Carpete aveludado azul royal</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</si>
  <si>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</si>
  <si>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</si>
  <si>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</si>
  <si>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</si>
  <si>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</si>
  <si>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</si>
  <si>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</si>
  <si>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</si>
  <si>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</si>
  <si>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 xml:space="preserve">pavimento </t>
  </si>
  <si>
    <t>SF-00999</t>
  </si>
  <si>
    <t>Trava quedas retrátil</t>
  </si>
  <si>
    <t>SF-01000</t>
  </si>
  <si>
    <t>Corda de poliéster 8mm</t>
  </si>
  <si>
    <t>Locação de Container - Escritório</t>
  </si>
  <si>
    <t xml:space="preserve">mês </t>
  </si>
  <si>
    <t>SF-01002</t>
  </si>
  <si>
    <t>Dobradiça Piano</t>
  </si>
  <si>
    <t>SF-01003</t>
  </si>
  <si>
    <t>SF-01004</t>
  </si>
  <si>
    <t>Compensado Laminado de Imbuia em duas faces - 10 mm</t>
  </si>
  <si>
    <t>SF-01005</t>
  </si>
  <si>
    <t>SF-01006</t>
  </si>
  <si>
    <t>Compensado Laminado de Freijó em duas faces - 10 mm</t>
  </si>
  <si>
    <t>SF-01007</t>
  </si>
  <si>
    <t>Painel de MDF Laminado – Ovo - 25mm</t>
  </si>
  <si>
    <t>SF-01008</t>
  </si>
  <si>
    <t>Rodízio Giratório sem Freio - 2 Polegadas</t>
  </si>
  <si>
    <t>SF-01009</t>
  </si>
  <si>
    <t>Estrutura metálica em aço – Bloco 19 (Centro de Treinamento)</t>
  </si>
  <si>
    <t>SF-01010</t>
  </si>
  <si>
    <t>Mão francesa metálica</t>
  </si>
  <si>
    <t>Abertura/fechamento de rasgo em concreto</t>
  </si>
  <si>
    <t>Recomposição de rejuntamento sobre revestimentos</t>
  </si>
  <si>
    <t>Impermeabilização de revestimentos em pedra</t>
  </si>
  <si>
    <t>Piso vinílico semiflexível</t>
  </si>
  <si>
    <t>SF-01015</t>
  </si>
  <si>
    <t>Porta metálica de giro com dimensões 0,92 x 2,20m</t>
  </si>
  <si>
    <t>SF-01016</t>
  </si>
  <si>
    <t>Porta metálica de giro com dimensões 0,92 x 2,35 m</t>
  </si>
  <si>
    <t>SF-01017</t>
  </si>
  <si>
    <t>Esquadria metálica de 4 folhas fixas com dimensões de 5,30x1,00m – Bloco 19 (Centro de Treinamento)</t>
  </si>
  <si>
    <t>SF-01018</t>
  </si>
  <si>
    <t>Esquadria metálica de 3 folhas, sendo 2 folhas fixas e 1 de correr com dimensões de 4,10x1,15m – Bloco 19 (Centro de Treinamento)</t>
  </si>
  <si>
    <t>SF-01019</t>
  </si>
  <si>
    <t>Esquadria metálica de 4 folhas, sendo 2 folhas fixas e 2 folhas de correr, com dimensões total de 5,15x1,00m  – Bloco 19 (Centro de Treinamento)</t>
  </si>
  <si>
    <t>SF-01020</t>
  </si>
  <si>
    <t>Esquadria metálica de 4 folhas, sendo 2 fixas e 2 de correr dimensões de 5,30x1,15m – Bloco 19 (Centro de Treinamento)</t>
  </si>
  <si>
    <t>SF-01021</t>
  </si>
  <si>
    <t>Esquadria metálica de 2 folhas basculante com dimensões de 2,31x0,45m – Bloco 19 (Centro de Treinamento)</t>
  </si>
  <si>
    <t>SF-01022</t>
  </si>
  <si>
    <t>Perfil Veneziana Enrijecido 70x19mm</t>
  </si>
  <si>
    <t>SF-01023</t>
  </si>
  <si>
    <t>Perfil U Enrijecido 150mm x 40mm x 15mm</t>
  </si>
  <si>
    <t>SF-01024</t>
  </si>
  <si>
    <t>Perfil Trilho Peitoril - 150mm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</si>
  <si>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</si>
  <si>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</si>
  <si>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</si>
  <si>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</si>
  <si>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</si>
  <si>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</si>
  <si>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</si>
  <si>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</si>
  <si>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</si>
  <si>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</si>
  <si>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</si>
  <si>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SF-01032</t>
  </si>
  <si>
    <t>Supervisor(a) de Obras e Manutenção – Apoio a Projetos de Obras – Arquitetura, civil e hidrossanitária</t>
  </si>
  <si>
    <t>SF-01033</t>
  </si>
  <si>
    <t>Supervisor de Obras e Manutenção - Apoio a Projetos e Obras - Eletromecânico</t>
  </si>
  <si>
    <t>SF-01034</t>
  </si>
  <si>
    <t>Supervisor de Obras e Manutenção – Apoio a projetos e obras - Orçamentos</t>
  </si>
  <si>
    <t>SF-01035</t>
  </si>
  <si>
    <t>Supervisor de Obras e Manutenção – Apoio de campo – Sistemas de climatização</t>
  </si>
  <si>
    <t>SF-01036</t>
  </si>
  <si>
    <t>Supervisor de Obras e Manutenção – Apoio de campo - Elevadores</t>
  </si>
  <si>
    <t>SF-01037</t>
  </si>
  <si>
    <t>Supervisor de Obras e Manutenção – Apoio de campo - Eletrotécnico</t>
  </si>
  <si>
    <t>SF-01038</t>
  </si>
  <si>
    <t>Supervisor de Obras e Manutenção – Apoio de Campo - Obras Civis</t>
  </si>
  <si>
    <t>SF-01039</t>
  </si>
  <si>
    <t>Supervisor de Obras e Manutenção – Apoio de Campo - Hidrossanitário</t>
  </si>
  <si>
    <t>SF-01040</t>
  </si>
  <si>
    <t>Supervisor de Obras e Manutenção – Apoio de campo – Planejamento</t>
  </si>
  <si>
    <t>Supervisor de Obras e Manutenção – Apoio de campo – Segurança do Trabalho</t>
  </si>
  <si>
    <t>SF-01042</t>
  </si>
  <si>
    <t>Máquina fotográfica digital</t>
  </si>
  <si>
    <t>SF-01043</t>
  </si>
  <si>
    <t>Trena de 100m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</si>
  <si>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</si>
  <si>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</si>
  <si>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</si>
  <si>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</si>
  <si>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</si>
  <si>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</si>
  <si>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</si>
  <si>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</si>
  <si>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</si>
  <si>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</si>
  <si>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</si>
  <si>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</si>
  <si>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</si>
  <si>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Multigás</t>
  </si>
  <si>
    <t>SF-01051</t>
  </si>
  <si>
    <t>Prancheta portátil A3</t>
  </si>
  <si>
    <t>SF-01052</t>
  </si>
  <si>
    <t>Luva isolante</t>
  </si>
  <si>
    <t xml:space="preserve">Reparo de placas de mármore com adesivo estrutural epóxi branco/transparente </t>
  </si>
  <si>
    <t>Perfil de chapa de aço galvanizado para esquadria (Anexo 1)</t>
  </si>
  <si>
    <t>SF-01055</t>
  </si>
  <si>
    <t>Modelagem, análise estrutural da edificação em programa computacional de análise estrutural e laudo com parecer técnico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</si>
  <si>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</si>
  <si>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</si>
  <si>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</si>
  <si>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</si>
  <si>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</si>
  <si>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</si>
  <si>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</si>
  <si>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</si>
  <si>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 duas seções, 120x60cm</t>
  </si>
  <si>
    <t>Porta metálica de enrolar</t>
  </si>
  <si>
    <t>Medidor de Gás</t>
  </si>
  <si>
    <t>Registro Esfera para Gás 3/4”</t>
  </si>
  <si>
    <t>Placa de Concreto Pré-Moldado 15 Mpa</t>
  </si>
  <si>
    <t>Eletroduto PEAD 3”</t>
  </si>
  <si>
    <t>SF-01067</t>
  </si>
  <si>
    <t>Caixa de Proteção para Alimentação de Gás</t>
  </si>
  <si>
    <t>Eletroduto de aço galvanizado de 3”</t>
  </si>
  <si>
    <t>Grelha reta para ralo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</si>
  <si>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</si>
  <si>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</si>
  <si>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</si>
  <si>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</si>
  <si>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</si>
  <si>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</si>
  <si>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</si>
  <si>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</si>
  <si>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</si>
  <si>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</si>
  <si>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</si>
  <si>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</si>
  <si>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x 25mm</t>
  </si>
  <si>
    <t>SF-01081</t>
  </si>
  <si>
    <t>Tubo retangular em aço 100 x 50mm</t>
  </si>
  <si>
    <t>Alimentação para mão-de-obra indireta</t>
  </si>
  <si>
    <t>Transporte para mão-de-obra indireta</t>
  </si>
  <si>
    <t>SF-01084</t>
  </si>
  <si>
    <t>Transporte de andaime</t>
  </si>
  <si>
    <t>SF-01085</t>
  </si>
  <si>
    <t>Transporte de Container</t>
  </si>
  <si>
    <t>SF-01086</t>
  </si>
  <si>
    <t>Coifa Convencional Tipo Caixa para Cozinha Industrial - Bloco 15 (Espaço do Servidor)</t>
  </si>
  <si>
    <t>SF-01087</t>
  </si>
  <si>
    <t>Puxador com fecho embutido (punho) para janela metálica</t>
  </si>
  <si>
    <t>Cotovelo bolsa–bolsa 90° para solda em tubulação de cobre diâmetro de 1 3/8"</t>
  </si>
  <si>
    <t>Cotovelo bolsa–bolsa 90° para solda em tubulação de cobre diâmetro de 1 5/8"</t>
  </si>
  <si>
    <t>Cotovelo bolsa–bolsa 90° para solda em tubulação de cobre diâmetro de 7/8"</t>
  </si>
  <si>
    <t>SF-01091</t>
  </si>
  <si>
    <t>Painel metálico para retorno</t>
  </si>
  <si>
    <t>Luva bolsa–bolsa para solda em tubulação de cobre diâmetro de 1 3/8"</t>
  </si>
  <si>
    <t>Luva bolsa–bolsa para solda em tubulação de cobre diâmetro de 1 5/8"</t>
  </si>
  <si>
    <t>Luva bolsa–bolsa para solda em tubulação de cobre diâmetro de 7/8"</t>
  </si>
  <si>
    <t>SF-01095</t>
  </si>
  <si>
    <t>Ar condicionado unitário com compressor montado em condensadora remota, capacidade nominal 49 kW</t>
  </si>
  <si>
    <t>SF-01096</t>
  </si>
  <si>
    <t>Ar condicionado unitário com compressor montado em condensadora remota, capacidade nominal 64 kW</t>
  </si>
  <si>
    <t>Tubo de cobre rígido 1 3/8"</t>
  </si>
  <si>
    <t>Tubo de cobre rígido 1 5/8"</t>
  </si>
  <si>
    <t>SF-01099</t>
  </si>
  <si>
    <t>Porta metálica dupla de giro com dimensões 2,00 x 2,12 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</si>
  <si>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</si>
  <si>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</si>
  <si>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</si>
  <si>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</si>
  <si>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</si>
  <si>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</si>
  <si>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</si>
  <si>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</si>
  <si>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</si>
  <si>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</si>
  <si>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para revestimento de superfícies internas e externas - Linha Residencial</t>
  </si>
  <si>
    <t>Granitina para revestimento de pisos</t>
  </si>
  <si>
    <t>Piso vinílico flexível em manta</t>
  </si>
  <si>
    <t>Tratamento de juntas de dilatação ou movimentação</t>
  </si>
  <si>
    <t>Recuperação superficial de preparação para pintura epóxi de alto desempenho</t>
  </si>
  <si>
    <t>Lixamento, calafetação e aplicação de sinteco em piso de madeira - Linha Residencial</t>
  </si>
  <si>
    <t>Piso em taco de madeira - Linha Residencial</t>
  </si>
  <si>
    <t>Piso de borracha antiderrapante tipo moeda</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</si>
  <si>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</si>
  <si>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</si>
  <si>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</si>
  <si>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</si>
  <si>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</si>
  <si>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</si>
  <si>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Pintura Eletrostática</t>
  </si>
  <si>
    <t>Pintura com tinta acrílica (pisos)</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</si>
  <si>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</si>
  <si>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</si>
  <si>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</si>
  <si>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</si>
  <si>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</si>
  <si>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</si>
  <si>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</si>
  <si>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</si>
  <si>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t>
  </si>
  <si>
    <t>Telha metálica trapezoidal galvanizada - GR-40</t>
  </si>
  <si>
    <t>Cumeeira para telha metálica trapezoidal galvanizada - GR-40</t>
  </si>
  <si>
    <t>Telha metálica trapezoidal galvanizada - GR-25</t>
  </si>
  <si>
    <t>Cumeeira para telha metálica trapezoidal galvanizada - GR-25</t>
  </si>
  <si>
    <t>Telha de fibrocimento modulada - espessura 8mm</t>
  </si>
  <si>
    <t>Cumeeira articulada ABA SUPERIOR de fibrocimento para telha modulada - espessura 6 mm</t>
  </si>
  <si>
    <t>Cumeeira articulada ABA INFERIOR de fibrocimento para telha modulada - espessura 6 mm</t>
  </si>
  <si>
    <t>Telha de fibrocimento ondulada - espessura 6mm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</si>
  <si>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</si>
  <si>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</si>
  <si>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</si>
  <si>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</si>
  <si>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</si>
  <si>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</si>
  <si>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</si>
  <si>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</si>
  <si>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</si>
  <si>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</si>
  <si>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</si>
  <si>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</si>
  <si>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</si>
  <si>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</si>
  <si>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- 3cm</t>
  </si>
  <si>
    <t>Regularização de substrato para Impermeabilização - 6cm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</si>
  <si>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</si>
  <si>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</si>
  <si>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</si>
  <si>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</si>
  <si>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</si>
  <si>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</si>
  <si>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</si>
  <si>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</si>
  <si>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</si>
  <si>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Resina de Poliuretano para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</si>
  <si>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</si>
  <si>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</si>
  <si>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</si>
  <si>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</si>
  <si>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</si>
  <si>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Concreto leve com poliestireno expandido</t>
  </si>
  <si>
    <t>Colagem da camada de proteção térmica de impermeabilização</t>
  </si>
  <si>
    <t>Impermeabilização com Membrana de Poliuretano</t>
  </si>
  <si>
    <t>Impermeabilização com Manta Asfáltica</t>
  </si>
  <si>
    <t>Impermeabilização com manta asfáltica aluminizada</t>
  </si>
  <si>
    <t>Impermeabilização com manta elastomérica de etileno-propileno-dieno-monômero (EPDM)</t>
  </si>
  <si>
    <t>Impermeabilização com membrana acrílica</t>
  </si>
  <si>
    <t>Asfalto elastomérico para colagem de manta asfáltica</t>
  </si>
  <si>
    <t>Impermeabilização com manta dupla (com maçarico)</t>
  </si>
  <si>
    <t>Impermeabilização com manta dupla (com asfalto elastomérico)</t>
  </si>
  <si>
    <t>SF-01178</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</si>
  <si>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</si>
  <si>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</si>
  <si>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</si>
  <si>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</si>
  <si>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</si>
  <si>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</si>
  <si>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</si>
  <si>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</si>
  <si>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</si>
  <si>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SF-01184</t>
  </si>
  <si>
    <t>Calha em chapa de zinco # 24 - Modelo 1</t>
  </si>
  <si>
    <t>SF-01185</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</si>
  <si>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</si>
  <si>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</si>
  <si>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</si>
  <si>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</si>
  <si>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</si>
  <si>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</si>
  <si>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</si>
  <si>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</si>
  <si>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</si>
  <si>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</si>
  <si>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</si>
  <si>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</si>
  <si>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</si>
  <si>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</si>
  <si>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Conjunto de chaves allen CURTAS</t>
  </si>
  <si>
    <t>SF-01193</t>
  </si>
  <si>
    <t>Conjunto de chaves allen LONGAS</t>
  </si>
  <si>
    <t>SF-01194</t>
  </si>
  <si>
    <t>Conjunto de chaves de boca de 6 a 36 mm</t>
  </si>
  <si>
    <t>SF-01195</t>
  </si>
  <si>
    <t>Conjunto de chaves de boca de 1/4" a 1 1/2"</t>
  </si>
  <si>
    <t>SF-01196</t>
  </si>
  <si>
    <t>Conjunto de escovas de aço (pequena, média e grande)</t>
  </si>
  <si>
    <t>SF-01197</t>
  </si>
  <si>
    <t>Marreta de 2 kg</t>
  </si>
  <si>
    <t>SF-01198</t>
  </si>
  <si>
    <t>Marreta de 5 kg</t>
  </si>
  <si>
    <t>SF-01199</t>
  </si>
  <si>
    <t>Marreta de 10 kg</t>
  </si>
  <si>
    <t>SF-01200</t>
  </si>
  <si>
    <t>Conjunto Pé de cabra 15" x 16mm e 24" x 19mm</t>
  </si>
  <si>
    <t>SF-01201</t>
  </si>
  <si>
    <t>Conjunto de talhadeiras e ponteiro SIMPLES</t>
  </si>
  <si>
    <t>SF-01202</t>
  </si>
  <si>
    <t>Serra copo diamantada (conjunto de 1/2" a 1 1/2")</t>
  </si>
  <si>
    <t>SF-01203</t>
  </si>
  <si>
    <t>Cortadora de Piso a Gasolina</t>
  </si>
  <si>
    <t>SF-01204</t>
  </si>
  <si>
    <t>Cortadora de Parede</t>
  </si>
  <si>
    <t>SF-01205</t>
  </si>
  <si>
    <t>Enxada com cabo (2,5 libras)</t>
  </si>
  <si>
    <t>SF-01206</t>
  </si>
  <si>
    <t>Escada extensível de alumínio dupla 2x8</t>
  </si>
  <si>
    <t>SF-01207</t>
  </si>
  <si>
    <t>Escada extensível de alumínio dupla 2x12</t>
  </si>
  <si>
    <t>SF-01208</t>
  </si>
  <si>
    <t>Escada tipo tesoura duplo acesso de fibra com 12 degraus</t>
  </si>
  <si>
    <t>SF-01209</t>
  </si>
  <si>
    <t>Exaustor para Trabalho em Espaço Confinado</t>
  </si>
  <si>
    <t>SF-01210</t>
  </si>
  <si>
    <t>Furadeira/Parafusadeira elétrica</t>
  </si>
  <si>
    <t>SF-01211</t>
  </si>
  <si>
    <t>Furadeira de impacto/parafusadeira à bateria</t>
  </si>
  <si>
    <t>SF-01212</t>
  </si>
  <si>
    <t>Jogo de Bits pontas e soquetes para Furadeira/ Parafusadeira</t>
  </si>
  <si>
    <t>SF-01213</t>
  </si>
  <si>
    <t>Jogo de chaves Torx com 9 Peças</t>
  </si>
  <si>
    <t>SF-01214</t>
  </si>
  <si>
    <t>Mangueira de nível de 20m</t>
  </si>
  <si>
    <t>SF-01215</t>
  </si>
  <si>
    <t>Martelete demolidor 1kW (5 Kg)</t>
  </si>
  <si>
    <t>SF-01216</t>
  </si>
  <si>
    <t>Pistola aplicadora de silicone e PU</t>
  </si>
  <si>
    <t>SF-01217</t>
  </si>
  <si>
    <t>Serra mármore</t>
  </si>
  <si>
    <t>SF-01218</t>
  </si>
  <si>
    <t>Serrote para gesso</t>
  </si>
  <si>
    <t>SF-01219</t>
  </si>
  <si>
    <t>Talha Manual para Elevação de Cargas (2 ton)</t>
  </si>
  <si>
    <t>SF-01220</t>
  </si>
  <si>
    <t>Veículo do tipo utilitário para transporte de mercadorias</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</si>
  <si>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</si>
  <si>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</si>
  <si>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</si>
  <si>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</si>
  <si>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</si>
  <si>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</si>
  <si>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</si>
  <si>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</si>
  <si>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SF-01225</t>
  </si>
  <si>
    <t>Manta autocolante aluminizada</t>
  </si>
  <si>
    <t>SF-01226</t>
  </si>
  <si>
    <t>Primer para aplicação de manta autocolante aluminizada</t>
  </si>
  <si>
    <t>SF-01227</t>
  </si>
  <si>
    <t>Estudo de Viabilidade Técnica, Laudo Técnico, Projeto Executivo, Projeto de Segurança do Trabalho, Planejamento da Obra e Plano de Manutenção – Modernização de Elevadores na SQS309</t>
  </si>
  <si>
    <t>SF-01228</t>
  </si>
  <si>
    <t>Serviços Preliminares (instalação de canteiro, mobilização de equipamentos e mão de obra e substituição de infraestrutura elétrica nos Blocos C e G) – Modernização de Elevadores na SQS309</t>
  </si>
  <si>
    <t>SF-01229</t>
  </si>
  <si>
    <t>Substituição de infraestrutura elétrica no Bloco D – Modernização de Elevadores na SQS309</t>
  </si>
  <si>
    <t>SF-01230</t>
  </si>
  <si>
    <t>Modernização dos elevadores dos Blocos C, D e G da SQS 309</t>
  </si>
  <si>
    <t>SF-01231</t>
  </si>
  <si>
    <t>Serviços de Assistência Técnica – Modernização de Elevadores na SQS309</t>
  </si>
  <si>
    <t>Carpete aveludado azul royal - fornecimento e instalação</t>
  </si>
  <si>
    <t>Demolição de revestimento de piso têxtil (carpete)</t>
  </si>
  <si>
    <t>SF-01234</t>
  </si>
  <si>
    <t>Tapume/cortina de proteção para solda com suporte</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</si>
  <si>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</si>
  <si>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</si>
  <si>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</si>
  <si>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</si>
  <si>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</si>
  <si>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</si>
  <si>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</si>
  <si>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</si>
  <si>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</si>
  <si>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</si>
  <si>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</si>
  <si>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</si>
  <si>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</si>
  <si>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</si>
  <si>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</si>
  <si>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</si>
  <si>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CUSTO DIRETO TOTAL</t>
  </si>
  <si>
    <t>ESCAVADEIRA HIDRÁULICA SOBRE ESTEIRAS, CAÇAMBA 0,80 M3, PESO OPERACIONAL 17 T, POTENCIA BRUTA 111 HP - CHP DIURNO. AF_06/2014</t>
  </si>
  <si>
    <t>RETROESCAVADEIRA SOBRE RODAS COM CARREGADEIRA, TRAÇÃO 4X4, POTÊNCIA LÍQ. 88 HP, CAÇAMBA CARREG. CAP. MÍN. 1 M3, CAÇAMBA RETRO CAP. 0,26 M3, PESO OPERACIONAL MÍN. 6.674 KG, PROFUNDIDADE ESCAVAÇÃO MÁX. 4,37 M - CHP DIURNO. AF_06/2014</t>
  </si>
  <si>
    <t>PÁ CARREGADEIRA SOBRE RODAS, POTÊNCIA LÍQUIDA 128 HP, CAPACIDADE DA CAÇAMBA 1,7 A 2,8 M3, PESO OPERACIONAL 11632 KG - CHP DIURNO. AF_06/2014</t>
  </si>
  <si>
    <t>DESEMPENADEIRA DE CONCRETO, PESO DE 75KG, 4 PÁS, MOTOR A GASOLINA, POTÊNCIA 5,5 HP - CHP DIURNO. AF_09/2016</t>
  </si>
  <si>
    <t>ESCAVADEIRA HIDRÁULICA SOBRE ESTEIRAS, CAÇAMBA 0,80 M3, PESO OPERACIONAL 17 T, POTENCIA BRUTA 111 HP - CHI DIURNO. AF_06/2014</t>
  </si>
  <si>
    <t>RETROESCAVADEIRA SOBRE RODAS COM CARREGADEIRA, TRAÇÃO 4X4, POTÊNCIA LÍQ. 88 HP, CAÇAMBA CARREG. CAP. MÍN. 1 M3, CAÇAMBA RETRO CAP. 0,26 M3, PESO OPERACIONAL MÍN. 6.674 KG, PROFUNDIDADE ESCAVAÇÃO MÁX. 4,37 M - CHI DIURNO. AF_06/2014</t>
  </si>
  <si>
    <t>PÁ CARREGADEIRA SOBRE RODAS, POTÊNCIA LÍQUIDA 128 HP, CAPACIDADE DA CAÇAMBA 1,7 A 2,8 M3, PESO OPERACIONAL 11632 KG - CHI DIURNO. AF_06/2014</t>
  </si>
  <si>
    <t>FABRICAÇÃO DE FÔRMA PARA PILARES E ESTRUTURAS SIMILARES, EM MADEIRA SERRADA, E=25 MM. AF_12/2015</t>
  </si>
  <si>
    <t>MONTAGEM E DESMONTAGEM DE FÔRMA DE PILARES RETANGULARES E ESTRUTURAS SIMILARES COM ÁREA MÉDIA DAS SEÇÕES MAIOR QUE 0,25 M², PÉ-DIREITO SIMPLES, EM MADEIRA SERRADA, 2 UTILIZAÇÕES. AF_12/2015</t>
  </si>
  <si>
    <t>ALVENARIA DE VEDAÇÃO DE BLOCOS VAZADOS DE CONCRETO DE 9X19X39CM (ESPESSURA 9CM) DE PAREDES COM ÁREA LÍQUIDA MENOR QUE 6M² SEM VÃOS E ARGAMASSA DE ASSENTAMENTO COM PREPARO EM BETONEIRA. AF_06/2014</t>
  </si>
  <si>
    <t>CHAPISCO APLICADO EM ALVENARIAS E ESTRUTURAS DE CONCRETO INTERNAS, COM COLHER DE PEDREIRO.  ARGAMASSA TRAÇO 1:3 COM PREPARO EM BETONEIRA 400L. AF_06/2014</t>
  </si>
  <si>
    <t>EMBOÇO, PARA RECEBIMENTO DE CERÂMICA, EM ARGAMASSA TRAÇO 1:2:8, PREPARO MECÂNICO COM BETONEIRA 400L, APLICADO MANUALMENTE EM FACES INTERNAS DE PAREDES, PARA AMBIENTE COM ÁREA MENOR QUE 5M2, ESPESSURA DE 10MM, COM EXECUÇÃO DE TALISCAS. AF_06/2014</t>
  </si>
  <si>
    <t>ARGAMASSA TRAÇO 1:3 (EM VOLUME DE CIMENTO E AREIA MÉDIA ÚMIDA) PARA CONTRAPISO, PREPARO MECÂNICO COM BETONEIRA 400 L. AF_08/2019</t>
  </si>
  <si>
    <t>ARGAMASSA TRAÇO 1:3 (EM VOLUME DE CIMENTO E AREIA GROSSA ÚMIDA) PARA CHAPISCO CONVENCIONAL, PREPARO MECÂNICO COM BETONEIRA 400 L. AF_08/2019</t>
  </si>
  <si>
    <t>ARGAMASSA TRAÇO 1:1:6 (EM VOLUME DE CIMENTO, CAL E AREIA MÉDIA ÚMIDA) PARA EMBOÇO/MASSA ÚNICA/ASSENTAMENTO DE ALVENARIA DE VEDAÇÃO, PREPARO MANUAL. AF_08/2019</t>
  </si>
  <si>
    <t>ASSENTADOR DE TUBOS COM ENCARGOS COMPLEMENTARES</t>
  </si>
  <si>
    <t>AUXILIAR DE TOPÓGRAFO COM ENCARGOS COMPLEMENTARES</t>
  </si>
  <si>
    <t>MARMORISTA/GRANITEIRO COM ENCARGOS COMPLEMENTARES</t>
  </si>
  <si>
    <t>SOLDADOR COM ENCARGOS COMPLEMENTARES</t>
  </si>
  <si>
    <t>DESENHISTA PROJETISTA COM ENCARGOS COMPLEMENTARES</t>
  </si>
  <si>
    <t>TOPOGRAFO COM ENCARGOS COMPLEMENTARES</t>
  </si>
  <si>
    <t>ADESIVO ESTRUTURAL A BASE DE RESINA EPOXI, BICOMPONENTE, FLUIDO</t>
  </si>
  <si>
    <t>ADESIVO PARA TUBOS CPVC, *75* G</t>
  </si>
  <si>
    <t>ARAME GALVANIZADO 16 BWG, D = 1,65MM (0,0166 KG/M)</t>
  </si>
  <si>
    <t>BATENTE/ PORTAL/ ADUELA/ MARCO MACICO, E= *3* CM, L= *13* CM, *60 CM A 120* CM X *210* CM, EM PINUS/ TAUARI/ VIROLA OU EQUIVALENTE DA REGIAO (NAO INCLUI ALIZARES)</t>
  </si>
  <si>
    <t>CAIBRO DE MADEIRA NAO APARELHADA 5 X 5 CM, CEDRINHO OU EQUIVALENTE DA REGIAO</t>
  </si>
  <si>
    <t>CAIXA DE PASSAGEM METALICA DE SOBREPOR COM TAMPA PARAFUSADA, DIMENSOES 30 X 30 X 10 CM</t>
  </si>
  <si>
    <t>CANTONEIRA ALUMINIO ABAS IGUAIS 1 ", E = 3 /16 "</t>
  </si>
  <si>
    <t>CHAPA DE ACO GALVANIZADA BITOLA GSG 16, E = 1,55 MM (12,40 KG/M2)</t>
  </si>
  <si>
    <t>CHAPA DE LAMINADO MELAMINICO, TEXTURIZADO, DE *1,25 X 3,08* M, E = 0,8 MM</t>
  </si>
  <si>
    <t>CHAPA DE MADEIRA COMPENSADA PLASTIFICADA PARA FORMA DE CONCRETO, DE 2,20 x 1,10 M, E = 18 MM</t>
  </si>
  <si>
    <t>CHAPA DE MDF BRANCO LISO 1 FACE, E = 6 MM, DE *2,75 X 1,85* M</t>
  </si>
  <si>
    <t>CHAPA DE MDF BRANCO LISO 2 FACES, E = 15 MM, DE *2,75 X 1,85* M</t>
  </si>
  <si>
    <t>CHAPA DE MDF BRANCO LISO 2 FACES, E = 18 MM, DE *2,75 X 1,85* M</t>
  </si>
  <si>
    <t>CONCRETO USINADO BOMBEAVEL, CLASSE DE RESISTENCIA C20, COM BRITA 0 E 1, SLUMP = 100 +/- 20 MM, EXCLUI SERVICO DE BOMBEAMENTO (NBR 8953)</t>
  </si>
  <si>
    <t>DOBRADICA EM ACO/FERRO, 3 1/2" X  3", E= 1,9  A 2 MM, COM ANEL,  CROMADO OU ZINCADO, TAMPA BOLA, COM PARAFUSOS</t>
  </si>
  <si>
    <t>ELETRODUTO/DUTO PEAD FLEXIVEL PAREDE SIMPLES, CORRUGACAO HELICOIDAL, COR PRETA, SEM ROSCA, DE 2",  PARA CABEAMENTO SUBTERRANEO (NBR 15715)</t>
  </si>
  <si>
    <t>ENDURECEDOR MINERAL DE BASE CIMENTICIA PARA PISO DE CONCRETO</t>
  </si>
  <si>
    <t>FECHADURA DE EMBUTIR PARA PORTA DE BANHEIRO, TIPO TRANQUETA, MAQUINA 40 MM, MACANETAS ALAVANCA, ESPELHO EM METAL CROMADO - NIVEL SEGURANCA MEDIO - COMPLETA</t>
  </si>
  <si>
    <t>FECHADURA DE EMBUTIR PARA PORTA EXTERNA, MAQUINA 40 MM, COM CILINDRO, MACANETA ALAVANCA E ROSETA REDONDA EM METAL CROMADO - NIVEL DE SEGURANCA MEDIO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</si>
  <si>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</si>
  <si>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</si>
  <si>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GRANILHA/ GRANA/ PEDRISCO OU AGREGADO EM MARMORE/ GRANITO/ QUARTZO E CALCARIO, PRETO, CINZA, PALHA OU BRANCO</t>
  </si>
  <si>
    <t>GRANITO PARA BANCADA, POLIDO, TIPO ANDORINHA/ QUARTZ/ CASTELO/ CORUMBA OU OUTROS EQUIVALENTES DA REGIAO, E=  *2,5* CM</t>
  </si>
  <si>
    <t>GUARNICAO/ ALIZAR/ VISTA MACICA, E= *1* CM, L= *4,5* CM, EM CEDRINHO/ ANGELIM COMERCIAL/  EUCALIPTO/ CURUPIXA/ PEROBA/ CUMARU OU EQUIVALENTE DA REGIAO</t>
  </si>
  <si>
    <t>LAMPADA FLUORESCENTE COMPACTA 2U BRANCA 15 W, BASE E27 (127/220 V)</t>
  </si>
  <si>
    <t>LUMINARIA PLAFON REDONDO COM VIDRO FOSCO DIAMETRO *30* CM, PARA 2 LAMPADAS, BASE E27, POTENCIA MAXIMA 40/60 W (NAO INCLUI LAMPADAS)</t>
  </si>
  <si>
    <t>MASSA PLASTICA PARA MARMORE/GRANITO</t>
  </si>
  <si>
    <t>PINO DE ACO COM FURO, HASTE = 27 MM (ACAO DIRETA)</t>
  </si>
  <si>
    <t>PISO DE BORRACHA PASTILHADO EM PLACAS 50 X 50 CM, E = *3,5* MM, PARA COLA, PRETO</t>
  </si>
  <si>
    <t>PREGO DE ACO POLIDO COM CABECA DUPLA 17 X 27 (2 1/2 X 11)</t>
  </si>
  <si>
    <t>PREGO DE ACO POLIDO SEM CABECA 15 X 15 (1 1/4 X 13)</t>
  </si>
  <si>
    <t>PULSADOR CAMPAINHA 10A, 250V (APENAS MODULO)</t>
  </si>
  <si>
    <t>REDUTOR TIPO THINNER PARA ACABAMENTO</t>
  </si>
  <si>
    <t>RODAPE DE MADEIRA MACICA CUMARU/IPE CHAMPANHE OU EQUIVALENTE DA REGIAO, *1,5 X 7 CM</t>
  </si>
  <si>
    <t>SUPORTE MAO-FRANCESA EM ACO, ABAS IGUAIS 40 CM, CAPACIDADE MINIMA 70 KG, BRANCO</t>
  </si>
  <si>
    <t>TAMPAO FOFO ARTICULADO, CLASSE D400 CARGA MAX 40 T, REDONDO TAMPA *600 MM, REDE PLUVIAL/ESGOTO</t>
  </si>
  <si>
    <t>TE MISTURADOR DE TRANSICAO, CPVC, COM ROSCA, 22 MM X 3/4", PARA AGUA QUENTE</t>
  </si>
  <si>
    <t>TELA DE ACO SOLDADA GALVANIZADA/ZINCADA PARA ALVENARIA, FIO D = *1,20 A 1,70* MM, MALHA 15 X 15 MM, (C X L) *50 X 7,5* CM</t>
  </si>
  <si>
    <t>TELA DE ARAME GALVANIZADA QUADRANGULAR / LOSANGULAR, FIO 2,77 MM (12 BWG), MALHA 5 X 5 CM, H = 2 M</t>
  </si>
  <si>
    <t>TELA EM METAL PARA ESTUQUE (DEPLOYE)</t>
  </si>
  <si>
    <t>TELA PLASTICA LARANJA, TIPO TAPUME PARA SINALIZACAO, MALHA RETANGULAR, ROLO 1.20 X 50 M (L X C)</t>
  </si>
  <si>
    <t>TELHA TRAPEZOIDAL EM ACO ZINCADO, SEM PINTURA, ALTURA DE APROXIMADAMENTE 40 MM, ESPESSURA DE 0,50 MM E LARGURA UTIL DE 980 MM</t>
  </si>
  <si>
    <t>TUBO ACO CARBONO SEM COSTURA 8", E= *8,18 MM, SCHEDULE 40, *42,55 KG/M</t>
  </si>
  <si>
    <t>TUBO CPVC, SOLDAVEL, 22 MM, AGUA QUENTE PREDIAL (NBR 15884)</t>
  </si>
  <si>
    <t>TUBO CPVC, SOLDAVEL, 28 MM, AGUA QUENTE PREDIAL (NBR 15884)</t>
  </si>
  <si>
    <t>TUBO MULTICAMADA PEX, DN *26* MM, PARA INSTALACOES A GAS (AMARELO)</t>
  </si>
  <si>
    <t>TUBO MULTICAMADA PEX, DN 20 MM, PARA INSTALACOES A GAS (AMARELO)</t>
  </si>
  <si>
    <t>VEU POLIESTER</t>
  </si>
  <si>
    <t>Obs: considerando rendimento informado na especificação técnica de um dos produtos indicados como referência comercial (Lata de 3,6L rende até 75 m²/demão).</t>
  </si>
  <si>
    <t>Obs: considerando rendimento informado na especificação técnica de produto equivalente da Suvinil (Lata de 3,6L rende até 100 m²/demão).</t>
  </si>
  <si>
    <t>Alicate torquês de 8"</t>
  </si>
  <si>
    <t>SF-01235</t>
  </si>
  <si>
    <t>SF-01236</t>
  </si>
  <si>
    <t>SF-01237</t>
  </si>
  <si>
    <t>SF-01238</t>
  </si>
  <si>
    <t>SF-01239</t>
  </si>
  <si>
    <t>SF-01240</t>
  </si>
  <si>
    <t>SF-01241</t>
  </si>
  <si>
    <t>SF-01242</t>
  </si>
  <si>
    <t>SF-01243</t>
  </si>
  <si>
    <t>SF-01244</t>
  </si>
  <si>
    <t>SF-01245</t>
  </si>
  <si>
    <t>SF-01246</t>
  </si>
  <si>
    <t>SF-01247</t>
  </si>
  <si>
    <t>SF-01248</t>
  </si>
  <si>
    <t>SF-01249</t>
  </si>
  <si>
    <t>SF-01250</t>
  </si>
  <si>
    <t>SF-01251</t>
  </si>
  <si>
    <t>SF-01252</t>
  </si>
  <si>
    <t>SF-01253</t>
  </si>
  <si>
    <t>SF-01254</t>
  </si>
  <si>
    <t>SF-01255</t>
  </si>
  <si>
    <t>SF-01256</t>
  </si>
  <si>
    <t>SF-01257</t>
  </si>
  <si>
    <t>SF-01258</t>
  </si>
  <si>
    <t>SF-01259</t>
  </si>
  <si>
    <t>SF-01260</t>
  </si>
  <si>
    <t>SF-01261</t>
  </si>
  <si>
    <t>SF-01262</t>
  </si>
  <si>
    <t>SF-01263</t>
  </si>
  <si>
    <t>SF-01264</t>
  </si>
  <si>
    <t>SF-01265</t>
  </si>
  <si>
    <t>SF-01266</t>
  </si>
  <si>
    <t>SF-01267</t>
  </si>
  <si>
    <t>SF-01268</t>
  </si>
  <si>
    <t>SF-01269</t>
  </si>
  <si>
    <t>SF-01270</t>
  </si>
  <si>
    <t>SF-01271</t>
  </si>
  <si>
    <t>SF-01272</t>
  </si>
  <si>
    <t>SF-01273</t>
  </si>
  <si>
    <t>SF-01274</t>
  </si>
  <si>
    <t>SF-01275</t>
  </si>
  <si>
    <t>SF-01276</t>
  </si>
  <si>
    <t>SF-01277</t>
  </si>
  <si>
    <t>SF-01278</t>
  </si>
  <si>
    <t>SF-01279</t>
  </si>
  <si>
    <t>SF-01280</t>
  </si>
  <si>
    <t>SF-01281</t>
  </si>
  <si>
    <t>SF-01282</t>
  </si>
  <si>
    <t>SF-01283</t>
  </si>
  <si>
    <t>SF-01284</t>
  </si>
  <si>
    <t>SF-01285</t>
  </si>
  <si>
    <t>SF-01286</t>
  </si>
  <si>
    <t>SF-01287</t>
  </si>
  <si>
    <t>SF-01288</t>
  </si>
  <si>
    <t>SF-01289</t>
  </si>
  <si>
    <t>SF-01290</t>
  </si>
  <si>
    <t>SF-01291</t>
  </si>
  <si>
    <t>Bancada em granito cinza andorinha polido - 2,40 m x 0,60 m</t>
  </si>
  <si>
    <t>Bancada em granito cinza andorinha polido - 2,50 m x 0,60 m</t>
  </si>
  <si>
    <t>Pedido de autorização ambiental para desativação do posto de combustíveis</t>
  </si>
  <si>
    <t>Relatório de Investigação de Passivo Ambiental - RIPA</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</si>
  <si>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</si>
  <si>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</si>
  <si>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</si>
  <si>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</si>
  <si>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8mm</t>
  </si>
  <si>
    <t>Perfil em alumínio para acabamento de trilho superior - Vidro temperado 8mm</t>
  </si>
  <si>
    <t>Capa do Perfil Guia Inferior “Click” - Vidro temperado 8mm</t>
  </si>
  <si>
    <t>Perfil guia inferior de alumínio para porta de giro em vidro temperado 8mm</t>
  </si>
  <si>
    <t>Perfil guia inferior de alumínio para porta de correr em vidro temperado 8mm</t>
  </si>
  <si>
    <t>Trilho superior em alumínio 53,8mm x 49,6mm, para vidro temperado</t>
  </si>
  <si>
    <t>Perfil em alumínio, tipo U - 10,5 x 20mm - para box de vidro temperado 8mm</t>
  </si>
  <si>
    <t>Perfil em alumínio , tipo U –  14 x 20mm - para box de vidro temperado 8mm</t>
  </si>
  <si>
    <t>Bacia convencional – Linha Residencial</t>
  </si>
  <si>
    <t>Bidê 3 furos - Linha Residencial</t>
  </si>
  <si>
    <t>Divisória de Vidro temperado para box de CORRER e ferragens – Linha Residencial</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</si>
  <si>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</si>
  <si>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</si>
  <si>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</si>
  <si>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</si>
  <si>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</si>
  <si>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</si>
  <si>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</si>
  <si>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</si>
  <si>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</si>
  <si>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</si>
  <si>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</si>
  <si>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</si>
  <si>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Remoção de boiler</t>
  </si>
  <si>
    <t>Remoção de tacos de madeira</t>
  </si>
  <si>
    <t>Cerâmica 30x60cm - Glacier White - Portobello – Linha Residencial</t>
  </si>
  <si>
    <t>Instalação de tacos de madeira reaproveitados</t>
  </si>
  <si>
    <t>Cortina de linho sintético / BLECAUTE COM VARÃO – Linha Residencial</t>
  </si>
  <si>
    <t>Cortina de linho sintético / BLECAUTE SEM VARÃO – Linha Residencial</t>
  </si>
  <si>
    <t>Cortina de linho sintético / FORRO COM VARÃO – Linha Residencial</t>
  </si>
  <si>
    <t>Cortina de linho sintético / FORRO SEM VARÃO – Linha Residencial</t>
  </si>
  <si>
    <t>Instalação de cortinas reaproveitadas</t>
  </si>
  <si>
    <t>Tubo CPVC soldável 22mm – Linha Residencial</t>
  </si>
  <si>
    <t>Tubo CPVC soldável 28mm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</si>
  <si>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</si>
  <si>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</si>
  <si>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</si>
  <si>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</si>
  <si>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</si>
  <si>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</si>
  <si>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</si>
  <si>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</si>
  <si>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</si>
  <si>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Acabamento Passa-fio 59mm</t>
  </si>
  <si>
    <t>Difusor em acrílico e aro metálico para luminárias (modelo Edifício Principal - INTERIOR)</t>
  </si>
  <si>
    <t>Difusor em acrílico e aro metálico para luminárias (modelo Edifício Principal - EXTERIOR)</t>
  </si>
  <si>
    <t>Difusor em acrílico e presilhas metálicas para luminárias (modelo Comissões)</t>
  </si>
  <si>
    <t>SF-01292</t>
  </si>
  <si>
    <t>SF-01293</t>
  </si>
  <si>
    <t>SF-01294</t>
  </si>
  <si>
    <t>ARAME RECOZIDO 16 BWG, D = 1,65 MM (0,016 KG/M) OU 18 BWG, D = 1,25 MM (0,01 KG/M)</t>
  </si>
  <si>
    <t>ARGAMASSA COLANTE TIPO AC III E</t>
  </si>
  <si>
    <t>BLOCO CERAMICO VAZADO PARA ALVENARIA DE VEDACAO, DE 9 X 19 X 19 CM (L X A X C)</t>
  </si>
  <si>
    <t>BLOCO DE CONCRETO ESTRUTURAL 9 X 19 X 39 CM, FBK 4,5 MPA (NBR 6136)</t>
  </si>
  <si>
    <t>BLOCO DE VEDACAO DE CONCRETO, 9 X 19 X 39 CM (CLASSE C - NBR 6136)</t>
  </si>
  <si>
    <t>REJUNTE EPOXI, QUALQUER COR</t>
  </si>
  <si>
    <t>TIJOLO CERAMICO MACICO COMUM *5 X 10 X 20* CM (L X A X C)</t>
  </si>
  <si>
    <t>TUBO ACO CARBONO SEM COSTURA 1 1/4", E= *3,56 MM, SCHEDULE 40, *3,38* KG/M</t>
  </si>
  <si>
    <t>TUBO ACO CARBONO SEM COSTURA 1", E= *3,38 MM, SCHEDULE 40, *2,50* KG/M</t>
  </si>
  <si>
    <t>TUBO ACO CARBONO SEM COSTURA 5", E= *6,55 MM, SCHEDULE 40, *21,75* KG/M</t>
  </si>
  <si>
    <t>TRANSPORTE COM CAMINHÃO BASCULANTE DE 6 M³, EM VIA URBANA PAVIMENTADA, DMT ATÉ 30 KM (UNIDADE: TXKM). AF_07/2020</t>
  </si>
  <si>
    <t>TRANSPORTE COM CAMINHÃO BASCULANTE DE 6 M³, EM VIA URBANA PAVIMENTADA, DMT ATÉ 30 KM (UNIDADE: M3XKM). AF_07/2020</t>
  </si>
  <si>
    <t>CARGA, MANOBRA E DESCARGA DE SOLOS E MATERIAIS GRANULARES EM CAMINHÃO BASCULANTE 6 M³ - CARGA COM PÁ CARREGADEIRA (CAÇAMBA DE 1,7 A 2,8 M³ / 128 HP) E DESCARGA LIVRE (UNIDADE: M3). AF_07/2020</t>
  </si>
  <si>
    <t>Rejunte cimenticio, qualquer cor</t>
  </si>
  <si>
    <t>Argamassa colante tipo AC III</t>
  </si>
  <si>
    <t>Argamassa colante AC II</t>
  </si>
  <si>
    <t>Rejunte epoxi, qualquer cor</t>
  </si>
  <si>
    <t>Telha estrutural de fibrocimento esp. 8 mm largura útil 49 cm</t>
  </si>
  <si>
    <t>Massa rápida para recuperação</t>
  </si>
  <si>
    <t>Argamassa para recuperação</t>
  </si>
  <si>
    <t>Primer à base de resina acrílica</t>
  </si>
  <si>
    <t>Cumeeira metálica galvanizada GR 25 com espessura de 0,43 mm.</t>
  </si>
  <si>
    <t>Cumeeira metálica galvanizada GR 40 com espessura de 0,43 mm.</t>
  </si>
  <si>
    <t>Revestimento impermabilizante bloqueador de umidade</t>
  </si>
  <si>
    <t>Obs 1: Considerando consumo do adesivo estrutural 1,8 kg / m² / mm.</t>
  </si>
  <si>
    <t>Obs 2: Considerando consumo do selante 100 ml / cm de espessura.</t>
  </si>
  <si>
    <t>Folha de porta em madeira 2,10x0,60m, pintada</t>
  </si>
  <si>
    <t>Folha de porta em madeira 2,10x0,70m, pintada</t>
  </si>
  <si>
    <t>Folha de porta em madeira 2,10x0,80m, pintada</t>
  </si>
  <si>
    <t>Folha de porta em madeira 2,10x0,90m, pintada</t>
  </si>
  <si>
    <t>Folha de porta em madeira 2,10x1,0m, pintada</t>
  </si>
  <si>
    <t>Folha de porta em madeira e MDF 2,10x0,60m</t>
  </si>
  <si>
    <t>Folha de porta em madeira e MDF 2,10x0,70m</t>
  </si>
  <si>
    <t>Folha de porta em madeira e MDF 2,10x0,80m</t>
  </si>
  <si>
    <t>Folha de porta em madeira e MDF 2,10x0,90m</t>
  </si>
  <si>
    <t>Batentes e guarnições em madeira, com verniz ou esmalte</t>
  </si>
  <si>
    <t>Batedor/limitador inferior para box de correr, em material polimérico sintético</t>
  </si>
  <si>
    <t>Batedor/amortecedor lateral de borracha para box de correr.</t>
  </si>
  <si>
    <t>Batedor/limitador superior para roldana de box de correr, em material polimérico sintético</t>
  </si>
  <si>
    <t>Fonte: http://www.alpuxadores.com.br/baixar/catalogo.pdf</t>
  </si>
  <si>
    <t>Ref.: AL Indústria Ref.: AL-63</t>
  </si>
  <si>
    <t>Ref.: AL Indústria Ref.: AL-BX-02</t>
  </si>
  <si>
    <t>Ref.: AL Indústria Ref.: AL-BX-07</t>
  </si>
  <si>
    <t>Ref.: AL Indústria Ref.: AL-BX-08</t>
  </si>
  <si>
    <t>Ref.: AL Indústria Ref.: AL-BX-03</t>
  </si>
  <si>
    <t>Ref.: AL Indústria Ref.: AL-BX-01</t>
  </si>
  <si>
    <t>Ref.: AL Indústria Ref.: AL-BX-05</t>
  </si>
  <si>
    <t>Ref.: AL Indústria Ref.: AL-BX-06</t>
  </si>
  <si>
    <t>Misturador de mesa para cozinha, bica móvel, cromado. Ref.: Deca Aspen 1256.C35 ou equivalente</t>
  </si>
  <si>
    <t>Misturador para bidê, ref: Deca Aspen 1895.C35 ou equivalente</t>
  </si>
  <si>
    <t>Bidê 3 furos branco ref: Deca Vogue Plus B.5.17 ou equivalente</t>
  </si>
  <si>
    <t>Chuveiro de metal cromado com tubo de parede, crivo regulável e restritor de vazão. Ref.: Deca Aspen 1967.C.CT ou equivalente</t>
  </si>
  <si>
    <t>Bacia Sanitária convencional branca ref: Deca Vogue Plus P.5.17 ou equivalente</t>
  </si>
  <si>
    <t>Misturador para lavatório de mesa bica alta, cromado. Ref.: Deca Aspen 1877.C35 ou equivalente</t>
  </si>
  <si>
    <t>Misturador de parede para cozinha, cromada. Ref.: Deca Aspen 1258.C35 ou equivalente</t>
  </si>
  <si>
    <t>Dobradiça metálica automática para vidro/vidro, utilizada em Box de vidro temperado, com porta de abrir. Ref.: Santa Marina, 1129.</t>
  </si>
  <si>
    <t>Lâmpada fluorescente compacta, 23W, ref: OSRAM Duluxstar DST STICK 23 W/865 220V E27</t>
  </si>
  <si>
    <t>Luminária tipo arandela, de sobrepor, dimensões (em mm) 250 x 250 x 73, base E27. Ref.: Taschibra-Arandela Embaú; Bronzearte - Bambu</t>
  </si>
  <si>
    <t>Base de válvula de descarga 1 1/2”</t>
  </si>
  <si>
    <t>Base de válvula de descarga 1 1/4”</t>
  </si>
  <si>
    <t>Cerâmica 30x60xm Glacier White (26109E) – Linha White Home – Portobello, ou similar</t>
  </si>
  <si>
    <t>Aquecedor elétrico individual automático, 5000W, 220V</t>
  </si>
  <si>
    <t>Prateleira com base em resina, com acabamento cromado. Ref: Deca Flex 2031.C.FLX ou equivalente</t>
  </si>
  <si>
    <t>Saboneteira com base em resina de alta resistência com espessura com acabamento cromado. Ref: Deca Flex 2010.C.FLX ou equivalente</t>
  </si>
  <si>
    <t>Campainha eletrônica de dois tons, 70 dB,  220V</t>
  </si>
  <si>
    <t>SF-01295</t>
  </si>
  <si>
    <t>Bandeira de porta, em madeira e MDF</t>
  </si>
  <si>
    <t>SF-01296</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</si>
  <si>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</si>
  <si>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</si>
  <si>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</si>
  <si>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</si>
  <si>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</si>
  <si>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</si>
  <si>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</si>
  <si>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</si>
  <si>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</si>
  <si>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</si>
  <si>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</si>
  <si>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</si>
  <si>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</si>
  <si>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</si>
  <si>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</si>
  <si>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</si>
  <si>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</si>
  <si>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</si>
  <si>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</si>
  <si>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</si>
  <si>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</si>
  <si>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</si>
  <si>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</si>
  <si>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</si>
  <si>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</si>
  <si>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</si>
  <si>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</si>
  <si>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SF-01310</t>
  </si>
  <si>
    <t>Cambota elastomérica de 8”</t>
  </si>
  <si>
    <t>SF-01311</t>
  </si>
  <si>
    <t>Curva raio curto 45° em aço carbono para solda de topo DN 125 (5" NPS)</t>
  </si>
  <si>
    <t>SF-01312</t>
  </si>
  <si>
    <t>Curva raio curto 90° em aço carbono para solda de topo DN 125 (5" NPS)</t>
  </si>
  <si>
    <t>SF-01313</t>
  </si>
  <si>
    <t>Curva raio longo 90° em aço carbono para solda de topo DN 125 (5" NPS)</t>
  </si>
  <si>
    <t>SF-01314</t>
  </si>
  <si>
    <t>Curva raio longo 90° em aço carbono para solda de topo DN 200 (8" NPS)</t>
  </si>
  <si>
    <t>SF-01315</t>
  </si>
  <si>
    <t>Eliminador de ar para líquidos DN 20 (3/4" NPS)</t>
  </si>
  <si>
    <t>SF-01316</t>
  </si>
  <si>
    <t>Flange de pescoço, aço carbono, classe 150, DN 125 (5" NPS)</t>
  </si>
  <si>
    <t>SF-01317</t>
  </si>
  <si>
    <t>Isolamento elastomérico para tubulações de ferro de 5”</t>
  </si>
  <si>
    <t>SF-01318</t>
  </si>
  <si>
    <t>Meia luva em aço carbono DN 15 (1/2" NPS)</t>
  </si>
  <si>
    <t>SF-01319</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</si>
  <si>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</si>
  <si>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</si>
  <si>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</si>
  <si>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</si>
  <si>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</si>
  <si>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</si>
  <si>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</si>
  <si>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</si>
  <si>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</si>
  <si>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</si>
  <si>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</si>
  <si>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SF-01325</t>
  </si>
  <si>
    <t>Tê em aço carbono para solda de topo DN 200 (8" NPS)</t>
  </si>
  <si>
    <t>SF-01326</t>
  </si>
  <si>
    <t>Tubo de aço-carbono preto DN 125 (5" NPS)</t>
  </si>
  <si>
    <t>SF-01327</t>
  </si>
  <si>
    <t>Tubo de aço-carbono preto DN 200 (8" NPS)</t>
  </si>
  <si>
    <t>SF-01328</t>
  </si>
  <si>
    <t>Válvula de esfera em bronze 1/2”</t>
  </si>
  <si>
    <t>SF-01329</t>
  </si>
  <si>
    <t>Válvula gaveta com flange DN 125 (5" NPS)</t>
  </si>
  <si>
    <t>SF-01330</t>
  </si>
  <si>
    <t>Ar-condicionado split hi-wall inverter 18.000 BTU/h</t>
  </si>
  <si>
    <t>SF-01331</t>
  </si>
  <si>
    <t>Cabo de fibra óptica monomodo 12 fibras</t>
  </si>
  <si>
    <t>SF-01332</t>
  </si>
  <si>
    <t>Cabo de fibra óptica monomodo 144 fibras</t>
  </si>
  <si>
    <t>SF-01333</t>
  </si>
  <si>
    <t>Caixa de passagem em alumínio 300x300x120mm</t>
  </si>
  <si>
    <t>SF-01334</t>
  </si>
  <si>
    <t>Caixa de Passagem Subterrânea 1600x2000mm</t>
  </si>
  <si>
    <t>SF-01335</t>
  </si>
  <si>
    <t>Projeto Executivo de Rede de Telecomunicações Backbone</t>
  </si>
  <si>
    <t>SF-01336</t>
  </si>
  <si>
    <t>Eletroduto PEAD 2”</t>
  </si>
  <si>
    <t>SF-01337</t>
  </si>
  <si>
    <t>Furo direcional por método não-destrutivo com fornecimento de duto</t>
  </si>
  <si>
    <t>SF-01338</t>
  </si>
  <si>
    <t>Sondagem por Radar de Penetração de Solo - GPR</t>
  </si>
  <si>
    <t>SF-01339</t>
  </si>
  <si>
    <t>Tampa em Ferro Fundido - Circular DN-600 mm Classe 400</t>
  </si>
  <si>
    <t>Cambota elastomérica de 8" para suporte de tubulação industrial</t>
  </si>
  <si>
    <t>Curva raio curto 45° em aço carbono para solda de topo, SCH 40, DN 125 (5" NPS)</t>
  </si>
  <si>
    <t>Curva raio curto 90° em aço carbono para solda de topo, SCH 40, DN 125 (5" NPS)</t>
  </si>
  <si>
    <t>Curva raio longo 90° em aço carbono para solda de topo, SCH 40, DN 125 (5" NPS)</t>
  </si>
  <si>
    <t>Curva raio longo 90° em aço carbono para solda de topo, SCH 40, DN 200 (8" NPS)</t>
  </si>
  <si>
    <t>Eliminador de ar para líquidos com pressão máxima de operação de 10,5 kgf/cm2 (150 psi), DN 20 (3/4" NPS), conexão roscada</t>
  </si>
  <si>
    <t>Flange de pescoço em aço carbono, classe 150, DN 125 (5" NPS)</t>
  </si>
  <si>
    <t>isolamento elastomérico em formato de tubo ou coquilha de espessura M, próprio para tubulações de ferro de diâmetro nominal 5”. Ref.: AF/Armaflex M-48, K-Flex ST</t>
  </si>
  <si>
    <t>Meia luva em aço carbono, classe 3000 lbs, rosca BSP ou NPT, DN 15 (1/2" NPS)</t>
  </si>
  <si>
    <t>Redução concêntrica em aço carbono para solda de topo, SCH 40, diâmetro DN 200 (8" NPS) × DN 125 (5" NPS)</t>
  </si>
  <si>
    <t>Tê em aço carbono para solda de topo, SCH 40, diâmetro DN 200 (8" NPS)</t>
  </si>
  <si>
    <t>Cabo constituído por 12 fibras ópticas do tipo monomodo (9/125μm)</t>
  </si>
  <si>
    <t>Cabo constituído por 144 fibras ópticas do tipo monomodo (9/125μm)</t>
  </si>
  <si>
    <t>Chuveiro elétrico 7800W, 220V. Ref: Lorenzetti Acqua Storm Ultra</t>
  </si>
  <si>
    <t>FABRICAÇÃO DE FÔRMA PARA VIGAS, EM CHAPA DE MADEIRA COMPENSADA RESINADA, E = 17 MM. AF_09/2020</t>
  </si>
  <si>
    <t>FABRICAÇÃO DE FÔRMA PARA PILARES E ESTRUTURAS SIMILARES, EM MADEIRA SERRADA, E=25 MM. AF_09/2020</t>
  </si>
  <si>
    <t>FABRICAÇÃO DE ESCORAS DE VIGA DO TIPO GARFO, EM MADEIRA. AF_09/2020</t>
  </si>
  <si>
    <t>Obs.2: Inclusão de composições (abertas) Sinapi 100973 e 97914.</t>
  </si>
  <si>
    <t>Armário em MDF laminado com porta e módulo de gaveta – Linha Residencial</t>
  </si>
  <si>
    <t>BARRA DE FERRO CHATA, RETANGULAR (QUALQUER BITOLA)</t>
  </si>
  <si>
    <t>GESSO EM PO PARA REVESTIMENTOS/MOLDURAS/SANCAS E USO GERAL</t>
  </si>
  <si>
    <t>LONA PLASTICA EXTRA FORTE PRETA, E = 200 MICRA</t>
  </si>
  <si>
    <t>MASSA DE REJUNTE EM PO PARA DRYWALL, A BASE DE GESSO, SECAGEM RAPIDA, PARA TRATAMENTO DE JUNTAS DE CHAPA DE GESSO (NECESSITA ADICAO DE AGUA)</t>
  </si>
  <si>
    <t>MEIO-FIO OU GUIA DE CONCRETO, PRE-MOLDADO, COMP 1 M, *30 X 12/15* CM (H X L1/L2)</t>
  </si>
  <si>
    <t>PLACA / CHAPA DE GESSO ACARTONADO, STANDARD (ST), COR BRANCA, E = 12,5 MM, 1200 X 2400 MM (L X C)</t>
  </si>
  <si>
    <t>PLACA DE GESSO PARA FORRO, *60 X 60* CM, ESPESSURA DE 12 MM (SEM COLOCACAO)</t>
  </si>
  <si>
    <t>PONTALETE *7,5 X 7,5* CM EM PINUS, MISTA OU EQUIVALENTE DA REGIAO - BRUTA</t>
  </si>
  <si>
    <t>SARRAFO *2,5 X 10* CM EM PINUS, MISTA OU EQUIVALENTE DA REGIAO - BRUTA</t>
  </si>
  <si>
    <t>SARRAFO *2,5 X 7,5* CM EM PINUS, MISTA OU EQUIVALENTE DA REGIAO - BRUTA</t>
  </si>
  <si>
    <t>TABUA *2,5 X 30 CM EM PINUS, MISTA OU EQUIVALENTE DA REGIAO - BRUTA</t>
  </si>
  <si>
    <t>SF-01340</t>
  </si>
  <si>
    <t>Válvula solenóide para gás</t>
  </si>
  <si>
    <t>SF-01341</t>
  </si>
  <si>
    <t>Coletor de gás</t>
  </si>
  <si>
    <t>SF-01342</t>
  </si>
  <si>
    <t>Tubo multicamadas flexível 20 mm</t>
  </si>
  <si>
    <t>SF-01343</t>
  </si>
  <si>
    <t>Tubo multicamadas flexível 26 mm</t>
  </si>
  <si>
    <t>SF-01344</t>
  </si>
  <si>
    <t>Regulador de Pressão para Gás</t>
  </si>
  <si>
    <t>SF-01345</t>
  </si>
  <si>
    <t>SF-01346</t>
  </si>
  <si>
    <t>Elaboração de Projeto Executivo de Subestação Elétrica em Poste</t>
  </si>
  <si>
    <t>Subestação Elétrica 13,8-0,38kV e 300 kVA em poste completa, conforme normas da CEB-D, com mureta de medição e proteção em baixa tensão</t>
  </si>
  <si>
    <t>PREÇO TOTAL</t>
  </si>
  <si>
    <t>SF-01380</t>
  </si>
  <si>
    <t>Relatório técnico de qualidade do ar</t>
  </si>
  <si>
    <t>SF-01379</t>
  </si>
  <si>
    <t>Detector de fumaça</t>
  </si>
  <si>
    <t>FECHADURA ESPELHO PARA PORTA EXTERNA, EM ACO INOX (MAQUINA, TESTA E CONTRA-TESTA) E EM ZAMAC (MACANETA, LINGUETA E TRINCOS) COM ACABAMENTO CROMADO, MAQUINA DE 40 MM, INCLUINDO CHAVE TIPO CILINDRO</t>
  </si>
  <si>
    <t>LOCACAO DE ANDAIME METALICO TUBULAR DE ENCAIXE, TIPO DE TORRE, COM LARGURA DE 1 ATE 1,5 M E ALTURA DE *1,00* M (INCLUSO SAPATAS FIXAS OU RODIZIOS)</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</si>
  <si>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</si>
  <si>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</si>
  <si>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</si>
  <si>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</si>
  <si>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</si>
  <si>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</si>
  <si>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LAMINADO NATURAL PARA VERNIZ</t>
  </si>
  <si>
    <t>PUXADOR TIPO ALCA, EM ZAMAC CROMADO, COM ROSETAS, COMPRIMENTO DE APROX *100* MM, PARA PORTAS E JANELAS DE MADEIRA, INCLUINDO PARAFUSOS</t>
  </si>
  <si>
    <t>TARJETA LIVRE / OCUPADO PARA PORTA DE BANHEIRO, CORPO EM ZAMAC E ESPELHO EM LATAO</t>
  </si>
  <si>
    <t>TINTA EPOXI BASE AGUA PREMIUM, BRANCA</t>
  </si>
  <si>
    <t>SF-01381</t>
  </si>
  <si>
    <t>SF-01382</t>
  </si>
  <si>
    <t>SF-01383</t>
  </si>
  <si>
    <t>Laminado fenólico melamínico texturizado - Preto</t>
  </si>
  <si>
    <t>Compensado Laminado de Imbuia em duas faces - 15 mm</t>
  </si>
  <si>
    <t>Compensado Laminado de Freijó em duas faces - 15 mm</t>
  </si>
  <si>
    <t>Compensado Laminado de cerejeira em uma face - 04 mm</t>
  </si>
  <si>
    <t>Compensado Laminado de Imbuia em uma face - 04 mm</t>
  </si>
  <si>
    <t>Compensado Laminado de Freijó em uma face - 04 mm</t>
  </si>
  <si>
    <t>Lâmina de Madeira - Freijó</t>
  </si>
  <si>
    <t>Selante Acrílico</t>
  </si>
  <si>
    <t>Tubo PVC, serie R, DN 40 mm, para esgoto ou aguas pluviais prediais (NBR 5688)</t>
  </si>
  <si>
    <t>Tubo PVC, serie R, DN 50 mm, para esgoto ou aguas pluviais prediais (NBR 5688)</t>
  </si>
  <si>
    <t>Reforma do Centro de Treinamento da SPOL</t>
  </si>
  <si>
    <t>Data: Maio de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</si>
</sst>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R$&quot;\ * #,##0.00_-;\-&quot;R$&quot;\ * #,##0.00_-;_-&quot;R$&quot;\ * &quot;-&quot;??_-;_-@_-"/>
    <numFmt numFmtId="43" formatCode="_-* #,##0.00_-;\-* #,##0.00_-;_-* &quot;-&quot;??_-;_-@_-"/>
    <numFmt numFmtId="164" formatCode="_-&quot;R$&quot;* #,##0.00_-;\-&quot;R$&quot;* #,##0.00_-;_-&quot;R$&quot;* &quot;-&quot;??_-;_-@_-"/>
    <numFmt numFmtId="167" formatCode="_(* #,##0.00_);_(* \(#,##0.00\);_(* \-??_);_(@_)"/>
    <numFmt numFmtId="168" formatCode="_(&quot;R$&quot;* #,##0.00_);_(&quot;R$&quot;* \(#,##0.00\);_(&quot;R$&quot;* &quot;-&quot;??_);_(@_)"/>
    <numFmt numFmtId="169" formatCode="0.0000"/>
    <numFmt numFmtId="170" formatCode="#,##0.0000"/>
    <numFmt numFmtId="171" formatCode="_(* #,##0.00_);_(* \(#,##0.00\);_(* &quot;-&quot;??_);_(@_)"/>
    <numFmt numFmtId="173" formatCode="#,##0.0000000"/>
    <numFmt numFmtId="174" formatCode="&quot;Data-base SINAPI&quot;\ mm/yyyy"/>
    <numFmt numFmtId="175" formatCode="#,##0.00;;"/>
    <numFmt numFmtId="176" formatCode="#,##0;;"/>
    <numFmt numFmtId="177" formatCode="&quot;R$&quot;\ #,##0.00;[Red]&quot;R$&quot;\ #,##0.00"/>
    <numFmt numFmtId="182" formatCode="_([$R$ -416]* #,##0.00_);_([$R$ -416]* \(#,##0.00\);_([$R$ -416]* &quot;-&quot;??_);_(@_)"/>
  </numFmts>
  <fonts count="36" x14ac:knownFonts="1">
    <font>
      <sz val="11"/>
      <color theme="1"/>
      <name val="Calibri"/>
      <family val="2"/>
      <scheme val="minor"/>
    </font>
    <font>
      <sz val="11"/>
      <color theme="1"/>
      <name val="Calibri"/>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1"/>
      <name val="Arial"/>
      <family val="2"/>
    </font>
    <font>
      <u/>
      <sz val="11"/>
      <color theme="10"/>
      <name val="Calibri"/>
      <family val="2"/>
      <scheme val="minor"/>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1"/>
      <name val="Arial"/>
      <family val="2"/>
    </font>
    <font>
      <b/>
      <sz val="14"/>
      <name val="Arial"/>
      <family val="2"/>
    </font>
    <font>
      <sz val="12"/>
      <name val="Arial"/>
      <family val="2"/>
    </font>
    <font>
      <sz val="11"/>
      <color theme="1"/>
      <name val="Arial"/>
      <family val="2"/>
    </font>
    <font>
      <b/>
      <sz val="11"/>
      <color rgb="FFFF0000"/>
      <name val="Arial"/>
      <family val="2"/>
    </font>
    <font>
      <b/>
      <sz val="10"/>
      <color theme="1"/>
      <name val="Arial"/>
      <family val="2"/>
    </font>
    <font>
      <u/>
      <sz val="8"/>
      <color indexed="12"/>
      <name val="Arial"/>
      <family val="2"/>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sz val="11"/>
      <color theme="0"/>
      <name val="Arial"/>
      <family val="2"/>
    </font>
    <font>
      <b/>
      <u/>
      <sz val="11"/>
      <color theme="1"/>
      <name val="Arial"/>
      <family val="2"/>
    </font>
    <font>
      <sz val="10"/>
      <color theme="1"/>
      <name val="Arial"/>
      <family val="2"/>
    </font>
    <font>
      <u/>
      <sz val="10"/>
      <color indexed="12"/>
      <name val="Arial"/>
      <family val="2"/>
    </font>
    <font>
      <u/>
      <sz val="7.5"/>
      <color indexed="12"/>
      <name val="Arial"/>
      <family val="2"/>
    </font>
    <font>
      <u/>
      <sz val="10"/>
      <color theme="10"/>
      <name val="Arial"/>
      <family val="2"/>
    </font>
    <font>
      <u/>
      <sz val="7.5"/>
      <color indexed="12"/>
      <name val="Calibri"/>
      <family val="2"/>
    </font>
  </fonts>
  <fills count="6">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s>
  <borders count="2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auto="1"/>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s>
  <cellStyleXfs count="4790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167" fontId="2" fillId="0" borderId="0" applyFont="0" applyFill="0" applyAlignment="0" applyProtection="0"/>
    <xf numFmtId="168" fontId="2" fillId="0" borderId="0" applyFont="0" applyFill="0" applyBorder="0" applyAlignment="0" applyProtection="0"/>
    <xf numFmtId="0" fontId="9" fillId="0" borderId="0" applyNumberForma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2" fillId="0" borderId="0"/>
    <xf numFmtId="43" fontId="1" fillId="0" borderId="0" applyFont="0" applyFill="0" applyBorder="0" applyAlignment="0" applyProtection="0"/>
    <xf numFmtId="44"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0" fontId="2" fillId="0" borderId="0">
      <protection locked="0"/>
    </xf>
    <xf numFmtId="9" fontId="2"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32" fillId="0" borderId="0" applyNumberFormat="0" applyFill="0" applyBorder="0" applyAlignment="0" applyProtection="0">
      <alignment vertical="top"/>
      <protection locked="0"/>
    </xf>
    <xf numFmtId="0" fontId="2" fillId="0" borderId="0">
      <protection locked="0"/>
    </xf>
    <xf numFmtId="43" fontId="2" fillId="0" borderId="0" applyFont="0" applyFill="0" applyBorder="0" applyAlignment="0" applyProtection="0"/>
    <xf numFmtId="9" fontId="2" fillId="0" borderId="0" applyFont="0" applyFill="0" applyBorder="0" applyAlignment="0" applyProtection="0"/>
    <xf numFmtId="0" fontId="2" fillId="0" borderId="0"/>
    <xf numFmtId="182" fontId="2" fillId="0" borderId="0"/>
    <xf numFmtId="0" fontId="2" fillId="0" borderId="0">
      <protection locked="0"/>
    </xf>
    <xf numFmtId="182" fontId="1" fillId="0" borderId="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33" fillId="0" borderId="0" applyNumberFormat="0" applyFill="0" applyBorder="0" applyAlignment="0" applyProtection="0">
      <alignment vertical="top"/>
      <protection locked="0"/>
    </xf>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0" fontId="2" fillId="0" borderId="0">
      <protection locked="0"/>
    </xf>
    <xf numFmtId="43" fontId="2" fillId="0" borderId="0" applyFont="0" applyFill="0" applyBorder="0" applyAlignment="0" applyProtection="0"/>
    <xf numFmtId="0" fontId="34" fillId="0" borderId="0" applyNumberFormat="0" applyFill="0" applyBorder="0" applyAlignment="0" applyProtection="0">
      <protection locked="0"/>
    </xf>
    <xf numFmtId="164" fontId="2" fillId="0" borderId="0" applyFont="0" applyFill="0" applyBorder="0" applyAlignment="0" applyProtection="0"/>
    <xf numFmtId="43" fontId="2" fillId="0" borderId="0" applyFont="0" applyFill="0" applyBorder="0" applyAlignment="0" applyProtection="0"/>
    <xf numFmtId="182"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0" fontId="1" fillId="0" borderId="0"/>
    <xf numFmtId="0" fontId="32" fillId="0" borderId="0" applyNumberFormat="0" applyFill="0" applyBorder="0" applyAlignment="0" applyProtection="0">
      <alignment vertical="top"/>
      <protection locked="0"/>
    </xf>
    <xf numFmtId="0" fontId="2" fillId="0" borderId="0">
      <protection locked="0"/>
    </xf>
    <xf numFmtId="43" fontId="2" fillId="0" borderId="0" applyFont="0" applyFill="0" applyBorder="0" applyAlignment="0" applyProtection="0"/>
    <xf numFmtId="182"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0" fontId="1" fillId="0" borderId="0"/>
    <xf numFmtId="0" fontId="2" fillId="0" borderId="0">
      <protection locked="0"/>
    </xf>
    <xf numFmtId="43" fontId="2" fillId="0" borderId="0" applyFont="0" applyFill="0" applyBorder="0" applyAlignment="0" applyProtection="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protection locked="0"/>
    </xf>
    <xf numFmtId="43" fontId="2" fillId="0" borderId="0" applyFont="0" applyFill="0" applyBorder="0" applyAlignment="0" applyProtection="0"/>
    <xf numFmtId="9" fontId="2" fillId="0" borderId="0" applyFont="0" applyFill="0" applyBorder="0" applyAlignment="0" applyProtection="0"/>
    <xf numFmtId="0" fontId="35" fillId="0" borderId="0" applyNumberFormat="0" applyFill="0" applyBorder="0" applyAlignment="0" applyProtection="0">
      <alignment vertical="top"/>
      <protection locked="0"/>
    </xf>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82"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82"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82"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2" fillId="0" borderId="0" applyFont="0" applyFill="0" applyBorder="0" applyAlignment="0" applyProtection="0"/>
    <xf numFmtId="43" fontId="2" fillId="0" borderId="0" applyFont="0" applyFill="0" applyBorder="0" applyAlignment="0" applyProtection="0"/>
    <xf numFmtId="182"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0" fontId="9" fillId="0" borderId="0" applyNumberFormat="0" applyFill="0" applyBorder="0" applyAlignment="0" applyProtection="0"/>
    <xf numFmtId="0" fontId="32" fillId="0" borderId="0" applyNumberFormat="0" applyFill="0" applyBorder="0" applyAlignment="0" applyProtection="0">
      <alignment vertical="top"/>
      <protection locked="0"/>
    </xf>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82"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2" fillId="0" borderId="0" applyFont="0" applyFill="0" applyBorder="0" applyAlignment="0" applyProtection="0"/>
    <xf numFmtId="43" fontId="2" fillId="0" borderId="0" applyFont="0" applyFill="0" applyBorder="0" applyAlignment="0" applyProtection="0"/>
    <xf numFmtId="182"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82"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2" fillId="0" borderId="0" applyFont="0" applyFill="0" applyBorder="0" applyAlignment="0" applyProtection="0"/>
    <xf numFmtId="43" fontId="2" fillId="0" borderId="0" applyFont="0" applyFill="0" applyBorder="0" applyAlignment="0" applyProtection="0"/>
    <xf numFmtId="182"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82"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2" fillId="0" borderId="0" applyFont="0" applyFill="0" applyBorder="0" applyAlignment="0" applyProtection="0"/>
    <xf numFmtId="43" fontId="2" fillId="0" borderId="0" applyFont="0" applyFill="0" applyBorder="0" applyAlignment="0" applyProtection="0"/>
    <xf numFmtId="182"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82"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2" fillId="0" borderId="0" applyFont="0" applyFill="0" applyBorder="0" applyAlignment="0" applyProtection="0"/>
    <xf numFmtId="43" fontId="2" fillId="0" borderId="0" applyFont="0" applyFill="0" applyBorder="0" applyAlignment="0" applyProtection="0"/>
    <xf numFmtId="182"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2" fillId="0" borderId="0">
      <protection locked="0"/>
    </xf>
    <xf numFmtId="0" fontId="2" fillId="0" borderId="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cellStyleXfs>
  <cellXfs count="235">
    <xf numFmtId="0" fontId="0" fillId="0" borderId="0" xfId="0"/>
    <xf numFmtId="0" fontId="2" fillId="0" borderId="0" xfId="0" applyFont="1"/>
    <xf numFmtId="0" fontId="3" fillId="0" borderId="0" xfId="0" applyFont="1" applyAlignment="1">
      <alignment horizontal="left" vertical="center"/>
    </xf>
    <xf numFmtId="0" fontId="2" fillId="0" borderId="0" xfId="0" applyFont="1" applyAlignment="1" applyProtection="1">
      <alignment horizontal="center" vertical="center"/>
      <protection locked="0"/>
    </xf>
    <xf numFmtId="0" fontId="0" fillId="0" borderId="0" xfId="0" applyAlignment="1"/>
    <xf numFmtId="0" fontId="0" fillId="0" borderId="0" xfId="0" applyAlignment="1">
      <alignment wrapText="1"/>
    </xf>
    <xf numFmtId="0" fontId="10" fillId="3" borderId="0" xfId="0" applyFont="1" applyFill="1" applyAlignment="1">
      <alignment horizontal="centerContinuous" vertical="distributed"/>
    </xf>
    <xf numFmtId="169" fontId="10" fillId="3" borderId="0" xfId="0" applyNumberFormat="1" applyFont="1" applyFill="1" applyAlignment="1">
      <alignment horizontal="centerContinuous" vertical="distributed"/>
    </xf>
    <xf numFmtId="0" fontId="10" fillId="0" borderId="0" xfId="0" applyFont="1" applyAlignment="1">
      <alignment horizontal="centerContinuous" vertical="distributed"/>
    </xf>
    <xf numFmtId="2" fontId="12" fillId="0" borderId="0" xfId="0" applyNumberFormat="1" applyFont="1" applyAlignment="1">
      <alignment horizontal="center" vertical="center" wrapText="1"/>
    </xf>
    <xf numFmtId="0" fontId="13" fillId="3" borderId="0" xfId="0" applyFont="1" applyFill="1" applyAlignment="1">
      <alignment horizontal="centerContinuous" vertical="center" wrapText="1"/>
    </xf>
    <xf numFmtId="0" fontId="14" fillId="3" borderId="0" xfId="0" applyFont="1" applyFill="1" applyAlignment="1">
      <alignment horizontal="centerContinuous" vertical="center" wrapText="1"/>
    </xf>
    <xf numFmtId="169" fontId="14" fillId="3" borderId="0" xfId="0" applyNumberFormat="1" applyFont="1" applyFill="1" applyAlignment="1">
      <alignment horizontal="centerContinuous"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169" fontId="15" fillId="0" borderId="0" xfId="0" applyNumberFormat="1" applyFont="1" applyAlignment="1">
      <alignment horizontal="centerContinuous" vertical="center" wrapText="1"/>
    </xf>
    <xf numFmtId="0" fontId="20" fillId="0" borderId="0" xfId="0" applyFont="1" applyAlignment="1">
      <alignment vertical="center" wrapText="1"/>
    </xf>
    <xf numFmtId="169" fontId="20" fillId="0" borderId="0" xfId="0" applyNumberFormat="1" applyFont="1" applyAlignment="1">
      <alignment vertical="center" wrapText="1"/>
    </xf>
    <xf numFmtId="0" fontId="21" fillId="0" borderId="0" xfId="0" applyFont="1" applyAlignment="1">
      <alignment horizontal="center" vertical="center" wrapText="1"/>
    </xf>
    <xf numFmtId="2" fontId="20" fillId="0" borderId="0" xfId="0" applyNumberFormat="1" applyFont="1" applyAlignment="1">
      <alignment vertical="center" wrapText="1"/>
    </xf>
    <xf numFmtId="0" fontId="17" fillId="3" borderId="9" xfId="0" applyFont="1" applyFill="1" applyBorder="1" applyAlignment="1">
      <alignment horizontal="center" vertical="center" wrapText="1"/>
    </xf>
    <xf numFmtId="0" fontId="17" fillId="3" borderId="10" xfId="0" applyFont="1" applyFill="1" applyBorder="1" applyAlignment="1">
      <alignment horizontal="center" vertical="center" wrapText="1"/>
    </xf>
    <xf numFmtId="169" fontId="17" fillId="3" borderId="10" xfId="0" applyNumberFormat="1" applyFont="1" applyFill="1" applyBorder="1" applyAlignment="1">
      <alignment horizontal="center" vertical="center" wrapText="1"/>
    </xf>
    <xf numFmtId="0" fontId="17" fillId="3" borderId="11" xfId="0" applyFont="1" applyFill="1" applyBorder="1" applyAlignment="1">
      <alignment horizontal="center" vertical="center" wrapText="1"/>
    </xf>
    <xf numFmtId="0" fontId="17" fillId="0" borderId="12" xfId="0" applyFont="1" applyBorder="1" applyAlignment="1">
      <alignment horizontal="center" vertical="center" wrapText="1"/>
    </xf>
    <xf numFmtId="2" fontId="22" fillId="3" borderId="10" xfId="0" applyNumberFormat="1" applyFont="1" applyFill="1" applyBorder="1" applyAlignment="1">
      <alignment horizontal="center" vertical="center" wrapText="1"/>
    </xf>
    <xf numFmtId="0" fontId="3" fillId="0" borderId="8" xfId="3" applyFont="1" applyBorder="1" applyAlignment="1">
      <alignment horizontal="center" vertical="center" wrapText="1"/>
    </xf>
    <xf numFmtId="169" fontId="3" fillId="0" borderId="8" xfId="3" applyNumberFormat="1" applyFont="1" applyBorder="1" applyAlignment="1">
      <alignment vertical="center" wrapText="1"/>
    </xf>
    <xf numFmtId="0" fontId="3" fillId="0" borderId="8" xfId="3" applyFont="1" applyBorder="1" applyAlignment="1">
      <alignment vertical="center" wrapText="1"/>
    </xf>
    <xf numFmtId="0" fontId="3" fillId="0" borderId="5" xfId="3" applyFont="1" applyBorder="1" applyAlignment="1">
      <alignment vertical="center" wrapText="1"/>
    </xf>
    <xf numFmtId="0" fontId="3" fillId="0" borderId="0" xfId="3" applyFont="1" applyAlignment="1">
      <alignment vertical="center" wrapText="1"/>
    </xf>
    <xf numFmtId="168" fontId="2" fillId="0" borderId="0" xfId="5" applyFont="1" applyFill="1" applyBorder="1" applyAlignment="1" applyProtection="1">
      <alignment horizontal="center" vertical="center" wrapText="1"/>
    </xf>
    <xf numFmtId="0" fontId="2" fillId="0" borderId="0" xfId="3" applyAlignment="1">
      <alignment vertical="center" wrapText="1"/>
    </xf>
    <xf numFmtId="169" fontId="2" fillId="0" borderId="0" xfId="3" applyNumberFormat="1" applyAlignment="1">
      <alignment vertical="center" wrapText="1"/>
    </xf>
    <xf numFmtId="168" fontId="2" fillId="0" borderId="0" xfId="5" applyFont="1" applyBorder="1" applyAlignment="1" applyProtection="1">
      <alignment horizontal="center" vertical="center" wrapText="1"/>
    </xf>
    <xf numFmtId="168" fontId="2" fillId="0" borderId="16" xfId="5" applyFont="1" applyFill="1" applyBorder="1" applyAlignment="1" applyProtection="1">
      <alignment horizontal="center" vertical="center" wrapText="1"/>
    </xf>
    <xf numFmtId="0" fontId="2" fillId="0" borderId="0" xfId="0" applyFont="1" applyAlignment="1">
      <alignment horizontal="center" vertical="center" wrapText="1"/>
    </xf>
    <xf numFmtId="169"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168" fontId="7" fillId="4" borderId="16" xfId="5" applyFont="1" applyFill="1" applyBorder="1" applyAlignment="1" applyProtection="1">
      <alignment horizontal="center" vertical="center" wrapText="1"/>
    </xf>
    <xf numFmtId="168" fontId="7" fillId="0" borderId="0" xfId="5" applyFont="1" applyFill="1" applyBorder="1" applyAlignment="1" applyProtection="1">
      <alignment horizontal="center" vertical="center" wrapText="1"/>
    </xf>
    <xf numFmtId="0" fontId="3" fillId="0" borderId="4" xfId="3" applyFont="1" applyBorder="1" applyAlignment="1">
      <alignment horizontal="center" vertical="center" wrapText="1"/>
    </xf>
    <xf numFmtId="168" fontId="3" fillId="0" borderId="8" xfId="3" applyNumberFormat="1" applyFont="1" applyBorder="1" applyAlignment="1">
      <alignment vertical="center" wrapText="1"/>
    </xf>
    <xf numFmtId="168" fontId="2" fillId="0" borderId="0" xfId="5" applyFont="1" applyFill="1" applyBorder="1" applyAlignment="1" applyProtection="1">
      <alignment vertical="center" wrapText="1"/>
    </xf>
    <xf numFmtId="168" fontId="7" fillId="0" borderId="16" xfId="5" applyFont="1" applyFill="1" applyBorder="1" applyAlignment="1" applyProtection="1">
      <alignment horizontal="center" vertical="center" wrapText="1"/>
    </xf>
    <xf numFmtId="168" fontId="3" fillId="0" borderId="16" xfId="5" applyFont="1" applyFill="1" applyBorder="1" applyAlignment="1" applyProtection="1">
      <alignment horizontal="center" vertical="center" wrapText="1"/>
    </xf>
    <xf numFmtId="168" fontId="3" fillId="0" borderId="0" xfId="5" applyFont="1" applyFill="1" applyBorder="1" applyAlignment="1" applyProtection="1">
      <alignment horizontal="center" vertical="center" wrapText="1"/>
    </xf>
    <xf numFmtId="171" fontId="2" fillId="0" borderId="0" xfId="0" applyNumberFormat="1" applyFont="1" applyAlignment="1">
      <alignment horizontal="center" vertical="center" wrapText="1"/>
    </xf>
    <xf numFmtId="0" fontId="3" fillId="0" borderId="0" xfId="0" applyFont="1" applyAlignment="1">
      <alignment horizontal="center" vertical="center" wrapText="1"/>
    </xf>
    <xf numFmtId="168" fontId="3" fillId="0" borderId="8" xfId="3" applyNumberFormat="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wrapText="1"/>
    </xf>
    <xf numFmtId="0" fontId="3" fillId="0" borderId="0" xfId="0" applyFont="1" applyAlignment="1">
      <alignment horizontal="left" vertical="center" wrapText="1"/>
    </xf>
    <xf numFmtId="169" fontId="3" fillId="0" borderId="0" xfId="0" applyNumberFormat="1" applyFont="1" applyAlignment="1">
      <alignment horizontal="left" vertical="center" wrapText="1"/>
    </xf>
    <xf numFmtId="168" fontId="2" fillId="0" borderId="0" xfId="5" applyFont="1" applyBorder="1" applyAlignment="1" applyProtection="1">
      <alignment horizontal="center" vertical="center"/>
    </xf>
    <xf numFmtId="0" fontId="2" fillId="0" borderId="3" xfId="0" applyFont="1" applyBorder="1" applyAlignment="1">
      <alignment horizontal="center" vertical="center" wrapText="1"/>
    </xf>
    <xf numFmtId="168" fontId="5" fillId="0" borderId="16" xfId="5" applyFont="1" applyBorder="1" applyAlignment="1" applyProtection="1">
      <alignment horizontal="center" vertical="center" wrapText="1"/>
    </xf>
    <xf numFmtId="168" fontId="5" fillId="0" borderId="0" xfId="5" applyFont="1" applyFill="1" applyBorder="1" applyAlignment="1" applyProtection="1">
      <alignment horizontal="center" vertical="center" wrapText="1"/>
    </xf>
    <xf numFmtId="0" fontId="3" fillId="0" borderId="0" xfId="0" applyFont="1" applyAlignment="1">
      <alignment vertical="center" wrapText="1"/>
    </xf>
    <xf numFmtId="169" fontId="3" fillId="0" borderId="0" xfId="0" applyNumberFormat="1" applyFont="1" applyAlignment="1">
      <alignment vertical="center" wrapText="1"/>
    </xf>
    <xf numFmtId="168" fontId="3" fillId="0" borderId="0" xfId="0" applyNumberFormat="1" applyFont="1" applyAlignment="1">
      <alignment vertical="center" wrapText="1"/>
    </xf>
    <xf numFmtId="0" fontId="3" fillId="0" borderId="16" xfId="0" applyFont="1" applyBorder="1" applyAlignment="1">
      <alignment vertical="center" wrapText="1"/>
    </xf>
    <xf numFmtId="0" fontId="2" fillId="0" borderId="16" xfId="0" applyFont="1" applyBorder="1"/>
    <xf numFmtId="4" fontId="2" fillId="0" borderId="16" xfId="0" applyNumberFormat="1" applyFont="1" applyBorder="1" applyAlignment="1">
      <alignment horizontal="center" vertical="center" wrapText="1"/>
    </xf>
    <xf numFmtId="4" fontId="2" fillId="0" borderId="0" xfId="0" applyNumberFormat="1" applyFont="1" applyAlignment="1">
      <alignment horizontal="center" vertical="center" wrapText="1"/>
    </xf>
    <xf numFmtId="0" fontId="2" fillId="0" borderId="0" xfId="0" applyFont="1" applyAlignment="1">
      <alignment horizontal="left" vertical="center"/>
    </xf>
    <xf numFmtId="169" fontId="2" fillId="0" borderId="3" xfId="0" applyNumberFormat="1" applyFont="1" applyBorder="1" applyAlignment="1">
      <alignment horizontal="center" vertical="center" wrapText="1"/>
    </xf>
    <xf numFmtId="168" fontId="2" fillId="0" borderId="3" xfId="5" applyFont="1" applyFill="1" applyBorder="1" applyAlignment="1" applyProtection="1">
      <alignment horizontal="center" vertical="center" wrapText="1"/>
    </xf>
    <xf numFmtId="168" fontId="2" fillId="0" borderId="3" xfId="5" applyFont="1" applyBorder="1" applyAlignment="1" applyProtection="1">
      <alignment horizontal="center" vertical="center" wrapText="1"/>
    </xf>
    <xf numFmtId="168" fontId="2" fillId="0" borderId="18" xfId="5" applyFont="1" applyFill="1" applyBorder="1" applyAlignment="1" applyProtection="1">
      <alignment horizontal="center" vertical="center" wrapText="1"/>
    </xf>
    <xf numFmtId="169" fontId="3" fillId="0" borderId="3" xfId="3" applyNumberFormat="1" applyFont="1" applyBorder="1" applyAlignment="1">
      <alignment vertical="center" wrapText="1"/>
    </xf>
    <xf numFmtId="0" fontId="3" fillId="0" borderId="3" xfId="3" applyFont="1" applyBorder="1" applyAlignment="1">
      <alignment vertical="center" wrapText="1"/>
    </xf>
    <xf numFmtId="0" fontId="3" fillId="0" borderId="18" xfId="3" applyFont="1" applyBorder="1" applyAlignment="1">
      <alignment vertical="center" wrapText="1"/>
    </xf>
    <xf numFmtId="168" fontId="2" fillId="0" borderId="16" xfId="5" applyFont="1" applyBorder="1" applyAlignment="1" applyProtection="1">
      <alignment horizontal="center" vertical="center"/>
    </xf>
    <xf numFmtId="168" fontId="2" fillId="0" borderId="0" xfId="5" applyFont="1" applyFill="1" applyBorder="1" applyAlignment="1" applyProtection="1">
      <alignment horizontal="center" vertical="center"/>
    </xf>
    <xf numFmtId="168" fontId="2" fillId="0" borderId="0" xfId="0" applyNumberFormat="1" applyFont="1" applyAlignment="1">
      <alignment horizontal="center" vertical="center" wrapText="1"/>
    </xf>
    <xf numFmtId="168" fontId="2" fillId="0" borderId="3" xfId="5" applyFont="1" applyBorder="1" applyAlignment="1" applyProtection="1">
      <alignment horizontal="center" vertical="center"/>
    </xf>
    <xf numFmtId="168" fontId="2" fillId="0" borderId="18" xfId="5" applyFont="1" applyBorder="1" applyAlignment="1" applyProtection="1">
      <alignment horizontal="center" vertical="center"/>
    </xf>
    <xf numFmtId="0" fontId="3" fillId="0" borderId="8" xfId="3" applyFont="1" applyBorder="1" applyAlignment="1">
      <alignment horizontal="center" vertical="center"/>
    </xf>
    <xf numFmtId="0" fontId="2" fillId="0" borderId="0" xfId="3" applyAlignment="1">
      <alignment vertical="center"/>
    </xf>
    <xf numFmtId="0" fontId="2" fillId="0" borderId="3" xfId="0" applyFont="1" applyBorder="1" applyAlignment="1">
      <alignment horizontal="center" vertical="center"/>
    </xf>
    <xf numFmtId="0" fontId="10" fillId="3" borderId="0" xfId="0" applyFont="1" applyFill="1" applyAlignment="1">
      <alignment horizontal="centerContinuous" vertical="center"/>
    </xf>
    <xf numFmtId="0" fontId="10" fillId="0" borderId="0" xfId="0" applyFont="1" applyAlignment="1">
      <alignment horizontal="centerContinuous" vertical="center"/>
    </xf>
    <xf numFmtId="0" fontId="8" fillId="0" borderId="0" xfId="0" applyFont="1" applyAlignment="1">
      <alignment vertical="center"/>
    </xf>
    <xf numFmtId="170" fontId="8" fillId="0" borderId="0" xfId="0" applyNumberFormat="1" applyFont="1" applyAlignment="1">
      <alignment vertical="center" wrapText="1"/>
    </xf>
    <xf numFmtId="0" fontId="25" fillId="0" borderId="3" xfId="0" applyFont="1" applyBorder="1" applyAlignment="1">
      <alignment vertical="center" wrapText="1"/>
    </xf>
    <xf numFmtId="0" fontId="26" fillId="0" borderId="3" xfId="0" applyFont="1" applyBorder="1" applyAlignment="1">
      <alignment vertical="center" wrapText="1"/>
    </xf>
    <xf numFmtId="0" fontId="26" fillId="0" borderId="0" xfId="0" applyFont="1" applyAlignment="1">
      <alignment vertical="center" wrapText="1"/>
    </xf>
    <xf numFmtId="170" fontId="25" fillId="0" borderId="3" xfId="0" applyNumberFormat="1" applyFont="1" applyBorder="1" applyAlignment="1">
      <alignment vertical="center" wrapText="1"/>
    </xf>
    <xf numFmtId="170" fontId="22" fillId="3" borderId="10" xfId="0" applyNumberFormat="1" applyFont="1" applyFill="1" applyBorder="1" applyAlignment="1">
      <alignment horizontal="center" vertical="center" wrapText="1"/>
    </xf>
    <xf numFmtId="0" fontId="3" fillId="0" borderId="3" xfId="3" applyFont="1" applyBorder="1" applyAlignment="1">
      <alignment horizontal="center" vertical="center" wrapText="1"/>
    </xf>
    <xf numFmtId="173" fontId="3" fillId="0" borderId="3" xfId="3" applyNumberFormat="1" applyFont="1" applyBorder="1" applyAlignment="1">
      <alignment vertical="center" wrapText="1"/>
    </xf>
    <xf numFmtId="173" fontId="2" fillId="0" borderId="0" xfId="3" applyNumberFormat="1" applyAlignment="1">
      <alignment vertical="center" wrapText="1"/>
    </xf>
    <xf numFmtId="173" fontId="2" fillId="0" borderId="0" xfId="0" applyNumberFormat="1" applyFont="1" applyAlignment="1">
      <alignment horizontal="center" vertical="center" wrapText="1"/>
    </xf>
    <xf numFmtId="173" fontId="3" fillId="0" borderId="8" xfId="3" applyNumberFormat="1" applyFont="1" applyBorder="1" applyAlignment="1">
      <alignment vertical="center" wrapText="1"/>
    </xf>
    <xf numFmtId="168" fontId="0" fillId="0" borderId="0" xfId="0" applyNumberFormat="1"/>
    <xf numFmtId="173" fontId="2" fillId="0" borderId="3" xfId="0" applyNumberFormat="1" applyFont="1" applyBorder="1" applyAlignment="1">
      <alignment horizontal="center" vertical="center" wrapText="1"/>
    </xf>
    <xf numFmtId="168" fontId="0" fillId="0" borderId="0" xfId="0" applyNumberFormat="1" applyAlignment="1">
      <alignment horizontal="center" vertical="center"/>
    </xf>
    <xf numFmtId="168" fontId="2" fillId="0" borderId="0" xfId="5" applyFont="1" applyFill="1" applyBorder="1" applyAlignment="1">
      <alignment vertical="center" wrapText="1"/>
    </xf>
    <xf numFmtId="168" fontId="2" fillId="0" borderId="0" xfId="5" applyFont="1" applyFill="1" applyBorder="1" applyAlignment="1">
      <alignment horizontal="center" vertical="center" wrapText="1"/>
    </xf>
    <xf numFmtId="168" fontId="0" fillId="0" borderId="0" xfId="0" applyNumberFormat="1" applyProtection="1">
      <protection locked="0"/>
    </xf>
    <xf numFmtId="168" fontId="2" fillId="0" borderId="16" xfId="5"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10" fillId="3" borderId="0" xfId="0" applyFont="1" applyFill="1" applyAlignment="1">
      <alignment horizontal="centerContinuous" vertical="center" wrapText="1"/>
    </xf>
    <xf numFmtId="0" fontId="10" fillId="3" borderId="0" xfId="0" applyFont="1" applyFill="1" applyAlignment="1" applyProtection="1">
      <alignment horizontal="centerContinuous" vertical="center"/>
      <protection locked="0"/>
    </xf>
    <xf numFmtId="0" fontId="13" fillId="3" borderId="0" xfId="0" applyFont="1" applyFill="1" applyAlignment="1" applyProtection="1">
      <alignment horizontal="centerContinuous" vertical="center"/>
      <protection locked="0"/>
    </xf>
    <xf numFmtId="0" fontId="27" fillId="5" borderId="0" xfId="0" applyFont="1" applyFill="1" applyAlignment="1" applyProtection="1">
      <alignment horizontal="centerContinuous" vertical="center" wrapText="1"/>
      <protection locked="0"/>
    </xf>
    <xf numFmtId="0" fontId="28" fillId="5" borderId="3" xfId="0" applyFont="1" applyFill="1" applyBorder="1" applyAlignment="1" applyProtection="1">
      <alignment horizontal="center" vertical="center" wrapText="1"/>
      <protection locked="0"/>
    </xf>
    <xf numFmtId="0" fontId="28" fillId="5" borderId="3" xfId="0" applyFont="1" applyFill="1" applyBorder="1" applyAlignment="1" applyProtection="1">
      <alignment vertical="center" wrapText="1"/>
      <protection locked="0"/>
    </xf>
    <xf numFmtId="174" fontId="28" fillId="5" borderId="3" xfId="0" applyNumberFormat="1" applyFont="1" applyFill="1" applyBorder="1" applyAlignment="1" applyProtection="1">
      <alignment horizontal="centerContinuous" vertical="center" wrapText="1"/>
      <protection locked="0"/>
    </xf>
    <xf numFmtId="0" fontId="28" fillId="5" borderId="3" xfId="0" applyFont="1" applyFill="1" applyBorder="1" applyAlignment="1" applyProtection="1">
      <alignment horizontal="centerContinuous" vertical="center" wrapText="1"/>
      <protection locked="0"/>
    </xf>
    <xf numFmtId="3" fontId="2" fillId="0" borderId="6" xfId="4" applyNumberFormat="1" applyFont="1" applyFill="1" applyBorder="1" applyAlignment="1" applyProtection="1">
      <alignment horizontal="center" vertical="center" wrapText="1"/>
      <protection locked="0"/>
    </xf>
    <xf numFmtId="49" fontId="2" fillId="0" borderId="7" xfId="4" applyNumberFormat="1" applyFont="1" applyFill="1" applyBorder="1" applyAlignment="1" applyProtection="1">
      <alignment horizontal="left" vertical="center" wrapText="1"/>
      <protection locked="0"/>
    </xf>
    <xf numFmtId="4" fontId="2" fillId="0" borderId="7" xfId="4" applyNumberFormat="1" applyFont="1" applyFill="1" applyBorder="1" applyAlignment="1" applyProtection="1">
      <alignment horizontal="center" vertical="center" wrapText="1"/>
      <protection locked="0"/>
    </xf>
    <xf numFmtId="0" fontId="0" fillId="0" borderId="0" xfId="0" applyProtection="1">
      <protection locked="0"/>
    </xf>
    <xf numFmtId="0" fontId="2" fillId="0" borderId="0" xfId="0" applyFont="1" applyAlignment="1" applyProtection="1">
      <alignment horizontal="left" vertical="center" wrapText="1"/>
      <protection locked="0"/>
    </xf>
    <xf numFmtId="2" fontId="3" fillId="0" borderId="0" xfId="1" applyNumberFormat="1" applyFont="1" applyAlignment="1" applyProtection="1">
      <alignment horizontal="right"/>
      <protection locked="0"/>
    </xf>
    <xf numFmtId="43" fontId="2" fillId="0" borderId="0" xfId="1" applyFont="1" applyProtection="1">
      <protection locked="0"/>
    </xf>
    <xf numFmtId="43" fontId="2" fillId="0" borderId="0" xfId="1" applyFont="1" applyAlignment="1" applyProtection="1">
      <alignment horizontal="right"/>
      <protection locked="0"/>
    </xf>
    <xf numFmtId="2" fontId="2" fillId="0" borderId="0" xfId="1" applyNumberFormat="1" applyFont="1" applyAlignment="1" applyProtection="1">
      <alignment horizontal="centerContinuous" wrapText="1"/>
      <protection locked="0"/>
    </xf>
    <xf numFmtId="43" fontId="2" fillId="0" borderId="0" xfId="1" applyFont="1" applyAlignment="1" applyProtection="1">
      <alignment horizontal="centerContinuous" wrapText="1"/>
      <protection locked="0"/>
    </xf>
    <xf numFmtId="0" fontId="10" fillId="3" borderId="0" xfId="0" applyFont="1" applyFill="1" applyAlignment="1" applyProtection="1">
      <alignment horizontal="centerContinuous" vertical="center" wrapText="1"/>
      <protection locked="0"/>
    </xf>
    <xf numFmtId="0" fontId="13" fillId="3" borderId="0" xfId="0" applyFont="1" applyFill="1" applyAlignment="1" applyProtection="1">
      <alignment horizontal="centerContinuous" vertical="center" wrapText="1"/>
      <protection locked="0"/>
    </xf>
    <xf numFmtId="0" fontId="18" fillId="5" borderId="3" xfId="0" applyFont="1" applyFill="1" applyBorder="1" applyAlignment="1" applyProtection="1">
      <alignment horizontal="center" vertical="center" wrapText="1"/>
      <protection locked="0"/>
    </xf>
    <xf numFmtId="0" fontId="18" fillId="5" borderId="0" xfId="0" applyFont="1" applyFill="1" applyAlignment="1" applyProtection="1">
      <alignment horizontal="center" vertical="center" wrapText="1"/>
      <protection locked="0"/>
    </xf>
    <xf numFmtId="10" fontId="2" fillId="0" borderId="7" xfId="0" applyNumberFormat="1" applyFont="1" applyBorder="1" applyAlignment="1" applyProtection="1">
      <alignment horizontal="center" vertical="center"/>
      <protection locked="0"/>
    </xf>
    <xf numFmtId="0" fontId="26" fillId="0" borderId="3" xfId="0" applyFont="1" applyBorder="1" applyAlignment="1">
      <alignment vertical="center"/>
    </xf>
    <xf numFmtId="0" fontId="17" fillId="3" borderId="2" xfId="0" applyFont="1" applyFill="1" applyBorder="1" applyAlignment="1">
      <alignment horizontal="center" vertical="center"/>
    </xf>
    <xf numFmtId="171" fontId="2" fillId="0" borderId="0" xfId="0" applyNumberFormat="1" applyFont="1" applyAlignment="1">
      <alignment horizontal="center" vertical="center"/>
    </xf>
    <xf numFmtId="0" fontId="14" fillId="3" borderId="0" xfId="0" applyFont="1" applyFill="1" applyAlignment="1">
      <alignment horizontal="centerContinuous" vertical="center"/>
    </xf>
    <xf numFmtId="0" fontId="15" fillId="0" borderId="0" xfId="0" applyFont="1" applyAlignment="1">
      <alignment horizontal="centerContinuous" vertical="center"/>
    </xf>
    <xf numFmtId="0" fontId="3" fillId="0" borderId="17" xfId="3" applyFont="1" applyBorder="1" applyAlignment="1">
      <alignment horizontal="center" vertical="center" wrapText="1"/>
    </xf>
    <xf numFmtId="0" fontId="10" fillId="3" borderId="0" xfId="0" applyFont="1" applyFill="1" applyAlignment="1" applyProtection="1">
      <alignment horizontal="centerContinuous" vertical="center" wrapText="1"/>
    </xf>
    <xf numFmtId="168" fontId="2" fillId="0" borderId="7" xfId="5" applyFont="1" applyFill="1" applyBorder="1" applyAlignment="1" applyProtection="1">
      <alignment vertical="center" wrapText="1"/>
    </xf>
    <xf numFmtId="168" fontId="2" fillId="0" borderId="7" xfId="5" applyFont="1" applyFill="1" applyBorder="1" applyAlignment="1" applyProtection="1">
      <alignment horizontal="right" vertical="center" wrapText="1"/>
    </xf>
    <xf numFmtId="10" fontId="2" fillId="0" borderId="7" xfId="2" applyNumberFormat="1" applyFont="1" applyFill="1" applyBorder="1" applyAlignment="1" applyProtection="1">
      <alignment horizontal="center" vertical="center" wrapText="1"/>
    </xf>
    <xf numFmtId="168" fontId="2" fillId="0" borderId="7" xfId="5" applyFont="1" applyFill="1" applyBorder="1" applyAlignment="1" applyProtection="1">
      <alignment horizontal="center" vertical="center" wrapText="1"/>
    </xf>
    <xf numFmtId="177" fontId="29" fillId="2" borderId="0" xfId="1" applyNumberFormat="1" applyFont="1" applyFill="1" applyBorder="1" applyAlignment="1" applyProtection="1">
      <alignment horizontal="right" wrapText="1"/>
    </xf>
    <xf numFmtId="177" fontId="29" fillId="2" borderId="3" xfId="1" applyNumberFormat="1" applyFont="1" applyFill="1" applyBorder="1" applyAlignment="1" applyProtection="1">
      <alignment horizontal="right" wrapText="1"/>
    </xf>
    <xf numFmtId="175" fontId="29" fillId="2" borderId="20" xfId="0" applyNumberFormat="1" applyFont="1" applyFill="1" applyBorder="1" applyAlignment="1" applyProtection="1">
      <alignment horizontal="center" wrapText="1"/>
    </xf>
    <xf numFmtId="175" fontId="29" fillId="2" borderId="4" xfId="0" applyNumberFormat="1" applyFont="1" applyFill="1" applyBorder="1" applyAlignment="1" applyProtection="1">
      <alignment horizontal="center" wrapText="1"/>
    </xf>
    <xf numFmtId="10" fontId="29" fillId="2" borderId="20" xfId="2" applyNumberFormat="1" applyFont="1" applyFill="1" applyBorder="1" applyAlignment="1" applyProtection="1">
      <alignment wrapText="1"/>
    </xf>
    <xf numFmtId="176" fontId="29" fillId="2" borderId="19" xfId="0" applyNumberFormat="1" applyFont="1" applyFill="1" applyBorder="1" applyAlignment="1" applyProtection="1">
      <alignment horizontal="center" wrapText="1"/>
    </xf>
    <xf numFmtId="0" fontId="9" fillId="0" borderId="0" xfId="6" applyNumberFormat="1" applyBorder="1" applyAlignment="1" applyProtection="1">
      <alignment horizontal="left" vertical="center" wrapText="1"/>
    </xf>
    <xf numFmtId="0" fontId="23" fillId="0" borderId="0" xfId="6" applyFont="1" applyBorder="1" applyAlignment="1" applyProtection="1">
      <alignment wrapText="1"/>
    </xf>
    <xf numFmtId="0" fontId="9" fillId="0" borderId="0" xfId="6" applyBorder="1" applyAlignment="1" applyProtection="1">
      <alignment wrapText="1"/>
    </xf>
    <xf numFmtId="0" fontId="6" fillId="0" borderId="4" xfId="3" applyFont="1" applyBorder="1" applyAlignment="1">
      <alignment horizontal="center" vertical="center" wrapText="1"/>
    </xf>
    <xf numFmtId="0" fontId="3" fillId="0" borderId="0" xfId="0" applyFont="1" applyAlignment="1">
      <alignment wrapText="1"/>
    </xf>
    <xf numFmtId="49" fontId="2" fillId="0" borderId="0" xfId="0" applyNumberFormat="1" applyFont="1" applyAlignment="1">
      <alignment horizontal="center" vertical="center" wrapText="1"/>
    </xf>
    <xf numFmtId="2" fontId="2" fillId="0" borderId="0" xfId="3" applyNumberFormat="1" applyAlignment="1">
      <alignment vertical="center" wrapText="1"/>
    </xf>
    <xf numFmtId="0" fontId="2" fillId="0" borderId="0" xfId="0" applyFont="1" applyAlignment="1">
      <alignment horizontal="left" vertical="center" wrapText="1"/>
    </xf>
    <xf numFmtId="0" fontId="24" fillId="0" borderId="0" xfId="6" applyNumberFormat="1" applyFont="1" applyFill="1" applyBorder="1" applyAlignment="1" applyProtection="1">
      <alignment horizontal="center" vertical="center" wrapText="1"/>
    </xf>
    <xf numFmtId="0" fontId="24" fillId="0" borderId="0" xfId="6" applyFont="1" applyBorder="1" applyAlignment="1" applyProtection="1">
      <alignment wrapText="1"/>
    </xf>
    <xf numFmtId="2" fontId="31" fillId="3" borderId="0" xfId="5" applyNumberFormat="1" applyFont="1" applyFill="1" applyBorder="1" applyAlignment="1" applyProtection="1">
      <alignment horizontal="center" vertical="center" wrapText="1"/>
    </xf>
    <xf numFmtId="170" fontId="31" fillId="3" borderId="0" xfId="5" applyNumberFormat="1" applyFont="1" applyFill="1" applyBorder="1" applyAlignment="1" applyProtection="1">
      <alignment horizontal="center" vertical="center" wrapText="1"/>
    </xf>
    <xf numFmtId="0" fontId="3" fillId="0" borderId="0" xfId="0" applyFont="1" applyBorder="1" applyAlignment="1">
      <alignment horizontal="center" vertical="center" wrapText="1"/>
    </xf>
    <xf numFmtId="0" fontId="2" fillId="0" borderId="0" xfId="0" applyFont="1" applyBorder="1" applyAlignment="1">
      <alignment horizontal="center" vertical="center"/>
    </xf>
    <xf numFmtId="173" fontId="2" fillId="0" borderId="0" xfId="0" applyNumberFormat="1" applyFont="1" applyBorder="1" applyAlignment="1">
      <alignment horizontal="center" vertical="center" wrapText="1"/>
    </xf>
    <xf numFmtId="0" fontId="2" fillId="0" borderId="0" xfId="3" applyBorder="1" applyAlignment="1">
      <alignment vertical="center" wrapText="1"/>
    </xf>
    <xf numFmtId="169" fontId="2" fillId="0" borderId="0" xfId="3" applyNumberFormat="1" applyBorder="1" applyAlignment="1">
      <alignment vertical="center" wrapText="1"/>
    </xf>
    <xf numFmtId="0" fontId="2" fillId="0" borderId="0" xfId="0" applyFont="1" applyBorder="1" applyAlignment="1">
      <alignment horizontal="center" vertical="center" wrapText="1"/>
    </xf>
    <xf numFmtId="169" fontId="2" fillId="0" borderId="0" xfId="0" applyNumberFormat="1" applyFont="1" applyBorder="1" applyAlignment="1">
      <alignment horizontal="center" vertical="center" wrapText="1"/>
    </xf>
    <xf numFmtId="171" fontId="2" fillId="0" borderId="0" xfId="0" applyNumberFormat="1" applyFont="1" applyBorder="1" applyAlignment="1">
      <alignment horizontal="center" vertical="center" wrapText="1"/>
    </xf>
    <xf numFmtId="171" fontId="2" fillId="0" borderId="3" xfId="0" applyNumberFormat="1" applyFont="1" applyBorder="1" applyAlignment="1">
      <alignment horizontal="center" vertical="center" wrapText="1"/>
    </xf>
    <xf numFmtId="0" fontId="3" fillId="0" borderId="17" xfId="3" applyFont="1" applyBorder="1" applyAlignment="1">
      <alignment horizontal="center" vertical="center" wrapText="1"/>
    </xf>
    <xf numFmtId="0" fontId="2" fillId="0" borderId="0" xfId="3" applyFont="1" applyAlignment="1">
      <alignment vertical="center" wrapText="1"/>
    </xf>
    <xf numFmtId="169" fontId="2" fillId="0" borderId="0" xfId="3" applyNumberFormat="1" applyFont="1" applyAlignment="1">
      <alignment vertical="center" wrapText="1"/>
    </xf>
    <xf numFmtId="0" fontId="2" fillId="0" borderId="0" xfId="3" applyFont="1" applyBorder="1" applyAlignment="1">
      <alignment vertical="center" wrapText="1"/>
    </xf>
    <xf numFmtId="169" fontId="2" fillId="0" borderId="0" xfId="3" applyNumberFormat="1" applyFont="1" applyBorder="1" applyAlignment="1">
      <alignment vertical="center" wrapText="1"/>
    </xf>
    <xf numFmtId="0" fontId="10" fillId="3" borderId="0" xfId="0" applyNumberFormat="1" applyFont="1" applyFill="1" applyBorder="1" applyAlignment="1" applyProtection="1">
      <alignment horizontal="centerContinuous" vertical="center"/>
      <protection locked="0"/>
    </xf>
    <xf numFmtId="3" fontId="3" fillId="0" borderId="14" xfId="3" applyNumberFormat="1" applyFont="1" applyBorder="1" applyAlignment="1">
      <alignment horizontal="center" vertical="center"/>
    </xf>
    <xf numFmtId="3" fontId="3" fillId="0" borderId="13" xfId="3" applyNumberFormat="1" applyFont="1" applyBorder="1" applyAlignment="1">
      <alignment horizontal="center" vertical="center"/>
    </xf>
    <xf numFmtId="0" fontId="3" fillId="0" borderId="15" xfId="3" applyFont="1" applyBorder="1" applyAlignment="1">
      <alignment horizontal="center" vertical="center" wrapText="1"/>
    </xf>
    <xf numFmtId="0" fontId="3" fillId="0" borderId="0" xfId="3" applyFont="1" applyAlignment="1">
      <alignment horizontal="center" vertical="center" wrapText="1"/>
    </xf>
    <xf numFmtId="0" fontId="3" fillId="0" borderId="13" xfId="3" applyFont="1" applyBorder="1" applyAlignment="1">
      <alignment horizontal="center" vertical="center"/>
    </xf>
    <xf numFmtId="0" fontId="3" fillId="0" borderId="17" xfId="3" applyFont="1" applyBorder="1" applyAlignment="1">
      <alignment horizontal="center" vertical="center"/>
    </xf>
    <xf numFmtId="0" fontId="3" fillId="0" borderId="3" xfId="3" applyFont="1" applyBorder="1" applyAlignment="1">
      <alignment horizontal="center" vertical="center" wrapText="1"/>
    </xf>
    <xf numFmtId="3" fontId="3" fillId="0" borderId="14" xfId="3" applyNumberFormat="1" applyFont="1" applyFill="1" applyBorder="1" applyAlignment="1">
      <alignment horizontal="center" vertical="center"/>
    </xf>
    <xf numFmtId="0" fontId="3" fillId="0" borderId="13" xfId="3" applyFont="1" applyFill="1" applyBorder="1" applyAlignment="1">
      <alignment horizontal="center" vertical="center"/>
    </xf>
    <xf numFmtId="0" fontId="3" fillId="0" borderId="17" xfId="3" applyFont="1" applyFill="1" applyBorder="1" applyAlignment="1">
      <alignment horizontal="center" vertical="center"/>
    </xf>
    <xf numFmtId="0" fontId="3" fillId="0" borderId="15" xfId="3" applyFont="1" applyFill="1" applyBorder="1" applyAlignment="1">
      <alignment horizontal="center" vertical="center" wrapText="1"/>
    </xf>
    <xf numFmtId="0" fontId="3" fillId="0" borderId="0" xfId="3" applyFont="1" applyFill="1" applyAlignment="1">
      <alignment horizontal="center" vertical="center" wrapText="1"/>
    </xf>
    <xf numFmtId="0" fontId="3" fillId="0" borderId="3" xfId="3" applyFont="1" applyFill="1" applyBorder="1" applyAlignment="1">
      <alignment horizontal="center" vertical="center" wrapText="1"/>
    </xf>
    <xf numFmtId="3" fontId="3" fillId="0" borderId="17" xfId="3" applyNumberFormat="1" applyFont="1" applyBorder="1" applyAlignment="1">
      <alignment horizontal="center" vertical="center"/>
    </xf>
    <xf numFmtId="0" fontId="3" fillId="0" borderId="0" xfId="3" applyFont="1" applyBorder="1" applyAlignment="1">
      <alignment horizontal="center" vertical="center" wrapText="1"/>
    </xf>
    <xf numFmtId="3" fontId="3" fillId="0" borderId="14" xfId="3" applyNumberFormat="1" applyFont="1" applyBorder="1" applyAlignment="1">
      <alignment horizontal="center" vertical="center" wrapText="1"/>
    </xf>
    <xf numFmtId="0" fontId="3" fillId="0" borderId="13" xfId="3" applyFont="1" applyBorder="1" applyAlignment="1">
      <alignment horizontal="center" vertical="center" wrapText="1"/>
    </xf>
    <xf numFmtId="3" fontId="3" fillId="0" borderId="13" xfId="3" applyNumberFormat="1" applyFont="1" applyFill="1" applyBorder="1" applyAlignment="1">
      <alignment horizontal="center" vertical="center"/>
    </xf>
    <xf numFmtId="3" fontId="3" fillId="0" borderId="17" xfId="3" applyNumberFormat="1" applyFont="1" applyFill="1" applyBorder="1" applyAlignment="1">
      <alignment horizontal="center" vertical="center"/>
    </xf>
    <xf numFmtId="0" fontId="3" fillId="0" borderId="14" xfId="3" applyFont="1" applyBorder="1" applyAlignment="1">
      <alignment horizontal="center" vertical="center" wrapText="1"/>
    </xf>
    <xf numFmtId="0" fontId="3" fillId="0" borderId="17" xfId="3" applyFont="1" applyBorder="1" applyAlignment="1">
      <alignment horizontal="center" vertical="center" wrapText="1"/>
    </xf>
    <xf numFmtId="0" fontId="17" fillId="3" borderId="1" xfId="0" applyFont="1" applyFill="1" applyBorder="1" applyAlignment="1" applyProtection="1">
      <alignment horizontal="center" vertical="center" wrapText="1"/>
    </xf>
    <xf numFmtId="0" fontId="17" fillId="3" borderId="2" xfId="0" applyFont="1" applyFill="1" applyBorder="1" applyAlignment="1" applyProtection="1">
      <alignment horizontal="center" vertical="center" wrapText="1"/>
    </xf>
    <xf numFmtId="2" fontId="17" fillId="3" borderId="2" xfId="1" applyNumberFormat="1" applyFont="1" applyFill="1" applyBorder="1" applyAlignment="1" applyProtection="1">
      <alignment horizontal="center" vertical="center" wrapText="1"/>
    </xf>
    <xf numFmtId="43" fontId="17" fillId="3" borderId="2" xfId="1" applyFont="1" applyFill="1" applyBorder="1" applyAlignment="1" applyProtection="1">
      <alignment horizontal="center" vertical="center" wrapText="1"/>
    </xf>
    <xf numFmtId="3" fontId="2" fillId="0" borderId="6" xfId="4" applyNumberFormat="1" applyFont="1" applyFill="1" applyBorder="1" applyAlignment="1" applyProtection="1">
      <alignment horizontal="center" vertical="center" wrapText="1"/>
    </xf>
    <xf numFmtId="49" fontId="2" fillId="0" borderId="7" xfId="4" applyNumberFormat="1" applyFont="1" applyFill="1" applyBorder="1" applyAlignment="1" applyProtection="1">
      <alignment horizontal="left" vertical="center" wrapText="1"/>
    </xf>
    <xf numFmtId="4" fontId="2" fillId="0" borderId="7" xfId="4" applyNumberFormat="1" applyFont="1" applyFill="1" applyBorder="1" applyAlignment="1" applyProtection="1">
      <alignment horizontal="center" vertical="center" wrapText="1"/>
    </xf>
    <xf numFmtId="175" fontId="21" fillId="2" borderId="19" xfId="0" applyNumberFormat="1" applyFont="1" applyFill="1" applyBorder="1" applyAlignment="1" applyProtection="1">
      <alignment vertical="center" wrapText="1"/>
    </xf>
    <xf numFmtId="49" fontId="21" fillId="2" borderId="20" xfId="0" applyNumberFormat="1" applyFont="1" applyFill="1" applyBorder="1" applyAlignment="1" applyProtection="1">
      <alignment vertical="center" wrapText="1"/>
    </xf>
    <xf numFmtId="175" fontId="21" fillId="2" borderId="20" xfId="0" applyNumberFormat="1" applyFont="1" applyFill="1" applyBorder="1" applyAlignment="1" applyProtection="1">
      <alignment vertical="center" wrapText="1"/>
    </xf>
    <xf numFmtId="175" fontId="29" fillId="2" borderId="20" xfId="0" applyNumberFormat="1" applyFont="1" applyFill="1" applyBorder="1" applyAlignment="1" applyProtection="1">
      <alignment vertical="center" wrapText="1"/>
    </xf>
    <xf numFmtId="168" fontId="2" fillId="2" borderId="21" xfId="5" applyFont="1" applyFill="1" applyBorder="1" applyAlignment="1" applyProtection="1">
      <alignment horizontal="center" vertical="center" wrapText="1"/>
    </xf>
    <xf numFmtId="168" fontId="2" fillId="2" borderId="0" xfId="5" applyFont="1" applyFill="1" applyBorder="1" applyAlignment="1" applyProtection="1">
      <alignment horizontal="right" vertical="center" wrapText="1"/>
    </xf>
    <xf numFmtId="175" fontId="29" fillId="2" borderId="20" xfId="0" applyNumberFormat="1" applyFont="1" applyFill="1" applyBorder="1" applyAlignment="1" applyProtection="1">
      <alignment wrapText="1"/>
    </xf>
    <xf numFmtId="175" fontId="29" fillId="2" borderId="20" xfId="0" applyNumberFormat="1" applyFont="1" applyFill="1" applyBorder="1" applyAlignment="1" applyProtection="1">
      <alignment horizontal="centerContinuous" wrapText="1"/>
    </xf>
    <xf numFmtId="175" fontId="29" fillId="2" borderId="4" xfId="0" applyNumberFormat="1" applyFont="1" applyFill="1" applyBorder="1" applyAlignment="1" applyProtection="1">
      <alignment wrapText="1"/>
    </xf>
    <xf numFmtId="175" fontId="29" fillId="2" borderId="8" xfId="0" applyNumberFormat="1" applyFont="1" applyFill="1" applyBorder="1" applyAlignment="1" applyProtection="1">
      <alignment wrapText="1"/>
    </xf>
    <xf numFmtId="175" fontId="29" fillId="2" borderId="8" xfId="0" applyNumberFormat="1" applyFont="1" applyFill="1" applyBorder="1" applyAlignment="1" applyProtection="1">
      <alignment horizontal="centerContinuous" wrapText="1"/>
    </xf>
    <xf numFmtId="175" fontId="29" fillId="2" borderId="4" xfId="0" applyNumberFormat="1" applyFont="1" applyFill="1" applyBorder="1" applyAlignment="1" applyProtection="1">
      <alignment horizontal="centerContinuous" wrapText="1"/>
    </xf>
    <xf numFmtId="168" fontId="2" fillId="0" borderId="7" xfId="5" applyFont="1" applyFill="1" applyBorder="1" applyAlignment="1" applyProtection="1">
      <alignment vertical="center" wrapText="1"/>
      <protection locked="0"/>
    </xf>
    <xf numFmtId="0" fontId="17" fillId="3" borderId="4" xfId="0" applyFont="1" applyFill="1" applyBorder="1" applyAlignment="1" applyProtection="1">
      <alignment horizontal="centerContinuous" vertical="center"/>
    </xf>
    <xf numFmtId="0" fontId="17" fillId="3" borderId="8" xfId="0" applyFont="1" applyFill="1" applyBorder="1" applyAlignment="1" applyProtection="1">
      <alignment horizontal="centerContinuous" vertical="center"/>
    </xf>
    <xf numFmtId="0" fontId="2" fillId="0" borderId="22" xfId="0" applyFont="1" applyBorder="1" applyAlignment="1" applyProtection="1">
      <alignment vertical="center"/>
    </xf>
    <xf numFmtId="0" fontId="11" fillId="0" borderId="23" xfId="0" applyFont="1" applyBorder="1" applyAlignment="1" applyProtection="1">
      <alignment horizontal="center" vertical="center" wrapText="1"/>
    </xf>
    <xf numFmtId="0" fontId="30" fillId="0" borderId="24" xfId="0" applyFont="1" applyBorder="1" applyAlignment="1" applyProtection="1">
      <alignment horizontal="center" vertical="center"/>
    </xf>
    <xf numFmtId="0" fontId="28" fillId="0" borderId="0" xfId="0" applyFont="1" applyAlignment="1" applyProtection="1">
      <alignment horizontal="center" vertical="center"/>
    </xf>
    <xf numFmtId="0" fontId="11" fillId="0" borderId="25" xfId="0" applyFont="1" applyBorder="1" applyAlignment="1" applyProtection="1">
      <alignment horizontal="center" vertical="center" wrapText="1"/>
    </xf>
    <xf numFmtId="0" fontId="21" fillId="0" borderId="26" xfId="0" applyFont="1" applyBorder="1" applyAlignment="1" applyProtection="1">
      <alignment horizontal="center" vertical="center"/>
    </xf>
    <xf numFmtId="0" fontId="11" fillId="0" borderId="27" xfId="0" applyFont="1" applyBorder="1" applyAlignment="1" applyProtection="1">
      <alignment horizontal="center" vertical="center" wrapText="1"/>
    </xf>
    <xf numFmtId="0" fontId="11" fillId="0" borderId="7" xfId="0" applyFont="1" applyBorder="1" applyAlignment="1" applyProtection="1">
      <alignment horizontal="center" vertical="center"/>
    </xf>
    <xf numFmtId="0" fontId="22" fillId="0" borderId="6" xfId="0" applyFont="1" applyBorder="1" applyAlignment="1" applyProtection="1">
      <alignment horizontal="center" vertical="center"/>
    </xf>
    <xf numFmtId="0" fontId="2" fillId="0" borderId="0" xfId="0" applyFont="1" applyAlignment="1" applyProtection="1">
      <alignment horizontal="center" vertical="center"/>
    </xf>
    <xf numFmtId="0" fontId="3" fillId="3" borderId="19" xfId="0" applyFont="1" applyFill="1" applyBorder="1" applyAlignment="1" applyProtection="1">
      <alignment horizontal="center" vertical="center" wrapText="1"/>
    </xf>
    <xf numFmtId="10" fontId="3" fillId="3" borderId="20" xfId="0" applyNumberFormat="1" applyFont="1" applyFill="1" applyBorder="1" applyAlignment="1" applyProtection="1">
      <alignment horizontal="center" vertical="center"/>
    </xf>
    <xf numFmtId="0" fontId="3" fillId="3" borderId="17" xfId="0" applyFont="1" applyFill="1" applyBorder="1" applyAlignment="1" applyProtection="1">
      <alignment horizontal="center" vertical="center"/>
    </xf>
    <xf numFmtId="0" fontId="2" fillId="0" borderId="13" xfId="0" applyFont="1" applyBorder="1" applyAlignment="1" applyProtection="1">
      <alignment vertical="center"/>
    </xf>
    <xf numFmtId="0" fontId="2" fillId="0" borderId="0" xfId="0" applyFont="1" applyAlignment="1" applyProtection="1">
      <alignment vertical="center"/>
    </xf>
    <xf numFmtId="0" fontId="7" fillId="0" borderId="0" xfId="0" applyFont="1" applyAlignment="1" applyProtection="1">
      <alignment horizontal="center" vertical="center"/>
    </xf>
    <xf numFmtId="10" fontId="7" fillId="0" borderId="0" xfId="0" applyNumberFormat="1" applyFont="1" applyAlignment="1" applyProtection="1">
      <alignment horizontal="center" vertical="center"/>
    </xf>
    <xf numFmtId="0" fontId="0" fillId="0" borderId="0" xfId="0" applyProtection="1"/>
    <xf numFmtId="0" fontId="0" fillId="0" borderId="0" xfId="0" applyAlignment="1" applyProtection="1">
      <alignment horizontal="center"/>
    </xf>
    <xf numFmtId="0" fontId="16" fillId="0" borderId="0" xfId="0" applyFont="1" applyAlignment="1" applyProtection="1">
      <alignment horizontal="left"/>
    </xf>
  </cellXfs>
  <cellStyles count="47904">
    <cellStyle name="Cancel" xfId="155"/>
    <cellStyle name="Cancel 2" xfId="156"/>
    <cellStyle name="Hiperlink" xfId="6" builtinId="8"/>
    <cellStyle name="Hiperlink 2" xfId="140"/>
    <cellStyle name="Hiperlink 2 2" xfId="243"/>
    <cellStyle name="Hiperlink 2 2 2" xfId="2136"/>
    <cellStyle name="Hiperlink 2 3" xfId="340"/>
    <cellStyle name="Hiperlink 3" xfId="157"/>
    <cellStyle name="Hiperlink 3 2" xfId="2135"/>
    <cellStyle name="Hiperlink 4" xfId="696"/>
    <cellStyle name="Moeda 10" xfId="103"/>
    <cellStyle name="Moeda 10 2" xfId="4634"/>
    <cellStyle name="Moeda 10 2 2" xfId="6406"/>
    <cellStyle name="Moeda 10 2 2 2" xfId="32933"/>
    <cellStyle name="Moeda 10 2 2 3" xfId="26399"/>
    <cellStyle name="Moeda 10 2 3" xfId="24627"/>
    <cellStyle name="Moeda 10 2 4" xfId="31161"/>
    <cellStyle name="Moeda 10 2 5" xfId="22855"/>
    <cellStyle name="Moeda 10 3" xfId="4758"/>
    <cellStyle name="Moeda 10 3 2" xfId="6530"/>
    <cellStyle name="Moeda 10 3 2 2" xfId="33057"/>
    <cellStyle name="Moeda 10 3 2 3" xfId="26523"/>
    <cellStyle name="Moeda 10 3 3" xfId="24751"/>
    <cellStyle name="Moeda 10 3 4" xfId="31285"/>
    <cellStyle name="Moeda 10 3 5" xfId="22979"/>
    <cellStyle name="Moeda 10 4" xfId="4510"/>
    <cellStyle name="Moeda 10 4 2" xfId="6282"/>
    <cellStyle name="Moeda 10 4 2 2" xfId="32809"/>
    <cellStyle name="Moeda 10 4 2 3" xfId="26275"/>
    <cellStyle name="Moeda 10 4 3" xfId="31037"/>
    <cellStyle name="Moeda 10 4 4" xfId="24503"/>
    <cellStyle name="Moeda 10 5" xfId="4882"/>
    <cellStyle name="Moeda 10 5 2" xfId="31409"/>
    <cellStyle name="Moeda 10 5 3" xfId="24875"/>
    <cellStyle name="Moeda 10 6" xfId="23103"/>
    <cellStyle name="Moeda 10 7" xfId="29637"/>
    <cellStyle name="Moeda 10 8" xfId="22731"/>
    <cellStyle name="Moeda 11" xfId="139"/>
    <cellStyle name="Moeda 11 2" xfId="4670"/>
    <cellStyle name="Moeda 11 2 2" xfId="6442"/>
    <cellStyle name="Moeda 11 2 2 2" xfId="32969"/>
    <cellStyle name="Moeda 11 2 2 3" xfId="26435"/>
    <cellStyle name="Moeda 11 2 3" xfId="24663"/>
    <cellStyle name="Moeda 11 2 4" xfId="31197"/>
    <cellStyle name="Moeda 11 2 5" xfId="22891"/>
    <cellStyle name="Moeda 11 3" xfId="4794"/>
    <cellStyle name="Moeda 11 3 2" xfId="6566"/>
    <cellStyle name="Moeda 11 3 2 2" xfId="33093"/>
    <cellStyle name="Moeda 11 3 2 3" xfId="26559"/>
    <cellStyle name="Moeda 11 3 3" xfId="24787"/>
    <cellStyle name="Moeda 11 3 4" xfId="31321"/>
    <cellStyle name="Moeda 11 3 5" xfId="23015"/>
    <cellStyle name="Moeda 11 4" xfId="4546"/>
    <cellStyle name="Moeda 11 4 2" xfId="6318"/>
    <cellStyle name="Moeda 11 4 2 2" xfId="32845"/>
    <cellStyle name="Moeda 11 4 2 3" xfId="26311"/>
    <cellStyle name="Moeda 11 4 3" xfId="31073"/>
    <cellStyle name="Moeda 11 4 4" xfId="24539"/>
    <cellStyle name="Moeda 11 5" xfId="4918"/>
    <cellStyle name="Moeda 11 5 2" xfId="31445"/>
    <cellStyle name="Moeda 11 5 3" xfId="24911"/>
    <cellStyle name="Moeda 11 6" xfId="23139"/>
    <cellStyle name="Moeda 11 7" xfId="29673"/>
    <cellStyle name="Moeda 11 8" xfId="22767"/>
    <cellStyle name="Moeda 12" xfId="4333"/>
    <cellStyle name="Moeda 12 2" xfId="6107"/>
    <cellStyle name="Moeda 12 2 2" xfId="32634"/>
    <cellStyle name="Moeda 12 2 3" xfId="26100"/>
    <cellStyle name="Moeda 12 3" xfId="30862"/>
    <cellStyle name="Moeda 12 4" xfId="24328"/>
    <cellStyle name="Moeda 13" xfId="6568"/>
    <cellStyle name="Moeda 13 2" xfId="33095"/>
    <cellStyle name="Moeda 13 3" xfId="26561"/>
    <cellStyle name="Moeda 14" xfId="6603"/>
    <cellStyle name="Moeda 14 2" xfId="18457"/>
    <cellStyle name="Moeda 14 3" xfId="12530"/>
    <cellStyle name="Moeda 15" xfId="22556"/>
    <cellStyle name="Moeda 16" xfId="47901"/>
    <cellStyle name="Moeda 17" xfId="47903"/>
    <cellStyle name="Moeda 2" xfId="5"/>
    <cellStyle name="Moeda 2 2" xfId="8"/>
    <cellStyle name="Moeda 2 2 10" xfId="6604"/>
    <cellStyle name="Moeda 2 2 10 2" xfId="18458"/>
    <cellStyle name="Moeda 2 2 10 3" xfId="12531"/>
    <cellStyle name="Moeda 2 2 11" xfId="15494"/>
    <cellStyle name="Moeda 2 2 12" xfId="9567"/>
    <cellStyle name="Moeda 2 2 13" xfId="21449"/>
    <cellStyle name="Moeda 2 2 14" xfId="12"/>
    <cellStyle name="Moeda 2 2 2" xfId="32"/>
    <cellStyle name="Moeda 2 2 2 10" xfId="2040"/>
    <cellStyle name="Moeda 2 2 2 10 2" xfId="7209"/>
    <cellStyle name="Moeda 2 2 2 10 2 2" xfId="19063"/>
    <cellStyle name="Moeda 2 2 2 10 2 3" xfId="13136"/>
    <cellStyle name="Moeda 2 2 2 10 3" xfId="16099"/>
    <cellStyle name="Moeda 2 2 2 10 4" xfId="10172"/>
    <cellStyle name="Moeda 2 2 2 11" xfId="4812"/>
    <cellStyle name="Moeda 2 2 2 11 2" xfId="31339"/>
    <cellStyle name="Moeda 2 2 2 11 3" xfId="24805"/>
    <cellStyle name="Moeda 2 2 2 12" xfId="6576"/>
    <cellStyle name="Moeda 2 2 2 12 2" xfId="33103"/>
    <cellStyle name="Moeda 2 2 2 12 3" xfId="26569"/>
    <cellStyle name="Moeda 2 2 2 13" xfId="23033"/>
    <cellStyle name="Moeda 2 2 2 14" xfId="29567"/>
    <cellStyle name="Moeda 2 2 2 2" xfId="50"/>
    <cellStyle name="Moeda 2 2 2 2 10" xfId="23051"/>
    <cellStyle name="Moeda 2 2 2 2 11" xfId="29585"/>
    <cellStyle name="Moeda 2 2 2 2 2" xfId="91"/>
    <cellStyle name="Moeda 2 2 2 2 2 2" xfId="4498"/>
    <cellStyle name="Moeda 2 2 2 2 2 2 2" xfId="6270"/>
    <cellStyle name="Moeda 2 2 2 2 2 2 2 2" xfId="32797"/>
    <cellStyle name="Moeda 2 2 2 2 2 2 2 3" xfId="26263"/>
    <cellStyle name="Moeda 2 2 2 2 2 2 3" xfId="24491"/>
    <cellStyle name="Moeda 2 2 2 2 2 2 4" xfId="31025"/>
    <cellStyle name="Moeda 2 2 2 2 2 2 5" xfId="22719"/>
    <cellStyle name="Moeda 2 2 2 2 2 3" xfId="4622"/>
    <cellStyle name="Moeda 2 2 2 2 2 3 2" xfId="6394"/>
    <cellStyle name="Moeda 2 2 2 2 2 3 2 2" xfId="32921"/>
    <cellStyle name="Moeda 2 2 2 2 2 3 2 3" xfId="26387"/>
    <cellStyle name="Moeda 2 2 2 2 2 3 3" xfId="24615"/>
    <cellStyle name="Moeda 2 2 2 2 2 3 4" xfId="31149"/>
    <cellStyle name="Moeda 2 2 2 2 2 3 5" xfId="22843"/>
    <cellStyle name="Moeda 2 2 2 2 2 4" xfId="4746"/>
    <cellStyle name="Moeda 2 2 2 2 2 4 2" xfId="6518"/>
    <cellStyle name="Moeda 2 2 2 2 2 4 2 2" xfId="33045"/>
    <cellStyle name="Moeda 2 2 2 2 2 4 2 3" xfId="26511"/>
    <cellStyle name="Moeda 2 2 2 2 2 4 3" xfId="24739"/>
    <cellStyle name="Moeda 2 2 2 2 2 4 4" xfId="31273"/>
    <cellStyle name="Moeda 2 2 2 2 2 4 5" xfId="22967"/>
    <cellStyle name="Moeda 2 2 2 2 2 5" xfId="4412"/>
    <cellStyle name="Moeda 2 2 2 2 2 5 2" xfId="6184"/>
    <cellStyle name="Moeda 2 2 2 2 2 5 2 2" xfId="32711"/>
    <cellStyle name="Moeda 2 2 2 2 2 5 2 3" xfId="26177"/>
    <cellStyle name="Moeda 2 2 2 2 2 5 3" xfId="30939"/>
    <cellStyle name="Moeda 2 2 2 2 2 5 4" xfId="24405"/>
    <cellStyle name="Moeda 2 2 2 2 2 6" xfId="4870"/>
    <cellStyle name="Moeda 2 2 2 2 2 6 2" xfId="31397"/>
    <cellStyle name="Moeda 2 2 2 2 2 6 3" xfId="24863"/>
    <cellStyle name="Moeda 2 2 2 2 2 7" xfId="23091"/>
    <cellStyle name="Moeda 2 2 2 2 2 8" xfId="29625"/>
    <cellStyle name="Moeda 2 2 2 2 2 9" xfId="22633"/>
    <cellStyle name="Moeda 2 2 2 2 3" xfId="129"/>
    <cellStyle name="Moeda 2 2 2 2 3 2" xfId="4536"/>
    <cellStyle name="Moeda 2 2 2 2 3 2 2" xfId="6308"/>
    <cellStyle name="Moeda 2 2 2 2 3 2 2 2" xfId="32835"/>
    <cellStyle name="Moeda 2 2 2 2 3 2 2 3" xfId="26301"/>
    <cellStyle name="Moeda 2 2 2 2 3 2 3" xfId="24529"/>
    <cellStyle name="Moeda 2 2 2 2 3 2 4" xfId="31063"/>
    <cellStyle name="Moeda 2 2 2 2 3 2 5" xfId="22757"/>
    <cellStyle name="Moeda 2 2 2 2 3 3" xfId="4660"/>
    <cellStyle name="Moeda 2 2 2 2 3 3 2" xfId="6432"/>
    <cellStyle name="Moeda 2 2 2 2 3 3 2 2" xfId="32959"/>
    <cellStyle name="Moeda 2 2 2 2 3 3 2 3" xfId="26425"/>
    <cellStyle name="Moeda 2 2 2 2 3 3 3" xfId="24653"/>
    <cellStyle name="Moeda 2 2 2 2 3 3 4" xfId="31187"/>
    <cellStyle name="Moeda 2 2 2 2 3 3 5" xfId="22881"/>
    <cellStyle name="Moeda 2 2 2 2 3 4" xfId="4784"/>
    <cellStyle name="Moeda 2 2 2 2 3 4 2" xfId="6556"/>
    <cellStyle name="Moeda 2 2 2 2 3 4 2 2" xfId="33083"/>
    <cellStyle name="Moeda 2 2 2 2 3 4 2 3" xfId="26549"/>
    <cellStyle name="Moeda 2 2 2 2 3 4 3" xfId="24777"/>
    <cellStyle name="Moeda 2 2 2 2 3 4 4" xfId="31311"/>
    <cellStyle name="Moeda 2 2 2 2 3 4 5" xfId="23005"/>
    <cellStyle name="Moeda 2 2 2 2 3 5" xfId="4372"/>
    <cellStyle name="Moeda 2 2 2 2 3 5 2" xfId="6144"/>
    <cellStyle name="Moeda 2 2 2 2 3 5 2 2" xfId="32671"/>
    <cellStyle name="Moeda 2 2 2 2 3 5 2 3" xfId="26137"/>
    <cellStyle name="Moeda 2 2 2 2 3 5 3" xfId="30899"/>
    <cellStyle name="Moeda 2 2 2 2 3 5 4" xfId="24365"/>
    <cellStyle name="Moeda 2 2 2 2 3 6" xfId="4908"/>
    <cellStyle name="Moeda 2 2 2 2 3 6 2" xfId="31435"/>
    <cellStyle name="Moeda 2 2 2 2 3 6 3" xfId="24901"/>
    <cellStyle name="Moeda 2 2 2 2 3 7" xfId="23129"/>
    <cellStyle name="Moeda 2 2 2 2 3 8" xfId="29663"/>
    <cellStyle name="Moeda 2 2 2 2 3 9" xfId="22593"/>
    <cellStyle name="Moeda 2 2 2 2 4" xfId="4458"/>
    <cellStyle name="Moeda 2 2 2 2 4 2" xfId="6230"/>
    <cellStyle name="Moeda 2 2 2 2 4 2 2" xfId="32757"/>
    <cellStyle name="Moeda 2 2 2 2 4 2 3" xfId="26223"/>
    <cellStyle name="Moeda 2 2 2 2 4 3" xfId="24451"/>
    <cellStyle name="Moeda 2 2 2 2 4 4" xfId="30985"/>
    <cellStyle name="Moeda 2 2 2 2 4 5" xfId="22679"/>
    <cellStyle name="Moeda 2 2 2 2 5" xfId="4582"/>
    <cellStyle name="Moeda 2 2 2 2 5 2" xfId="6354"/>
    <cellStyle name="Moeda 2 2 2 2 5 2 2" xfId="32881"/>
    <cellStyle name="Moeda 2 2 2 2 5 2 3" xfId="26347"/>
    <cellStyle name="Moeda 2 2 2 2 5 3" xfId="24575"/>
    <cellStyle name="Moeda 2 2 2 2 5 4" xfId="31109"/>
    <cellStyle name="Moeda 2 2 2 2 5 5" xfId="22803"/>
    <cellStyle name="Moeda 2 2 2 2 6" xfId="4706"/>
    <cellStyle name="Moeda 2 2 2 2 6 2" xfId="6478"/>
    <cellStyle name="Moeda 2 2 2 2 6 2 2" xfId="33005"/>
    <cellStyle name="Moeda 2 2 2 2 6 2 3" xfId="26471"/>
    <cellStyle name="Moeda 2 2 2 2 6 3" xfId="24699"/>
    <cellStyle name="Moeda 2 2 2 2 6 4" xfId="31233"/>
    <cellStyle name="Moeda 2 2 2 2 6 5" xfId="22927"/>
    <cellStyle name="Moeda 2 2 2 2 7" xfId="2573"/>
    <cellStyle name="Moeda 2 2 2 2 7 2" xfId="7357"/>
    <cellStyle name="Moeda 2 2 2 2 7 2 2" xfId="19211"/>
    <cellStyle name="Moeda 2 2 2 2 7 2 3" xfId="13284"/>
    <cellStyle name="Moeda 2 2 2 2 7 3" xfId="16247"/>
    <cellStyle name="Moeda 2 2 2 2 7 4" xfId="10320"/>
    <cellStyle name="Moeda 2 2 2 2 8" xfId="4830"/>
    <cellStyle name="Moeda 2 2 2 2 8 2" xfId="31357"/>
    <cellStyle name="Moeda 2 2 2 2 8 3" xfId="24823"/>
    <cellStyle name="Moeda 2 2 2 2 9" xfId="6594"/>
    <cellStyle name="Moeda 2 2 2 2 9 2" xfId="33121"/>
    <cellStyle name="Moeda 2 2 2 2 9 3" xfId="26587"/>
    <cellStyle name="Moeda 2 2 2 3" xfId="73"/>
    <cellStyle name="Moeda 2 2 2 3 2" xfId="4394"/>
    <cellStyle name="Moeda 2 2 2 3 2 2" xfId="6166"/>
    <cellStyle name="Moeda 2 2 2 3 2 2 2" xfId="32693"/>
    <cellStyle name="Moeda 2 2 2 3 2 2 3" xfId="26159"/>
    <cellStyle name="Moeda 2 2 2 3 2 3" xfId="24387"/>
    <cellStyle name="Moeda 2 2 2 3 2 4" xfId="30921"/>
    <cellStyle name="Moeda 2 2 2 3 2 5" xfId="22615"/>
    <cellStyle name="Moeda 2 2 2 3 3" xfId="4480"/>
    <cellStyle name="Moeda 2 2 2 3 3 2" xfId="6252"/>
    <cellStyle name="Moeda 2 2 2 3 3 2 2" xfId="32779"/>
    <cellStyle name="Moeda 2 2 2 3 3 2 3" xfId="26245"/>
    <cellStyle name="Moeda 2 2 2 3 3 3" xfId="24473"/>
    <cellStyle name="Moeda 2 2 2 3 3 4" xfId="31007"/>
    <cellStyle name="Moeda 2 2 2 3 3 5" xfId="22701"/>
    <cellStyle name="Moeda 2 2 2 3 4" xfId="4604"/>
    <cellStyle name="Moeda 2 2 2 3 4 2" xfId="6376"/>
    <cellStyle name="Moeda 2 2 2 3 4 2 2" xfId="32903"/>
    <cellStyle name="Moeda 2 2 2 3 4 2 3" xfId="26369"/>
    <cellStyle name="Moeda 2 2 2 3 4 3" xfId="24597"/>
    <cellStyle name="Moeda 2 2 2 3 4 4" xfId="31131"/>
    <cellStyle name="Moeda 2 2 2 3 4 5" xfId="22825"/>
    <cellStyle name="Moeda 2 2 2 3 5" xfId="4728"/>
    <cellStyle name="Moeda 2 2 2 3 5 2" xfId="6500"/>
    <cellStyle name="Moeda 2 2 2 3 5 2 2" xfId="33027"/>
    <cellStyle name="Moeda 2 2 2 3 5 2 3" xfId="26493"/>
    <cellStyle name="Moeda 2 2 2 3 5 3" xfId="24721"/>
    <cellStyle name="Moeda 2 2 2 3 5 4" xfId="31255"/>
    <cellStyle name="Moeda 2 2 2 3 5 5" xfId="22949"/>
    <cellStyle name="Moeda 2 2 2 3 6" xfId="3101"/>
    <cellStyle name="Moeda 2 2 2 3 6 2" xfId="7505"/>
    <cellStyle name="Moeda 2 2 2 3 6 2 2" xfId="19359"/>
    <cellStyle name="Moeda 2 2 2 3 6 2 3" xfId="13432"/>
    <cellStyle name="Moeda 2 2 2 3 6 3" xfId="16395"/>
    <cellStyle name="Moeda 2 2 2 3 6 4" xfId="10468"/>
    <cellStyle name="Moeda 2 2 2 3 7" xfId="4852"/>
    <cellStyle name="Moeda 2 2 2 3 7 2" xfId="31379"/>
    <cellStyle name="Moeda 2 2 2 3 7 3" xfId="24845"/>
    <cellStyle name="Moeda 2 2 2 3 8" xfId="23073"/>
    <cellStyle name="Moeda 2 2 2 3 9" xfId="29607"/>
    <cellStyle name="Moeda 2 2 2 4" xfId="111"/>
    <cellStyle name="Moeda 2 2 2 4 2" xfId="4518"/>
    <cellStyle name="Moeda 2 2 2 4 2 2" xfId="6290"/>
    <cellStyle name="Moeda 2 2 2 4 2 2 2" xfId="32817"/>
    <cellStyle name="Moeda 2 2 2 4 2 2 3" xfId="26283"/>
    <cellStyle name="Moeda 2 2 2 4 2 3" xfId="24511"/>
    <cellStyle name="Moeda 2 2 2 4 2 4" xfId="31045"/>
    <cellStyle name="Moeda 2 2 2 4 2 5" xfId="22739"/>
    <cellStyle name="Moeda 2 2 2 4 3" xfId="4642"/>
    <cellStyle name="Moeda 2 2 2 4 3 2" xfId="6414"/>
    <cellStyle name="Moeda 2 2 2 4 3 2 2" xfId="32941"/>
    <cellStyle name="Moeda 2 2 2 4 3 2 3" xfId="26407"/>
    <cellStyle name="Moeda 2 2 2 4 3 3" xfId="24635"/>
    <cellStyle name="Moeda 2 2 2 4 3 4" xfId="31169"/>
    <cellStyle name="Moeda 2 2 2 4 3 5" xfId="22863"/>
    <cellStyle name="Moeda 2 2 2 4 4" xfId="4766"/>
    <cellStyle name="Moeda 2 2 2 4 4 2" xfId="6538"/>
    <cellStyle name="Moeda 2 2 2 4 4 2 2" xfId="33065"/>
    <cellStyle name="Moeda 2 2 2 4 4 2 3" xfId="26531"/>
    <cellStyle name="Moeda 2 2 2 4 4 3" xfId="24759"/>
    <cellStyle name="Moeda 2 2 2 4 4 4" xfId="31293"/>
    <cellStyle name="Moeda 2 2 2 4 4 5" xfId="22987"/>
    <cellStyle name="Moeda 2 2 2 4 5" xfId="3629"/>
    <cellStyle name="Moeda 2 2 2 4 5 2" xfId="7653"/>
    <cellStyle name="Moeda 2 2 2 4 5 2 2" xfId="19507"/>
    <cellStyle name="Moeda 2 2 2 4 5 2 3" xfId="13580"/>
    <cellStyle name="Moeda 2 2 2 4 5 3" xfId="16543"/>
    <cellStyle name="Moeda 2 2 2 4 5 4" xfId="10616"/>
    <cellStyle name="Moeda 2 2 2 4 6" xfId="4890"/>
    <cellStyle name="Moeda 2 2 2 4 6 2" xfId="31417"/>
    <cellStyle name="Moeda 2 2 2 4 6 3" xfId="24883"/>
    <cellStyle name="Moeda 2 2 2 4 7" xfId="23111"/>
    <cellStyle name="Moeda 2 2 2 4 8" xfId="29645"/>
    <cellStyle name="Moeda 2 2 2 5" xfId="4157"/>
    <cellStyle name="Moeda 2 2 2 5 2" xfId="7801"/>
    <cellStyle name="Moeda 2 2 2 5 2 2" xfId="19655"/>
    <cellStyle name="Moeda 2 2 2 5 2 3" xfId="13728"/>
    <cellStyle name="Moeda 2 2 2 5 3" xfId="16691"/>
    <cellStyle name="Moeda 2 2 2 5 4" xfId="10764"/>
    <cellStyle name="Moeda 2 2 2 6" xfId="4354"/>
    <cellStyle name="Moeda 2 2 2 6 2" xfId="6126"/>
    <cellStyle name="Moeda 2 2 2 6 2 2" xfId="32653"/>
    <cellStyle name="Moeda 2 2 2 6 2 3" xfId="26119"/>
    <cellStyle name="Moeda 2 2 2 6 3" xfId="24347"/>
    <cellStyle name="Moeda 2 2 2 6 4" xfId="30881"/>
    <cellStyle name="Moeda 2 2 2 6 5" xfId="22575"/>
    <cellStyle name="Moeda 2 2 2 7" xfId="4440"/>
    <cellStyle name="Moeda 2 2 2 7 2" xfId="6212"/>
    <cellStyle name="Moeda 2 2 2 7 2 2" xfId="32739"/>
    <cellStyle name="Moeda 2 2 2 7 2 3" xfId="26205"/>
    <cellStyle name="Moeda 2 2 2 7 3" xfId="24433"/>
    <cellStyle name="Moeda 2 2 2 7 4" xfId="30967"/>
    <cellStyle name="Moeda 2 2 2 7 5" xfId="22661"/>
    <cellStyle name="Moeda 2 2 2 8" xfId="4564"/>
    <cellStyle name="Moeda 2 2 2 8 2" xfId="6336"/>
    <cellStyle name="Moeda 2 2 2 8 2 2" xfId="32863"/>
    <cellStyle name="Moeda 2 2 2 8 2 3" xfId="26329"/>
    <cellStyle name="Moeda 2 2 2 8 3" xfId="24557"/>
    <cellStyle name="Moeda 2 2 2 8 4" xfId="31091"/>
    <cellStyle name="Moeda 2 2 2 8 5" xfId="22785"/>
    <cellStyle name="Moeda 2 2 2 9" xfId="4688"/>
    <cellStyle name="Moeda 2 2 2 9 2" xfId="6460"/>
    <cellStyle name="Moeda 2 2 2 9 2 2" xfId="32987"/>
    <cellStyle name="Moeda 2 2 2 9 2 3" xfId="26453"/>
    <cellStyle name="Moeda 2 2 2 9 3" xfId="24681"/>
    <cellStyle name="Moeda 2 2 2 9 4" xfId="31215"/>
    <cellStyle name="Moeda 2 2 2 9 5" xfId="22909"/>
    <cellStyle name="Moeda 2 2 3" xfId="38"/>
    <cellStyle name="Moeda 2 2 3 10" xfId="6582"/>
    <cellStyle name="Moeda 2 2 3 10 2" xfId="33109"/>
    <cellStyle name="Moeda 2 2 3 10 3" xfId="26575"/>
    <cellStyle name="Moeda 2 2 3 11" xfId="23039"/>
    <cellStyle name="Moeda 2 2 3 12" xfId="29573"/>
    <cellStyle name="Moeda 2 2 3 13" xfId="22581"/>
    <cellStyle name="Moeda 2 2 3 2" xfId="56"/>
    <cellStyle name="Moeda 2 2 3 2 10" xfId="23057"/>
    <cellStyle name="Moeda 2 2 3 2 11" xfId="29591"/>
    <cellStyle name="Moeda 2 2 3 2 12" xfId="22599"/>
    <cellStyle name="Moeda 2 2 3 2 2" xfId="97"/>
    <cellStyle name="Moeda 2 2 3 2 2 2" xfId="4504"/>
    <cellStyle name="Moeda 2 2 3 2 2 2 2" xfId="6276"/>
    <cellStyle name="Moeda 2 2 3 2 2 2 2 2" xfId="32803"/>
    <cellStyle name="Moeda 2 2 3 2 2 2 2 3" xfId="26269"/>
    <cellStyle name="Moeda 2 2 3 2 2 2 3" xfId="24497"/>
    <cellStyle name="Moeda 2 2 3 2 2 2 4" xfId="31031"/>
    <cellStyle name="Moeda 2 2 3 2 2 2 5" xfId="22725"/>
    <cellStyle name="Moeda 2 2 3 2 2 3" xfId="4628"/>
    <cellStyle name="Moeda 2 2 3 2 2 3 2" xfId="6400"/>
    <cellStyle name="Moeda 2 2 3 2 2 3 2 2" xfId="32927"/>
    <cellStyle name="Moeda 2 2 3 2 2 3 2 3" xfId="26393"/>
    <cellStyle name="Moeda 2 2 3 2 2 3 3" xfId="24621"/>
    <cellStyle name="Moeda 2 2 3 2 2 3 4" xfId="31155"/>
    <cellStyle name="Moeda 2 2 3 2 2 3 5" xfId="22849"/>
    <cellStyle name="Moeda 2 2 3 2 2 4" xfId="4752"/>
    <cellStyle name="Moeda 2 2 3 2 2 4 2" xfId="6524"/>
    <cellStyle name="Moeda 2 2 3 2 2 4 2 2" xfId="33051"/>
    <cellStyle name="Moeda 2 2 3 2 2 4 2 3" xfId="26517"/>
    <cellStyle name="Moeda 2 2 3 2 2 4 3" xfId="24745"/>
    <cellStyle name="Moeda 2 2 3 2 2 4 4" xfId="31279"/>
    <cellStyle name="Moeda 2 2 3 2 2 4 5" xfId="22973"/>
    <cellStyle name="Moeda 2 2 3 2 2 5" xfId="4418"/>
    <cellStyle name="Moeda 2 2 3 2 2 5 2" xfId="6190"/>
    <cellStyle name="Moeda 2 2 3 2 2 5 2 2" xfId="32717"/>
    <cellStyle name="Moeda 2 2 3 2 2 5 2 3" xfId="26183"/>
    <cellStyle name="Moeda 2 2 3 2 2 5 3" xfId="30945"/>
    <cellStyle name="Moeda 2 2 3 2 2 5 4" xfId="24411"/>
    <cellStyle name="Moeda 2 2 3 2 2 6" xfId="4876"/>
    <cellStyle name="Moeda 2 2 3 2 2 6 2" xfId="31403"/>
    <cellStyle name="Moeda 2 2 3 2 2 6 3" xfId="24869"/>
    <cellStyle name="Moeda 2 2 3 2 2 7" xfId="23097"/>
    <cellStyle name="Moeda 2 2 3 2 2 8" xfId="29631"/>
    <cellStyle name="Moeda 2 2 3 2 2 9" xfId="22639"/>
    <cellStyle name="Moeda 2 2 3 2 3" xfId="135"/>
    <cellStyle name="Moeda 2 2 3 2 3 2" xfId="4666"/>
    <cellStyle name="Moeda 2 2 3 2 3 2 2" xfId="6438"/>
    <cellStyle name="Moeda 2 2 3 2 3 2 2 2" xfId="32965"/>
    <cellStyle name="Moeda 2 2 3 2 3 2 2 3" xfId="26431"/>
    <cellStyle name="Moeda 2 2 3 2 3 2 3" xfId="24659"/>
    <cellStyle name="Moeda 2 2 3 2 3 2 4" xfId="31193"/>
    <cellStyle name="Moeda 2 2 3 2 3 2 5" xfId="22887"/>
    <cellStyle name="Moeda 2 2 3 2 3 3" xfId="4790"/>
    <cellStyle name="Moeda 2 2 3 2 3 3 2" xfId="6562"/>
    <cellStyle name="Moeda 2 2 3 2 3 3 2 2" xfId="33089"/>
    <cellStyle name="Moeda 2 2 3 2 3 3 2 3" xfId="26555"/>
    <cellStyle name="Moeda 2 2 3 2 3 3 3" xfId="24783"/>
    <cellStyle name="Moeda 2 2 3 2 3 3 4" xfId="31317"/>
    <cellStyle name="Moeda 2 2 3 2 3 3 5" xfId="23011"/>
    <cellStyle name="Moeda 2 2 3 2 3 4" xfId="4542"/>
    <cellStyle name="Moeda 2 2 3 2 3 4 2" xfId="6314"/>
    <cellStyle name="Moeda 2 2 3 2 3 4 2 2" xfId="32841"/>
    <cellStyle name="Moeda 2 2 3 2 3 4 2 3" xfId="26307"/>
    <cellStyle name="Moeda 2 2 3 2 3 4 3" xfId="31069"/>
    <cellStyle name="Moeda 2 2 3 2 3 4 4" xfId="24535"/>
    <cellStyle name="Moeda 2 2 3 2 3 5" xfId="4914"/>
    <cellStyle name="Moeda 2 2 3 2 3 5 2" xfId="31441"/>
    <cellStyle name="Moeda 2 2 3 2 3 5 3" xfId="24907"/>
    <cellStyle name="Moeda 2 2 3 2 3 6" xfId="23135"/>
    <cellStyle name="Moeda 2 2 3 2 3 7" xfId="29669"/>
    <cellStyle name="Moeda 2 2 3 2 3 8" xfId="22763"/>
    <cellStyle name="Moeda 2 2 3 2 4" xfId="4464"/>
    <cellStyle name="Moeda 2 2 3 2 4 2" xfId="6236"/>
    <cellStyle name="Moeda 2 2 3 2 4 2 2" xfId="32763"/>
    <cellStyle name="Moeda 2 2 3 2 4 2 3" xfId="26229"/>
    <cellStyle name="Moeda 2 2 3 2 4 3" xfId="24457"/>
    <cellStyle name="Moeda 2 2 3 2 4 4" xfId="30991"/>
    <cellStyle name="Moeda 2 2 3 2 4 5" xfId="22685"/>
    <cellStyle name="Moeda 2 2 3 2 5" xfId="4588"/>
    <cellStyle name="Moeda 2 2 3 2 5 2" xfId="6360"/>
    <cellStyle name="Moeda 2 2 3 2 5 2 2" xfId="32887"/>
    <cellStyle name="Moeda 2 2 3 2 5 2 3" xfId="26353"/>
    <cellStyle name="Moeda 2 2 3 2 5 3" xfId="24581"/>
    <cellStyle name="Moeda 2 2 3 2 5 4" xfId="31115"/>
    <cellStyle name="Moeda 2 2 3 2 5 5" xfId="22809"/>
    <cellStyle name="Moeda 2 2 3 2 6" xfId="4712"/>
    <cellStyle name="Moeda 2 2 3 2 6 2" xfId="6484"/>
    <cellStyle name="Moeda 2 2 3 2 6 2 2" xfId="33011"/>
    <cellStyle name="Moeda 2 2 3 2 6 2 3" xfId="26477"/>
    <cellStyle name="Moeda 2 2 3 2 6 3" xfId="24705"/>
    <cellStyle name="Moeda 2 2 3 2 6 4" xfId="31239"/>
    <cellStyle name="Moeda 2 2 3 2 6 5" xfId="22933"/>
    <cellStyle name="Moeda 2 2 3 2 7" xfId="4378"/>
    <cellStyle name="Moeda 2 2 3 2 7 2" xfId="6150"/>
    <cellStyle name="Moeda 2 2 3 2 7 2 2" xfId="32677"/>
    <cellStyle name="Moeda 2 2 3 2 7 2 3" xfId="26143"/>
    <cellStyle name="Moeda 2 2 3 2 7 3" xfId="30905"/>
    <cellStyle name="Moeda 2 2 3 2 7 4" xfId="24371"/>
    <cellStyle name="Moeda 2 2 3 2 8" xfId="4836"/>
    <cellStyle name="Moeda 2 2 3 2 8 2" xfId="31363"/>
    <cellStyle name="Moeda 2 2 3 2 8 3" xfId="24829"/>
    <cellStyle name="Moeda 2 2 3 2 9" xfId="6600"/>
    <cellStyle name="Moeda 2 2 3 2 9 2" xfId="33127"/>
    <cellStyle name="Moeda 2 2 3 2 9 3" xfId="26593"/>
    <cellStyle name="Moeda 2 2 3 3" xfId="79"/>
    <cellStyle name="Moeda 2 2 3 3 2" xfId="4486"/>
    <cellStyle name="Moeda 2 2 3 3 2 2" xfId="6258"/>
    <cellStyle name="Moeda 2 2 3 3 2 2 2" xfId="32785"/>
    <cellStyle name="Moeda 2 2 3 3 2 2 3" xfId="26251"/>
    <cellStyle name="Moeda 2 2 3 3 2 3" xfId="24479"/>
    <cellStyle name="Moeda 2 2 3 3 2 4" xfId="31013"/>
    <cellStyle name="Moeda 2 2 3 3 2 5" xfId="22707"/>
    <cellStyle name="Moeda 2 2 3 3 3" xfId="4610"/>
    <cellStyle name="Moeda 2 2 3 3 3 2" xfId="6382"/>
    <cellStyle name="Moeda 2 2 3 3 3 2 2" xfId="32909"/>
    <cellStyle name="Moeda 2 2 3 3 3 2 3" xfId="26375"/>
    <cellStyle name="Moeda 2 2 3 3 3 3" xfId="24603"/>
    <cellStyle name="Moeda 2 2 3 3 3 4" xfId="31137"/>
    <cellStyle name="Moeda 2 2 3 3 3 5" xfId="22831"/>
    <cellStyle name="Moeda 2 2 3 3 4" xfId="4734"/>
    <cellStyle name="Moeda 2 2 3 3 4 2" xfId="6506"/>
    <cellStyle name="Moeda 2 2 3 3 4 2 2" xfId="33033"/>
    <cellStyle name="Moeda 2 2 3 3 4 2 3" xfId="26499"/>
    <cellStyle name="Moeda 2 2 3 3 4 3" xfId="24727"/>
    <cellStyle name="Moeda 2 2 3 3 4 4" xfId="31261"/>
    <cellStyle name="Moeda 2 2 3 3 4 5" xfId="22955"/>
    <cellStyle name="Moeda 2 2 3 3 5" xfId="4400"/>
    <cellStyle name="Moeda 2 2 3 3 5 2" xfId="6172"/>
    <cellStyle name="Moeda 2 2 3 3 5 2 2" xfId="32699"/>
    <cellStyle name="Moeda 2 2 3 3 5 2 3" xfId="26165"/>
    <cellStyle name="Moeda 2 2 3 3 5 3" xfId="30927"/>
    <cellStyle name="Moeda 2 2 3 3 5 4" xfId="24393"/>
    <cellStyle name="Moeda 2 2 3 3 6" xfId="4858"/>
    <cellStyle name="Moeda 2 2 3 3 6 2" xfId="31385"/>
    <cellStyle name="Moeda 2 2 3 3 6 3" xfId="24851"/>
    <cellStyle name="Moeda 2 2 3 3 7" xfId="23079"/>
    <cellStyle name="Moeda 2 2 3 3 8" xfId="29613"/>
    <cellStyle name="Moeda 2 2 3 3 9" xfId="22621"/>
    <cellStyle name="Moeda 2 2 3 4" xfId="117"/>
    <cellStyle name="Moeda 2 2 3 4 2" xfId="4648"/>
    <cellStyle name="Moeda 2 2 3 4 2 2" xfId="6420"/>
    <cellStyle name="Moeda 2 2 3 4 2 2 2" xfId="32947"/>
    <cellStyle name="Moeda 2 2 3 4 2 2 3" xfId="26413"/>
    <cellStyle name="Moeda 2 2 3 4 2 3" xfId="24641"/>
    <cellStyle name="Moeda 2 2 3 4 2 4" xfId="31175"/>
    <cellStyle name="Moeda 2 2 3 4 2 5" xfId="22869"/>
    <cellStyle name="Moeda 2 2 3 4 3" xfId="4772"/>
    <cellStyle name="Moeda 2 2 3 4 3 2" xfId="6544"/>
    <cellStyle name="Moeda 2 2 3 4 3 2 2" xfId="33071"/>
    <cellStyle name="Moeda 2 2 3 4 3 2 3" xfId="26537"/>
    <cellStyle name="Moeda 2 2 3 4 3 3" xfId="24765"/>
    <cellStyle name="Moeda 2 2 3 4 3 4" xfId="31299"/>
    <cellStyle name="Moeda 2 2 3 4 3 5" xfId="22993"/>
    <cellStyle name="Moeda 2 2 3 4 4" xfId="4524"/>
    <cellStyle name="Moeda 2 2 3 4 4 2" xfId="6296"/>
    <cellStyle name="Moeda 2 2 3 4 4 2 2" xfId="32823"/>
    <cellStyle name="Moeda 2 2 3 4 4 2 3" xfId="26289"/>
    <cellStyle name="Moeda 2 2 3 4 4 3" xfId="31051"/>
    <cellStyle name="Moeda 2 2 3 4 4 4" xfId="24517"/>
    <cellStyle name="Moeda 2 2 3 4 5" xfId="4896"/>
    <cellStyle name="Moeda 2 2 3 4 5 2" xfId="31423"/>
    <cellStyle name="Moeda 2 2 3 4 5 3" xfId="24889"/>
    <cellStyle name="Moeda 2 2 3 4 6" xfId="23117"/>
    <cellStyle name="Moeda 2 2 3 4 7" xfId="29651"/>
    <cellStyle name="Moeda 2 2 3 4 8" xfId="22745"/>
    <cellStyle name="Moeda 2 2 3 5" xfId="4446"/>
    <cellStyle name="Moeda 2 2 3 5 2" xfId="6218"/>
    <cellStyle name="Moeda 2 2 3 5 2 2" xfId="32745"/>
    <cellStyle name="Moeda 2 2 3 5 2 3" xfId="26211"/>
    <cellStyle name="Moeda 2 2 3 5 3" xfId="24439"/>
    <cellStyle name="Moeda 2 2 3 5 4" xfId="30973"/>
    <cellStyle name="Moeda 2 2 3 5 5" xfId="22667"/>
    <cellStyle name="Moeda 2 2 3 6" xfId="4570"/>
    <cellStyle name="Moeda 2 2 3 6 2" xfId="6342"/>
    <cellStyle name="Moeda 2 2 3 6 2 2" xfId="32869"/>
    <cellStyle name="Moeda 2 2 3 6 2 3" xfId="26335"/>
    <cellStyle name="Moeda 2 2 3 6 3" xfId="24563"/>
    <cellStyle name="Moeda 2 2 3 6 4" xfId="31097"/>
    <cellStyle name="Moeda 2 2 3 6 5" xfId="22791"/>
    <cellStyle name="Moeda 2 2 3 7" xfId="4694"/>
    <cellStyle name="Moeda 2 2 3 7 2" xfId="6466"/>
    <cellStyle name="Moeda 2 2 3 7 2 2" xfId="32993"/>
    <cellStyle name="Moeda 2 2 3 7 2 3" xfId="26459"/>
    <cellStyle name="Moeda 2 2 3 7 3" xfId="24687"/>
    <cellStyle name="Moeda 2 2 3 7 4" xfId="31221"/>
    <cellStyle name="Moeda 2 2 3 7 5" xfId="22915"/>
    <cellStyle name="Moeda 2 2 3 8" xfId="4360"/>
    <cellStyle name="Moeda 2 2 3 8 2" xfId="6132"/>
    <cellStyle name="Moeda 2 2 3 8 2 2" xfId="32659"/>
    <cellStyle name="Moeda 2 2 3 8 2 3" xfId="26125"/>
    <cellStyle name="Moeda 2 2 3 8 3" xfId="30887"/>
    <cellStyle name="Moeda 2 2 3 8 4" xfId="24353"/>
    <cellStyle name="Moeda 2 2 3 9" xfId="4818"/>
    <cellStyle name="Moeda 2 2 3 9 2" xfId="31345"/>
    <cellStyle name="Moeda 2 2 3 9 3" xfId="24811"/>
    <cellStyle name="Moeda 2 2 4" xfId="44"/>
    <cellStyle name="Moeda 2 2 4 10" xfId="23045"/>
    <cellStyle name="Moeda 2 2 4 11" xfId="29579"/>
    <cellStyle name="Moeda 2 2 4 12" xfId="22587"/>
    <cellStyle name="Moeda 2 2 4 2" xfId="85"/>
    <cellStyle name="Moeda 2 2 4 2 2" xfId="4492"/>
    <cellStyle name="Moeda 2 2 4 2 2 2" xfId="6264"/>
    <cellStyle name="Moeda 2 2 4 2 2 2 2" xfId="32791"/>
    <cellStyle name="Moeda 2 2 4 2 2 2 3" xfId="26257"/>
    <cellStyle name="Moeda 2 2 4 2 2 3" xfId="24485"/>
    <cellStyle name="Moeda 2 2 4 2 2 4" xfId="31019"/>
    <cellStyle name="Moeda 2 2 4 2 2 5" xfId="22713"/>
    <cellStyle name="Moeda 2 2 4 2 3" xfId="4616"/>
    <cellStyle name="Moeda 2 2 4 2 3 2" xfId="6388"/>
    <cellStyle name="Moeda 2 2 4 2 3 2 2" xfId="32915"/>
    <cellStyle name="Moeda 2 2 4 2 3 2 3" xfId="26381"/>
    <cellStyle name="Moeda 2 2 4 2 3 3" xfId="24609"/>
    <cellStyle name="Moeda 2 2 4 2 3 4" xfId="31143"/>
    <cellStyle name="Moeda 2 2 4 2 3 5" xfId="22837"/>
    <cellStyle name="Moeda 2 2 4 2 4" xfId="4740"/>
    <cellStyle name="Moeda 2 2 4 2 4 2" xfId="6512"/>
    <cellStyle name="Moeda 2 2 4 2 4 2 2" xfId="33039"/>
    <cellStyle name="Moeda 2 2 4 2 4 2 3" xfId="26505"/>
    <cellStyle name="Moeda 2 2 4 2 4 3" xfId="24733"/>
    <cellStyle name="Moeda 2 2 4 2 4 4" xfId="31267"/>
    <cellStyle name="Moeda 2 2 4 2 4 5" xfId="22961"/>
    <cellStyle name="Moeda 2 2 4 2 5" xfId="4406"/>
    <cellStyle name="Moeda 2 2 4 2 5 2" xfId="6178"/>
    <cellStyle name="Moeda 2 2 4 2 5 2 2" xfId="32705"/>
    <cellStyle name="Moeda 2 2 4 2 5 2 3" xfId="26171"/>
    <cellStyle name="Moeda 2 2 4 2 5 3" xfId="30933"/>
    <cellStyle name="Moeda 2 2 4 2 5 4" xfId="24399"/>
    <cellStyle name="Moeda 2 2 4 2 6" xfId="4864"/>
    <cellStyle name="Moeda 2 2 4 2 6 2" xfId="31391"/>
    <cellStyle name="Moeda 2 2 4 2 6 3" xfId="24857"/>
    <cellStyle name="Moeda 2 2 4 2 7" xfId="23085"/>
    <cellStyle name="Moeda 2 2 4 2 8" xfId="29619"/>
    <cellStyle name="Moeda 2 2 4 2 9" xfId="22627"/>
    <cellStyle name="Moeda 2 2 4 3" xfId="123"/>
    <cellStyle name="Moeda 2 2 4 3 2" xfId="4654"/>
    <cellStyle name="Moeda 2 2 4 3 2 2" xfId="6426"/>
    <cellStyle name="Moeda 2 2 4 3 2 2 2" xfId="32953"/>
    <cellStyle name="Moeda 2 2 4 3 2 2 3" xfId="26419"/>
    <cellStyle name="Moeda 2 2 4 3 2 3" xfId="24647"/>
    <cellStyle name="Moeda 2 2 4 3 2 4" xfId="31181"/>
    <cellStyle name="Moeda 2 2 4 3 2 5" xfId="22875"/>
    <cellStyle name="Moeda 2 2 4 3 3" xfId="4778"/>
    <cellStyle name="Moeda 2 2 4 3 3 2" xfId="6550"/>
    <cellStyle name="Moeda 2 2 4 3 3 2 2" xfId="33077"/>
    <cellStyle name="Moeda 2 2 4 3 3 2 3" xfId="26543"/>
    <cellStyle name="Moeda 2 2 4 3 3 3" xfId="24771"/>
    <cellStyle name="Moeda 2 2 4 3 3 4" xfId="31305"/>
    <cellStyle name="Moeda 2 2 4 3 3 5" xfId="22999"/>
    <cellStyle name="Moeda 2 2 4 3 4" xfId="4530"/>
    <cellStyle name="Moeda 2 2 4 3 4 2" xfId="6302"/>
    <cellStyle name="Moeda 2 2 4 3 4 2 2" xfId="32829"/>
    <cellStyle name="Moeda 2 2 4 3 4 2 3" xfId="26295"/>
    <cellStyle name="Moeda 2 2 4 3 4 3" xfId="31057"/>
    <cellStyle name="Moeda 2 2 4 3 4 4" xfId="24523"/>
    <cellStyle name="Moeda 2 2 4 3 5" xfId="4902"/>
    <cellStyle name="Moeda 2 2 4 3 5 2" xfId="31429"/>
    <cellStyle name="Moeda 2 2 4 3 5 3" xfId="24895"/>
    <cellStyle name="Moeda 2 2 4 3 6" xfId="23123"/>
    <cellStyle name="Moeda 2 2 4 3 7" xfId="29657"/>
    <cellStyle name="Moeda 2 2 4 3 8" xfId="22751"/>
    <cellStyle name="Moeda 2 2 4 4" xfId="4452"/>
    <cellStyle name="Moeda 2 2 4 4 2" xfId="6224"/>
    <cellStyle name="Moeda 2 2 4 4 2 2" xfId="32751"/>
    <cellStyle name="Moeda 2 2 4 4 2 3" xfId="26217"/>
    <cellStyle name="Moeda 2 2 4 4 3" xfId="24445"/>
    <cellStyle name="Moeda 2 2 4 4 4" xfId="30979"/>
    <cellStyle name="Moeda 2 2 4 4 5" xfId="22673"/>
    <cellStyle name="Moeda 2 2 4 5" xfId="4576"/>
    <cellStyle name="Moeda 2 2 4 5 2" xfId="6348"/>
    <cellStyle name="Moeda 2 2 4 5 2 2" xfId="32875"/>
    <cellStyle name="Moeda 2 2 4 5 2 3" xfId="26341"/>
    <cellStyle name="Moeda 2 2 4 5 3" xfId="24569"/>
    <cellStyle name="Moeda 2 2 4 5 4" xfId="31103"/>
    <cellStyle name="Moeda 2 2 4 5 5" xfId="22797"/>
    <cellStyle name="Moeda 2 2 4 6" xfId="4700"/>
    <cellStyle name="Moeda 2 2 4 6 2" xfId="6472"/>
    <cellStyle name="Moeda 2 2 4 6 2 2" xfId="32999"/>
    <cellStyle name="Moeda 2 2 4 6 2 3" xfId="26465"/>
    <cellStyle name="Moeda 2 2 4 6 3" xfId="24693"/>
    <cellStyle name="Moeda 2 2 4 6 4" xfId="31227"/>
    <cellStyle name="Moeda 2 2 4 6 5" xfId="22921"/>
    <cellStyle name="Moeda 2 2 4 7" xfId="4366"/>
    <cellStyle name="Moeda 2 2 4 7 2" xfId="6138"/>
    <cellStyle name="Moeda 2 2 4 7 2 2" xfId="32665"/>
    <cellStyle name="Moeda 2 2 4 7 2 3" xfId="26131"/>
    <cellStyle name="Moeda 2 2 4 7 3" xfId="30893"/>
    <cellStyle name="Moeda 2 2 4 7 4" xfId="24359"/>
    <cellStyle name="Moeda 2 2 4 8" xfId="4824"/>
    <cellStyle name="Moeda 2 2 4 8 2" xfId="31351"/>
    <cellStyle name="Moeda 2 2 4 8 3" xfId="24817"/>
    <cellStyle name="Moeda 2 2 4 9" xfId="6588"/>
    <cellStyle name="Moeda 2 2 4 9 2" xfId="33115"/>
    <cellStyle name="Moeda 2 2 4 9 3" xfId="26581"/>
    <cellStyle name="Moeda 2 2 5" xfId="26"/>
    <cellStyle name="Moeda 2 2 5 2" xfId="4434"/>
    <cellStyle name="Moeda 2 2 5 2 2" xfId="6206"/>
    <cellStyle name="Moeda 2 2 5 2 2 2" xfId="32733"/>
    <cellStyle name="Moeda 2 2 5 2 2 3" xfId="26199"/>
    <cellStyle name="Moeda 2 2 5 2 3" xfId="24427"/>
    <cellStyle name="Moeda 2 2 5 2 4" xfId="30961"/>
    <cellStyle name="Moeda 2 2 5 2 5" xfId="22655"/>
    <cellStyle name="Moeda 2 2 5 3" xfId="4558"/>
    <cellStyle name="Moeda 2 2 5 3 2" xfId="6330"/>
    <cellStyle name="Moeda 2 2 5 3 2 2" xfId="32857"/>
    <cellStyle name="Moeda 2 2 5 3 2 3" xfId="26323"/>
    <cellStyle name="Moeda 2 2 5 3 3" xfId="24551"/>
    <cellStyle name="Moeda 2 2 5 3 4" xfId="31085"/>
    <cellStyle name="Moeda 2 2 5 3 5" xfId="22779"/>
    <cellStyle name="Moeda 2 2 5 4" xfId="4682"/>
    <cellStyle name="Moeda 2 2 5 4 2" xfId="6454"/>
    <cellStyle name="Moeda 2 2 5 4 2 2" xfId="32981"/>
    <cellStyle name="Moeda 2 2 5 4 2 3" xfId="26447"/>
    <cellStyle name="Moeda 2 2 5 4 3" xfId="24675"/>
    <cellStyle name="Moeda 2 2 5 4 4" xfId="31209"/>
    <cellStyle name="Moeda 2 2 5 4 5" xfId="22903"/>
    <cellStyle name="Moeda 2 2 5 5" xfId="4348"/>
    <cellStyle name="Moeda 2 2 5 5 2" xfId="6120"/>
    <cellStyle name="Moeda 2 2 5 5 2 2" xfId="32647"/>
    <cellStyle name="Moeda 2 2 5 5 2 3" xfId="26113"/>
    <cellStyle name="Moeda 2 2 5 5 3" xfId="30875"/>
    <cellStyle name="Moeda 2 2 5 5 4" xfId="24341"/>
    <cellStyle name="Moeda 2 2 5 6" xfId="4806"/>
    <cellStyle name="Moeda 2 2 5 6 2" xfId="31333"/>
    <cellStyle name="Moeda 2 2 5 6 3" xfId="24799"/>
    <cellStyle name="Moeda 2 2 5 7" xfId="23027"/>
    <cellStyle name="Moeda 2 2 5 8" xfId="29561"/>
    <cellStyle name="Moeda 2 2 5 9" xfId="22569"/>
    <cellStyle name="Moeda 2 2 6" xfId="67"/>
    <cellStyle name="Moeda 2 2 6 2" xfId="4474"/>
    <cellStyle name="Moeda 2 2 6 2 2" xfId="6246"/>
    <cellStyle name="Moeda 2 2 6 2 2 2" xfId="32773"/>
    <cellStyle name="Moeda 2 2 6 2 2 3" xfId="26239"/>
    <cellStyle name="Moeda 2 2 6 2 3" xfId="24467"/>
    <cellStyle name="Moeda 2 2 6 2 4" xfId="31001"/>
    <cellStyle name="Moeda 2 2 6 2 5" xfId="22695"/>
    <cellStyle name="Moeda 2 2 6 3" xfId="4598"/>
    <cellStyle name="Moeda 2 2 6 3 2" xfId="6370"/>
    <cellStyle name="Moeda 2 2 6 3 2 2" xfId="32897"/>
    <cellStyle name="Moeda 2 2 6 3 2 3" xfId="26363"/>
    <cellStyle name="Moeda 2 2 6 3 3" xfId="24591"/>
    <cellStyle name="Moeda 2 2 6 3 4" xfId="31125"/>
    <cellStyle name="Moeda 2 2 6 3 5" xfId="22819"/>
    <cellStyle name="Moeda 2 2 6 4" xfId="4722"/>
    <cellStyle name="Moeda 2 2 6 4 2" xfId="6494"/>
    <cellStyle name="Moeda 2 2 6 4 2 2" xfId="33021"/>
    <cellStyle name="Moeda 2 2 6 4 2 3" xfId="26487"/>
    <cellStyle name="Moeda 2 2 6 4 3" xfId="24715"/>
    <cellStyle name="Moeda 2 2 6 4 4" xfId="31249"/>
    <cellStyle name="Moeda 2 2 6 4 5" xfId="22943"/>
    <cellStyle name="Moeda 2 2 6 5" xfId="4388"/>
    <cellStyle name="Moeda 2 2 6 5 2" xfId="6160"/>
    <cellStyle name="Moeda 2 2 6 5 2 2" xfId="32687"/>
    <cellStyle name="Moeda 2 2 6 5 2 3" xfId="26153"/>
    <cellStyle name="Moeda 2 2 6 5 3" xfId="30915"/>
    <cellStyle name="Moeda 2 2 6 5 4" xfId="24381"/>
    <cellStyle name="Moeda 2 2 6 6" xfId="4846"/>
    <cellStyle name="Moeda 2 2 6 6 2" xfId="31373"/>
    <cellStyle name="Moeda 2 2 6 6 3" xfId="24839"/>
    <cellStyle name="Moeda 2 2 6 7" xfId="23067"/>
    <cellStyle name="Moeda 2 2 6 8" xfId="29601"/>
    <cellStyle name="Moeda 2 2 6 9" xfId="22609"/>
    <cellStyle name="Moeda 2 2 7" xfId="105"/>
    <cellStyle name="Moeda 2 2 7 2" xfId="4636"/>
    <cellStyle name="Moeda 2 2 7 2 2" xfId="6408"/>
    <cellStyle name="Moeda 2 2 7 2 2 2" xfId="32935"/>
    <cellStyle name="Moeda 2 2 7 2 2 3" xfId="26401"/>
    <cellStyle name="Moeda 2 2 7 2 3" xfId="24629"/>
    <cellStyle name="Moeda 2 2 7 2 4" xfId="31163"/>
    <cellStyle name="Moeda 2 2 7 2 5" xfId="22857"/>
    <cellStyle name="Moeda 2 2 7 3" xfId="4760"/>
    <cellStyle name="Moeda 2 2 7 3 2" xfId="6532"/>
    <cellStyle name="Moeda 2 2 7 3 2 2" xfId="33059"/>
    <cellStyle name="Moeda 2 2 7 3 2 3" xfId="26525"/>
    <cellStyle name="Moeda 2 2 7 3 3" xfId="24753"/>
    <cellStyle name="Moeda 2 2 7 3 4" xfId="31287"/>
    <cellStyle name="Moeda 2 2 7 3 5" xfId="22981"/>
    <cellStyle name="Moeda 2 2 7 4" xfId="4512"/>
    <cellStyle name="Moeda 2 2 7 4 2" xfId="6284"/>
    <cellStyle name="Moeda 2 2 7 4 2 2" xfId="32811"/>
    <cellStyle name="Moeda 2 2 7 4 2 3" xfId="26277"/>
    <cellStyle name="Moeda 2 2 7 4 3" xfId="31039"/>
    <cellStyle name="Moeda 2 2 7 4 4" xfId="24505"/>
    <cellStyle name="Moeda 2 2 7 5" xfId="4884"/>
    <cellStyle name="Moeda 2 2 7 5 2" xfId="31411"/>
    <cellStyle name="Moeda 2 2 7 5 3" xfId="24877"/>
    <cellStyle name="Moeda 2 2 7 6" xfId="23105"/>
    <cellStyle name="Moeda 2 2 7 7" xfId="29639"/>
    <cellStyle name="Moeda 2 2 7 8" xfId="22733"/>
    <cellStyle name="Moeda 2 2 8" xfId="336"/>
    <cellStyle name="Moeda 2 2 8 2" xfId="4976"/>
    <cellStyle name="Moeda 2 2 8 2 2" xfId="31503"/>
    <cellStyle name="Moeda 2 2 8 2 3" xfId="24969"/>
    <cellStyle name="Moeda 2 2 8 3" xfId="29731"/>
    <cellStyle name="Moeda 2 2 8 4" xfId="23197"/>
    <cellStyle name="Moeda 2 2 9" xfId="6570"/>
    <cellStyle name="Moeda 2 2 9 2" xfId="33097"/>
    <cellStyle name="Moeda 2 2 9 3" xfId="26563"/>
    <cellStyle name="Moeda 2 3" xfId="14"/>
    <cellStyle name="Moeda 2 3 10" xfId="23017"/>
    <cellStyle name="Moeda 2 3 11" xfId="29551"/>
    <cellStyle name="Moeda 2 3 12" xfId="21480"/>
    <cellStyle name="Moeda 2 3 2" xfId="62"/>
    <cellStyle name="Moeda 2 3 2 10" xfId="21944"/>
    <cellStyle name="Moeda 2 3 2 2" xfId="4383"/>
    <cellStyle name="Moeda 2 3 2 2 2" xfId="6155"/>
    <cellStyle name="Moeda 2 3 2 2 2 2" xfId="32682"/>
    <cellStyle name="Moeda 2 3 2 2 2 3" xfId="26148"/>
    <cellStyle name="Moeda 2 3 2 2 3" xfId="24376"/>
    <cellStyle name="Moeda 2 3 2 2 4" xfId="30910"/>
    <cellStyle name="Moeda 2 3 2 2 5" xfId="22604"/>
    <cellStyle name="Moeda 2 3 2 3" xfId="4469"/>
    <cellStyle name="Moeda 2 3 2 3 2" xfId="6241"/>
    <cellStyle name="Moeda 2 3 2 3 2 2" xfId="32768"/>
    <cellStyle name="Moeda 2 3 2 3 2 3" xfId="26234"/>
    <cellStyle name="Moeda 2 3 2 3 3" xfId="24462"/>
    <cellStyle name="Moeda 2 3 2 3 4" xfId="30996"/>
    <cellStyle name="Moeda 2 3 2 3 5" xfId="22690"/>
    <cellStyle name="Moeda 2 3 2 4" xfId="4593"/>
    <cellStyle name="Moeda 2 3 2 4 2" xfId="6365"/>
    <cellStyle name="Moeda 2 3 2 4 2 2" xfId="32892"/>
    <cellStyle name="Moeda 2 3 2 4 2 3" xfId="26358"/>
    <cellStyle name="Moeda 2 3 2 4 3" xfId="24586"/>
    <cellStyle name="Moeda 2 3 2 4 4" xfId="31120"/>
    <cellStyle name="Moeda 2 3 2 4 5" xfId="22814"/>
    <cellStyle name="Moeda 2 3 2 5" xfId="4717"/>
    <cellStyle name="Moeda 2 3 2 5 2" xfId="6489"/>
    <cellStyle name="Moeda 2 3 2 5 2 2" xfId="33016"/>
    <cellStyle name="Moeda 2 3 2 5 2 3" xfId="26482"/>
    <cellStyle name="Moeda 2 3 2 5 3" xfId="24710"/>
    <cellStyle name="Moeda 2 3 2 5 4" xfId="31244"/>
    <cellStyle name="Moeda 2 3 2 5 5" xfId="22938"/>
    <cellStyle name="Moeda 2 3 2 6" xfId="2132"/>
    <cellStyle name="Moeda 2 3 2 6 2" xfId="5495"/>
    <cellStyle name="Moeda 2 3 2 6 2 2" xfId="32022"/>
    <cellStyle name="Moeda 2 3 2 6 2 3" xfId="25488"/>
    <cellStyle name="Moeda 2 3 2 6 3" xfId="30250"/>
    <cellStyle name="Moeda 2 3 2 6 4" xfId="23716"/>
    <cellStyle name="Moeda 2 3 2 7" xfId="4841"/>
    <cellStyle name="Moeda 2 3 2 7 2" xfId="31368"/>
    <cellStyle name="Moeda 2 3 2 7 3" xfId="24834"/>
    <cellStyle name="Moeda 2 3 2 8" xfId="23062"/>
    <cellStyle name="Moeda 2 3 2 9" xfId="29596"/>
    <cellStyle name="Moeda 2 3 3" xfId="20"/>
    <cellStyle name="Moeda 2 3 3 2" xfId="4428"/>
    <cellStyle name="Moeda 2 3 3 2 2" xfId="6200"/>
    <cellStyle name="Moeda 2 3 3 2 2 2" xfId="32727"/>
    <cellStyle name="Moeda 2 3 3 2 2 3" xfId="26193"/>
    <cellStyle name="Moeda 2 3 3 2 3" xfId="24421"/>
    <cellStyle name="Moeda 2 3 3 2 4" xfId="30955"/>
    <cellStyle name="Moeda 2 3 3 2 5" xfId="22649"/>
    <cellStyle name="Moeda 2 3 3 3" xfId="4552"/>
    <cellStyle name="Moeda 2 3 3 3 2" xfId="6324"/>
    <cellStyle name="Moeda 2 3 3 3 2 2" xfId="32851"/>
    <cellStyle name="Moeda 2 3 3 3 2 3" xfId="26317"/>
    <cellStyle name="Moeda 2 3 3 3 3" xfId="24545"/>
    <cellStyle name="Moeda 2 3 3 3 4" xfId="31079"/>
    <cellStyle name="Moeda 2 3 3 3 5" xfId="22773"/>
    <cellStyle name="Moeda 2 3 3 4" xfId="4676"/>
    <cellStyle name="Moeda 2 3 3 4 2" xfId="6448"/>
    <cellStyle name="Moeda 2 3 3 4 2 2" xfId="32975"/>
    <cellStyle name="Moeda 2 3 3 4 2 3" xfId="26441"/>
    <cellStyle name="Moeda 2 3 3 4 3" xfId="24669"/>
    <cellStyle name="Moeda 2 3 3 4 4" xfId="31203"/>
    <cellStyle name="Moeda 2 3 3 4 5" xfId="22897"/>
    <cellStyle name="Moeda 2 3 3 5" xfId="4342"/>
    <cellStyle name="Moeda 2 3 3 5 2" xfId="6114"/>
    <cellStyle name="Moeda 2 3 3 5 2 2" xfId="32641"/>
    <cellStyle name="Moeda 2 3 3 5 2 3" xfId="26107"/>
    <cellStyle name="Moeda 2 3 3 5 3" xfId="30869"/>
    <cellStyle name="Moeda 2 3 3 5 4" xfId="24335"/>
    <cellStyle name="Moeda 2 3 3 6" xfId="4800"/>
    <cellStyle name="Moeda 2 3 3 6 2" xfId="31327"/>
    <cellStyle name="Moeda 2 3 3 6 3" xfId="24793"/>
    <cellStyle name="Moeda 2 3 3 7" xfId="23021"/>
    <cellStyle name="Moeda 2 3 3 8" xfId="29555"/>
    <cellStyle name="Moeda 2 3 3 9" xfId="22563"/>
    <cellStyle name="Moeda 2 3 4" xfId="4336"/>
    <cellStyle name="Moeda 2 3 4 2" xfId="6110"/>
    <cellStyle name="Moeda 2 3 4 2 2" xfId="32637"/>
    <cellStyle name="Moeda 2 3 4 2 3" xfId="26103"/>
    <cellStyle name="Moeda 2 3 4 3" xfId="24331"/>
    <cellStyle name="Moeda 2 3 4 4" xfId="30865"/>
    <cellStyle name="Moeda 2 3 4 5" xfId="22559"/>
    <cellStyle name="Moeda 2 3 5" xfId="4424"/>
    <cellStyle name="Moeda 2 3 5 2" xfId="6196"/>
    <cellStyle name="Moeda 2 3 5 2 2" xfId="32723"/>
    <cellStyle name="Moeda 2 3 5 2 3" xfId="26189"/>
    <cellStyle name="Moeda 2 3 5 3" xfId="24417"/>
    <cellStyle name="Moeda 2 3 5 4" xfId="30951"/>
    <cellStyle name="Moeda 2 3 5 5" xfId="22645"/>
    <cellStyle name="Moeda 2 3 6" xfId="4548"/>
    <cellStyle name="Moeda 2 3 6 2" xfId="6320"/>
    <cellStyle name="Moeda 2 3 6 2 2" xfId="32847"/>
    <cellStyle name="Moeda 2 3 6 2 3" xfId="26313"/>
    <cellStyle name="Moeda 2 3 6 3" xfId="24541"/>
    <cellStyle name="Moeda 2 3 6 4" xfId="31075"/>
    <cellStyle name="Moeda 2 3 6 5" xfId="22769"/>
    <cellStyle name="Moeda 2 3 7" xfId="4672"/>
    <cellStyle name="Moeda 2 3 7 2" xfId="6444"/>
    <cellStyle name="Moeda 2 3 7 2 2" xfId="32971"/>
    <cellStyle name="Moeda 2 3 7 2 3" xfId="26437"/>
    <cellStyle name="Moeda 2 3 7 3" xfId="24665"/>
    <cellStyle name="Moeda 2 3 7 4" xfId="31199"/>
    <cellStyle name="Moeda 2 3 7 5" xfId="22893"/>
    <cellStyle name="Moeda 2 3 8" xfId="433"/>
    <cellStyle name="Moeda 2 3 8 2" xfId="5007"/>
    <cellStyle name="Moeda 2 3 8 2 2" xfId="31534"/>
    <cellStyle name="Moeda 2 3 8 2 3" xfId="25000"/>
    <cellStyle name="Moeda 2 3 8 3" xfId="29762"/>
    <cellStyle name="Moeda 2 3 8 4" xfId="23228"/>
    <cellStyle name="Moeda 2 3 9" xfId="4796"/>
    <cellStyle name="Moeda 2 3 9 2" xfId="31323"/>
    <cellStyle name="Moeda 2 3 9 3" xfId="24789"/>
    <cellStyle name="Moeda 2 4" xfId="782"/>
    <cellStyle name="Moeda 2 4 2" xfId="6837"/>
    <cellStyle name="Moeda 2 4 2 2" xfId="18691"/>
    <cellStyle name="Moeda 2 4 2 3" xfId="12764"/>
    <cellStyle name="Moeda 2 4 3" xfId="15727"/>
    <cellStyle name="Moeda 2 4 4" xfId="9800"/>
    <cellStyle name="Moeda 3" xfId="9"/>
    <cellStyle name="Moeda 3 10" xfId="4425"/>
    <cellStyle name="Moeda 3 10 2" xfId="6197"/>
    <cellStyle name="Moeda 3 10 2 2" xfId="32724"/>
    <cellStyle name="Moeda 3 10 2 3" xfId="26190"/>
    <cellStyle name="Moeda 3 10 3" xfId="24418"/>
    <cellStyle name="Moeda 3 10 4" xfId="30952"/>
    <cellStyle name="Moeda 3 10 5" xfId="22646"/>
    <cellStyle name="Moeda 3 11" xfId="4549"/>
    <cellStyle name="Moeda 3 11 2" xfId="6321"/>
    <cellStyle name="Moeda 3 11 2 2" xfId="32848"/>
    <cellStyle name="Moeda 3 11 2 3" xfId="26314"/>
    <cellStyle name="Moeda 3 11 3" xfId="24542"/>
    <cellStyle name="Moeda 3 11 4" xfId="31076"/>
    <cellStyle name="Moeda 3 11 5" xfId="22770"/>
    <cellStyle name="Moeda 3 12" xfId="4673"/>
    <cellStyle name="Moeda 3 12 2" xfId="6445"/>
    <cellStyle name="Moeda 3 12 2 2" xfId="32972"/>
    <cellStyle name="Moeda 3 12 2 3" xfId="26438"/>
    <cellStyle name="Moeda 3 12 3" xfId="24666"/>
    <cellStyle name="Moeda 3 12 4" xfId="31200"/>
    <cellStyle name="Moeda 3 12 5" xfId="22894"/>
    <cellStyle name="Moeda 3 13" xfId="244"/>
    <cellStyle name="Moeda 3 13 2" xfId="4947"/>
    <cellStyle name="Moeda 3 13 2 2" xfId="31474"/>
    <cellStyle name="Moeda 3 13 2 3" xfId="24940"/>
    <cellStyle name="Moeda 3 13 3" xfId="29702"/>
    <cellStyle name="Moeda 3 13 4" xfId="23168"/>
    <cellStyle name="Moeda 3 14" xfId="4797"/>
    <cellStyle name="Moeda 3 14 2" xfId="31324"/>
    <cellStyle name="Moeda 3 14 3" xfId="24790"/>
    <cellStyle name="Moeda 3 15" xfId="6571"/>
    <cellStyle name="Moeda 3 15 2" xfId="33098"/>
    <cellStyle name="Moeda 3 15 3" xfId="26564"/>
    <cellStyle name="Moeda 3 16" xfId="23018"/>
    <cellStyle name="Moeda 3 17" xfId="29552"/>
    <cellStyle name="Moeda 3 2" xfId="33"/>
    <cellStyle name="Moeda 3 2 10" xfId="6577"/>
    <cellStyle name="Moeda 3 2 10 2" xfId="33104"/>
    <cellStyle name="Moeda 3 2 10 3" xfId="26570"/>
    <cellStyle name="Moeda 3 2 11" xfId="23034"/>
    <cellStyle name="Moeda 3 2 12" xfId="29568"/>
    <cellStyle name="Moeda 3 2 13" xfId="21451"/>
    <cellStyle name="Moeda 3 2 2" xfId="51"/>
    <cellStyle name="Moeda 3 2 2 10" xfId="23052"/>
    <cellStyle name="Moeda 3 2 2 11" xfId="29586"/>
    <cellStyle name="Moeda 3 2 2 12" xfId="21946"/>
    <cellStyle name="Moeda 3 2 2 2" xfId="92"/>
    <cellStyle name="Moeda 3 2 2 2 2" xfId="4499"/>
    <cellStyle name="Moeda 3 2 2 2 2 2" xfId="6271"/>
    <cellStyle name="Moeda 3 2 2 2 2 2 2" xfId="32798"/>
    <cellStyle name="Moeda 3 2 2 2 2 2 3" xfId="26264"/>
    <cellStyle name="Moeda 3 2 2 2 2 3" xfId="24492"/>
    <cellStyle name="Moeda 3 2 2 2 2 4" xfId="31026"/>
    <cellStyle name="Moeda 3 2 2 2 2 5" xfId="22720"/>
    <cellStyle name="Moeda 3 2 2 2 3" xfId="4623"/>
    <cellStyle name="Moeda 3 2 2 2 3 2" xfId="6395"/>
    <cellStyle name="Moeda 3 2 2 2 3 2 2" xfId="32922"/>
    <cellStyle name="Moeda 3 2 2 2 3 2 3" xfId="26388"/>
    <cellStyle name="Moeda 3 2 2 2 3 3" xfId="24616"/>
    <cellStyle name="Moeda 3 2 2 2 3 4" xfId="31150"/>
    <cellStyle name="Moeda 3 2 2 2 3 5" xfId="22844"/>
    <cellStyle name="Moeda 3 2 2 2 4" xfId="4747"/>
    <cellStyle name="Moeda 3 2 2 2 4 2" xfId="6519"/>
    <cellStyle name="Moeda 3 2 2 2 4 2 2" xfId="33046"/>
    <cellStyle name="Moeda 3 2 2 2 4 2 3" xfId="26512"/>
    <cellStyle name="Moeda 3 2 2 2 4 3" xfId="24740"/>
    <cellStyle name="Moeda 3 2 2 2 4 4" xfId="31274"/>
    <cellStyle name="Moeda 3 2 2 2 4 5" xfId="22968"/>
    <cellStyle name="Moeda 3 2 2 2 5" xfId="4413"/>
    <cellStyle name="Moeda 3 2 2 2 5 2" xfId="6185"/>
    <cellStyle name="Moeda 3 2 2 2 5 2 2" xfId="32712"/>
    <cellStyle name="Moeda 3 2 2 2 5 2 3" xfId="26178"/>
    <cellStyle name="Moeda 3 2 2 2 5 3" xfId="30940"/>
    <cellStyle name="Moeda 3 2 2 2 5 4" xfId="24406"/>
    <cellStyle name="Moeda 3 2 2 2 6" xfId="4871"/>
    <cellStyle name="Moeda 3 2 2 2 6 2" xfId="31398"/>
    <cellStyle name="Moeda 3 2 2 2 6 3" xfId="24864"/>
    <cellStyle name="Moeda 3 2 2 2 7" xfId="23092"/>
    <cellStyle name="Moeda 3 2 2 2 8" xfId="29626"/>
    <cellStyle name="Moeda 3 2 2 2 9" xfId="22634"/>
    <cellStyle name="Moeda 3 2 2 3" xfId="130"/>
    <cellStyle name="Moeda 3 2 2 3 2" xfId="4537"/>
    <cellStyle name="Moeda 3 2 2 3 2 2" xfId="6309"/>
    <cellStyle name="Moeda 3 2 2 3 2 2 2" xfId="32836"/>
    <cellStyle name="Moeda 3 2 2 3 2 2 3" xfId="26302"/>
    <cellStyle name="Moeda 3 2 2 3 2 3" xfId="24530"/>
    <cellStyle name="Moeda 3 2 2 3 2 4" xfId="31064"/>
    <cellStyle name="Moeda 3 2 2 3 2 5" xfId="22758"/>
    <cellStyle name="Moeda 3 2 2 3 3" xfId="4661"/>
    <cellStyle name="Moeda 3 2 2 3 3 2" xfId="6433"/>
    <cellStyle name="Moeda 3 2 2 3 3 2 2" xfId="32960"/>
    <cellStyle name="Moeda 3 2 2 3 3 2 3" xfId="26426"/>
    <cellStyle name="Moeda 3 2 2 3 3 3" xfId="24654"/>
    <cellStyle name="Moeda 3 2 2 3 3 4" xfId="31188"/>
    <cellStyle name="Moeda 3 2 2 3 3 5" xfId="22882"/>
    <cellStyle name="Moeda 3 2 2 3 4" xfId="4785"/>
    <cellStyle name="Moeda 3 2 2 3 4 2" xfId="6557"/>
    <cellStyle name="Moeda 3 2 2 3 4 2 2" xfId="33084"/>
    <cellStyle name="Moeda 3 2 2 3 4 2 3" xfId="26550"/>
    <cellStyle name="Moeda 3 2 2 3 4 3" xfId="24778"/>
    <cellStyle name="Moeda 3 2 2 3 4 4" xfId="31312"/>
    <cellStyle name="Moeda 3 2 2 3 4 5" xfId="23006"/>
    <cellStyle name="Moeda 3 2 2 3 5" xfId="4373"/>
    <cellStyle name="Moeda 3 2 2 3 5 2" xfId="6145"/>
    <cellStyle name="Moeda 3 2 2 3 5 2 2" xfId="32672"/>
    <cellStyle name="Moeda 3 2 2 3 5 2 3" xfId="26138"/>
    <cellStyle name="Moeda 3 2 2 3 5 3" xfId="30900"/>
    <cellStyle name="Moeda 3 2 2 3 5 4" xfId="24366"/>
    <cellStyle name="Moeda 3 2 2 3 6" xfId="4909"/>
    <cellStyle name="Moeda 3 2 2 3 6 2" xfId="31436"/>
    <cellStyle name="Moeda 3 2 2 3 6 3" xfId="24902"/>
    <cellStyle name="Moeda 3 2 2 3 7" xfId="23130"/>
    <cellStyle name="Moeda 3 2 2 3 8" xfId="29664"/>
    <cellStyle name="Moeda 3 2 2 3 9" xfId="22594"/>
    <cellStyle name="Moeda 3 2 2 4" xfId="4459"/>
    <cellStyle name="Moeda 3 2 2 4 2" xfId="6231"/>
    <cellStyle name="Moeda 3 2 2 4 2 2" xfId="32758"/>
    <cellStyle name="Moeda 3 2 2 4 2 3" xfId="26224"/>
    <cellStyle name="Moeda 3 2 2 4 3" xfId="24452"/>
    <cellStyle name="Moeda 3 2 2 4 4" xfId="30986"/>
    <cellStyle name="Moeda 3 2 2 4 5" xfId="22680"/>
    <cellStyle name="Moeda 3 2 2 5" xfId="4583"/>
    <cellStyle name="Moeda 3 2 2 5 2" xfId="6355"/>
    <cellStyle name="Moeda 3 2 2 5 2 2" xfId="32882"/>
    <cellStyle name="Moeda 3 2 2 5 2 3" xfId="26348"/>
    <cellStyle name="Moeda 3 2 2 5 3" xfId="24576"/>
    <cellStyle name="Moeda 3 2 2 5 4" xfId="31110"/>
    <cellStyle name="Moeda 3 2 2 5 5" xfId="22804"/>
    <cellStyle name="Moeda 3 2 2 6" xfId="4707"/>
    <cellStyle name="Moeda 3 2 2 6 2" xfId="6479"/>
    <cellStyle name="Moeda 3 2 2 6 2 2" xfId="33006"/>
    <cellStyle name="Moeda 3 2 2 6 2 3" xfId="26472"/>
    <cellStyle name="Moeda 3 2 2 6 3" xfId="24700"/>
    <cellStyle name="Moeda 3 2 2 6 4" xfId="31234"/>
    <cellStyle name="Moeda 3 2 2 6 5" xfId="22928"/>
    <cellStyle name="Moeda 3 2 2 7" xfId="2134"/>
    <cellStyle name="Moeda 3 2 2 7 2" xfId="5497"/>
    <cellStyle name="Moeda 3 2 2 7 2 2" xfId="32024"/>
    <cellStyle name="Moeda 3 2 2 7 2 3" xfId="25490"/>
    <cellStyle name="Moeda 3 2 2 7 3" xfId="30252"/>
    <cellStyle name="Moeda 3 2 2 7 4" xfId="23718"/>
    <cellStyle name="Moeda 3 2 2 8" xfId="4831"/>
    <cellStyle name="Moeda 3 2 2 8 2" xfId="31358"/>
    <cellStyle name="Moeda 3 2 2 8 3" xfId="24824"/>
    <cellStyle name="Moeda 3 2 2 9" xfId="6595"/>
    <cellStyle name="Moeda 3 2 2 9 2" xfId="33122"/>
    <cellStyle name="Moeda 3 2 2 9 3" xfId="26588"/>
    <cellStyle name="Moeda 3 2 3" xfId="74"/>
    <cellStyle name="Moeda 3 2 3 2" xfId="4481"/>
    <cellStyle name="Moeda 3 2 3 2 2" xfId="6253"/>
    <cellStyle name="Moeda 3 2 3 2 2 2" xfId="32780"/>
    <cellStyle name="Moeda 3 2 3 2 2 3" xfId="26246"/>
    <cellStyle name="Moeda 3 2 3 2 3" xfId="24474"/>
    <cellStyle name="Moeda 3 2 3 2 4" xfId="31008"/>
    <cellStyle name="Moeda 3 2 3 2 5" xfId="22702"/>
    <cellStyle name="Moeda 3 2 3 3" xfId="4605"/>
    <cellStyle name="Moeda 3 2 3 3 2" xfId="6377"/>
    <cellStyle name="Moeda 3 2 3 3 2 2" xfId="32904"/>
    <cellStyle name="Moeda 3 2 3 3 2 3" xfId="26370"/>
    <cellStyle name="Moeda 3 2 3 3 3" xfId="24598"/>
    <cellStyle name="Moeda 3 2 3 3 4" xfId="31132"/>
    <cellStyle name="Moeda 3 2 3 3 5" xfId="22826"/>
    <cellStyle name="Moeda 3 2 3 4" xfId="4729"/>
    <cellStyle name="Moeda 3 2 3 4 2" xfId="6501"/>
    <cellStyle name="Moeda 3 2 3 4 2 2" xfId="33028"/>
    <cellStyle name="Moeda 3 2 3 4 2 3" xfId="26494"/>
    <cellStyle name="Moeda 3 2 3 4 3" xfId="24722"/>
    <cellStyle name="Moeda 3 2 3 4 4" xfId="31256"/>
    <cellStyle name="Moeda 3 2 3 4 5" xfId="22950"/>
    <cellStyle name="Moeda 3 2 3 5" xfId="4395"/>
    <cellStyle name="Moeda 3 2 3 5 2" xfId="6167"/>
    <cellStyle name="Moeda 3 2 3 5 2 2" xfId="32694"/>
    <cellStyle name="Moeda 3 2 3 5 2 3" xfId="26160"/>
    <cellStyle name="Moeda 3 2 3 5 3" xfId="30922"/>
    <cellStyle name="Moeda 3 2 3 5 4" xfId="24388"/>
    <cellStyle name="Moeda 3 2 3 6" xfId="4853"/>
    <cellStyle name="Moeda 3 2 3 6 2" xfId="31380"/>
    <cellStyle name="Moeda 3 2 3 6 3" xfId="24846"/>
    <cellStyle name="Moeda 3 2 3 7" xfId="23074"/>
    <cellStyle name="Moeda 3 2 3 8" xfId="29608"/>
    <cellStyle name="Moeda 3 2 3 9" xfId="22616"/>
    <cellStyle name="Moeda 3 2 4" xfId="112"/>
    <cellStyle name="Moeda 3 2 4 2" xfId="4519"/>
    <cellStyle name="Moeda 3 2 4 2 2" xfId="6291"/>
    <cellStyle name="Moeda 3 2 4 2 2 2" xfId="32818"/>
    <cellStyle name="Moeda 3 2 4 2 2 3" xfId="26284"/>
    <cellStyle name="Moeda 3 2 4 2 3" xfId="24512"/>
    <cellStyle name="Moeda 3 2 4 2 4" xfId="31046"/>
    <cellStyle name="Moeda 3 2 4 2 5" xfId="22740"/>
    <cellStyle name="Moeda 3 2 4 3" xfId="4643"/>
    <cellStyle name="Moeda 3 2 4 3 2" xfId="6415"/>
    <cellStyle name="Moeda 3 2 4 3 2 2" xfId="32942"/>
    <cellStyle name="Moeda 3 2 4 3 2 3" xfId="26408"/>
    <cellStyle name="Moeda 3 2 4 3 3" xfId="24636"/>
    <cellStyle name="Moeda 3 2 4 3 4" xfId="31170"/>
    <cellStyle name="Moeda 3 2 4 3 5" xfId="22864"/>
    <cellStyle name="Moeda 3 2 4 4" xfId="4767"/>
    <cellStyle name="Moeda 3 2 4 4 2" xfId="6539"/>
    <cellStyle name="Moeda 3 2 4 4 2 2" xfId="33066"/>
    <cellStyle name="Moeda 3 2 4 4 2 3" xfId="26532"/>
    <cellStyle name="Moeda 3 2 4 4 3" xfId="24760"/>
    <cellStyle name="Moeda 3 2 4 4 4" xfId="31294"/>
    <cellStyle name="Moeda 3 2 4 4 5" xfId="22988"/>
    <cellStyle name="Moeda 3 2 4 5" xfId="4355"/>
    <cellStyle name="Moeda 3 2 4 5 2" xfId="6127"/>
    <cellStyle name="Moeda 3 2 4 5 2 2" xfId="32654"/>
    <cellStyle name="Moeda 3 2 4 5 2 3" xfId="26120"/>
    <cellStyle name="Moeda 3 2 4 5 3" xfId="30882"/>
    <cellStyle name="Moeda 3 2 4 5 4" xfId="24348"/>
    <cellStyle name="Moeda 3 2 4 6" xfId="4891"/>
    <cellStyle name="Moeda 3 2 4 6 2" xfId="31418"/>
    <cellStyle name="Moeda 3 2 4 6 3" xfId="24884"/>
    <cellStyle name="Moeda 3 2 4 7" xfId="23112"/>
    <cellStyle name="Moeda 3 2 4 8" xfId="29646"/>
    <cellStyle name="Moeda 3 2 4 9" xfId="22576"/>
    <cellStyle name="Moeda 3 2 5" xfId="4441"/>
    <cellStyle name="Moeda 3 2 5 2" xfId="6213"/>
    <cellStyle name="Moeda 3 2 5 2 2" xfId="32740"/>
    <cellStyle name="Moeda 3 2 5 2 3" xfId="26206"/>
    <cellStyle name="Moeda 3 2 5 3" xfId="24434"/>
    <cellStyle name="Moeda 3 2 5 4" xfId="30968"/>
    <cellStyle name="Moeda 3 2 5 5" xfId="22662"/>
    <cellStyle name="Moeda 3 2 6" xfId="4565"/>
    <cellStyle name="Moeda 3 2 6 2" xfId="6337"/>
    <cellStyle name="Moeda 3 2 6 2 2" xfId="32864"/>
    <cellStyle name="Moeda 3 2 6 2 3" xfId="26330"/>
    <cellStyle name="Moeda 3 2 6 3" xfId="24558"/>
    <cellStyle name="Moeda 3 2 6 4" xfId="31092"/>
    <cellStyle name="Moeda 3 2 6 5" xfId="22786"/>
    <cellStyle name="Moeda 3 2 7" xfId="4689"/>
    <cellStyle name="Moeda 3 2 7 2" xfId="6461"/>
    <cellStyle name="Moeda 3 2 7 2 2" xfId="32988"/>
    <cellStyle name="Moeda 3 2 7 2 3" xfId="26454"/>
    <cellStyle name="Moeda 3 2 7 3" xfId="24682"/>
    <cellStyle name="Moeda 3 2 7 4" xfId="31216"/>
    <cellStyle name="Moeda 3 2 7 5" xfId="22910"/>
    <cellStyle name="Moeda 3 2 8" xfId="338"/>
    <cellStyle name="Moeda 3 2 8 2" xfId="4978"/>
    <cellStyle name="Moeda 3 2 8 2 2" xfId="31505"/>
    <cellStyle name="Moeda 3 2 8 2 3" xfId="24971"/>
    <cellStyle name="Moeda 3 2 8 3" xfId="29733"/>
    <cellStyle name="Moeda 3 2 8 4" xfId="23199"/>
    <cellStyle name="Moeda 3 2 9" xfId="4813"/>
    <cellStyle name="Moeda 3 2 9 2" xfId="31340"/>
    <cellStyle name="Moeda 3 2 9 3" xfId="24806"/>
    <cellStyle name="Moeda 3 3" xfId="39"/>
    <cellStyle name="Moeda 3 3 10" xfId="6583"/>
    <cellStyle name="Moeda 3 3 10 2" xfId="33110"/>
    <cellStyle name="Moeda 3 3 10 3" xfId="26576"/>
    <cellStyle name="Moeda 3 3 11" xfId="23040"/>
    <cellStyle name="Moeda 3 3 12" xfId="29574"/>
    <cellStyle name="Moeda 3 3 13" xfId="21482"/>
    <cellStyle name="Moeda 3 3 2" xfId="57"/>
    <cellStyle name="Moeda 3 3 2 10" xfId="23058"/>
    <cellStyle name="Moeda 3 3 2 11" xfId="29592"/>
    <cellStyle name="Moeda 3 3 2 12" xfId="22600"/>
    <cellStyle name="Moeda 3 3 2 2" xfId="98"/>
    <cellStyle name="Moeda 3 3 2 2 2" xfId="4505"/>
    <cellStyle name="Moeda 3 3 2 2 2 2" xfId="6277"/>
    <cellStyle name="Moeda 3 3 2 2 2 2 2" xfId="32804"/>
    <cellStyle name="Moeda 3 3 2 2 2 2 3" xfId="26270"/>
    <cellStyle name="Moeda 3 3 2 2 2 3" xfId="24498"/>
    <cellStyle name="Moeda 3 3 2 2 2 4" xfId="31032"/>
    <cellStyle name="Moeda 3 3 2 2 2 5" xfId="22726"/>
    <cellStyle name="Moeda 3 3 2 2 3" xfId="4629"/>
    <cellStyle name="Moeda 3 3 2 2 3 2" xfId="6401"/>
    <cellStyle name="Moeda 3 3 2 2 3 2 2" xfId="32928"/>
    <cellStyle name="Moeda 3 3 2 2 3 2 3" xfId="26394"/>
    <cellStyle name="Moeda 3 3 2 2 3 3" xfId="24622"/>
    <cellStyle name="Moeda 3 3 2 2 3 4" xfId="31156"/>
    <cellStyle name="Moeda 3 3 2 2 3 5" xfId="22850"/>
    <cellStyle name="Moeda 3 3 2 2 4" xfId="4753"/>
    <cellStyle name="Moeda 3 3 2 2 4 2" xfId="6525"/>
    <cellStyle name="Moeda 3 3 2 2 4 2 2" xfId="33052"/>
    <cellStyle name="Moeda 3 3 2 2 4 2 3" xfId="26518"/>
    <cellStyle name="Moeda 3 3 2 2 4 3" xfId="24746"/>
    <cellStyle name="Moeda 3 3 2 2 4 4" xfId="31280"/>
    <cellStyle name="Moeda 3 3 2 2 4 5" xfId="22974"/>
    <cellStyle name="Moeda 3 3 2 2 5" xfId="4419"/>
    <cellStyle name="Moeda 3 3 2 2 5 2" xfId="6191"/>
    <cellStyle name="Moeda 3 3 2 2 5 2 2" xfId="32718"/>
    <cellStyle name="Moeda 3 3 2 2 5 2 3" xfId="26184"/>
    <cellStyle name="Moeda 3 3 2 2 5 3" xfId="30946"/>
    <cellStyle name="Moeda 3 3 2 2 5 4" xfId="24412"/>
    <cellStyle name="Moeda 3 3 2 2 6" xfId="4877"/>
    <cellStyle name="Moeda 3 3 2 2 6 2" xfId="31404"/>
    <cellStyle name="Moeda 3 3 2 2 6 3" xfId="24870"/>
    <cellStyle name="Moeda 3 3 2 2 7" xfId="23098"/>
    <cellStyle name="Moeda 3 3 2 2 8" xfId="29632"/>
    <cellStyle name="Moeda 3 3 2 2 9" xfId="22640"/>
    <cellStyle name="Moeda 3 3 2 3" xfId="136"/>
    <cellStyle name="Moeda 3 3 2 3 2" xfId="4667"/>
    <cellStyle name="Moeda 3 3 2 3 2 2" xfId="6439"/>
    <cellStyle name="Moeda 3 3 2 3 2 2 2" xfId="32966"/>
    <cellStyle name="Moeda 3 3 2 3 2 2 3" xfId="26432"/>
    <cellStyle name="Moeda 3 3 2 3 2 3" xfId="24660"/>
    <cellStyle name="Moeda 3 3 2 3 2 4" xfId="31194"/>
    <cellStyle name="Moeda 3 3 2 3 2 5" xfId="22888"/>
    <cellStyle name="Moeda 3 3 2 3 3" xfId="4791"/>
    <cellStyle name="Moeda 3 3 2 3 3 2" xfId="6563"/>
    <cellStyle name="Moeda 3 3 2 3 3 2 2" xfId="33090"/>
    <cellStyle name="Moeda 3 3 2 3 3 2 3" xfId="26556"/>
    <cellStyle name="Moeda 3 3 2 3 3 3" xfId="24784"/>
    <cellStyle name="Moeda 3 3 2 3 3 4" xfId="31318"/>
    <cellStyle name="Moeda 3 3 2 3 3 5" xfId="23012"/>
    <cellStyle name="Moeda 3 3 2 3 4" xfId="4543"/>
    <cellStyle name="Moeda 3 3 2 3 4 2" xfId="6315"/>
    <cellStyle name="Moeda 3 3 2 3 4 2 2" xfId="32842"/>
    <cellStyle name="Moeda 3 3 2 3 4 2 3" xfId="26308"/>
    <cellStyle name="Moeda 3 3 2 3 4 3" xfId="31070"/>
    <cellStyle name="Moeda 3 3 2 3 4 4" xfId="24536"/>
    <cellStyle name="Moeda 3 3 2 3 5" xfId="4915"/>
    <cellStyle name="Moeda 3 3 2 3 5 2" xfId="31442"/>
    <cellStyle name="Moeda 3 3 2 3 5 3" xfId="24908"/>
    <cellStyle name="Moeda 3 3 2 3 6" xfId="23136"/>
    <cellStyle name="Moeda 3 3 2 3 7" xfId="29670"/>
    <cellStyle name="Moeda 3 3 2 3 8" xfId="22764"/>
    <cellStyle name="Moeda 3 3 2 4" xfId="4465"/>
    <cellStyle name="Moeda 3 3 2 4 2" xfId="6237"/>
    <cellStyle name="Moeda 3 3 2 4 2 2" xfId="32764"/>
    <cellStyle name="Moeda 3 3 2 4 2 3" xfId="26230"/>
    <cellStyle name="Moeda 3 3 2 4 3" xfId="24458"/>
    <cellStyle name="Moeda 3 3 2 4 4" xfId="30992"/>
    <cellStyle name="Moeda 3 3 2 4 5" xfId="22686"/>
    <cellStyle name="Moeda 3 3 2 5" xfId="4589"/>
    <cellStyle name="Moeda 3 3 2 5 2" xfId="6361"/>
    <cellStyle name="Moeda 3 3 2 5 2 2" xfId="32888"/>
    <cellStyle name="Moeda 3 3 2 5 2 3" xfId="26354"/>
    <cellStyle name="Moeda 3 3 2 5 3" xfId="24582"/>
    <cellStyle name="Moeda 3 3 2 5 4" xfId="31116"/>
    <cellStyle name="Moeda 3 3 2 5 5" xfId="22810"/>
    <cellStyle name="Moeda 3 3 2 6" xfId="4713"/>
    <cellStyle name="Moeda 3 3 2 6 2" xfId="6485"/>
    <cellStyle name="Moeda 3 3 2 6 2 2" xfId="33012"/>
    <cellStyle name="Moeda 3 3 2 6 2 3" xfId="26478"/>
    <cellStyle name="Moeda 3 3 2 6 3" xfId="24706"/>
    <cellStyle name="Moeda 3 3 2 6 4" xfId="31240"/>
    <cellStyle name="Moeda 3 3 2 6 5" xfId="22934"/>
    <cellStyle name="Moeda 3 3 2 7" xfId="4379"/>
    <cellStyle name="Moeda 3 3 2 7 2" xfId="6151"/>
    <cellStyle name="Moeda 3 3 2 7 2 2" xfId="32678"/>
    <cellStyle name="Moeda 3 3 2 7 2 3" xfId="26144"/>
    <cellStyle name="Moeda 3 3 2 7 3" xfId="30906"/>
    <cellStyle name="Moeda 3 3 2 7 4" xfId="24372"/>
    <cellStyle name="Moeda 3 3 2 8" xfId="4837"/>
    <cellStyle name="Moeda 3 3 2 8 2" xfId="31364"/>
    <cellStyle name="Moeda 3 3 2 8 3" xfId="24830"/>
    <cellStyle name="Moeda 3 3 2 9" xfId="6601"/>
    <cellStyle name="Moeda 3 3 2 9 2" xfId="33128"/>
    <cellStyle name="Moeda 3 3 2 9 3" xfId="26594"/>
    <cellStyle name="Moeda 3 3 3" xfId="80"/>
    <cellStyle name="Moeda 3 3 3 2" xfId="4487"/>
    <cellStyle name="Moeda 3 3 3 2 2" xfId="6259"/>
    <cellStyle name="Moeda 3 3 3 2 2 2" xfId="32786"/>
    <cellStyle name="Moeda 3 3 3 2 2 3" xfId="26252"/>
    <cellStyle name="Moeda 3 3 3 2 3" xfId="24480"/>
    <cellStyle name="Moeda 3 3 3 2 4" xfId="31014"/>
    <cellStyle name="Moeda 3 3 3 2 5" xfId="22708"/>
    <cellStyle name="Moeda 3 3 3 3" xfId="4611"/>
    <cellStyle name="Moeda 3 3 3 3 2" xfId="6383"/>
    <cellStyle name="Moeda 3 3 3 3 2 2" xfId="32910"/>
    <cellStyle name="Moeda 3 3 3 3 2 3" xfId="26376"/>
    <cellStyle name="Moeda 3 3 3 3 3" xfId="24604"/>
    <cellStyle name="Moeda 3 3 3 3 4" xfId="31138"/>
    <cellStyle name="Moeda 3 3 3 3 5" xfId="22832"/>
    <cellStyle name="Moeda 3 3 3 4" xfId="4735"/>
    <cellStyle name="Moeda 3 3 3 4 2" xfId="6507"/>
    <cellStyle name="Moeda 3 3 3 4 2 2" xfId="33034"/>
    <cellStyle name="Moeda 3 3 3 4 2 3" xfId="26500"/>
    <cellStyle name="Moeda 3 3 3 4 3" xfId="24728"/>
    <cellStyle name="Moeda 3 3 3 4 4" xfId="31262"/>
    <cellStyle name="Moeda 3 3 3 4 5" xfId="22956"/>
    <cellStyle name="Moeda 3 3 3 5" xfId="4401"/>
    <cellStyle name="Moeda 3 3 3 5 2" xfId="6173"/>
    <cellStyle name="Moeda 3 3 3 5 2 2" xfId="32700"/>
    <cellStyle name="Moeda 3 3 3 5 2 3" xfId="26166"/>
    <cellStyle name="Moeda 3 3 3 5 3" xfId="30928"/>
    <cellStyle name="Moeda 3 3 3 5 4" xfId="24394"/>
    <cellStyle name="Moeda 3 3 3 6" xfId="4859"/>
    <cellStyle name="Moeda 3 3 3 6 2" xfId="31386"/>
    <cellStyle name="Moeda 3 3 3 6 3" xfId="24852"/>
    <cellStyle name="Moeda 3 3 3 7" xfId="23080"/>
    <cellStyle name="Moeda 3 3 3 8" xfId="29614"/>
    <cellStyle name="Moeda 3 3 3 9" xfId="22622"/>
    <cellStyle name="Moeda 3 3 4" xfId="118"/>
    <cellStyle name="Moeda 3 3 4 2" xfId="4525"/>
    <cellStyle name="Moeda 3 3 4 2 2" xfId="6297"/>
    <cellStyle name="Moeda 3 3 4 2 2 2" xfId="32824"/>
    <cellStyle name="Moeda 3 3 4 2 2 3" xfId="26290"/>
    <cellStyle name="Moeda 3 3 4 2 3" xfId="24518"/>
    <cellStyle name="Moeda 3 3 4 2 4" xfId="31052"/>
    <cellStyle name="Moeda 3 3 4 2 5" xfId="22746"/>
    <cellStyle name="Moeda 3 3 4 3" xfId="4649"/>
    <cellStyle name="Moeda 3 3 4 3 2" xfId="6421"/>
    <cellStyle name="Moeda 3 3 4 3 2 2" xfId="32948"/>
    <cellStyle name="Moeda 3 3 4 3 2 3" xfId="26414"/>
    <cellStyle name="Moeda 3 3 4 3 3" xfId="24642"/>
    <cellStyle name="Moeda 3 3 4 3 4" xfId="31176"/>
    <cellStyle name="Moeda 3 3 4 3 5" xfId="22870"/>
    <cellStyle name="Moeda 3 3 4 4" xfId="4773"/>
    <cellStyle name="Moeda 3 3 4 4 2" xfId="6545"/>
    <cellStyle name="Moeda 3 3 4 4 2 2" xfId="33072"/>
    <cellStyle name="Moeda 3 3 4 4 2 3" xfId="26538"/>
    <cellStyle name="Moeda 3 3 4 4 3" xfId="24766"/>
    <cellStyle name="Moeda 3 3 4 4 4" xfId="31300"/>
    <cellStyle name="Moeda 3 3 4 4 5" xfId="22994"/>
    <cellStyle name="Moeda 3 3 4 5" xfId="4361"/>
    <cellStyle name="Moeda 3 3 4 5 2" xfId="6133"/>
    <cellStyle name="Moeda 3 3 4 5 2 2" xfId="32660"/>
    <cellStyle name="Moeda 3 3 4 5 2 3" xfId="26126"/>
    <cellStyle name="Moeda 3 3 4 5 3" xfId="30888"/>
    <cellStyle name="Moeda 3 3 4 5 4" xfId="24354"/>
    <cellStyle name="Moeda 3 3 4 6" xfId="4897"/>
    <cellStyle name="Moeda 3 3 4 6 2" xfId="31424"/>
    <cellStyle name="Moeda 3 3 4 6 3" xfId="24890"/>
    <cellStyle name="Moeda 3 3 4 7" xfId="23118"/>
    <cellStyle name="Moeda 3 3 4 8" xfId="29652"/>
    <cellStyle name="Moeda 3 3 4 9" xfId="22582"/>
    <cellStyle name="Moeda 3 3 5" xfId="4447"/>
    <cellStyle name="Moeda 3 3 5 2" xfId="6219"/>
    <cellStyle name="Moeda 3 3 5 2 2" xfId="32746"/>
    <cellStyle name="Moeda 3 3 5 2 3" xfId="26212"/>
    <cellStyle name="Moeda 3 3 5 3" xfId="24440"/>
    <cellStyle name="Moeda 3 3 5 4" xfId="30974"/>
    <cellStyle name="Moeda 3 3 5 5" xfId="22668"/>
    <cellStyle name="Moeda 3 3 6" xfId="4571"/>
    <cellStyle name="Moeda 3 3 6 2" xfId="6343"/>
    <cellStyle name="Moeda 3 3 6 2 2" xfId="32870"/>
    <cellStyle name="Moeda 3 3 6 2 3" xfId="26336"/>
    <cellStyle name="Moeda 3 3 6 3" xfId="24564"/>
    <cellStyle name="Moeda 3 3 6 4" xfId="31098"/>
    <cellStyle name="Moeda 3 3 6 5" xfId="22792"/>
    <cellStyle name="Moeda 3 3 7" xfId="4695"/>
    <cellStyle name="Moeda 3 3 7 2" xfId="6467"/>
    <cellStyle name="Moeda 3 3 7 2 2" xfId="32994"/>
    <cellStyle name="Moeda 3 3 7 2 3" xfId="26460"/>
    <cellStyle name="Moeda 3 3 7 3" xfId="24688"/>
    <cellStyle name="Moeda 3 3 7 4" xfId="31222"/>
    <cellStyle name="Moeda 3 3 7 5" xfId="22916"/>
    <cellStyle name="Moeda 3 3 8" xfId="435"/>
    <cellStyle name="Moeda 3 3 8 2" xfId="5009"/>
    <cellStyle name="Moeda 3 3 8 2 2" xfId="31536"/>
    <cellStyle name="Moeda 3 3 8 2 3" xfId="25002"/>
    <cellStyle name="Moeda 3 3 8 3" xfId="29764"/>
    <cellStyle name="Moeda 3 3 8 4" xfId="23230"/>
    <cellStyle name="Moeda 3 3 9" xfId="4819"/>
    <cellStyle name="Moeda 3 3 9 2" xfId="31346"/>
    <cellStyle name="Moeda 3 3 9 3" xfId="24812"/>
    <cellStyle name="Moeda 3 4" xfId="45"/>
    <cellStyle name="Moeda 3 4 10" xfId="23046"/>
    <cellStyle name="Moeda 3 4 11" xfId="29580"/>
    <cellStyle name="Moeda 3 4 2" xfId="86"/>
    <cellStyle name="Moeda 3 4 2 2" xfId="4493"/>
    <cellStyle name="Moeda 3 4 2 2 2" xfId="6265"/>
    <cellStyle name="Moeda 3 4 2 2 2 2" xfId="32792"/>
    <cellStyle name="Moeda 3 4 2 2 2 3" xfId="26258"/>
    <cellStyle name="Moeda 3 4 2 2 3" xfId="24486"/>
    <cellStyle name="Moeda 3 4 2 2 4" xfId="31020"/>
    <cellStyle name="Moeda 3 4 2 2 5" xfId="22714"/>
    <cellStyle name="Moeda 3 4 2 3" xfId="4617"/>
    <cellStyle name="Moeda 3 4 2 3 2" xfId="6389"/>
    <cellStyle name="Moeda 3 4 2 3 2 2" xfId="32916"/>
    <cellStyle name="Moeda 3 4 2 3 2 3" xfId="26382"/>
    <cellStyle name="Moeda 3 4 2 3 3" xfId="24610"/>
    <cellStyle name="Moeda 3 4 2 3 4" xfId="31144"/>
    <cellStyle name="Moeda 3 4 2 3 5" xfId="22838"/>
    <cellStyle name="Moeda 3 4 2 4" xfId="4741"/>
    <cellStyle name="Moeda 3 4 2 4 2" xfId="6513"/>
    <cellStyle name="Moeda 3 4 2 4 2 2" xfId="33040"/>
    <cellStyle name="Moeda 3 4 2 4 2 3" xfId="26506"/>
    <cellStyle name="Moeda 3 4 2 4 3" xfId="24734"/>
    <cellStyle name="Moeda 3 4 2 4 4" xfId="31268"/>
    <cellStyle name="Moeda 3 4 2 4 5" xfId="22962"/>
    <cellStyle name="Moeda 3 4 2 5" xfId="4407"/>
    <cellStyle name="Moeda 3 4 2 5 2" xfId="6179"/>
    <cellStyle name="Moeda 3 4 2 5 2 2" xfId="32706"/>
    <cellStyle name="Moeda 3 4 2 5 2 3" xfId="26172"/>
    <cellStyle name="Moeda 3 4 2 5 3" xfId="30934"/>
    <cellStyle name="Moeda 3 4 2 5 4" xfId="24400"/>
    <cellStyle name="Moeda 3 4 2 6" xfId="4865"/>
    <cellStyle name="Moeda 3 4 2 6 2" xfId="31392"/>
    <cellStyle name="Moeda 3 4 2 6 3" xfId="24858"/>
    <cellStyle name="Moeda 3 4 2 7" xfId="23086"/>
    <cellStyle name="Moeda 3 4 2 8" xfId="29620"/>
    <cellStyle name="Moeda 3 4 2 9" xfId="22628"/>
    <cellStyle name="Moeda 3 4 3" xfId="124"/>
    <cellStyle name="Moeda 3 4 3 2" xfId="4531"/>
    <cellStyle name="Moeda 3 4 3 2 2" xfId="6303"/>
    <cellStyle name="Moeda 3 4 3 2 2 2" xfId="32830"/>
    <cellStyle name="Moeda 3 4 3 2 2 3" xfId="26296"/>
    <cellStyle name="Moeda 3 4 3 2 3" xfId="24524"/>
    <cellStyle name="Moeda 3 4 3 2 4" xfId="31058"/>
    <cellStyle name="Moeda 3 4 3 2 5" xfId="22752"/>
    <cellStyle name="Moeda 3 4 3 3" xfId="4655"/>
    <cellStyle name="Moeda 3 4 3 3 2" xfId="6427"/>
    <cellStyle name="Moeda 3 4 3 3 2 2" xfId="32954"/>
    <cellStyle name="Moeda 3 4 3 3 2 3" xfId="26420"/>
    <cellStyle name="Moeda 3 4 3 3 3" xfId="24648"/>
    <cellStyle name="Moeda 3 4 3 3 4" xfId="31182"/>
    <cellStyle name="Moeda 3 4 3 3 5" xfId="22876"/>
    <cellStyle name="Moeda 3 4 3 4" xfId="4779"/>
    <cellStyle name="Moeda 3 4 3 4 2" xfId="6551"/>
    <cellStyle name="Moeda 3 4 3 4 2 2" xfId="33078"/>
    <cellStyle name="Moeda 3 4 3 4 2 3" xfId="26544"/>
    <cellStyle name="Moeda 3 4 3 4 3" xfId="24772"/>
    <cellStyle name="Moeda 3 4 3 4 4" xfId="31306"/>
    <cellStyle name="Moeda 3 4 3 4 5" xfId="23000"/>
    <cellStyle name="Moeda 3 4 3 5" xfId="4367"/>
    <cellStyle name="Moeda 3 4 3 5 2" xfId="6139"/>
    <cellStyle name="Moeda 3 4 3 5 2 2" xfId="32666"/>
    <cellStyle name="Moeda 3 4 3 5 2 3" xfId="26132"/>
    <cellStyle name="Moeda 3 4 3 5 3" xfId="30894"/>
    <cellStyle name="Moeda 3 4 3 5 4" xfId="24360"/>
    <cellStyle name="Moeda 3 4 3 6" xfId="4903"/>
    <cellStyle name="Moeda 3 4 3 6 2" xfId="31430"/>
    <cellStyle name="Moeda 3 4 3 6 3" xfId="24896"/>
    <cellStyle name="Moeda 3 4 3 7" xfId="23124"/>
    <cellStyle name="Moeda 3 4 3 8" xfId="29658"/>
    <cellStyle name="Moeda 3 4 3 9" xfId="22588"/>
    <cellStyle name="Moeda 3 4 4" xfId="4453"/>
    <cellStyle name="Moeda 3 4 4 2" xfId="6225"/>
    <cellStyle name="Moeda 3 4 4 2 2" xfId="32752"/>
    <cellStyle name="Moeda 3 4 4 2 3" xfId="26218"/>
    <cellStyle name="Moeda 3 4 4 3" xfId="24446"/>
    <cellStyle name="Moeda 3 4 4 4" xfId="30980"/>
    <cellStyle name="Moeda 3 4 4 5" xfId="22674"/>
    <cellStyle name="Moeda 3 4 5" xfId="4577"/>
    <cellStyle name="Moeda 3 4 5 2" xfId="6349"/>
    <cellStyle name="Moeda 3 4 5 2 2" xfId="32876"/>
    <cellStyle name="Moeda 3 4 5 2 3" xfId="26342"/>
    <cellStyle name="Moeda 3 4 5 3" xfId="24570"/>
    <cellStyle name="Moeda 3 4 5 4" xfId="31104"/>
    <cellStyle name="Moeda 3 4 5 5" xfId="22798"/>
    <cellStyle name="Moeda 3 4 6" xfId="4701"/>
    <cellStyle name="Moeda 3 4 6 2" xfId="6473"/>
    <cellStyle name="Moeda 3 4 6 2 2" xfId="33000"/>
    <cellStyle name="Moeda 3 4 6 2 3" xfId="26466"/>
    <cellStyle name="Moeda 3 4 6 3" xfId="24694"/>
    <cellStyle name="Moeda 3 4 6 4" xfId="31228"/>
    <cellStyle name="Moeda 3 4 6 5" xfId="22922"/>
    <cellStyle name="Moeda 3 4 7" xfId="783"/>
    <cellStyle name="Moeda 3 4 7 2" xfId="6838"/>
    <cellStyle name="Moeda 3 4 7 2 2" xfId="18692"/>
    <cellStyle name="Moeda 3 4 7 2 3" xfId="12765"/>
    <cellStyle name="Moeda 3 4 7 3" xfId="15728"/>
    <cellStyle name="Moeda 3 4 7 4" xfId="9801"/>
    <cellStyle name="Moeda 3 4 8" xfId="4825"/>
    <cellStyle name="Moeda 3 4 8 2" xfId="31352"/>
    <cellStyle name="Moeda 3 4 8 3" xfId="24818"/>
    <cellStyle name="Moeda 3 4 9" xfId="6589"/>
    <cellStyle name="Moeda 3 4 9 2" xfId="33116"/>
    <cellStyle name="Moeda 3 4 9 3" xfId="26582"/>
    <cellStyle name="Moeda 3 5" xfId="27"/>
    <cellStyle name="Moeda 3 5 2" xfId="4435"/>
    <cellStyle name="Moeda 3 5 2 2" xfId="6207"/>
    <cellStyle name="Moeda 3 5 2 2 2" xfId="32734"/>
    <cellStyle name="Moeda 3 5 2 2 3" xfId="26200"/>
    <cellStyle name="Moeda 3 5 2 3" xfId="24428"/>
    <cellStyle name="Moeda 3 5 2 4" xfId="30962"/>
    <cellStyle name="Moeda 3 5 2 5" xfId="22656"/>
    <cellStyle name="Moeda 3 5 3" xfId="4559"/>
    <cellStyle name="Moeda 3 5 3 2" xfId="6331"/>
    <cellStyle name="Moeda 3 5 3 2 2" xfId="32858"/>
    <cellStyle name="Moeda 3 5 3 2 3" xfId="26324"/>
    <cellStyle name="Moeda 3 5 3 3" xfId="24552"/>
    <cellStyle name="Moeda 3 5 3 4" xfId="31086"/>
    <cellStyle name="Moeda 3 5 3 5" xfId="22780"/>
    <cellStyle name="Moeda 3 5 4" xfId="4683"/>
    <cellStyle name="Moeda 3 5 4 2" xfId="6455"/>
    <cellStyle name="Moeda 3 5 4 2 2" xfId="32982"/>
    <cellStyle name="Moeda 3 5 4 2 3" xfId="26448"/>
    <cellStyle name="Moeda 3 5 4 3" xfId="24676"/>
    <cellStyle name="Moeda 3 5 4 4" xfId="31210"/>
    <cellStyle name="Moeda 3 5 4 5" xfId="22904"/>
    <cellStyle name="Moeda 3 5 5" xfId="4349"/>
    <cellStyle name="Moeda 3 5 5 2" xfId="6121"/>
    <cellStyle name="Moeda 3 5 5 2 2" xfId="32648"/>
    <cellStyle name="Moeda 3 5 5 2 3" xfId="26114"/>
    <cellStyle name="Moeda 3 5 5 3" xfId="30876"/>
    <cellStyle name="Moeda 3 5 5 4" xfId="24342"/>
    <cellStyle name="Moeda 3 5 6" xfId="4807"/>
    <cellStyle name="Moeda 3 5 6 2" xfId="31334"/>
    <cellStyle name="Moeda 3 5 6 3" xfId="24800"/>
    <cellStyle name="Moeda 3 5 7" xfId="23028"/>
    <cellStyle name="Moeda 3 5 8" xfId="29562"/>
    <cellStyle name="Moeda 3 5 9" xfId="22570"/>
    <cellStyle name="Moeda 3 6" xfId="63"/>
    <cellStyle name="Moeda 3 6 2" xfId="4470"/>
    <cellStyle name="Moeda 3 6 2 2" xfId="6242"/>
    <cellStyle name="Moeda 3 6 2 2 2" xfId="32769"/>
    <cellStyle name="Moeda 3 6 2 2 3" xfId="26235"/>
    <cellStyle name="Moeda 3 6 2 3" xfId="24463"/>
    <cellStyle name="Moeda 3 6 2 4" xfId="30997"/>
    <cellStyle name="Moeda 3 6 2 5" xfId="22691"/>
    <cellStyle name="Moeda 3 6 3" xfId="4594"/>
    <cellStyle name="Moeda 3 6 3 2" xfId="6366"/>
    <cellStyle name="Moeda 3 6 3 2 2" xfId="32893"/>
    <cellStyle name="Moeda 3 6 3 2 3" xfId="26359"/>
    <cellStyle name="Moeda 3 6 3 3" xfId="24587"/>
    <cellStyle name="Moeda 3 6 3 4" xfId="31121"/>
    <cellStyle name="Moeda 3 6 3 5" xfId="22815"/>
    <cellStyle name="Moeda 3 6 4" xfId="4718"/>
    <cellStyle name="Moeda 3 6 4 2" xfId="6490"/>
    <cellStyle name="Moeda 3 6 4 2 2" xfId="33017"/>
    <cellStyle name="Moeda 3 6 4 2 3" xfId="26483"/>
    <cellStyle name="Moeda 3 6 4 3" xfId="24711"/>
    <cellStyle name="Moeda 3 6 4 4" xfId="31245"/>
    <cellStyle name="Moeda 3 6 4 5" xfId="22939"/>
    <cellStyle name="Moeda 3 6 5" xfId="4384"/>
    <cellStyle name="Moeda 3 6 5 2" xfId="6156"/>
    <cellStyle name="Moeda 3 6 5 2 2" xfId="32683"/>
    <cellStyle name="Moeda 3 6 5 2 3" xfId="26149"/>
    <cellStyle name="Moeda 3 6 5 3" xfId="30911"/>
    <cellStyle name="Moeda 3 6 5 4" xfId="24377"/>
    <cellStyle name="Moeda 3 6 6" xfId="4842"/>
    <cellStyle name="Moeda 3 6 6 2" xfId="31369"/>
    <cellStyle name="Moeda 3 6 6 3" xfId="24835"/>
    <cellStyle name="Moeda 3 6 7" xfId="23063"/>
    <cellStyle name="Moeda 3 6 8" xfId="29597"/>
    <cellStyle name="Moeda 3 6 9" xfId="22605"/>
    <cellStyle name="Moeda 3 7" xfId="21"/>
    <cellStyle name="Moeda 3 7 2" xfId="4429"/>
    <cellStyle name="Moeda 3 7 2 2" xfId="6201"/>
    <cellStyle name="Moeda 3 7 2 2 2" xfId="32728"/>
    <cellStyle name="Moeda 3 7 2 2 3" xfId="26194"/>
    <cellStyle name="Moeda 3 7 2 3" xfId="24422"/>
    <cellStyle name="Moeda 3 7 2 4" xfId="30956"/>
    <cellStyle name="Moeda 3 7 2 5" xfId="22650"/>
    <cellStyle name="Moeda 3 7 3" xfId="4553"/>
    <cellStyle name="Moeda 3 7 3 2" xfId="6325"/>
    <cellStyle name="Moeda 3 7 3 2 2" xfId="32852"/>
    <cellStyle name="Moeda 3 7 3 2 3" xfId="26318"/>
    <cellStyle name="Moeda 3 7 3 3" xfId="24546"/>
    <cellStyle name="Moeda 3 7 3 4" xfId="31080"/>
    <cellStyle name="Moeda 3 7 3 5" xfId="22774"/>
    <cellStyle name="Moeda 3 7 4" xfId="4677"/>
    <cellStyle name="Moeda 3 7 4 2" xfId="6449"/>
    <cellStyle name="Moeda 3 7 4 2 2" xfId="32976"/>
    <cellStyle name="Moeda 3 7 4 2 3" xfId="26442"/>
    <cellStyle name="Moeda 3 7 4 3" xfId="24670"/>
    <cellStyle name="Moeda 3 7 4 4" xfId="31204"/>
    <cellStyle name="Moeda 3 7 4 5" xfId="22898"/>
    <cellStyle name="Moeda 3 7 5" xfId="4343"/>
    <cellStyle name="Moeda 3 7 5 2" xfId="6115"/>
    <cellStyle name="Moeda 3 7 5 2 2" xfId="32642"/>
    <cellStyle name="Moeda 3 7 5 2 3" xfId="26108"/>
    <cellStyle name="Moeda 3 7 5 3" xfId="30870"/>
    <cellStyle name="Moeda 3 7 5 4" xfId="24336"/>
    <cellStyle name="Moeda 3 7 6" xfId="4801"/>
    <cellStyle name="Moeda 3 7 6 2" xfId="31328"/>
    <cellStyle name="Moeda 3 7 6 3" xfId="24794"/>
    <cellStyle name="Moeda 3 7 7" xfId="23022"/>
    <cellStyle name="Moeda 3 7 8" xfId="29556"/>
    <cellStyle name="Moeda 3 7 9" xfId="22564"/>
    <cellStyle name="Moeda 3 8" xfId="68"/>
    <cellStyle name="Moeda 3 8 2" xfId="4475"/>
    <cellStyle name="Moeda 3 8 2 2" xfId="6247"/>
    <cellStyle name="Moeda 3 8 2 2 2" xfId="32774"/>
    <cellStyle name="Moeda 3 8 2 2 3" xfId="26240"/>
    <cellStyle name="Moeda 3 8 2 3" xfId="24468"/>
    <cellStyle name="Moeda 3 8 2 4" xfId="31002"/>
    <cellStyle name="Moeda 3 8 2 5" xfId="22696"/>
    <cellStyle name="Moeda 3 8 3" xfId="4599"/>
    <cellStyle name="Moeda 3 8 3 2" xfId="6371"/>
    <cellStyle name="Moeda 3 8 3 2 2" xfId="32898"/>
    <cellStyle name="Moeda 3 8 3 2 3" xfId="26364"/>
    <cellStyle name="Moeda 3 8 3 3" xfId="24592"/>
    <cellStyle name="Moeda 3 8 3 4" xfId="31126"/>
    <cellStyle name="Moeda 3 8 3 5" xfId="22820"/>
    <cellStyle name="Moeda 3 8 4" xfId="4723"/>
    <cellStyle name="Moeda 3 8 4 2" xfId="6495"/>
    <cellStyle name="Moeda 3 8 4 2 2" xfId="33022"/>
    <cellStyle name="Moeda 3 8 4 2 3" xfId="26488"/>
    <cellStyle name="Moeda 3 8 4 3" xfId="24716"/>
    <cellStyle name="Moeda 3 8 4 4" xfId="31250"/>
    <cellStyle name="Moeda 3 8 4 5" xfId="22944"/>
    <cellStyle name="Moeda 3 8 5" xfId="4389"/>
    <cellStyle name="Moeda 3 8 5 2" xfId="6161"/>
    <cellStyle name="Moeda 3 8 5 2 2" xfId="32688"/>
    <cellStyle name="Moeda 3 8 5 2 3" xfId="26154"/>
    <cellStyle name="Moeda 3 8 5 3" xfId="30916"/>
    <cellStyle name="Moeda 3 8 5 4" xfId="24382"/>
    <cellStyle name="Moeda 3 8 6" xfId="4847"/>
    <cellStyle name="Moeda 3 8 6 2" xfId="31374"/>
    <cellStyle name="Moeda 3 8 6 3" xfId="24840"/>
    <cellStyle name="Moeda 3 8 7" xfId="23068"/>
    <cellStyle name="Moeda 3 8 8" xfId="29602"/>
    <cellStyle name="Moeda 3 8 9" xfId="22610"/>
    <cellStyle name="Moeda 3 9" xfId="106"/>
    <cellStyle name="Moeda 3 9 2" xfId="4513"/>
    <cellStyle name="Moeda 3 9 2 2" xfId="6285"/>
    <cellStyle name="Moeda 3 9 2 2 2" xfId="32812"/>
    <cellStyle name="Moeda 3 9 2 2 3" xfId="26278"/>
    <cellStyle name="Moeda 3 9 2 3" xfId="24506"/>
    <cellStyle name="Moeda 3 9 2 4" xfId="31040"/>
    <cellStyle name="Moeda 3 9 2 5" xfId="22734"/>
    <cellStyle name="Moeda 3 9 3" xfId="4637"/>
    <cellStyle name="Moeda 3 9 3 2" xfId="6409"/>
    <cellStyle name="Moeda 3 9 3 2 2" xfId="32936"/>
    <cellStyle name="Moeda 3 9 3 2 3" xfId="26402"/>
    <cellStyle name="Moeda 3 9 3 3" xfId="24630"/>
    <cellStyle name="Moeda 3 9 3 4" xfId="31164"/>
    <cellStyle name="Moeda 3 9 3 5" xfId="22858"/>
    <cellStyle name="Moeda 3 9 4" xfId="4761"/>
    <cellStyle name="Moeda 3 9 4 2" xfId="6533"/>
    <cellStyle name="Moeda 3 9 4 2 2" xfId="33060"/>
    <cellStyle name="Moeda 3 9 4 2 3" xfId="26526"/>
    <cellStyle name="Moeda 3 9 4 3" xfId="24754"/>
    <cellStyle name="Moeda 3 9 4 4" xfId="31288"/>
    <cellStyle name="Moeda 3 9 4 5" xfId="22982"/>
    <cellStyle name="Moeda 3 9 5" xfId="4337"/>
    <cellStyle name="Moeda 3 9 5 2" xfId="6111"/>
    <cellStyle name="Moeda 3 9 5 2 2" xfId="32638"/>
    <cellStyle name="Moeda 3 9 5 2 3" xfId="26104"/>
    <cellStyle name="Moeda 3 9 5 3" xfId="30866"/>
    <cellStyle name="Moeda 3 9 5 4" xfId="24332"/>
    <cellStyle name="Moeda 3 9 6" xfId="4885"/>
    <cellStyle name="Moeda 3 9 6 2" xfId="31412"/>
    <cellStyle name="Moeda 3 9 6 3" xfId="24878"/>
    <cellStyle name="Moeda 3 9 7" xfId="23106"/>
    <cellStyle name="Moeda 3 9 8" xfId="29640"/>
    <cellStyle name="Moeda 3 9 9" xfId="22560"/>
    <cellStyle name="Moeda 4" xfId="30"/>
    <cellStyle name="Moeda 4 10" xfId="6574"/>
    <cellStyle name="Moeda 4 10 2" xfId="33101"/>
    <cellStyle name="Moeda 4 10 3" xfId="26567"/>
    <cellStyle name="Moeda 4 11" xfId="23031"/>
    <cellStyle name="Moeda 4 12" xfId="29565"/>
    <cellStyle name="Moeda 4 13" xfId="21446"/>
    <cellStyle name="Moeda 4 2" xfId="48"/>
    <cellStyle name="Moeda 4 2 10" xfId="23049"/>
    <cellStyle name="Moeda 4 2 11" xfId="29583"/>
    <cellStyle name="Moeda 4 2 12" xfId="21941"/>
    <cellStyle name="Moeda 4 2 2" xfId="89"/>
    <cellStyle name="Moeda 4 2 2 2" xfId="4496"/>
    <cellStyle name="Moeda 4 2 2 2 2" xfId="6268"/>
    <cellStyle name="Moeda 4 2 2 2 2 2" xfId="32795"/>
    <cellStyle name="Moeda 4 2 2 2 2 3" xfId="26261"/>
    <cellStyle name="Moeda 4 2 2 2 3" xfId="24489"/>
    <cellStyle name="Moeda 4 2 2 2 4" xfId="31023"/>
    <cellStyle name="Moeda 4 2 2 2 5" xfId="22717"/>
    <cellStyle name="Moeda 4 2 2 3" xfId="4620"/>
    <cellStyle name="Moeda 4 2 2 3 2" xfId="6392"/>
    <cellStyle name="Moeda 4 2 2 3 2 2" xfId="32919"/>
    <cellStyle name="Moeda 4 2 2 3 2 3" xfId="26385"/>
    <cellStyle name="Moeda 4 2 2 3 3" xfId="24613"/>
    <cellStyle name="Moeda 4 2 2 3 4" xfId="31147"/>
    <cellStyle name="Moeda 4 2 2 3 5" xfId="22841"/>
    <cellStyle name="Moeda 4 2 2 4" xfId="4744"/>
    <cellStyle name="Moeda 4 2 2 4 2" xfId="6516"/>
    <cellStyle name="Moeda 4 2 2 4 2 2" xfId="33043"/>
    <cellStyle name="Moeda 4 2 2 4 2 3" xfId="26509"/>
    <cellStyle name="Moeda 4 2 2 4 3" xfId="24737"/>
    <cellStyle name="Moeda 4 2 2 4 4" xfId="31271"/>
    <cellStyle name="Moeda 4 2 2 4 5" xfId="22965"/>
    <cellStyle name="Moeda 4 2 2 5" xfId="4410"/>
    <cellStyle name="Moeda 4 2 2 5 2" xfId="6182"/>
    <cellStyle name="Moeda 4 2 2 5 2 2" xfId="32709"/>
    <cellStyle name="Moeda 4 2 2 5 2 3" xfId="26175"/>
    <cellStyle name="Moeda 4 2 2 5 3" xfId="30937"/>
    <cellStyle name="Moeda 4 2 2 5 4" xfId="24403"/>
    <cellStyle name="Moeda 4 2 2 6" xfId="4868"/>
    <cellStyle name="Moeda 4 2 2 6 2" xfId="31395"/>
    <cellStyle name="Moeda 4 2 2 6 3" xfId="24861"/>
    <cellStyle name="Moeda 4 2 2 7" xfId="23089"/>
    <cellStyle name="Moeda 4 2 2 8" xfId="29623"/>
    <cellStyle name="Moeda 4 2 2 9" xfId="22631"/>
    <cellStyle name="Moeda 4 2 3" xfId="127"/>
    <cellStyle name="Moeda 4 2 3 2" xfId="4534"/>
    <cellStyle name="Moeda 4 2 3 2 2" xfId="6306"/>
    <cellStyle name="Moeda 4 2 3 2 2 2" xfId="32833"/>
    <cellStyle name="Moeda 4 2 3 2 2 3" xfId="26299"/>
    <cellStyle name="Moeda 4 2 3 2 3" xfId="24527"/>
    <cellStyle name="Moeda 4 2 3 2 4" xfId="31061"/>
    <cellStyle name="Moeda 4 2 3 2 5" xfId="22755"/>
    <cellStyle name="Moeda 4 2 3 3" xfId="4658"/>
    <cellStyle name="Moeda 4 2 3 3 2" xfId="6430"/>
    <cellStyle name="Moeda 4 2 3 3 2 2" xfId="32957"/>
    <cellStyle name="Moeda 4 2 3 3 2 3" xfId="26423"/>
    <cellStyle name="Moeda 4 2 3 3 3" xfId="24651"/>
    <cellStyle name="Moeda 4 2 3 3 4" xfId="31185"/>
    <cellStyle name="Moeda 4 2 3 3 5" xfId="22879"/>
    <cellStyle name="Moeda 4 2 3 4" xfId="4782"/>
    <cellStyle name="Moeda 4 2 3 4 2" xfId="6554"/>
    <cellStyle name="Moeda 4 2 3 4 2 2" xfId="33081"/>
    <cellStyle name="Moeda 4 2 3 4 2 3" xfId="26547"/>
    <cellStyle name="Moeda 4 2 3 4 3" xfId="24775"/>
    <cellStyle name="Moeda 4 2 3 4 4" xfId="31309"/>
    <cellStyle name="Moeda 4 2 3 4 5" xfId="23003"/>
    <cellStyle name="Moeda 4 2 3 5" xfId="4370"/>
    <cellStyle name="Moeda 4 2 3 5 2" xfId="6142"/>
    <cellStyle name="Moeda 4 2 3 5 2 2" xfId="32669"/>
    <cellStyle name="Moeda 4 2 3 5 2 3" xfId="26135"/>
    <cellStyle name="Moeda 4 2 3 5 3" xfId="30897"/>
    <cellStyle name="Moeda 4 2 3 5 4" xfId="24363"/>
    <cellStyle name="Moeda 4 2 3 6" xfId="4906"/>
    <cellStyle name="Moeda 4 2 3 6 2" xfId="31433"/>
    <cellStyle name="Moeda 4 2 3 6 3" xfId="24899"/>
    <cellStyle name="Moeda 4 2 3 7" xfId="23127"/>
    <cellStyle name="Moeda 4 2 3 8" xfId="29661"/>
    <cellStyle name="Moeda 4 2 3 9" xfId="22591"/>
    <cellStyle name="Moeda 4 2 4" xfId="4456"/>
    <cellStyle name="Moeda 4 2 4 2" xfId="6228"/>
    <cellStyle name="Moeda 4 2 4 2 2" xfId="32755"/>
    <cellStyle name="Moeda 4 2 4 2 3" xfId="26221"/>
    <cellStyle name="Moeda 4 2 4 3" xfId="24449"/>
    <cellStyle name="Moeda 4 2 4 4" xfId="30983"/>
    <cellStyle name="Moeda 4 2 4 5" xfId="22677"/>
    <cellStyle name="Moeda 4 2 5" xfId="4580"/>
    <cellStyle name="Moeda 4 2 5 2" xfId="6352"/>
    <cellStyle name="Moeda 4 2 5 2 2" xfId="32879"/>
    <cellStyle name="Moeda 4 2 5 2 3" xfId="26345"/>
    <cellStyle name="Moeda 4 2 5 3" xfId="24573"/>
    <cellStyle name="Moeda 4 2 5 4" xfId="31107"/>
    <cellStyle name="Moeda 4 2 5 5" xfId="22801"/>
    <cellStyle name="Moeda 4 2 6" xfId="4704"/>
    <cellStyle name="Moeda 4 2 6 2" xfId="6476"/>
    <cellStyle name="Moeda 4 2 6 2 2" xfId="33003"/>
    <cellStyle name="Moeda 4 2 6 2 3" xfId="26469"/>
    <cellStyle name="Moeda 4 2 6 3" xfId="24697"/>
    <cellStyle name="Moeda 4 2 6 4" xfId="31231"/>
    <cellStyle name="Moeda 4 2 6 5" xfId="22925"/>
    <cellStyle name="Moeda 4 2 7" xfId="2129"/>
    <cellStyle name="Moeda 4 2 7 2" xfId="5492"/>
    <cellStyle name="Moeda 4 2 7 2 2" xfId="32019"/>
    <cellStyle name="Moeda 4 2 7 2 3" xfId="25485"/>
    <cellStyle name="Moeda 4 2 7 3" xfId="30247"/>
    <cellStyle name="Moeda 4 2 7 4" xfId="23713"/>
    <cellStyle name="Moeda 4 2 8" xfId="4828"/>
    <cellStyle name="Moeda 4 2 8 2" xfId="31355"/>
    <cellStyle name="Moeda 4 2 8 3" xfId="24821"/>
    <cellStyle name="Moeda 4 2 9" xfId="6592"/>
    <cellStyle name="Moeda 4 2 9 2" xfId="33119"/>
    <cellStyle name="Moeda 4 2 9 3" xfId="26585"/>
    <cellStyle name="Moeda 4 3" xfId="71"/>
    <cellStyle name="Moeda 4 3 2" xfId="4478"/>
    <cellStyle name="Moeda 4 3 2 2" xfId="6250"/>
    <cellStyle name="Moeda 4 3 2 2 2" xfId="32777"/>
    <cellStyle name="Moeda 4 3 2 2 3" xfId="26243"/>
    <cellStyle name="Moeda 4 3 2 3" xfId="24471"/>
    <cellStyle name="Moeda 4 3 2 4" xfId="31005"/>
    <cellStyle name="Moeda 4 3 2 5" xfId="22699"/>
    <cellStyle name="Moeda 4 3 3" xfId="4602"/>
    <cellStyle name="Moeda 4 3 3 2" xfId="6374"/>
    <cellStyle name="Moeda 4 3 3 2 2" xfId="32901"/>
    <cellStyle name="Moeda 4 3 3 2 3" xfId="26367"/>
    <cellStyle name="Moeda 4 3 3 3" xfId="24595"/>
    <cellStyle name="Moeda 4 3 3 4" xfId="31129"/>
    <cellStyle name="Moeda 4 3 3 5" xfId="22823"/>
    <cellStyle name="Moeda 4 3 4" xfId="4726"/>
    <cellStyle name="Moeda 4 3 4 2" xfId="6498"/>
    <cellStyle name="Moeda 4 3 4 2 2" xfId="33025"/>
    <cellStyle name="Moeda 4 3 4 2 3" xfId="26491"/>
    <cellStyle name="Moeda 4 3 4 3" xfId="24719"/>
    <cellStyle name="Moeda 4 3 4 4" xfId="31253"/>
    <cellStyle name="Moeda 4 3 4 5" xfId="22947"/>
    <cellStyle name="Moeda 4 3 5" xfId="4392"/>
    <cellStyle name="Moeda 4 3 5 2" xfId="6164"/>
    <cellStyle name="Moeda 4 3 5 2 2" xfId="32691"/>
    <cellStyle name="Moeda 4 3 5 2 3" xfId="26157"/>
    <cellStyle name="Moeda 4 3 5 3" xfId="30919"/>
    <cellStyle name="Moeda 4 3 5 4" xfId="24385"/>
    <cellStyle name="Moeda 4 3 6" xfId="4850"/>
    <cellStyle name="Moeda 4 3 6 2" xfId="31377"/>
    <cellStyle name="Moeda 4 3 6 3" xfId="24843"/>
    <cellStyle name="Moeda 4 3 7" xfId="23071"/>
    <cellStyle name="Moeda 4 3 8" xfId="29605"/>
    <cellStyle name="Moeda 4 3 9" xfId="22613"/>
    <cellStyle name="Moeda 4 4" xfId="109"/>
    <cellStyle name="Moeda 4 4 2" xfId="4516"/>
    <cellStyle name="Moeda 4 4 2 2" xfId="6288"/>
    <cellStyle name="Moeda 4 4 2 2 2" xfId="32815"/>
    <cellStyle name="Moeda 4 4 2 2 3" xfId="26281"/>
    <cellStyle name="Moeda 4 4 2 3" xfId="24509"/>
    <cellStyle name="Moeda 4 4 2 4" xfId="31043"/>
    <cellStyle name="Moeda 4 4 2 5" xfId="22737"/>
    <cellStyle name="Moeda 4 4 3" xfId="4640"/>
    <cellStyle name="Moeda 4 4 3 2" xfId="6412"/>
    <cellStyle name="Moeda 4 4 3 2 2" xfId="32939"/>
    <cellStyle name="Moeda 4 4 3 2 3" xfId="26405"/>
    <cellStyle name="Moeda 4 4 3 3" xfId="24633"/>
    <cellStyle name="Moeda 4 4 3 4" xfId="31167"/>
    <cellStyle name="Moeda 4 4 3 5" xfId="22861"/>
    <cellStyle name="Moeda 4 4 4" xfId="4764"/>
    <cellStyle name="Moeda 4 4 4 2" xfId="6536"/>
    <cellStyle name="Moeda 4 4 4 2 2" xfId="33063"/>
    <cellStyle name="Moeda 4 4 4 2 3" xfId="26529"/>
    <cellStyle name="Moeda 4 4 4 3" xfId="24757"/>
    <cellStyle name="Moeda 4 4 4 4" xfId="31291"/>
    <cellStyle name="Moeda 4 4 4 5" xfId="22985"/>
    <cellStyle name="Moeda 4 4 5" xfId="4352"/>
    <cellStyle name="Moeda 4 4 5 2" xfId="6124"/>
    <cellStyle name="Moeda 4 4 5 2 2" xfId="32651"/>
    <cellStyle name="Moeda 4 4 5 2 3" xfId="26117"/>
    <cellStyle name="Moeda 4 4 5 3" xfId="30879"/>
    <cellStyle name="Moeda 4 4 5 4" xfId="24345"/>
    <cellStyle name="Moeda 4 4 6" xfId="4888"/>
    <cellStyle name="Moeda 4 4 6 2" xfId="31415"/>
    <cellStyle name="Moeda 4 4 6 3" xfId="24881"/>
    <cellStyle name="Moeda 4 4 7" xfId="23109"/>
    <cellStyle name="Moeda 4 4 8" xfId="29643"/>
    <cellStyle name="Moeda 4 4 9" xfId="22573"/>
    <cellStyle name="Moeda 4 5" xfId="4438"/>
    <cellStyle name="Moeda 4 5 2" xfId="6210"/>
    <cellStyle name="Moeda 4 5 2 2" xfId="32737"/>
    <cellStyle name="Moeda 4 5 2 3" xfId="26203"/>
    <cellStyle name="Moeda 4 5 3" xfId="24431"/>
    <cellStyle name="Moeda 4 5 4" xfId="30965"/>
    <cellStyle name="Moeda 4 5 5" xfId="22659"/>
    <cellStyle name="Moeda 4 6" xfId="4562"/>
    <cellStyle name="Moeda 4 6 2" xfId="6334"/>
    <cellStyle name="Moeda 4 6 2 2" xfId="32861"/>
    <cellStyle name="Moeda 4 6 2 3" xfId="26327"/>
    <cellStyle name="Moeda 4 6 3" xfId="24555"/>
    <cellStyle name="Moeda 4 6 4" xfId="31089"/>
    <cellStyle name="Moeda 4 6 5" xfId="22783"/>
    <cellStyle name="Moeda 4 7" xfId="4686"/>
    <cellStyle name="Moeda 4 7 2" xfId="6458"/>
    <cellStyle name="Moeda 4 7 2 2" xfId="32985"/>
    <cellStyle name="Moeda 4 7 2 3" xfId="26451"/>
    <cellStyle name="Moeda 4 7 3" xfId="24679"/>
    <cellStyle name="Moeda 4 7 4" xfId="31213"/>
    <cellStyle name="Moeda 4 7 5" xfId="22907"/>
    <cellStyle name="Moeda 4 8" xfId="333"/>
    <cellStyle name="Moeda 4 8 2" xfId="4973"/>
    <cellStyle name="Moeda 4 8 2 2" xfId="31500"/>
    <cellStyle name="Moeda 4 8 2 3" xfId="24966"/>
    <cellStyle name="Moeda 4 8 3" xfId="29728"/>
    <cellStyle name="Moeda 4 8 4" xfId="23194"/>
    <cellStyle name="Moeda 4 9" xfId="4810"/>
    <cellStyle name="Moeda 4 9 2" xfId="31337"/>
    <cellStyle name="Moeda 4 9 3" xfId="24803"/>
    <cellStyle name="Moeda 5" xfId="36"/>
    <cellStyle name="Moeda 5 10" xfId="6580"/>
    <cellStyle name="Moeda 5 10 2" xfId="33107"/>
    <cellStyle name="Moeda 5 10 3" xfId="26573"/>
    <cellStyle name="Moeda 5 11" xfId="23037"/>
    <cellStyle name="Moeda 5 12" xfId="29571"/>
    <cellStyle name="Moeda 5 2" xfId="54"/>
    <cellStyle name="Moeda 5 2 10" xfId="23055"/>
    <cellStyle name="Moeda 5 2 11" xfId="29589"/>
    <cellStyle name="Moeda 5 2 12" xfId="21477"/>
    <cellStyle name="Moeda 5 2 2" xfId="95"/>
    <cellStyle name="Moeda 5 2 2 2" xfId="4502"/>
    <cellStyle name="Moeda 5 2 2 2 2" xfId="6274"/>
    <cellStyle name="Moeda 5 2 2 2 2 2" xfId="32801"/>
    <cellStyle name="Moeda 5 2 2 2 2 3" xfId="26267"/>
    <cellStyle name="Moeda 5 2 2 2 3" xfId="24495"/>
    <cellStyle name="Moeda 5 2 2 2 4" xfId="31029"/>
    <cellStyle name="Moeda 5 2 2 2 5" xfId="22723"/>
    <cellStyle name="Moeda 5 2 2 3" xfId="4626"/>
    <cellStyle name="Moeda 5 2 2 3 2" xfId="6398"/>
    <cellStyle name="Moeda 5 2 2 3 2 2" xfId="32925"/>
    <cellStyle name="Moeda 5 2 2 3 2 3" xfId="26391"/>
    <cellStyle name="Moeda 5 2 2 3 3" xfId="24619"/>
    <cellStyle name="Moeda 5 2 2 3 4" xfId="31153"/>
    <cellStyle name="Moeda 5 2 2 3 5" xfId="22847"/>
    <cellStyle name="Moeda 5 2 2 4" xfId="4750"/>
    <cellStyle name="Moeda 5 2 2 4 2" xfId="6522"/>
    <cellStyle name="Moeda 5 2 2 4 2 2" xfId="33049"/>
    <cellStyle name="Moeda 5 2 2 4 2 3" xfId="26515"/>
    <cellStyle name="Moeda 5 2 2 4 3" xfId="24743"/>
    <cellStyle name="Moeda 5 2 2 4 4" xfId="31277"/>
    <cellStyle name="Moeda 5 2 2 4 5" xfId="22971"/>
    <cellStyle name="Moeda 5 2 2 5" xfId="4416"/>
    <cellStyle name="Moeda 5 2 2 5 2" xfId="6188"/>
    <cellStyle name="Moeda 5 2 2 5 2 2" xfId="32715"/>
    <cellStyle name="Moeda 5 2 2 5 2 3" xfId="26181"/>
    <cellStyle name="Moeda 5 2 2 5 3" xfId="30943"/>
    <cellStyle name="Moeda 5 2 2 5 4" xfId="24409"/>
    <cellStyle name="Moeda 5 2 2 6" xfId="4874"/>
    <cellStyle name="Moeda 5 2 2 6 2" xfId="31401"/>
    <cellStyle name="Moeda 5 2 2 6 3" xfId="24867"/>
    <cellStyle name="Moeda 5 2 2 7" xfId="23095"/>
    <cellStyle name="Moeda 5 2 2 8" xfId="29629"/>
    <cellStyle name="Moeda 5 2 2 9" xfId="22637"/>
    <cellStyle name="Moeda 5 2 3" xfId="133"/>
    <cellStyle name="Moeda 5 2 3 2" xfId="4540"/>
    <cellStyle name="Moeda 5 2 3 2 2" xfId="6312"/>
    <cellStyle name="Moeda 5 2 3 2 2 2" xfId="32839"/>
    <cellStyle name="Moeda 5 2 3 2 2 3" xfId="26305"/>
    <cellStyle name="Moeda 5 2 3 2 3" xfId="24533"/>
    <cellStyle name="Moeda 5 2 3 2 4" xfId="31067"/>
    <cellStyle name="Moeda 5 2 3 2 5" xfId="22761"/>
    <cellStyle name="Moeda 5 2 3 3" xfId="4664"/>
    <cellStyle name="Moeda 5 2 3 3 2" xfId="6436"/>
    <cellStyle name="Moeda 5 2 3 3 2 2" xfId="32963"/>
    <cellStyle name="Moeda 5 2 3 3 2 3" xfId="26429"/>
    <cellStyle name="Moeda 5 2 3 3 3" xfId="24657"/>
    <cellStyle name="Moeda 5 2 3 3 4" xfId="31191"/>
    <cellStyle name="Moeda 5 2 3 3 5" xfId="22885"/>
    <cellStyle name="Moeda 5 2 3 4" xfId="4788"/>
    <cellStyle name="Moeda 5 2 3 4 2" xfId="6560"/>
    <cellStyle name="Moeda 5 2 3 4 2 2" xfId="33087"/>
    <cellStyle name="Moeda 5 2 3 4 2 3" xfId="26553"/>
    <cellStyle name="Moeda 5 2 3 4 3" xfId="24781"/>
    <cellStyle name="Moeda 5 2 3 4 4" xfId="31315"/>
    <cellStyle name="Moeda 5 2 3 4 5" xfId="23009"/>
    <cellStyle name="Moeda 5 2 3 5" xfId="4376"/>
    <cellStyle name="Moeda 5 2 3 5 2" xfId="6148"/>
    <cellStyle name="Moeda 5 2 3 5 2 2" xfId="32675"/>
    <cellStyle name="Moeda 5 2 3 5 2 3" xfId="26141"/>
    <cellStyle name="Moeda 5 2 3 5 3" xfId="30903"/>
    <cellStyle name="Moeda 5 2 3 5 4" xfId="24369"/>
    <cellStyle name="Moeda 5 2 3 6" xfId="4912"/>
    <cellStyle name="Moeda 5 2 3 6 2" xfId="31439"/>
    <cellStyle name="Moeda 5 2 3 6 3" xfId="24905"/>
    <cellStyle name="Moeda 5 2 3 7" xfId="23133"/>
    <cellStyle name="Moeda 5 2 3 8" xfId="29667"/>
    <cellStyle name="Moeda 5 2 3 9" xfId="22597"/>
    <cellStyle name="Moeda 5 2 4" xfId="4462"/>
    <cellStyle name="Moeda 5 2 4 2" xfId="6234"/>
    <cellStyle name="Moeda 5 2 4 2 2" xfId="32761"/>
    <cellStyle name="Moeda 5 2 4 2 3" xfId="26227"/>
    <cellStyle name="Moeda 5 2 4 3" xfId="24455"/>
    <cellStyle name="Moeda 5 2 4 4" xfId="30989"/>
    <cellStyle name="Moeda 5 2 4 5" xfId="22683"/>
    <cellStyle name="Moeda 5 2 5" xfId="4586"/>
    <cellStyle name="Moeda 5 2 5 2" xfId="6358"/>
    <cellStyle name="Moeda 5 2 5 2 2" xfId="32885"/>
    <cellStyle name="Moeda 5 2 5 2 3" xfId="26351"/>
    <cellStyle name="Moeda 5 2 5 3" xfId="24579"/>
    <cellStyle name="Moeda 5 2 5 4" xfId="31113"/>
    <cellStyle name="Moeda 5 2 5 5" xfId="22807"/>
    <cellStyle name="Moeda 5 2 6" xfId="4710"/>
    <cellStyle name="Moeda 5 2 6 2" xfId="6482"/>
    <cellStyle name="Moeda 5 2 6 2 2" xfId="33009"/>
    <cellStyle name="Moeda 5 2 6 2 3" xfId="26475"/>
    <cellStyle name="Moeda 5 2 6 3" xfId="24703"/>
    <cellStyle name="Moeda 5 2 6 4" xfId="31237"/>
    <cellStyle name="Moeda 5 2 6 5" xfId="22931"/>
    <cellStyle name="Moeda 5 2 7" xfId="430"/>
    <cellStyle name="Moeda 5 2 7 2" xfId="5004"/>
    <cellStyle name="Moeda 5 2 7 2 2" xfId="31531"/>
    <cellStyle name="Moeda 5 2 7 2 3" xfId="24997"/>
    <cellStyle name="Moeda 5 2 7 3" xfId="29759"/>
    <cellStyle name="Moeda 5 2 7 4" xfId="23225"/>
    <cellStyle name="Moeda 5 2 8" xfId="4834"/>
    <cellStyle name="Moeda 5 2 8 2" xfId="31361"/>
    <cellStyle name="Moeda 5 2 8 3" xfId="24827"/>
    <cellStyle name="Moeda 5 2 9" xfId="6598"/>
    <cellStyle name="Moeda 5 2 9 2" xfId="33125"/>
    <cellStyle name="Moeda 5 2 9 3" xfId="26591"/>
    <cellStyle name="Moeda 5 3" xfId="77"/>
    <cellStyle name="Moeda 5 3 2" xfId="4398"/>
    <cellStyle name="Moeda 5 3 2 2" xfId="6170"/>
    <cellStyle name="Moeda 5 3 2 2 2" xfId="32697"/>
    <cellStyle name="Moeda 5 3 2 2 3" xfId="26163"/>
    <cellStyle name="Moeda 5 3 2 3" xfId="24391"/>
    <cellStyle name="Moeda 5 3 2 4" xfId="30925"/>
    <cellStyle name="Moeda 5 3 2 5" xfId="22619"/>
    <cellStyle name="Moeda 5 3 3" xfId="4484"/>
    <cellStyle name="Moeda 5 3 3 2" xfId="6256"/>
    <cellStyle name="Moeda 5 3 3 2 2" xfId="32783"/>
    <cellStyle name="Moeda 5 3 3 2 3" xfId="26249"/>
    <cellStyle name="Moeda 5 3 3 3" xfId="24477"/>
    <cellStyle name="Moeda 5 3 3 4" xfId="31011"/>
    <cellStyle name="Moeda 5 3 3 5" xfId="22705"/>
    <cellStyle name="Moeda 5 3 4" xfId="4608"/>
    <cellStyle name="Moeda 5 3 4 2" xfId="6380"/>
    <cellStyle name="Moeda 5 3 4 2 2" xfId="32907"/>
    <cellStyle name="Moeda 5 3 4 2 3" xfId="26373"/>
    <cellStyle name="Moeda 5 3 4 3" xfId="24601"/>
    <cellStyle name="Moeda 5 3 4 4" xfId="31135"/>
    <cellStyle name="Moeda 5 3 4 5" xfId="22829"/>
    <cellStyle name="Moeda 5 3 5" xfId="4732"/>
    <cellStyle name="Moeda 5 3 5 2" xfId="6504"/>
    <cellStyle name="Moeda 5 3 5 2 2" xfId="33031"/>
    <cellStyle name="Moeda 5 3 5 2 3" xfId="26497"/>
    <cellStyle name="Moeda 5 3 5 3" xfId="24725"/>
    <cellStyle name="Moeda 5 3 5 4" xfId="31259"/>
    <cellStyle name="Moeda 5 3 5 5" xfId="22953"/>
    <cellStyle name="Moeda 5 3 6" xfId="523"/>
    <cellStyle name="Moeda 5 3 6 2" xfId="5032"/>
    <cellStyle name="Moeda 5 3 6 2 2" xfId="31559"/>
    <cellStyle name="Moeda 5 3 6 2 3" xfId="25025"/>
    <cellStyle name="Moeda 5 3 6 3" xfId="29787"/>
    <cellStyle name="Moeda 5 3 6 4" xfId="23253"/>
    <cellStyle name="Moeda 5 3 7" xfId="4856"/>
    <cellStyle name="Moeda 5 3 7 2" xfId="31383"/>
    <cellStyle name="Moeda 5 3 7 3" xfId="24849"/>
    <cellStyle name="Moeda 5 3 8" xfId="23077"/>
    <cellStyle name="Moeda 5 3 9" xfId="29611"/>
    <cellStyle name="Moeda 5 4" xfId="115"/>
    <cellStyle name="Moeda 5 4 2" xfId="4522"/>
    <cellStyle name="Moeda 5 4 2 2" xfId="6294"/>
    <cellStyle name="Moeda 5 4 2 2 2" xfId="32821"/>
    <cellStyle name="Moeda 5 4 2 2 3" xfId="26287"/>
    <cellStyle name="Moeda 5 4 2 3" xfId="24515"/>
    <cellStyle name="Moeda 5 4 2 4" xfId="31049"/>
    <cellStyle name="Moeda 5 4 2 5" xfId="22743"/>
    <cellStyle name="Moeda 5 4 3" xfId="4646"/>
    <cellStyle name="Moeda 5 4 3 2" xfId="6418"/>
    <cellStyle name="Moeda 5 4 3 2 2" xfId="32945"/>
    <cellStyle name="Moeda 5 4 3 2 3" xfId="26411"/>
    <cellStyle name="Moeda 5 4 3 3" xfId="24639"/>
    <cellStyle name="Moeda 5 4 3 4" xfId="31173"/>
    <cellStyle name="Moeda 5 4 3 5" xfId="22867"/>
    <cellStyle name="Moeda 5 4 4" xfId="4770"/>
    <cellStyle name="Moeda 5 4 4 2" xfId="6542"/>
    <cellStyle name="Moeda 5 4 4 2 2" xfId="33069"/>
    <cellStyle name="Moeda 5 4 4 2 3" xfId="26535"/>
    <cellStyle name="Moeda 5 4 4 3" xfId="24763"/>
    <cellStyle name="Moeda 5 4 4 4" xfId="31297"/>
    <cellStyle name="Moeda 5 4 4 5" xfId="22991"/>
    <cellStyle name="Moeda 5 4 5" xfId="4358"/>
    <cellStyle name="Moeda 5 4 5 2" xfId="6130"/>
    <cellStyle name="Moeda 5 4 5 2 2" xfId="32657"/>
    <cellStyle name="Moeda 5 4 5 2 3" xfId="26123"/>
    <cellStyle name="Moeda 5 4 5 3" xfId="30885"/>
    <cellStyle name="Moeda 5 4 5 4" xfId="24351"/>
    <cellStyle name="Moeda 5 4 6" xfId="4894"/>
    <cellStyle name="Moeda 5 4 6 2" xfId="31421"/>
    <cellStyle name="Moeda 5 4 6 3" xfId="24887"/>
    <cellStyle name="Moeda 5 4 7" xfId="23115"/>
    <cellStyle name="Moeda 5 4 8" xfId="29649"/>
    <cellStyle name="Moeda 5 4 9" xfId="22579"/>
    <cellStyle name="Moeda 5 5" xfId="4444"/>
    <cellStyle name="Moeda 5 5 2" xfId="6216"/>
    <cellStyle name="Moeda 5 5 2 2" xfId="32743"/>
    <cellStyle name="Moeda 5 5 2 3" xfId="26209"/>
    <cellStyle name="Moeda 5 5 3" xfId="24437"/>
    <cellStyle name="Moeda 5 5 4" xfId="30971"/>
    <cellStyle name="Moeda 5 5 5" xfId="22665"/>
    <cellStyle name="Moeda 5 6" xfId="4568"/>
    <cellStyle name="Moeda 5 6 2" xfId="6340"/>
    <cellStyle name="Moeda 5 6 2 2" xfId="32867"/>
    <cellStyle name="Moeda 5 6 2 3" xfId="26333"/>
    <cellStyle name="Moeda 5 6 3" xfId="24561"/>
    <cellStyle name="Moeda 5 6 4" xfId="31095"/>
    <cellStyle name="Moeda 5 6 5" xfId="22789"/>
    <cellStyle name="Moeda 5 7" xfId="4692"/>
    <cellStyle name="Moeda 5 7 2" xfId="6464"/>
    <cellStyle name="Moeda 5 7 2 2" xfId="32991"/>
    <cellStyle name="Moeda 5 7 2 3" xfId="26457"/>
    <cellStyle name="Moeda 5 7 3" xfId="24685"/>
    <cellStyle name="Moeda 5 7 4" xfId="31219"/>
    <cellStyle name="Moeda 5 7 5" xfId="22913"/>
    <cellStyle name="Moeda 5 8" xfId="239"/>
    <cellStyle name="Moeda 5 8 2" xfId="4944"/>
    <cellStyle name="Moeda 5 8 2 2" xfId="31471"/>
    <cellStyle name="Moeda 5 8 2 3" xfId="24937"/>
    <cellStyle name="Moeda 5 8 3" xfId="29699"/>
    <cellStyle name="Moeda 5 8 4" xfId="23165"/>
    <cellStyle name="Moeda 5 9" xfId="4816"/>
    <cellStyle name="Moeda 5 9 2" xfId="31343"/>
    <cellStyle name="Moeda 5 9 3" xfId="24809"/>
    <cellStyle name="Moeda 6" xfId="42"/>
    <cellStyle name="Moeda 6 10" xfId="23043"/>
    <cellStyle name="Moeda 6 11" xfId="29577"/>
    <cellStyle name="Moeda 6 2" xfId="83"/>
    <cellStyle name="Moeda 6 2 2" xfId="4490"/>
    <cellStyle name="Moeda 6 2 2 2" xfId="6262"/>
    <cellStyle name="Moeda 6 2 2 2 2" xfId="32789"/>
    <cellStyle name="Moeda 6 2 2 2 3" xfId="26255"/>
    <cellStyle name="Moeda 6 2 2 3" xfId="24483"/>
    <cellStyle name="Moeda 6 2 2 4" xfId="31017"/>
    <cellStyle name="Moeda 6 2 2 5" xfId="22711"/>
    <cellStyle name="Moeda 6 2 3" xfId="4614"/>
    <cellStyle name="Moeda 6 2 3 2" xfId="6386"/>
    <cellStyle name="Moeda 6 2 3 2 2" xfId="32913"/>
    <cellStyle name="Moeda 6 2 3 2 3" xfId="26379"/>
    <cellStyle name="Moeda 6 2 3 3" xfId="24607"/>
    <cellStyle name="Moeda 6 2 3 4" xfId="31141"/>
    <cellStyle name="Moeda 6 2 3 5" xfId="22835"/>
    <cellStyle name="Moeda 6 2 4" xfId="4738"/>
    <cellStyle name="Moeda 6 2 4 2" xfId="6510"/>
    <cellStyle name="Moeda 6 2 4 2 2" xfId="33037"/>
    <cellStyle name="Moeda 6 2 4 2 3" xfId="26503"/>
    <cellStyle name="Moeda 6 2 4 3" xfId="24731"/>
    <cellStyle name="Moeda 6 2 4 4" xfId="31265"/>
    <cellStyle name="Moeda 6 2 4 5" xfId="22959"/>
    <cellStyle name="Moeda 6 2 5" xfId="4404"/>
    <cellStyle name="Moeda 6 2 5 2" xfId="6176"/>
    <cellStyle name="Moeda 6 2 5 2 2" xfId="32703"/>
    <cellStyle name="Moeda 6 2 5 2 3" xfId="26169"/>
    <cellStyle name="Moeda 6 2 5 3" xfId="30931"/>
    <cellStyle name="Moeda 6 2 5 4" xfId="24397"/>
    <cellStyle name="Moeda 6 2 6" xfId="4862"/>
    <cellStyle name="Moeda 6 2 6 2" xfId="31389"/>
    <cellStyle name="Moeda 6 2 6 3" xfId="24855"/>
    <cellStyle name="Moeda 6 2 7" xfId="23083"/>
    <cellStyle name="Moeda 6 2 8" xfId="29617"/>
    <cellStyle name="Moeda 6 2 9" xfId="22625"/>
    <cellStyle name="Moeda 6 3" xfId="121"/>
    <cellStyle name="Moeda 6 3 2" xfId="4528"/>
    <cellStyle name="Moeda 6 3 2 2" xfId="6300"/>
    <cellStyle name="Moeda 6 3 2 2 2" xfId="32827"/>
    <cellStyle name="Moeda 6 3 2 2 3" xfId="26293"/>
    <cellStyle name="Moeda 6 3 2 3" xfId="24521"/>
    <cellStyle name="Moeda 6 3 2 4" xfId="31055"/>
    <cellStyle name="Moeda 6 3 2 5" xfId="22749"/>
    <cellStyle name="Moeda 6 3 3" xfId="4652"/>
    <cellStyle name="Moeda 6 3 3 2" xfId="6424"/>
    <cellStyle name="Moeda 6 3 3 2 2" xfId="32951"/>
    <cellStyle name="Moeda 6 3 3 2 3" xfId="26417"/>
    <cellStyle name="Moeda 6 3 3 3" xfId="24645"/>
    <cellStyle name="Moeda 6 3 3 4" xfId="31179"/>
    <cellStyle name="Moeda 6 3 3 5" xfId="22873"/>
    <cellStyle name="Moeda 6 3 4" xfId="4776"/>
    <cellStyle name="Moeda 6 3 4 2" xfId="6548"/>
    <cellStyle name="Moeda 6 3 4 2 2" xfId="33075"/>
    <cellStyle name="Moeda 6 3 4 2 3" xfId="26541"/>
    <cellStyle name="Moeda 6 3 4 3" xfId="24769"/>
    <cellStyle name="Moeda 6 3 4 4" xfId="31303"/>
    <cellStyle name="Moeda 6 3 4 5" xfId="22997"/>
    <cellStyle name="Moeda 6 3 5" xfId="4364"/>
    <cellStyle name="Moeda 6 3 5 2" xfId="6136"/>
    <cellStyle name="Moeda 6 3 5 2 2" xfId="32663"/>
    <cellStyle name="Moeda 6 3 5 2 3" xfId="26129"/>
    <cellStyle name="Moeda 6 3 5 3" xfId="30891"/>
    <cellStyle name="Moeda 6 3 5 4" xfId="24357"/>
    <cellStyle name="Moeda 6 3 6" xfId="4900"/>
    <cellStyle name="Moeda 6 3 6 2" xfId="31427"/>
    <cellStyle name="Moeda 6 3 6 3" xfId="24893"/>
    <cellStyle name="Moeda 6 3 7" xfId="23121"/>
    <cellStyle name="Moeda 6 3 8" xfId="29655"/>
    <cellStyle name="Moeda 6 3 9" xfId="22585"/>
    <cellStyle name="Moeda 6 4" xfId="4450"/>
    <cellStyle name="Moeda 6 4 2" xfId="6222"/>
    <cellStyle name="Moeda 6 4 2 2" xfId="32749"/>
    <cellStyle name="Moeda 6 4 2 3" xfId="26215"/>
    <cellStyle name="Moeda 6 4 3" xfId="24443"/>
    <cellStyle name="Moeda 6 4 4" xfId="30977"/>
    <cellStyle name="Moeda 6 4 5" xfId="22671"/>
    <cellStyle name="Moeda 6 5" xfId="4574"/>
    <cellStyle name="Moeda 6 5 2" xfId="6346"/>
    <cellStyle name="Moeda 6 5 2 2" xfId="32873"/>
    <cellStyle name="Moeda 6 5 2 3" xfId="26339"/>
    <cellStyle name="Moeda 6 5 3" xfId="24567"/>
    <cellStyle name="Moeda 6 5 4" xfId="31101"/>
    <cellStyle name="Moeda 6 5 5" xfId="22795"/>
    <cellStyle name="Moeda 6 6" xfId="4698"/>
    <cellStyle name="Moeda 6 6 2" xfId="6470"/>
    <cellStyle name="Moeda 6 6 2 2" xfId="32997"/>
    <cellStyle name="Moeda 6 6 2 3" xfId="26463"/>
    <cellStyle name="Moeda 6 6 3" xfId="24691"/>
    <cellStyle name="Moeda 6 6 4" xfId="31225"/>
    <cellStyle name="Moeda 6 6 5" xfId="22919"/>
    <cellStyle name="Moeda 6 7" xfId="781"/>
    <cellStyle name="Moeda 6 7 2" xfId="6836"/>
    <cellStyle name="Moeda 6 7 2 2" xfId="18690"/>
    <cellStyle name="Moeda 6 7 2 3" xfId="12763"/>
    <cellStyle name="Moeda 6 7 3" xfId="15726"/>
    <cellStyle name="Moeda 6 7 4" xfId="9799"/>
    <cellStyle name="Moeda 6 8" xfId="4822"/>
    <cellStyle name="Moeda 6 8 2" xfId="31349"/>
    <cellStyle name="Moeda 6 8 3" xfId="24815"/>
    <cellStyle name="Moeda 6 9" xfId="6586"/>
    <cellStyle name="Moeda 6 9 2" xfId="33113"/>
    <cellStyle name="Moeda 6 9 3" xfId="26579"/>
    <cellStyle name="Moeda 7" xfId="23"/>
    <cellStyle name="Moeda 7 2" xfId="4431"/>
    <cellStyle name="Moeda 7 2 2" xfId="6203"/>
    <cellStyle name="Moeda 7 2 2 2" xfId="32730"/>
    <cellStyle name="Moeda 7 2 2 3" xfId="26196"/>
    <cellStyle name="Moeda 7 2 3" xfId="24424"/>
    <cellStyle name="Moeda 7 2 4" xfId="30958"/>
    <cellStyle name="Moeda 7 2 5" xfId="22652"/>
    <cellStyle name="Moeda 7 3" xfId="4555"/>
    <cellStyle name="Moeda 7 3 2" xfId="6327"/>
    <cellStyle name="Moeda 7 3 2 2" xfId="32854"/>
    <cellStyle name="Moeda 7 3 2 3" xfId="26320"/>
    <cellStyle name="Moeda 7 3 3" xfId="24548"/>
    <cellStyle name="Moeda 7 3 4" xfId="31082"/>
    <cellStyle name="Moeda 7 3 5" xfId="22776"/>
    <cellStyle name="Moeda 7 4" xfId="4679"/>
    <cellStyle name="Moeda 7 4 2" xfId="6451"/>
    <cellStyle name="Moeda 7 4 2 2" xfId="32978"/>
    <cellStyle name="Moeda 7 4 2 3" xfId="26444"/>
    <cellStyle name="Moeda 7 4 3" xfId="24672"/>
    <cellStyle name="Moeda 7 4 4" xfId="31206"/>
    <cellStyle name="Moeda 7 4 5" xfId="22900"/>
    <cellStyle name="Moeda 7 5" xfId="4345"/>
    <cellStyle name="Moeda 7 5 2" xfId="6117"/>
    <cellStyle name="Moeda 7 5 2 2" xfId="32644"/>
    <cellStyle name="Moeda 7 5 2 3" xfId="26110"/>
    <cellStyle name="Moeda 7 5 3" xfId="30872"/>
    <cellStyle name="Moeda 7 5 4" xfId="24338"/>
    <cellStyle name="Moeda 7 6" xfId="4803"/>
    <cellStyle name="Moeda 7 6 2" xfId="31330"/>
    <cellStyle name="Moeda 7 6 3" xfId="24796"/>
    <cellStyle name="Moeda 7 7" xfId="23024"/>
    <cellStyle name="Moeda 7 8" xfId="29558"/>
    <cellStyle name="Moeda 7 9" xfId="22566"/>
    <cellStyle name="Moeda 8" xfId="65"/>
    <cellStyle name="Moeda 8 2" xfId="4472"/>
    <cellStyle name="Moeda 8 2 2" xfId="6244"/>
    <cellStyle name="Moeda 8 2 2 2" xfId="32771"/>
    <cellStyle name="Moeda 8 2 2 3" xfId="26237"/>
    <cellStyle name="Moeda 8 2 3" xfId="24465"/>
    <cellStyle name="Moeda 8 2 4" xfId="30999"/>
    <cellStyle name="Moeda 8 2 5" xfId="22693"/>
    <cellStyle name="Moeda 8 3" xfId="4596"/>
    <cellStyle name="Moeda 8 3 2" xfId="6368"/>
    <cellStyle name="Moeda 8 3 2 2" xfId="32895"/>
    <cellStyle name="Moeda 8 3 2 3" xfId="26361"/>
    <cellStyle name="Moeda 8 3 3" xfId="24589"/>
    <cellStyle name="Moeda 8 3 4" xfId="31123"/>
    <cellStyle name="Moeda 8 3 5" xfId="22817"/>
    <cellStyle name="Moeda 8 4" xfId="4720"/>
    <cellStyle name="Moeda 8 4 2" xfId="6492"/>
    <cellStyle name="Moeda 8 4 2 2" xfId="33019"/>
    <cellStyle name="Moeda 8 4 2 3" xfId="26485"/>
    <cellStyle name="Moeda 8 4 3" xfId="24713"/>
    <cellStyle name="Moeda 8 4 4" xfId="31247"/>
    <cellStyle name="Moeda 8 4 5" xfId="22941"/>
    <cellStyle name="Moeda 8 5" xfId="4386"/>
    <cellStyle name="Moeda 8 5 2" xfId="6158"/>
    <cellStyle name="Moeda 8 5 2 2" xfId="32685"/>
    <cellStyle name="Moeda 8 5 2 3" xfId="26151"/>
    <cellStyle name="Moeda 8 5 3" xfId="30913"/>
    <cellStyle name="Moeda 8 5 4" xfId="24379"/>
    <cellStyle name="Moeda 8 6" xfId="4844"/>
    <cellStyle name="Moeda 8 6 2" xfId="31371"/>
    <cellStyle name="Moeda 8 6 3" xfId="24837"/>
    <cellStyle name="Moeda 8 7" xfId="23065"/>
    <cellStyle name="Moeda 8 8" xfId="29599"/>
    <cellStyle name="Moeda 8 9" xfId="22607"/>
    <cellStyle name="Moeda 9" xfId="101"/>
    <cellStyle name="Moeda 9 2" xfId="4508"/>
    <cellStyle name="Moeda 9 2 2" xfId="6280"/>
    <cellStyle name="Moeda 9 2 2 2" xfId="32807"/>
    <cellStyle name="Moeda 9 2 2 3" xfId="26273"/>
    <cellStyle name="Moeda 9 2 3" xfId="24501"/>
    <cellStyle name="Moeda 9 2 4" xfId="31035"/>
    <cellStyle name="Moeda 9 2 5" xfId="22729"/>
    <cellStyle name="Moeda 9 3" xfId="4632"/>
    <cellStyle name="Moeda 9 3 2" xfId="6404"/>
    <cellStyle name="Moeda 9 3 2 2" xfId="32931"/>
    <cellStyle name="Moeda 9 3 2 3" xfId="26397"/>
    <cellStyle name="Moeda 9 3 3" xfId="24625"/>
    <cellStyle name="Moeda 9 3 4" xfId="31159"/>
    <cellStyle name="Moeda 9 3 5" xfId="22853"/>
    <cellStyle name="Moeda 9 4" xfId="4756"/>
    <cellStyle name="Moeda 9 4 2" xfId="6528"/>
    <cellStyle name="Moeda 9 4 2 2" xfId="33055"/>
    <cellStyle name="Moeda 9 4 2 3" xfId="26521"/>
    <cellStyle name="Moeda 9 4 3" xfId="24749"/>
    <cellStyle name="Moeda 9 4 4" xfId="31283"/>
    <cellStyle name="Moeda 9 4 5" xfId="22977"/>
    <cellStyle name="Moeda 9 5" xfId="4422"/>
    <cellStyle name="Moeda 9 5 2" xfId="6194"/>
    <cellStyle name="Moeda 9 5 2 2" xfId="32721"/>
    <cellStyle name="Moeda 9 5 2 3" xfId="26187"/>
    <cellStyle name="Moeda 9 5 3" xfId="30949"/>
    <cellStyle name="Moeda 9 5 4" xfId="24415"/>
    <cellStyle name="Moeda 9 6" xfId="4880"/>
    <cellStyle name="Moeda 9 6 2" xfId="31407"/>
    <cellStyle name="Moeda 9 6 3" xfId="24873"/>
    <cellStyle name="Moeda 9 7" xfId="23101"/>
    <cellStyle name="Moeda 9 8" xfId="29635"/>
    <cellStyle name="Moeda 9 9" xfId="22643"/>
    <cellStyle name="Normal" xfId="0" builtinId="0"/>
    <cellStyle name="Normal 2" xfId="10"/>
    <cellStyle name="Normal 2 2" xfId="15"/>
    <cellStyle name="Normal 2 2 2" xfId="145"/>
    <cellStyle name="Normal 2 2 3" xfId="4338"/>
    <cellStyle name="Normal 2 2 4" xfId="144"/>
    <cellStyle name="Normal 2 3" xfId="59"/>
    <cellStyle name="Normal 2 4" xfId="17"/>
    <cellStyle name="Normal 2 4 2" xfId="4339"/>
    <cellStyle name="Normal 2 4 3" xfId="241"/>
    <cellStyle name="Normal 3" xfId="146"/>
    <cellStyle name="Normal 4" xfId="147"/>
    <cellStyle name="Normal 4 10" xfId="207"/>
    <cellStyle name="Normal 4 10 10" xfId="2717"/>
    <cellStyle name="Normal 4 10 11" xfId="3245"/>
    <cellStyle name="Normal 4 10 12" xfId="3773"/>
    <cellStyle name="Normal 4 10 2" xfId="301"/>
    <cellStyle name="Normal 4 10 2 2" xfId="576"/>
    <cellStyle name="Normal 4 10 2 2 2" xfId="2097"/>
    <cellStyle name="Normal 4 10 2 2 3" xfId="2630"/>
    <cellStyle name="Normal 4 10 2 2 4" xfId="3158"/>
    <cellStyle name="Normal 4 10 2 2 5" xfId="3686"/>
    <cellStyle name="Normal 4 10 2 2 6" xfId="4214"/>
    <cellStyle name="Normal 4 10 2 3" xfId="1050"/>
    <cellStyle name="Normal 4 10 2 4" xfId="1401"/>
    <cellStyle name="Normal 4 10 2 5" xfId="1836"/>
    <cellStyle name="Normal 4 10 2 6" xfId="2369"/>
    <cellStyle name="Normal 4 10 2 7" xfId="2897"/>
    <cellStyle name="Normal 4 10 2 8" xfId="3425"/>
    <cellStyle name="Normal 4 10 2 9" xfId="3953"/>
    <cellStyle name="Normal 4 10 3" xfId="398"/>
    <cellStyle name="Normal 4 10 3 2" xfId="661"/>
    <cellStyle name="Normal 4 10 3 3" xfId="959"/>
    <cellStyle name="Normal 4 10 3 4" xfId="1310"/>
    <cellStyle name="Normal 4 10 3 5" xfId="1745"/>
    <cellStyle name="Normal 4 10 3 6" xfId="2278"/>
    <cellStyle name="Normal 4 10 3 7" xfId="2806"/>
    <cellStyle name="Normal 4 10 3 8" xfId="3334"/>
    <cellStyle name="Normal 4 10 3 9" xfId="3862"/>
    <cellStyle name="Normal 4 10 4" xfId="491"/>
    <cellStyle name="Normal 4 10 4 2" xfId="1137"/>
    <cellStyle name="Normal 4 10 4 3" xfId="1488"/>
    <cellStyle name="Normal 4 10 4 4" xfId="1923"/>
    <cellStyle name="Normal 4 10 4 5" xfId="2456"/>
    <cellStyle name="Normal 4 10 4 6" xfId="2984"/>
    <cellStyle name="Normal 4 10 4 7" xfId="3512"/>
    <cellStyle name="Normal 4 10 4 8" xfId="4040"/>
    <cellStyle name="Normal 4 10 5" xfId="749"/>
    <cellStyle name="Normal 4 10 5 2" xfId="1572"/>
    <cellStyle name="Normal 4 10 5 3" xfId="2007"/>
    <cellStyle name="Normal 4 10 5 4" xfId="2540"/>
    <cellStyle name="Normal 4 10 5 5" xfId="3068"/>
    <cellStyle name="Normal 4 10 5 6" xfId="3596"/>
    <cellStyle name="Normal 4 10 5 7" xfId="4124"/>
    <cellStyle name="Normal 4 10 6" xfId="870"/>
    <cellStyle name="Normal 4 10 6 2" xfId="4301"/>
    <cellStyle name="Normal 4 10 7" xfId="1221"/>
    <cellStyle name="Normal 4 10 8" xfId="1656"/>
    <cellStyle name="Normal 4 10 9" xfId="2189"/>
    <cellStyle name="Normal 4 11" xfId="215"/>
    <cellStyle name="Normal 4 11 10" xfId="2725"/>
    <cellStyle name="Normal 4 11 11" xfId="3253"/>
    <cellStyle name="Normal 4 11 12" xfId="3781"/>
    <cellStyle name="Normal 4 11 2" xfId="309"/>
    <cellStyle name="Normal 4 11 2 2" xfId="584"/>
    <cellStyle name="Normal 4 11 2 2 2" xfId="2105"/>
    <cellStyle name="Normal 4 11 2 2 3" xfId="2638"/>
    <cellStyle name="Normal 4 11 2 2 4" xfId="3166"/>
    <cellStyle name="Normal 4 11 2 2 5" xfId="3694"/>
    <cellStyle name="Normal 4 11 2 2 6" xfId="4222"/>
    <cellStyle name="Normal 4 11 2 3" xfId="1058"/>
    <cellStyle name="Normal 4 11 2 4" xfId="1409"/>
    <cellStyle name="Normal 4 11 2 5" xfId="1844"/>
    <cellStyle name="Normal 4 11 2 6" xfId="2377"/>
    <cellStyle name="Normal 4 11 2 7" xfId="2905"/>
    <cellStyle name="Normal 4 11 2 8" xfId="3433"/>
    <cellStyle name="Normal 4 11 2 9" xfId="3961"/>
    <cellStyle name="Normal 4 11 3" xfId="406"/>
    <cellStyle name="Normal 4 11 3 2" xfId="669"/>
    <cellStyle name="Normal 4 11 3 3" xfId="967"/>
    <cellStyle name="Normal 4 11 3 4" xfId="1318"/>
    <cellStyle name="Normal 4 11 3 5" xfId="1753"/>
    <cellStyle name="Normal 4 11 3 6" xfId="2286"/>
    <cellStyle name="Normal 4 11 3 7" xfId="2814"/>
    <cellStyle name="Normal 4 11 3 8" xfId="3342"/>
    <cellStyle name="Normal 4 11 3 9" xfId="3870"/>
    <cellStyle name="Normal 4 11 4" xfId="499"/>
    <cellStyle name="Normal 4 11 4 2" xfId="1145"/>
    <cellStyle name="Normal 4 11 4 3" xfId="1496"/>
    <cellStyle name="Normal 4 11 4 4" xfId="1931"/>
    <cellStyle name="Normal 4 11 4 5" xfId="2464"/>
    <cellStyle name="Normal 4 11 4 6" xfId="2992"/>
    <cellStyle name="Normal 4 11 4 7" xfId="3520"/>
    <cellStyle name="Normal 4 11 4 8" xfId="4048"/>
    <cellStyle name="Normal 4 11 5" xfId="757"/>
    <cellStyle name="Normal 4 11 5 2" xfId="1580"/>
    <cellStyle name="Normal 4 11 5 3" xfId="2015"/>
    <cellStyle name="Normal 4 11 5 4" xfId="2548"/>
    <cellStyle name="Normal 4 11 5 5" xfId="3076"/>
    <cellStyle name="Normal 4 11 5 6" xfId="3604"/>
    <cellStyle name="Normal 4 11 5 7" xfId="4132"/>
    <cellStyle name="Normal 4 11 6" xfId="878"/>
    <cellStyle name="Normal 4 11 6 2" xfId="4309"/>
    <cellStyle name="Normal 4 11 7" xfId="1229"/>
    <cellStyle name="Normal 4 11 8" xfId="1664"/>
    <cellStyle name="Normal 4 11 9" xfId="2197"/>
    <cellStyle name="Normal 4 12" xfId="223"/>
    <cellStyle name="Normal 4 12 10" xfId="2733"/>
    <cellStyle name="Normal 4 12 11" xfId="3261"/>
    <cellStyle name="Normal 4 12 12" xfId="3789"/>
    <cellStyle name="Normal 4 12 2" xfId="317"/>
    <cellStyle name="Normal 4 12 2 2" xfId="592"/>
    <cellStyle name="Normal 4 12 2 2 2" xfId="2113"/>
    <cellStyle name="Normal 4 12 2 2 3" xfId="2646"/>
    <cellStyle name="Normal 4 12 2 2 4" xfId="3174"/>
    <cellStyle name="Normal 4 12 2 2 5" xfId="3702"/>
    <cellStyle name="Normal 4 12 2 2 6" xfId="4230"/>
    <cellStyle name="Normal 4 12 2 3" xfId="1066"/>
    <cellStyle name="Normal 4 12 2 4" xfId="1417"/>
    <cellStyle name="Normal 4 12 2 5" xfId="1852"/>
    <cellStyle name="Normal 4 12 2 6" xfId="2385"/>
    <cellStyle name="Normal 4 12 2 7" xfId="2913"/>
    <cellStyle name="Normal 4 12 2 8" xfId="3441"/>
    <cellStyle name="Normal 4 12 2 9" xfId="3969"/>
    <cellStyle name="Normal 4 12 3" xfId="414"/>
    <cellStyle name="Normal 4 12 3 2" xfId="677"/>
    <cellStyle name="Normal 4 12 3 3" xfId="975"/>
    <cellStyle name="Normal 4 12 3 4" xfId="1326"/>
    <cellStyle name="Normal 4 12 3 5" xfId="1761"/>
    <cellStyle name="Normal 4 12 3 6" xfId="2294"/>
    <cellStyle name="Normal 4 12 3 7" xfId="2822"/>
    <cellStyle name="Normal 4 12 3 8" xfId="3350"/>
    <cellStyle name="Normal 4 12 3 9" xfId="3878"/>
    <cellStyle name="Normal 4 12 4" xfId="507"/>
    <cellStyle name="Normal 4 12 4 2" xfId="1153"/>
    <cellStyle name="Normal 4 12 4 3" xfId="1504"/>
    <cellStyle name="Normal 4 12 4 4" xfId="1939"/>
    <cellStyle name="Normal 4 12 4 5" xfId="2472"/>
    <cellStyle name="Normal 4 12 4 6" xfId="3000"/>
    <cellStyle name="Normal 4 12 4 7" xfId="3528"/>
    <cellStyle name="Normal 4 12 4 8" xfId="4056"/>
    <cellStyle name="Normal 4 12 5" xfId="765"/>
    <cellStyle name="Normal 4 12 5 2" xfId="1588"/>
    <cellStyle name="Normal 4 12 5 3" xfId="2023"/>
    <cellStyle name="Normal 4 12 5 4" xfId="2556"/>
    <cellStyle name="Normal 4 12 5 5" xfId="3084"/>
    <cellStyle name="Normal 4 12 5 6" xfId="3612"/>
    <cellStyle name="Normal 4 12 5 7" xfId="4140"/>
    <cellStyle name="Normal 4 12 6" xfId="886"/>
    <cellStyle name="Normal 4 12 6 2" xfId="4317"/>
    <cellStyle name="Normal 4 12 7" xfId="1237"/>
    <cellStyle name="Normal 4 12 8" xfId="1672"/>
    <cellStyle name="Normal 4 12 9" xfId="2205"/>
    <cellStyle name="Normal 4 13" xfId="231"/>
    <cellStyle name="Normal 4 13 10" xfId="2741"/>
    <cellStyle name="Normal 4 13 11" xfId="3269"/>
    <cellStyle name="Normal 4 13 12" xfId="3797"/>
    <cellStyle name="Normal 4 13 2" xfId="325"/>
    <cellStyle name="Normal 4 13 2 2" xfId="600"/>
    <cellStyle name="Normal 4 13 2 2 2" xfId="2121"/>
    <cellStyle name="Normal 4 13 2 2 3" xfId="2654"/>
    <cellStyle name="Normal 4 13 2 2 4" xfId="3182"/>
    <cellStyle name="Normal 4 13 2 2 5" xfId="3710"/>
    <cellStyle name="Normal 4 13 2 2 6" xfId="4238"/>
    <cellStyle name="Normal 4 13 2 3" xfId="1074"/>
    <cellStyle name="Normal 4 13 2 4" xfId="1425"/>
    <cellStyle name="Normal 4 13 2 5" xfId="1860"/>
    <cellStyle name="Normal 4 13 2 6" xfId="2393"/>
    <cellStyle name="Normal 4 13 2 7" xfId="2921"/>
    <cellStyle name="Normal 4 13 2 8" xfId="3449"/>
    <cellStyle name="Normal 4 13 2 9" xfId="3977"/>
    <cellStyle name="Normal 4 13 3" xfId="422"/>
    <cellStyle name="Normal 4 13 3 2" xfId="685"/>
    <cellStyle name="Normal 4 13 3 3" xfId="983"/>
    <cellStyle name="Normal 4 13 3 4" xfId="1334"/>
    <cellStyle name="Normal 4 13 3 5" xfId="1769"/>
    <cellStyle name="Normal 4 13 3 6" xfId="2302"/>
    <cellStyle name="Normal 4 13 3 7" xfId="2830"/>
    <cellStyle name="Normal 4 13 3 8" xfId="3358"/>
    <cellStyle name="Normal 4 13 3 9" xfId="3886"/>
    <cellStyle name="Normal 4 13 4" xfId="515"/>
    <cellStyle name="Normal 4 13 4 2" xfId="1161"/>
    <cellStyle name="Normal 4 13 4 3" xfId="1512"/>
    <cellStyle name="Normal 4 13 4 4" xfId="1947"/>
    <cellStyle name="Normal 4 13 4 5" xfId="2480"/>
    <cellStyle name="Normal 4 13 4 6" xfId="3008"/>
    <cellStyle name="Normal 4 13 4 7" xfId="3536"/>
    <cellStyle name="Normal 4 13 4 8" xfId="4064"/>
    <cellStyle name="Normal 4 13 5" xfId="773"/>
    <cellStyle name="Normal 4 13 5 2" xfId="1596"/>
    <cellStyle name="Normal 4 13 5 3" xfId="2031"/>
    <cellStyle name="Normal 4 13 5 4" xfId="2564"/>
    <cellStyle name="Normal 4 13 5 5" xfId="3092"/>
    <cellStyle name="Normal 4 13 5 6" xfId="3620"/>
    <cellStyle name="Normal 4 13 5 7" xfId="4148"/>
    <cellStyle name="Normal 4 13 6" xfId="894"/>
    <cellStyle name="Normal 4 13 6 2" xfId="4325"/>
    <cellStyle name="Normal 4 13 7" xfId="1245"/>
    <cellStyle name="Normal 4 13 8" xfId="1680"/>
    <cellStyle name="Normal 4 13 9" xfId="2213"/>
    <cellStyle name="Normal 4 14" xfId="163"/>
    <cellStyle name="Normal 4 14 10" xfId="2673"/>
    <cellStyle name="Normal 4 14 11" xfId="3201"/>
    <cellStyle name="Normal 4 14 12" xfId="3729"/>
    <cellStyle name="Normal 4 14 2" xfId="257"/>
    <cellStyle name="Normal 4 14 2 2" xfId="532"/>
    <cellStyle name="Normal 4 14 2 2 2" xfId="2053"/>
    <cellStyle name="Normal 4 14 2 2 3" xfId="2586"/>
    <cellStyle name="Normal 4 14 2 2 4" xfId="3114"/>
    <cellStyle name="Normal 4 14 2 2 5" xfId="3642"/>
    <cellStyle name="Normal 4 14 2 2 6" xfId="4170"/>
    <cellStyle name="Normal 4 14 2 3" xfId="1006"/>
    <cellStyle name="Normal 4 14 2 4" xfId="1357"/>
    <cellStyle name="Normal 4 14 2 5" xfId="1792"/>
    <cellStyle name="Normal 4 14 2 6" xfId="2325"/>
    <cellStyle name="Normal 4 14 2 7" xfId="2853"/>
    <cellStyle name="Normal 4 14 2 8" xfId="3381"/>
    <cellStyle name="Normal 4 14 2 9" xfId="3909"/>
    <cellStyle name="Normal 4 14 3" xfId="354"/>
    <cellStyle name="Normal 4 14 3 2" xfId="617"/>
    <cellStyle name="Normal 4 14 3 3" xfId="915"/>
    <cellStyle name="Normal 4 14 3 4" xfId="1266"/>
    <cellStyle name="Normal 4 14 3 5" xfId="1701"/>
    <cellStyle name="Normal 4 14 3 6" xfId="2234"/>
    <cellStyle name="Normal 4 14 3 7" xfId="2762"/>
    <cellStyle name="Normal 4 14 3 8" xfId="3290"/>
    <cellStyle name="Normal 4 14 3 9" xfId="3818"/>
    <cellStyle name="Normal 4 14 4" xfId="447"/>
    <cellStyle name="Normal 4 14 4 2" xfId="1093"/>
    <cellStyle name="Normal 4 14 4 3" xfId="1444"/>
    <cellStyle name="Normal 4 14 4 4" xfId="1879"/>
    <cellStyle name="Normal 4 14 4 5" xfId="2412"/>
    <cellStyle name="Normal 4 14 4 6" xfId="2940"/>
    <cellStyle name="Normal 4 14 4 7" xfId="3468"/>
    <cellStyle name="Normal 4 14 4 8" xfId="3996"/>
    <cellStyle name="Normal 4 14 5" xfId="705"/>
    <cellStyle name="Normal 4 14 5 2" xfId="1528"/>
    <cellStyle name="Normal 4 14 5 3" xfId="1963"/>
    <cellStyle name="Normal 4 14 5 4" xfId="2496"/>
    <cellStyle name="Normal 4 14 5 5" xfId="3024"/>
    <cellStyle name="Normal 4 14 5 6" xfId="3552"/>
    <cellStyle name="Normal 4 14 5 7" xfId="4080"/>
    <cellStyle name="Normal 4 14 6" xfId="826"/>
    <cellStyle name="Normal 4 14 6 2" xfId="4257"/>
    <cellStyle name="Normal 4 14 7" xfId="1177"/>
    <cellStyle name="Normal 4 14 8" xfId="1612"/>
    <cellStyle name="Normal 4 14 9" xfId="2145"/>
    <cellStyle name="Normal 4 15" xfId="235"/>
    <cellStyle name="Normal 4 15 10" xfId="2745"/>
    <cellStyle name="Normal 4 15 11" xfId="3273"/>
    <cellStyle name="Normal 4 15 12" xfId="3801"/>
    <cellStyle name="Normal 4 15 2" xfId="329"/>
    <cellStyle name="Normal 4 15 2 2" xfId="604"/>
    <cellStyle name="Normal 4 15 2 2 2" xfId="2125"/>
    <cellStyle name="Normal 4 15 2 2 3" xfId="2658"/>
    <cellStyle name="Normal 4 15 2 2 4" xfId="3186"/>
    <cellStyle name="Normal 4 15 2 2 5" xfId="3714"/>
    <cellStyle name="Normal 4 15 2 2 6" xfId="4242"/>
    <cellStyle name="Normal 4 15 2 3" xfId="1078"/>
    <cellStyle name="Normal 4 15 2 4" xfId="1429"/>
    <cellStyle name="Normal 4 15 2 5" xfId="1864"/>
    <cellStyle name="Normal 4 15 2 6" xfId="2397"/>
    <cellStyle name="Normal 4 15 2 7" xfId="2925"/>
    <cellStyle name="Normal 4 15 2 8" xfId="3453"/>
    <cellStyle name="Normal 4 15 2 9" xfId="3981"/>
    <cellStyle name="Normal 4 15 3" xfId="426"/>
    <cellStyle name="Normal 4 15 3 2" xfId="689"/>
    <cellStyle name="Normal 4 15 3 3" xfId="987"/>
    <cellStyle name="Normal 4 15 3 4" xfId="1338"/>
    <cellStyle name="Normal 4 15 3 5" xfId="1773"/>
    <cellStyle name="Normal 4 15 3 6" xfId="2306"/>
    <cellStyle name="Normal 4 15 3 7" xfId="2834"/>
    <cellStyle name="Normal 4 15 3 8" xfId="3362"/>
    <cellStyle name="Normal 4 15 3 9" xfId="3890"/>
    <cellStyle name="Normal 4 15 4" xfId="519"/>
    <cellStyle name="Normal 4 15 4 2" xfId="1165"/>
    <cellStyle name="Normal 4 15 4 3" xfId="1516"/>
    <cellStyle name="Normal 4 15 4 4" xfId="1951"/>
    <cellStyle name="Normal 4 15 4 5" xfId="2484"/>
    <cellStyle name="Normal 4 15 4 6" xfId="3012"/>
    <cellStyle name="Normal 4 15 4 7" xfId="3540"/>
    <cellStyle name="Normal 4 15 4 8" xfId="4068"/>
    <cellStyle name="Normal 4 15 5" xfId="777"/>
    <cellStyle name="Normal 4 15 5 2" xfId="1600"/>
    <cellStyle name="Normal 4 15 5 3" xfId="2035"/>
    <cellStyle name="Normal 4 15 5 4" xfId="2568"/>
    <cellStyle name="Normal 4 15 5 5" xfId="3096"/>
    <cellStyle name="Normal 4 15 5 6" xfId="3624"/>
    <cellStyle name="Normal 4 15 5 7" xfId="4152"/>
    <cellStyle name="Normal 4 15 6" xfId="898"/>
    <cellStyle name="Normal 4 15 6 2" xfId="4329"/>
    <cellStyle name="Normal 4 15 7" xfId="1249"/>
    <cellStyle name="Normal 4 15 8" xfId="1684"/>
    <cellStyle name="Normal 4 15 9" xfId="2217"/>
    <cellStyle name="Normal 4 16" xfId="246"/>
    <cellStyle name="Normal 4 16 2" xfId="524"/>
    <cellStyle name="Normal 4 16 2 2" xfId="2042"/>
    <cellStyle name="Normal 4 16 2 3" xfId="2575"/>
    <cellStyle name="Normal 4 16 2 4" xfId="3103"/>
    <cellStyle name="Normal 4 16 2 5" xfId="3631"/>
    <cellStyle name="Normal 4 16 2 6" xfId="4159"/>
    <cellStyle name="Normal 4 16 3" xfId="995"/>
    <cellStyle name="Normal 4 16 4" xfId="1346"/>
    <cellStyle name="Normal 4 16 5" xfId="1781"/>
    <cellStyle name="Normal 4 16 6" xfId="2314"/>
    <cellStyle name="Normal 4 16 7" xfId="2842"/>
    <cellStyle name="Normal 4 16 8" xfId="3370"/>
    <cellStyle name="Normal 4 16 9" xfId="3898"/>
    <cellStyle name="Normal 4 17" xfId="343"/>
    <cellStyle name="Normal 4 17 2" xfId="609"/>
    <cellStyle name="Normal 4 17 3" xfId="904"/>
    <cellStyle name="Normal 4 17 4" xfId="1255"/>
    <cellStyle name="Normal 4 17 5" xfId="1690"/>
    <cellStyle name="Normal 4 17 6" xfId="2223"/>
    <cellStyle name="Normal 4 17 7" xfId="2751"/>
    <cellStyle name="Normal 4 17 8" xfId="3279"/>
    <cellStyle name="Normal 4 17 9" xfId="3807"/>
    <cellStyle name="Normal 4 18" xfId="439"/>
    <cellStyle name="Normal 4 18 2" xfId="1085"/>
    <cellStyle name="Normal 4 18 3" xfId="1436"/>
    <cellStyle name="Normal 4 18 4" xfId="1871"/>
    <cellStyle name="Normal 4 18 5" xfId="2404"/>
    <cellStyle name="Normal 4 18 6" xfId="2932"/>
    <cellStyle name="Normal 4 18 7" xfId="3460"/>
    <cellStyle name="Normal 4 18 8" xfId="3988"/>
    <cellStyle name="Normal 4 19" xfId="697"/>
    <cellStyle name="Normal 4 19 2" xfId="1520"/>
    <cellStyle name="Normal 4 19 3" xfId="1955"/>
    <cellStyle name="Normal 4 19 4" xfId="2488"/>
    <cellStyle name="Normal 4 19 5" xfId="3016"/>
    <cellStyle name="Normal 4 19 6" xfId="3544"/>
    <cellStyle name="Normal 4 19 7" xfId="4072"/>
    <cellStyle name="Normal 4 2" xfId="159"/>
    <cellStyle name="Normal 4 2 10" xfId="443"/>
    <cellStyle name="Normal 4 2 10 2" xfId="1089"/>
    <cellStyle name="Normal 4 2 10 3" xfId="1440"/>
    <cellStyle name="Normal 4 2 10 4" xfId="1875"/>
    <cellStyle name="Normal 4 2 10 5" xfId="2408"/>
    <cellStyle name="Normal 4 2 10 6" xfId="2936"/>
    <cellStyle name="Normal 4 2 10 7" xfId="3464"/>
    <cellStyle name="Normal 4 2 10 8" xfId="3992"/>
    <cellStyle name="Normal 4 2 11" xfId="701"/>
    <cellStyle name="Normal 4 2 11 2" xfId="1524"/>
    <cellStyle name="Normal 4 2 11 3" xfId="1959"/>
    <cellStyle name="Normal 4 2 11 4" xfId="2492"/>
    <cellStyle name="Normal 4 2 11 5" xfId="3020"/>
    <cellStyle name="Normal 4 2 11 6" xfId="3548"/>
    <cellStyle name="Normal 4 2 11 7" xfId="4076"/>
    <cellStyle name="Normal 4 2 12" xfId="822"/>
    <cellStyle name="Normal 4 2 12 2" xfId="4253"/>
    <cellStyle name="Normal 4 2 13" xfId="1173"/>
    <cellStyle name="Normal 4 2 14" xfId="1608"/>
    <cellStyle name="Normal 4 2 15" xfId="2141"/>
    <cellStyle name="Normal 4 2 16" xfId="2669"/>
    <cellStyle name="Normal 4 2 17" xfId="3197"/>
    <cellStyle name="Normal 4 2 18" xfId="3725"/>
    <cellStyle name="Normal 4 2 2" xfId="195"/>
    <cellStyle name="Normal 4 2 2 10" xfId="2705"/>
    <cellStyle name="Normal 4 2 2 11" xfId="3233"/>
    <cellStyle name="Normal 4 2 2 12" xfId="3761"/>
    <cellStyle name="Normal 4 2 2 2" xfId="289"/>
    <cellStyle name="Normal 4 2 2 2 2" xfId="564"/>
    <cellStyle name="Normal 4 2 2 2 2 2" xfId="2085"/>
    <cellStyle name="Normal 4 2 2 2 2 3" xfId="2618"/>
    <cellStyle name="Normal 4 2 2 2 2 4" xfId="3146"/>
    <cellStyle name="Normal 4 2 2 2 2 5" xfId="3674"/>
    <cellStyle name="Normal 4 2 2 2 2 6" xfId="4202"/>
    <cellStyle name="Normal 4 2 2 2 3" xfId="1038"/>
    <cellStyle name="Normal 4 2 2 2 4" xfId="1389"/>
    <cellStyle name="Normal 4 2 2 2 5" xfId="1824"/>
    <cellStyle name="Normal 4 2 2 2 6" xfId="2357"/>
    <cellStyle name="Normal 4 2 2 2 7" xfId="2885"/>
    <cellStyle name="Normal 4 2 2 2 8" xfId="3413"/>
    <cellStyle name="Normal 4 2 2 2 9" xfId="3941"/>
    <cellStyle name="Normal 4 2 2 3" xfId="386"/>
    <cellStyle name="Normal 4 2 2 3 2" xfId="649"/>
    <cellStyle name="Normal 4 2 2 3 3" xfId="947"/>
    <cellStyle name="Normal 4 2 2 3 4" xfId="1298"/>
    <cellStyle name="Normal 4 2 2 3 5" xfId="1733"/>
    <cellStyle name="Normal 4 2 2 3 6" xfId="2266"/>
    <cellStyle name="Normal 4 2 2 3 7" xfId="2794"/>
    <cellStyle name="Normal 4 2 2 3 8" xfId="3322"/>
    <cellStyle name="Normal 4 2 2 3 9" xfId="3850"/>
    <cellStyle name="Normal 4 2 2 4" xfId="479"/>
    <cellStyle name="Normal 4 2 2 4 2" xfId="1125"/>
    <cellStyle name="Normal 4 2 2 4 3" xfId="1476"/>
    <cellStyle name="Normal 4 2 2 4 4" xfId="1911"/>
    <cellStyle name="Normal 4 2 2 4 5" xfId="2444"/>
    <cellStyle name="Normal 4 2 2 4 6" xfId="2972"/>
    <cellStyle name="Normal 4 2 2 4 7" xfId="3500"/>
    <cellStyle name="Normal 4 2 2 4 8" xfId="4028"/>
    <cellStyle name="Normal 4 2 2 5" xfId="737"/>
    <cellStyle name="Normal 4 2 2 5 2" xfId="1560"/>
    <cellStyle name="Normal 4 2 2 5 3" xfId="1995"/>
    <cellStyle name="Normal 4 2 2 5 4" xfId="2528"/>
    <cellStyle name="Normal 4 2 2 5 5" xfId="3056"/>
    <cellStyle name="Normal 4 2 2 5 6" xfId="3584"/>
    <cellStyle name="Normal 4 2 2 5 7" xfId="4112"/>
    <cellStyle name="Normal 4 2 2 6" xfId="858"/>
    <cellStyle name="Normal 4 2 2 6 2" xfId="4289"/>
    <cellStyle name="Normal 4 2 2 7" xfId="1209"/>
    <cellStyle name="Normal 4 2 2 8" xfId="1644"/>
    <cellStyle name="Normal 4 2 2 9" xfId="2177"/>
    <cellStyle name="Normal 4 2 3" xfId="203"/>
    <cellStyle name="Normal 4 2 3 10" xfId="2713"/>
    <cellStyle name="Normal 4 2 3 11" xfId="3241"/>
    <cellStyle name="Normal 4 2 3 12" xfId="3769"/>
    <cellStyle name="Normal 4 2 3 2" xfId="297"/>
    <cellStyle name="Normal 4 2 3 2 2" xfId="572"/>
    <cellStyle name="Normal 4 2 3 2 2 2" xfId="2093"/>
    <cellStyle name="Normal 4 2 3 2 2 3" xfId="2626"/>
    <cellStyle name="Normal 4 2 3 2 2 4" xfId="3154"/>
    <cellStyle name="Normal 4 2 3 2 2 5" xfId="3682"/>
    <cellStyle name="Normal 4 2 3 2 2 6" xfId="4210"/>
    <cellStyle name="Normal 4 2 3 2 3" xfId="1046"/>
    <cellStyle name="Normal 4 2 3 2 4" xfId="1397"/>
    <cellStyle name="Normal 4 2 3 2 5" xfId="1832"/>
    <cellStyle name="Normal 4 2 3 2 6" xfId="2365"/>
    <cellStyle name="Normal 4 2 3 2 7" xfId="2893"/>
    <cellStyle name="Normal 4 2 3 2 8" xfId="3421"/>
    <cellStyle name="Normal 4 2 3 2 9" xfId="3949"/>
    <cellStyle name="Normal 4 2 3 3" xfId="394"/>
    <cellStyle name="Normal 4 2 3 3 2" xfId="657"/>
    <cellStyle name="Normal 4 2 3 3 3" xfId="955"/>
    <cellStyle name="Normal 4 2 3 3 4" xfId="1306"/>
    <cellStyle name="Normal 4 2 3 3 5" xfId="1741"/>
    <cellStyle name="Normal 4 2 3 3 6" xfId="2274"/>
    <cellStyle name="Normal 4 2 3 3 7" xfId="2802"/>
    <cellStyle name="Normal 4 2 3 3 8" xfId="3330"/>
    <cellStyle name="Normal 4 2 3 3 9" xfId="3858"/>
    <cellStyle name="Normal 4 2 3 4" xfId="487"/>
    <cellStyle name="Normal 4 2 3 4 2" xfId="1133"/>
    <cellStyle name="Normal 4 2 3 4 3" xfId="1484"/>
    <cellStyle name="Normal 4 2 3 4 4" xfId="1919"/>
    <cellStyle name="Normal 4 2 3 4 5" xfId="2452"/>
    <cellStyle name="Normal 4 2 3 4 6" xfId="2980"/>
    <cellStyle name="Normal 4 2 3 4 7" xfId="3508"/>
    <cellStyle name="Normal 4 2 3 4 8" xfId="4036"/>
    <cellStyle name="Normal 4 2 3 5" xfId="745"/>
    <cellStyle name="Normal 4 2 3 5 2" xfId="1568"/>
    <cellStyle name="Normal 4 2 3 5 3" xfId="2003"/>
    <cellStyle name="Normal 4 2 3 5 4" xfId="2536"/>
    <cellStyle name="Normal 4 2 3 5 5" xfId="3064"/>
    <cellStyle name="Normal 4 2 3 5 6" xfId="3592"/>
    <cellStyle name="Normal 4 2 3 5 7" xfId="4120"/>
    <cellStyle name="Normal 4 2 3 6" xfId="866"/>
    <cellStyle name="Normal 4 2 3 6 2" xfId="4297"/>
    <cellStyle name="Normal 4 2 3 7" xfId="1217"/>
    <cellStyle name="Normal 4 2 3 8" xfId="1652"/>
    <cellStyle name="Normal 4 2 3 9" xfId="2185"/>
    <cellStyle name="Normal 4 2 4" xfId="211"/>
    <cellStyle name="Normal 4 2 4 10" xfId="2721"/>
    <cellStyle name="Normal 4 2 4 11" xfId="3249"/>
    <cellStyle name="Normal 4 2 4 12" xfId="3777"/>
    <cellStyle name="Normal 4 2 4 2" xfId="305"/>
    <cellStyle name="Normal 4 2 4 2 2" xfId="580"/>
    <cellStyle name="Normal 4 2 4 2 2 2" xfId="2101"/>
    <cellStyle name="Normal 4 2 4 2 2 3" xfId="2634"/>
    <cellStyle name="Normal 4 2 4 2 2 4" xfId="3162"/>
    <cellStyle name="Normal 4 2 4 2 2 5" xfId="3690"/>
    <cellStyle name="Normal 4 2 4 2 2 6" xfId="4218"/>
    <cellStyle name="Normal 4 2 4 2 3" xfId="1054"/>
    <cellStyle name="Normal 4 2 4 2 4" xfId="1405"/>
    <cellStyle name="Normal 4 2 4 2 5" xfId="1840"/>
    <cellStyle name="Normal 4 2 4 2 6" xfId="2373"/>
    <cellStyle name="Normal 4 2 4 2 7" xfId="2901"/>
    <cellStyle name="Normal 4 2 4 2 8" xfId="3429"/>
    <cellStyle name="Normal 4 2 4 2 9" xfId="3957"/>
    <cellStyle name="Normal 4 2 4 3" xfId="402"/>
    <cellStyle name="Normal 4 2 4 3 2" xfId="665"/>
    <cellStyle name="Normal 4 2 4 3 3" xfId="963"/>
    <cellStyle name="Normal 4 2 4 3 4" xfId="1314"/>
    <cellStyle name="Normal 4 2 4 3 5" xfId="1749"/>
    <cellStyle name="Normal 4 2 4 3 6" xfId="2282"/>
    <cellStyle name="Normal 4 2 4 3 7" xfId="2810"/>
    <cellStyle name="Normal 4 2 4 3 8" xfId="3338"/>
    <cellStyle name="Normal 4 2 4 3 9" xfId="3866"/>
    <cellStyle name="Normal 4 2 4 4" xfId="495"/>
    <cellStyle name="Normal 4 2 4 4 2" xfId="1141"/>
    <cellStyle name="Normal 4 2 4 4 3" xfId="1492"/>
    <cellStyle name="Normal 4 2 4 4 4" xfId="1927"/>
    <cellStyle name="Normal 4 2 4 4 5" xfId="2460"/>
    <cellStyle name="Normal 4 2 4 4 6" xfId="2988"/>
    <cellStyle name="Normal 4 2 4 4 7" xfId="3516"/>
    <cellStyle name="Normal 4 2 4 4 8" xfId="4044"/>
    <cellStyle name="Normal 4 2 4 5" xfId="753"/>
    <cellStyle name="Normal 4 2 4 5 2" xfId="1576"/>
    <cellStyle name="Normal 4 2 4 5 3" xfId="2011"/>
    <cellStyle name="Normal 4 2 4 5 4" xfId="2544"/>
    <cellStyle name="Normal 4 2 4 5 5" xfId="3072"/>
    <cellStyle name="Normal 4 2 4 5 6" xfId="3600"/>
    <cellStyle name="Normal 4 2 4 5 7" xfId="4128"/>
    <cellStyle name="Normal 4 2 4 6" xfId="874"/>
    <cellStyle name="Normal 4 2 4 6 2" xfId="4305"/>
    <cellStyle name="Normal 4 2 4 7" xfId="1225"/>
    <cellStyle name="Normal 4 2 4 8" xfId="1660"/>
    <cellStyle name="Normal 4 2 4 9" xfId="2193"/>
    <cellStyle name="Normal 4 2 5" xfId="219"/>
    <cellStyle name="Normal 4 2 5 10" xfId="2729"/>
    <cellStyle name="Normal 4 2 5 11" xfId="3257"/>
    <cellStyle name="Normal 4 2 5 12" xfId="3785"/>
    <cellStyle name="Normal 4 2 5 2" xfId="313"/>
    <cellStyle name="Normal 4 2 5 2 2" xfId="588"/>
    <cellStyle name="Normal 4 2 5 2 2 2" xfId="2109"/>
    <cellStyle name="Normal 4 2 5 2 2 3" xfId="2642"/>
    <cellStyle name="Normal 4 2 5 2 2 4" xfId="3170"/>
    <cellStyle name="Normal 4 2 5 2 2 5" xfId="3698"/>
    <cellStyle name="Normal 4 2 5 2 2 6" xfId="4226"/>
    <cellStyle name="Normal 4 2 5 2 3" xfId="1062"/>
    <cellStyle name="Normal 4 2 5 2 4" xfId="1413"/>
    <cellStyle name="Normal 4 2 5 2 5" xfId="1848"/>
    <cellStyle name="Normal 4 2 5 2 6" xfId="2381"/>
    <cellStyle name="Normal 4 2 5 2 7" xfId="2909"/>
    <cellStyle name="Normal 4 2 5 2 8" xfId="3437"/>
    <cellStyle name="Normal 4 2 5 2 9" xfId="3965"/>
    <cellStyle name="Normal 4 2 5 3" xfId="410"/>
    <cellStyle name="Normal 4 2 5 3 2" xfId="673"/>
    <cellStyle name="Normal 4 2 5 3 3" xfId="971"/>
    <cellStyle name="Normal 4 2 5 3 4" xfId="1322"/>
    <cellStyle name="Normal 4 2 5 3 5" xfId="1757"/>
    <cellStyle name="Normal 4 2 5 3 6" xfId="2290"/>
    <cellStyle name="Normal 4 2 5 3 7" xfId="2818"/>
    <cellStyle name="Normal 4 2 5 3 8" xfId="3346"/>
    <cellStyle name="Normal 4 2 5 3 9" xfId="3874"/>
    <cellStyle name="Normal 4 2 5 4" xfId="503"/>
    <cellStyle name="Normal 4 2 5 4 2" xfId="1149"/>
    <cellStyle name="Normal 4 2 5 4 3" xfId="1500"/>
    <cellStyle name="Normal 4 2 5 4 4" xfId="1935"/>
    <cellStyle name="Normal 4 2 5 4 5" xfId="2468"/>
    <cellStyle name="Normal 4 2 5 4 6" xfId="2996"/>
    <cellStyle name="Normal 4 2 5 4 7" xfId="3524"/>
    <cellStyle name="Normal 4 2 5 4 8" xfId="4052"/>
    <cellStyle name="Normal 4 2 5 5" xfId="761"/>
    <cellStyle name="Normal 4 2 5 5 2" xfId="1584"/>
    <cellStyle name="Normal 4 2 5 5 3" xfId="2019"/>
    <cellStyle name="Normal 4 2 5 5 4" xfId="2552"/>
    <cellStyle name="Normal 4 2 5 5 5" xfId="3080"/>
    <cellStyle name="Normal 4 2 5 5 6" xfId="3608"/>
    <cellStyle name="Normal 4 2 5 5 7" xfId="4136"/>
    <cellStyle name="Normal 4 2 5 6" xfId="882"/>
    <cellStyle name="Normal 4 2 5 6 2" xfId="4313"/>
    <cellStyle name="Normal 4 2 5 7" xfId="1233"/>
    <cellStyle name="Normal 4 2 5 8" xfId="1668"/>
    <cellStyle name="Normal 4 2 5 9" xfId="2201"/>
    <cellStyle name="Normal 4 2 6" xfId="227"/>
    <cellStyle name="Normal 4 2 6 10" xfId="2737"/>
    <cellStyle name="Normal 4 2 6 11" xfId="3265"/>
    <cellStyle name="Normal 4 2 6 12" xfId="3793"/>
    <cellStyle name="Normal 4 2 6 2" xfId="321"/>
    <cellStyle name="Normal 4 2 6 2 2" xfId="596"/>
    <cellStyle name="Normal 4 2 6 2 2 2" xfId="2117"/>
    <cellStyle name="Normal 4 2 6 2 2 3" xfId="2650"/>
    <cellStyle name="Normal 4 2 6 2 2 4" xfId="3178"/>
    <cellStyle name="Normal 4 2 6 2 2 5" xfId="3706"/>
    <cellStyle name="Normal 4 2 6 2 2 6" xfId="4234"/>
    <cellStyle name="Normal 4 2 6 2 3" xfId="1070"/>
    <cellStyle name="Normal 4 2 6 2 4" xfId="1421"/>
    <cellStyle name="Normal 4 2 6 2 5" xfId="1856"/>
    <cellStyle name="Normal 4 2 6 2 6" xfId="2389"/>
    <cellStyle name="Normal 4 2 6 2 7" xfId="2917"/>
    <cellStyle name="Normal 4 2 6 2 8" xfId="3445"/>
    <cellStyle name="Normal 4 2 6 2 9" xfId="3973"/>
    <cellStyle name="Normal 4 2 6 3" xfId="418"/>
    <cellStyle name="Normal 4 2 6 3 2" xfId="681"/>
    <cellStyle name="Normal 4 2 6 3 3" xfId="979"/>
    <cellStyle name="Normal 4 2 6 3 4" xfId="1330"/>
    <cellStyle name="Normal 4 2 6 3 5" xfId="1765"/>
    <cellStyle name="Normal 4 2 6 3 6" xfId="2298"/>
    <cellStyle name="Normal 4 2 6 3 7" xfId="2826"/>
    <cellStyle name="Normal 4 2 6 3 8" xfId="3354"/>
    <cellStyle name="Normal 4 2 6 3 9" xfId="3882"/>
    <cellStyle name="Normal 4 2 6 4" xfId="511"/>
    <cellStyle name="Normal 4 2 6 4 2" xfId="1157"/>
    <cellStyle name="Normal 4 2 6 4 3" xfId="1508"/>
    <cellStyle name="Normal 4 2 6 4 4" xfId="1943"/>
    <cellStyle name="Normal 4 2 6 4 5" xfId="2476"/>
    <cellStyle name="Normal 4 2 6 4 6" xfId="3004"/>
    <cellStyle name="Normal 4 2 6 4 7" xfId="3532"/>
    <cellStyle name="Normal 4 2 6 4 8" xfId="4060"/>
    <cellStyle name="Normal 4 2 6 5" xfId="769"/>
    <cellStyle name="Normal 4 2 6 5 2" xfId="1592"/>
    <cellStyle name="Normal 4 2 6 5 3" xfId="2027"/>
    <cellStyle name="Normal 4 2 6 5 4" xfId="2560"/>
    <cellStyle name="Normal 4 2 6 5 5" xfId="3088"/>
    <cellStyle name="Normal 4 2 6 5 6" xfId="3616"/>
    <cellStyle name="Normal 4 2 6 5 7" xfId="4144"/>
    <cellStyle name="Normal 4 2 6 6" xfId="890"/>
    <cellStyle name="Normal 4 2 6 6 2" xfId="4321"/>
    <cellStyle name="Normal 4 2 6 7" xfId="1241"/>
    <cellStyle name="Normal 4 2 6 8" xfId="1676"/>
    <cellStyle name="Normal 4 2 6 9" xfId="2209"/>
    <cellStyle name="Normal 4 2 7" xfId="167"/>
    <cellStyle name="Normal 4 2 7 10" xfId="2677"/>
    <cellStyle name="Normal 4 2 7 11" xfId="3205"/>
    <cellStyle name="Normal 4 2 7 12" xfId="3733"/>
    <cellStyle name="Normal 4 2 7 2" xfId="261"/>
    <cellStyle name="Normal 4 2 7 2 2" xfId="536"/>
    <cellStyle name="Normal 4 2 7 2 2 2" xfId="2057"/>
    <cellStyle name="Normal 4 2 7 2 2 3" xfId="2590"/>
    <cellStyle name="Normal 4 2 7 2 2 4" xfId="3118"/>
    <cellStyle name="Normal 4 2 7 2 2 5" xfId="3646"/>
    <cellStyle name="Normal 4 2 7 2 2 6" xfId="4174"/>
    <cellStyle name="Normal 4 2 7 2 3" xfId="1010"/>
    <cellStyle name="Normal 4 2 7 2 4" xfId="1361"/>
    <cellStyle name="Normal 4 2 7 2 5" xfId="1796"/>
    <cellStyle name="Normal 4 2 7 2 6" xfId="2329"/>
    <cellStyle name="Normal 4 2 7 2 7" xfId="2857"/>
    <cellStyle name="Normal 4 2 7 2 8" xfId="3385"/>
    <cellStyle name="Normal 4 2 7 2 9" xfId="3913"/>
    <cellStyle name="Normal 4 2 7 3" xfId="358"/>
    <cellStyle name="Normal 4 2 7 3 2" xfId="621"/>
    <cellStyle name="Normal 4 2 7 3 3" xfId="919"/>
    <cellStyle name="Normal 4 2 7 3 4" xfId="1270"/>
    <cellStyle name="Normal 4 2 7 3 5" xfId="1705"/>
    <cellStyle name="Normal 4 2 7 3 6" xfId="2238"/>
    <cellStyle name="Normal 4 2 7 3 7" xfId="2766"/>
    <cellStyle name="Normal 4 2 7 3 8" xfId="3294"/>
    <cellStyle name="Normal 4 2 7 3 9" xfId="3822"/>
    <cellStyle name="Normal 4 2 7 4" xfId="451"/>
    <cellStyle name="Normal 4 2 7 4 2" xfId="1097"/>
    <cellStyle name="Normal 4 2 7 4 3" xfId="1448"/>
    <cellStyle name="Normal 4 2 7 4 4" xfId="1883"/>
    <cellStyle name="Normal 4 2 7 4 5" xfId="2416"/>
    <cellStyle name="Normal 4 2 7 4 6" xfId="2944"/>
    <cellStyle name="Normal 4 2 7 4 7" xfId="3472"/>
    <cellStyle name="Normal 4 2 7 4 8" xfId="4000"/>
    <cellStyle name="Normal 4 2 7 5" xfId="709"/>
    <cellStyle name="Normal 4 2 7 5 2" xfId="1532"/>
    <cellStyle name="Normal 4 2 7 5 3" xfId="1967"/>
    <cellStyle name="Normal 4 2 7 5 4" xfId="2500"/>
    <cellStyle name="Normal 4 2 7 5 5" xfId="3028"/>
    <cellStyle name="Normal 4 2 7 5 6" xfId="3556"/>
    <cellStyle name="Normal 4 2 7 5 7" xfId="4084"/>
    <cellStyle name="Normal 4 2 7 6" xfId="830"/>
    <cellStyle name="Normal 4 2 7 6 2" xfId="4261"/>
    <cellStyle name="Normal 4 2 7 7" xfId="1181"/>
    <cellStyle name="Normal 4 2 7 8" xfId="1616"/>
    <cellStyle name="Normal 4 2 7 9" xfId="2149"/>
    <cellStyle name="Normal 4 2 8" xfId="253"/>
    <cellStyle name="Normal 4 2 8 2" xfId="528"/>
    <cellStyle name="Normal 4 2 8 2 2" xfId="2049"/>
    <cellStyle name="Normal 4 2 8 2 3" xfId="2582"/>
    <cellStyle name="Normal 4 2 8 2 4" xfId="3110"/>
    <cellStyle name="Normal 4 2 8 2 5" xfId="3638"/>
    <cellStyle name="Normal 4 2 8 2 6" xfId="4166"/>
    <cellStyle name="Normal 4 2 8 3" xfId="1002"/>
    <cellStyle name="Normal 4 2 8 4" xfId="1353"/>
    <cellStyle name="Normal 4 2 8 5" xfId="1788"/>
    <cellStyle name="Normal 4 2 8 6" xfId="2321"/>
    <cellStyle name="Normal 4 2 8 7" xfId="2849"/>
    <cellStyle name="Normal 4 2 8 8" xfId="3377"/>
    <cellStyle name="Normal 4 2 8 9" xfId="3905"/>
    <cellStyle name="Normal 4 2 9" xfId="350"/>
    <cellStyle name="Normal 4 2 9 2" xfId="613"/>
    <cellStyle name="Normal 4 2 9 3" xfId="911"/>
    <cellStyle name="Normal 4 2 9 4" xfId="1262"/>
    <cellStyle name="Normal 4 2 9 5" xfId="1697"/>
    <cellStyle name="Normal 4 2 9 6" xfId="2230"/>
    <cellStyle name="Normal 4 2 9 7" xfId="2758"/>
    <cellStyle name="Normal 4 2 9 8" xfId="3286"/>
    <cellStyle name="Normal 4 2 9 9" xfId="3814"/>
    <cellStyle name="Normal 4 20" xfId="818"/>
    <cellStyle name="Normal 4 20 2" xfId="4249"/>
    <cellStyle name="Normal 4 21" xfId="1169"/>
    <cellStyle name="Normal 4 22" xfId="1604"/>
    <cellStyle name="Normal 4 23" xfId="2137"/>
    <cellStyle name="Normal 4 24" xfId="2665"/>
    <cellStyle name="Normal 4 25" xfId="3193"/>
    <cellStyle name="Normal 4 26" xfId="3721"/>
    <cellStyle name="Normal 4 3" xfId="171"/>
    <cellStyle name="Normal 4 3 10" xfId="2681"/>
    <cellStyle name="Normal 4 3 11" xfId="3209"/>
    <cellStyle name="Normal 4 3 12" xfId="3737"/>
    <cellStyle name="Normal 4 3 2" xfId="265"/>
    <cellStyle name="Normal 4 3 2 2" xfId="540"/>
    <cellStyle name="Normal 4 3 2 2 2" xfId="2061"/>
    <cellStyle name="Normal 4 3 2 2 3" xfId="2594"/>
    <cellStyle name="Normal 4 3 2 2 4" xfId="3122"/>
    <cellStyle name="Normal 4 3 2 2 5" xfId="3650"/>
    <cellStyle name="Normal 4 3 2 2 6" xfId="4178"/>
    <cellStyle name="Normal 4 3 2 3" xfId="1014"/>
    <cellStyle name="Normal 4 3 2 4" xfId="1365"/>
    <cellStyle name="Normal 4 3 2 5" xfId="1800"/>
    <cellStyle name="Normal 4 3 2 6" xfId="2333"/>
    <cellStyle name="Normal 4 3 2 7" xfId="2861"/>
    <cellStyle name="Normal 4 3 2 8" xfId="3389"/>
    <cellStyle name="Normal 4 3 2 9" xfId="3917"/>
    <cellStyle name="Normal 4 3 3" xfId="362"/>
    <cellStyle name="Normal 4 3 3 2" xfId="625"/>
    <cellStyle name="Normal 4 3 3 3" xfId="923"/>
    <cellStyle name="Normal 4 3 3 4" xfId="1274"/>
    <cellStyle name="Normal 4 3 3 5" xfId="1709"/>
    <cellStyle name="Normal 4 3 3 6" xfId="2242"/>
    <cellStyle name="Normal 4 3 3 7" xfId="2770"/>
    <cellStyle name="Normal 4 3 3 8" xfId="3298"/>
    <cellStyle name="Normal 4 3 3 9" xfId="3826"/>
    <cellStyle name="Normal 4 3 4" xfId="455"/>
    <cellStyle name="Normal 4 3 4 2" xfId="1101"/>
    <cellStyle name="Normal 4 3 4 3" xfId="1452"/>
    <cellStyle name="Normal 4 3 4 4" xfId="1887"/>
    <cellStyle name="Normal 4 3 4 5" xfId="2420"/>
    <cellStyle name="Normal 4 3 4 6" xfId="2948"/>
    <cellStyle name="Normal 4 3 4 7" xfId="3476"/>
    <cellStyle name="Normal 4 3 4 8" xfId="4004"/>
    <cellStyle name="Normal 4 3 5" xfId="713"/>
    <cellStyle name="Normal 4 3 5 2" xfId="1536"/>
    <cellStyle name="Normal 4 3 5 3" xfId="1971"/>
    <cellStyle name="Normal 4 3 5 4" xfId="2504"/>
    <cellStyle name="Normal 4 3 5 5" xfId="3032"/>
    <cellStyle name="Normal 4 3 5 6" xfId="3560"/>
    <cellStyle name="Normal 4 3 5 7" xfId="4088"/>
    <cellStyle name="Normal 4 3 6" xfId="834"/>
    <cellStyle name="Normal 4 3 6 2" xfId="4265"/>
    <cellStyle name="Normal 4 3 7" xfId="1185"/>
    <cellStyle name="Normal 4 3 8" xfId="1620"/>
    <cellStyle name="Normal 4 3 9" xfId="2153"/>
    <cellStyle name="Normal 4 4" xfId="175"/>
    <cellStyle name="Normal 4 4 10" xfId="2685"/>
    <cellStyle name="Normal 4 4 11" xfId="3213"/>
    <cellStyle name="Normal 4 4 12" xfId="3741"/>
    <cellStyle name="Normal 4 4 2" xfId="269"/>
    <cellStyle name="Normal 4 4 2 2" xfId="544"/>
    <cellStyle name="Normal 4 4 2 2 2" xfId="2065"/>
    <cellStyle name="Normal 4 4 2 2 3" xfId="2598"/>
    <cellStyle name="Normal 4 4 2 2 4" xfId="3126"/>
    <cellStyle name="Normal 4 4 2 2 5" xfId="3654"/>
    <cellStyle name="Normal 4 4 2 2 6" xfId="4182"/>
    <cellStyle name="Normal 4 4 2 3" xfId="1018"/>
    <cellStyle name="Normal 4 4 2 4" xfId="1369"/>
    <cellStyle name="Normal 4 4 2 5" xfId="1804"/>
    <cellStyle name="Normal 4 4 2 6" xfId="2337"/>
    <cellStyle name="Normal 4 4 2 7" xfId="2865"/>
    <cellStyle name="Normal 4 4 2 8" xfId="3393"/>
    <cellStyle name="Normal 4 4 2 9" xfId="3921"/>
    <cellStyle name="Normal 4 4 3" xfId="366"/>
    <cellStyle name="Normal 4 4 3 2" xfId="629"/>
    <cellStyle name="Normal 4 4 3 3" xfId="927"/>
    <cellStyle name="Normal 4 4 3 4" xfId="1278"/>
    <cellStyle name="Normal 4 4 3 5" xfId="1713"/>
    <cellStyle name="Normal 4 4 3 6" xfId="2246"/>
    <cellStyle name="Normal 4 4 3 7" xfId="2774"/>
    <cellStyle name="Normal 4 4 3 8" xfId="3302"/>
    <cellStyle name="Normal 4 4 3 9" xfId="3830"/>
    <cellStyle name="Normal 4 4 4" xfId="459"/>
    <cellStyle name="Normal 4 4 4 2" xfId="1105"/>
    <cellStyle name="Normal 4 4 4 3" xfId="1456"/>
    <cellStyle name="Normal 4 4 4 4" xfId="1891"/>
    <cellStyle name="Normal 4 4 4 5" xfId="2424"/>
    <cellStyle name="Normal 4 4 4 6" xfId="2952"/>
    <cellStyle name="Normal 4 4 4 7" xfId="3480"/>
    <cellStyle name="Normal 4 4 4 8" xfId="4008"/>
    <cellStyle name="Normal 4 4 5" xfId="717"/>
    <cellStyle name="Normal 4 4 5 2" xfId="1540"/>
    <cellStyle name="Normal 4 4 5 3" xfId="1975"/>
    <cellStyle name="Normal 4 4 5 4" xfId="2508"/>
    <cellStyle name="Normal 4 4 5 5" xfId="3036"/>
    <cellStyle name="Normal 4 4 5 6" xfId="3564"/>
    <cellStyle name="Normal 4 4 5 7" xfId="4092"/>
    <cellStyle name="Normal 4 4 6" xfId="838"/>
    <cellStyle name="Normal 4 4 6 2" xfId="4269"/>
    <cellStyle name="Normal 4 4 7" xfId="1189"/>
    <cellStyle name="Normal 4 4 8" xfId="1624"/>
    <cellStyle name="Normal 4 4 9" xfId="2157"/>
    <cellStyle name="Normal 4 5" xfId="179"/>
    <cellStyle name="Normal 4 5 10" xfId="2689"/>
    <cellStyle name="Normal 4 5 11" xfId="3217"/>
    <cellStyle name="Normal 4 5 12" xfId="3745"/>
    <cellStyle name="Normal 4 5 2" xfId="273"/>
    <cellStyle name="Normal 4 5 2 2" xfId="548"/>
    <cellStyle name="Normal 4 5 2 2 2" xfId="2069"/>
    <cellStyle name="Normal 4 5 2 2 3" xfId="2602"/>
    <cellStyle name="Normal 4 5 2 2 4" xfId="3130"/>
    <cellStyle name="Normal 4 5 2 2 5" xfId="3658"/>
    <cellStyle name="Normal 4 5 2 2 6" xfId="4186"/>
    <cellStyle name="Normal 4 5 2 3" xfId="1022"/>
    <cellStyle name="Normal 4 5 2 4" xfId="1373"/>
    <cellStyle name="Normal 4 5 2 5" xfId="1808"/>
    <cellStyle name="Normal 4 5 2 6" xfId="2341"/>
    <cellStyle name="Normal 4 5 2 7" xfId="2869"/>
    <cellStyle name="Normal 4 5 2 8" xfId="3397"/>
    <cellStyle name="Normal 4 5 2 9" xfId="3925"/>
    <cellStyle name="Normal 4 5 3" xfId="370"/>
    <cellStyle name="Normal 4 5 3 2" xfId="633"/>
    <cellStyle name="Normal 4 5 3 3" xfId="931"/>
    <cellStyle name="Normal 4 5 3 4" xfId="1282"/>
    <cellStyle name="Normal 4 5 3 5" xfId="1717"/>
    <cellStyle name="Normal 4 5 3 6" xfId="2250"/>
    <cellStyle name="Normal 4 5 3 7" xfId="2778"/>
    <cellStyle name="Normal 4 5 3 8" xfId="3306"/>
    <cellStyle name="Normal 4 5 3 9" xfId="3834"/>
    <cellStyle name="Normal 4 5 4" xfId="463"/>
    <cellStyle name="Normal 4 5 4 2" xfId="1109"/>
    <cellStyle name="Normal 4 5 4 3" xfId="1460"/>
    <cellStyle name="Normal 4 5 4 4" xfId="1895"/>
    <cellStyle name="Normal 4 5 4 5" xfId="2428"/>
    <cellStyle name="Normal 4 5 4 6" xfId="2956"/>
    <cellStyle name="Normal 4 5 4 7" xfId="3484"/>
    <cellStyle name="Normal 4 5 4 8" xfId="4012"/>
    <cellStyle name="Normal 4 5 5" xfId="721"/>
    <cellStyle name="Normal 4 5 5 2" xfId="1544"/>
    <cellStyle name="Normal 4 5 5 3" xfId="1979"/>
    <cellStyle name="Normal 4 5 5 4" xfId="2512"/>
    <cellStyle name="Normal 4 5 5 5" xfId="3040"/>
    <cellStyle name="Normal 4 5 5 6" xfId="3568"/>
    <cellStyle name="Normal 4 5 5 7" xfId="4096"/>
    <cellStyle name="Normal 4 5 6" xfId="842"/>
    <cellStyle name="Normal 4 5 6 2" xfId="4273"/>
    <cellStyle name="Normal 4 5 7" xfId="1193"/>
    <cellStyle name="Normal 4 5 8" xfId="1628"/>
    <cellStyle name="Normal 4 5 9" xfId="2161"/>
    <cellStyle name="Normal 4 6" xfId="183"/>
    <cellStyle name="Normal 4 6 10" xfId="2693"/>
    <cellStyle name="Normal 4 6 11" xfId="3221"/>
    <cellStyle name="Normal 4 6 12" xfId="3749"/>
    <cellStyle name="Normal 4 6 2" xfId="277"/>
    <cellStyle name="Normal 4 6 2 2" xfId="552"/>
    <cellStyle name="Normal 4 6 2 2 2" xfId="2073"/>
    <cellStyle name="Normal 4 6 2 2 3" xfId="2606"/>
    <cellStyle name="Normal 4 6 2 2 4" xfId="3134"/>
    <cellStyle name="Normal 4 6 2 2 5" xfId="3662"/>
    <cellStyle name="Normal 4 6 2 2 6" xfId="4190"/>
    <cellStyle name="Normal 4 6 2 3" xfId="1026"/>
    <cellStyle name="Normal 4 6 2 4" xfId="1377"/>
    <cellStyle name="Normal 4 6 2 5" xfId="1812"/>
    <cellStyle name="Normal 4 6 2 6" xfId="2345"/>
    <cellStyle name="Normal 4 6 2 7" xfId="2873"/>
    <cellStyle name="Normal 4 6 2 8" xfId="3401"/>
    <cellStyle name="Normal 4 6 2 9" xfId="3929"/>
    <cellStyle name="Normal 4 6 3" xfId="374"/>
    <cellStyle name="Normal 4 6 3 2" xfId="637"/>
    <cellStyle name="Normal 4 6 3 3" xfId="935"/>
    <cellStyle name="Normal 4 6 3 4" xfId="1286"/>
    <cellStyle name="Normal 4 6 3 5" xfId="1721"/>
    <cellStyle name="Normal 4 6 3 6" xfId="2254"/>
    <cellStyle name="Normal 4 6 3 7" xfId="2782"/>
    <cellStyle name="Normal 4 6 3 8" xfId="3310"/>
    <cellStyle name="Normal 4 6 3 9" xfId="3838"/>
    <cellStyle name="Normal 4 6 4" xfId="467"/>
    <cellStyle name="Normal 4 6 4 2" xfId="1113"/>
    <cellStyle name="Normal 4 6 4 3" xfId="1464"/>
    <cellStyle name="Normal 4 6 4 4" xfId="1899"/>
    <cellStyle name="Normal 4 6 4 5" xfId="2432"/>
    <cellStyle name="Normal 4 6 4 6" xfId="2960"/>
    <cellStyle name="Normal 4 6 4 7" xfId="3488"/>
    <cellStyle name="Normal 4 6 4 8" xfId="4016"/>
    <cellStyle name="Normal 4 6 5" xfId="725"/>
    <cellStyle name="Normal 4 6 5 2" xfId="1548"/>
    <cellStyle name="Normal 4 6 5 3" xfId="1983"/>
    <cellStyle name="Normal 4 6 5 4" xfId="2516"/>
    <cellStyle name="Normal 4 6 5 5" xfId="3044"/>
    <cellStyle name="Normal 4 6 5 6" xfId="3572"/>
    <cellStyle name="Normal 4 6 5 7" xfId="4100"/>
    <cellStyle name="Normal 4 6 6" xfId="846"/>
    <cellStyle name="Normal 4 6 6 2" xfId="4277"/>
    <cellStyle name="Normal 4 6 7" xfId="1197"/>
    <cellStyle name="Normal 4 6 8" xfId="1632"/>
    <cellStyle name="Normal 4 6 9" xfId="2165"/>
    <cellStyle name="Normal 4 7" xfId="187"/>
    <cellStyle name="Normal 4 7 10" xfId="2697"/>
    <cellStyle name="Normal 4 7 11" xfId="3225"/>
    <cellStyle name="Normal 4 7 12" xfId="3753"/>
    <cellStyle name="Normal 4 7 2" xfId="281"/>
    <cellStyle name="Normal 4 7 2 2" xfId="556"/>
    <cellStyle name="Normal 4 7 2 2 2" xfId="2077"/>
    <cellStyle name="Normal 4 7 2 2 3" xfId="2610"/>
    <cellStyle name="Normal 4 7 2 2 4" xfId="3138"/>
    <cellStyle name="Normal 4 7 2 2 5" xfId="3666"/>
    <cellStyle name="Normal 4 7 2 2 6" xfId="4194"/>
    <cellStyle name="Normal 4 7 2 3" xfId="1030"/>
    <cellStyle name="Normal 4 7 2 4" xfId="1381"/>
    <cellStyle name="Normal 4 7 2 5" xfId="1816"/>
    <cellStyle name="Normal 4 7 2 6" xfId="2349"/>
    <cellStyle name="Normal 4 7 2 7" xfId="2877"/>
    <cellStyle name="Normal 4 7 2 8" xfId="3405"/>
    <cellStyle name="Normal 4 7 2 9" xfId="3933"/>
    <cellStyle name="Normal 4 7 3" xfId="378"/>
    <cellStyle name="Normal 4 7 3 2" xfId="641"/>
    <cellStyle name="Normal 4 7 3 3" xfId="939"/>
    <cellStyle name="Normal 4 7 3 4" xfId="1290"/>
    <cellStyle name="Normal 4 7 3 5" xfId="1725"/>
    <cellStyle name="Normal 4 7 3 6" xfId="2258"/>
    <cellStyle name="Normal 4 7 3 7" xfId="2786"/>
    <cellStyle name="Normal 4 7 3 8" xfId="3314"/>
    <cellStyle name="Normal 4 7 3 9" xfId="3842"/>
    <cellStyle name="Normal 4 7 4" xfId="471"/>
    <cellStyle name="Normal 4 7 4 2" xfId="1117"/>
    <cellStyle name="Normal 4 7 4 3" xfId="1468"/>
    <cellStyle name="Normal 4 7 4 4" xfId="1903"/>
    <cellStyle name="Normal 4 7 4 5" xfId="2436"/>
    <cellStyle name="Normal 4 7 4 6" xfId="2964"/>
    <cellStyle name="Normal 4 7 4 7" xfId="3492"/>
    <cellStyle name="Normal 4 7 4 8" xfId="4020"/>
    <cellStyle name="Normal 4 7 5" xfId="729"/>
    <cellStyle name="Normal 4 7 5 2" xfId="1552"/>
    <cellStyle name="Normal 4 7 5 3" xfId="1987"/>
    <cellStyle name="Normal 4 7 5 4" xfId="2520"/>
    <cellStyle name="Normal 4 7 5 5" xfId="3048"/>
    <cellStyle name="Normal 4 7 5 6" xfId="3576"/>
    <cellStyle name="Normal 4 7 5 7" xfId="4104"/>
    <cellStyle name="Normal 4 7 6" xfId="850"/>
    <cellStyle name="Normal 4 7 6 2" xfId="4281"/>
    <cellStyle name="Normal 4 7 7" xfId="1201"/>
    <cellStyle name="Normal 4 7 8" xfId="1636"/>
    <cellStyle name="Normal 4 7 9" xfId="2169"/>
    <cellStyle name="Normal 4 8" xfId="191"/>
    <cellStyle name="Normal 4 8 10" xfId="2701"/>
    <cellStyle name="Normal 4 8 11" xfId="3229"/>
    <cellStyle name="Normal 4 8 12" xfId="3757"/>
    <cellStyle name="Normal 4 8 2" xfId="285"/>
    <cellStyle name="Normal 4 8 2 2" xfId="560"/>
    <cellStyle name="Normal 4 8 2 2 2" xfId="2081"/>
    <cellStyle name="Normal 4 8 2 2 3" xfId="2614"/>
    <cellStyle name="Normal 4 8 2 2 4" xfId="3142"/>
    <cellStyle name="Normal 4 8 2 2 5" xfId="3670"/>
    <cellStyle name="Normal 4 8 2 2 6" xfId="4198"/>
    <cellStyle name="Normal 4 8 2 3" xfId="1034"/>
    <cellStyle name="Normal 4 8 2 4" xfId="1385"/>
    <cellStyle name="Normal 4 8 2 5" xfId="1820"/>
    <cellStyle name="Normal 4 8 2 6" xfId="2353"/>
    <cellStyle name="Normal 4 8 2 7" xfId="2881"/>
    <cellStyle name="Normal 4 8 2 8" xfId="3409"/>
    <cellStyle name="Normal 4 8 2 9" xfId="3937"/>
    <cellStyle name="Normal 4 8 3" xfId="382"/>
    <cellStyle name="Normal 4 8 3 2" xfId="645"/>
    <cellStyle name="Normal 4 8 3 3" xfId="943"/>
    <cellStyle name="Normal 4 8 3 4" xfId="1294"/>
    <cellStyle name="Normal 4 8 3 5" xfId="1729"/>
    <cellStyle name="Normal 4 8 3 6" xfId="2262"/>
    <cellStyle name="Normal 4 8 3 7" xfId="2790"/>
    <cellStyle name="Normal 4 8 3 8" xfId="3318"/>
    <cellStyle name="Normal 4 8 3 9" xfId="3846"/>
    <cellStyle name="Normal 4 8 4" xfId="475"/>
    <cellStyle name="Normal 4 8 4 2" xfId="1121"/>
    <cellStyle name="Normal 4 8 4 3" xfId="1472"/>
    <cellStyle name="Normal 4 8 4 4" xfId="1907"/>
    <cellStyle name="Normal 4 8 4 5" xfId="2440"/>
    <cellStyle name="Normal 4 8 4 6" xfId="2968"/>
    <cellStyle name="Normal 4 8 4 7" xfId="3496"/>
    <cellStyle name="Normal 4 8 4 8" xfId="4024"/>
    <cellStyle name="Normal 4 8 5" xfId="733"/>
    <cellStyle name="Normal 4 8 5 2" xfId="1556"/>
    <cellStyle name="Normal 4 8 5 3" xfId="1991"/>
    <cellStyle name="Normal 4 8 5 4" xfId="2524"/>
    <cellStyle name="Normal 4 8 5 5" xfId="3052"/>
    <cellStyle name="Normal 4 8 5 6" xfId="3580"/>
    <cellStyle name="Normal 4 8 5 7" xfId="4108"/>
    <cellStyle name="Normal 4 8 6" xfId="854"/>
    <cellStyle name="Normal 4 8 6 2" xfId="4285"/>
    <cellStyle name="Normal 4 8 7" xfId="1205"/>
    <cellStyle name="Normal 4 8 8" xfId="1640"/>
    <cellStyle name="Normal 4 8 9" xfId="2173"/>
    <cellStyle name="Normal 4 9" xfId="199"/>
    <cellStyle name="Normal 4 9 10" xfId="2709"/>
    <cellStyle name="Normal 4 9 11" xfId="3237"/>
    <cellStyle name="Normal 4 9 12" xfId="3765"/>
    <cellStyle name="Normal 4 9 2" xfId="293"/>
    <cellStyle name="Normal 4 9 2 2" xfId="568"/>
    <cellStyle name="Normal 4 9 2 2 2" xfId="2089"/>
    <cellStyle name="Normal 4 9 2 2 3" xfId="2622"/>
    <cellStyle name="Normal 4 9 2 2 4" xfId="3150"/>
    <cellStyle name="Normal 4 9 2 2 5" xfId="3678"/>
    <cellStyle name="Normal 4 9 2 2 6" xfId="4206"/>
    <cellStyle name="Normal 4 9 2 3" xfId="1042"/>
    <cellStyle name="Normal 4 9 2 4" xfId="1393"/>
    <cellStyle name="Normal 4 9 2 5" xfId="1828"/>
    <cellStyle name="Normal 4 9 2 6" xfId="2361"/>
    <cellStyle name="Normal 4 9 2 7" xfId="2889"/>
    <cellStyle name="Normal 4 9 2 8" xfId="3417"/>
    <cellStyle name="Normal 4 9 2 9" xfId="3945"/>
    <cellStyle name="Normal 4 9 3" xfId="390"/>
    <cellStyle name="Normal 4 9 3 2" xfId="653"/>
    <cellStyle name="Normal 4 9 3 3" xfId="951"/>
    <cellStyle name="Normal 4 9 3 4" xfId="1302"/>
    <cellStyle name="Normal 4 9 3 5" xfId="1737"/>
    <cellStyle name="Normal 4 9 3 6" xfId="2270"/>
    <cellStyle name="Normal 4 9 3 7" xfId="2798"/>
    <cellStyle name="Normal 4 9 3 8" xfId="3326"/>
    <cellStyle name="Normal 4 9 3 9" xfId="3854"/>
    <cellStyle name="Normal 4 9 4" xfId="483"/>
    <cellStyle name="Normal 4 9 4 2" xfId="1129"/>
    <cellStyle name="Normal 4 9 4 3" xfId="1480"/>
    <cellStyle name="Normal 4 9 4 4" xfId="1915"/>
    <cellStyle name="Normal 4 9 4 5" xfId="2448"/>
    <cellStyle name="Normal 4 9 4 6" xfId="2976"/>
    <cellStyle name="Normal 4 9 4 7" xfId="3504"/>
    <cellStyle name="Normal 4 9 4 8" xfId="4032"/>
    <cellStyle name="Normal 4 9 5" xfId="741"/>
    <cellStyle name="Normal 4 9 5 2" xfId="1564"/>
    <cellStyle name="Normal 4 9 5 3" xfId="1999"/>
    <cellStyle name="Normal 4 9 5 4" xfId="2532"/>
    <cellStyle name="Normal 4 9 5 5" xfId="3060"/>
    <cellStyle name="Normal 4 9 5 6" xfId="3588"/>
    <cellStyle name="Normal 4 9 5 7" xfId="4116"/>
    <cellStyle name="Normal 4 9 6" xfId="862"/>
    <cellStyle name="Normal 4 9 6 2" xfId="4293"/>
    <cellStyle name="Normal 4 9 7" xfId="1213"/>
    <cellStyle name="Normal 4 9 8" xfId="1648"/>
    <cellStyle name="Normal 4 9 9" xfId="2181"/>
    <cellStyle name="Normal 5" xfId="158"/>
    <cellStyle name="Normal 5 10" xfId="210"/>
    <cellStyle name="Normal 5 10 10" xfId="2720"/>
    <cellStyle name="Normal 5 10 11" xfId="3248"/>
    <cellStyle name="Normal 5 10 12" xfId="3776"/>
    <cellStyle name="Normal 5 10 2" xfId="304"/>
    <cellStyle name="Normal 5 10 2 2" xfId="579"/>
    <cellStyle name="Normal 5 10 2 2 2" xfId="2100"/>
    <cellStyle name="Normal 5 10 2 2 3" xfId="2633"/>
    <cellStyle name="Normal 5 10 2 2 4" xfId="3161"/>
    <cellStyle name="Normal 5 10 2 2 5" xfId="3689"/>
    <cellStyle name="Normal 5 10 2 2 6" xfId="4217"/>
    <cellStyle name="Normal 5 10 2 3" xfId="1053"/>
    <cellStyle name="Normal 5 10 2 4" xfId="1404"/>
    <cellStyle name="Normal 5 10 2 5" xfId="1839"/>
    <cellStyle name="Normal 5 10 2 6" xfId="2372"/>
    <cellStyle name="Normal 5 10 2 7" xfId="2900"/>
    <cellStyle name="Normal 5 10 2 8" xfId="3428"/>
    <cellStyle name="Normal 5 10 2 9" xfId="3956"/>
    <cellStyle name="Normal 5 10 3" xfId="401"/>
    <cellStyle name="Normal 5 10 3 2" xfId="664"/>
    <cellStyle name="Normal 5 10 3 3" xfId="962"/>
    <cellStyle name="Normal 5 10 3 4" xfId="1313"/>
    <cellStyle name="Normal 5 10 3 5" xfId="1748"/>
    <cellStyle name="Normal 5 10 3 6" xfId="2281"/>
    <cellStyle name="Normal 5 10 3 7" xfId="2809"/>
    <cellStyle name="Normal 5 10 3 8" xfId="3337"/>
    <cellStyle name="Normal 5 10 3 9" xfId="3865"/>
    <cellStyle name="Normal 5 10 4" xfId="494"/>
    <cellStyle name="Normal 5 10 4 2" xfId="1140"/>
    <cellStyle name="Normal 5 10 4 3" xfId="1491"/>
    <cellStyle name="Normal 5 10 4 4" xfId="1926"/>
    <cellStyle name="Normal 5 10 4 5" xfId="2459"/>
    <cellStyle name="Normal 5 10 4 6" xfId="2987"/>
    <cellStyle name="Normal 5 10 4 7" xfId="3515"/>
    <cellStyle name="Normal 5 10 4 8" xfId="4043"/>
    <cellStyle name="Normal 5 10 5" xfId="752"/>
    <cellStyle name="Normal 5 10 5 2" xfId="1575"/>
    <cellStyle name="Normal 5 10 5 3" xfId="2010"/>
    <cellStyle name="Normal 5 10 5 4" xfId="2543"/>
    <cellStyle name="Normal 5 10 5 5" xfId="3071"/>
    <cellStyle name="Normal 5 10 5 6" xfId="3599"/>
    <cellStyle name="Normal 5 10 5 7" xfId="4127"/>
    <cellStyle name="Normal 5 10 6" xfId="873"/>
    <cellStyle name="Normal 5 10 6 2" xfId="4304"/>
    <cellStyle name="Normal 5 10 7" xfId="1224"/>
    <cellStyle name="Normal 5 10 8" xfId="1659"/>
    <cellStyle name="Normal 5 10 9" xfId="2192"/>
    <cellStyle name="Normal 5 11" xfId="218"/>
    <cellStyle name="Normal 5 11 10" xfId="2728"/>
    <cellStyle name="Normal 5 11 11" xfId="3256"/>
    <cellStyle name="Normal 5 11 12" xfId="3784"/>
    <cellStyle name="Normal 5 11 2" xfId="312"/>
    <cellStyle name="Normal 5 11 2 2" xfId="587"/>
    <cellStyle name="Normal 5 11 2 2 2" xfId="2108"/>
    <cellStyle name="Normal 5 11 2 2 3" xfId="2641"/>
    <cellStyle name="Normal 5 11 2 2 4" xfId="3169"/>
    <cellStyle name="Normal 5 11 2 2 5" xfId="3697"/>
    <cellStyle name="Normal 5 11 2 2 6" xfId="4225"/>
    <cellStyle name="Normal 5 11 2 3" xfId="1061"/>
    <cellStyle name="Normal 5 11 2 4" xfId="1412"/>
    <cellStyle name="Normal 5 11 2 5" xfId="1847"/>
    <cellStyle name="Normal 5 11 2 6" xfId="2380"/>
    <cellStyle name="Normal 5 11 2 7" xfId="2908"/>
    <cellStyle name="Normal 5 11 2 8" xfId="3436"/>
    <cellStyle name="Normal 5 11 2 9" xfId="3964"/>
    <cellStyle name="Normal 5 11 3" xfId="409"/>
    <cellStyle name="Normal 5 11 3 2" xfId="672"/>
    <cellStyle name="Normal 5 11 3 3" xfId="970"/>
    <cellStyle name="Normal 5 11 3 4" xfId="1321"/>
    <cellStyle name="Normal 5 11 3 5" xfId="1756"/>
    <cellStyle name="Normal 5 11 3 6" xfId="2289"/>
    <cellStyle name="Normal 5 11 3 7" xfId="2817"/>
    <cellStyle name="Normal 5 11 3 8" xfId="3345"/>
    <cellStyle name="Normal 5 11 3 9" xfId="3873"/>
    <cellStyle name="Normal 5 11 4" xfId="502"/>
    <cellStyle name="Normal 5 11 4 2" xfId="1148"/>
    <cellStyle name="Normal 5 11 4 3" xfId="1499"/>
    <cellStyle name="Normal 5 11 4 4" xfId="1934"/>
    <cellStyle name="Normal 5 11 4 5" xfId="2467"/>
    <cellStyle name="Normal 5 11 4 6" xfId="2995"/>
    <cellStyle name="Normal 5 11 4 7" xfId="3523"/>
    <cellStyle name="Normal 5 11 4 8" xfId="4051"/>
    <cellStyle name="Normal 5 11 5" xfId="760"/>
    <cellStyle name="Normal 5 11 5 2" xfId="1583"/>
    <cellStyle name="Normal 5 11 5 3" xfId="2018"/>
    <cellStyle name="Normal 5 11 5 4" xfId="2551"/>
    <cellStyle name="Normal 5 11 5 5" xfId="3079"/>
    <cellStyle name="Normal 5 11 5 6" xfId="3607"/>
    <cellStyle name="Normal 5 11 5 7" xfId="4135"/>
    <cellStyle name="Normal 5 11 6" xfId="881"/>
    <cellStyle name="Normal 5 11 6 2" xfId="4312"/>
    <cellStyle name="Normal 5 11 7" xfId="1232"/>
    <cellStyle name="Normal 5 11 8" xfId="1667"/>
    <cellStyle name="Normal 5 11 9" xfId="2200"/>
    <cellStyle name="Normal 5 12" xfId="226"/>
    <cellStyle name="Normal 5 12 10" xfId="2736"/>
    <cellStyle name="Normal 5 12 11" xfId="3264"/>
    <cellStyle name="Normal 5 12 12" xfId="3792"/>
    <cellStyle name="Normal 5 12 2" xfId="320"/>
    <cellStyle name="Normal 5 12 2 2" xfId="595"/>
    <cellStyle name="Normal 5 12 2 2 2" xfId="2116"/>
    <cellStyle name="Normal 5 12 2 2 3" xfId="2649"/>
    <cellStyle name="Normal 5 12 2 2 4" xfId="3177"/>
    <cellStyle name="Normal 5 12 2 2 5" xfId="3705"/>
    <cellStyle name="Normal 5 12 2 2 6" xfId="4233"/>
    <cellStyle name="Normal 5 12 2 3" xfId="1069"/>
    <cellStyle name="Normal 5 12 2 4" xfId="1420"/>
    <cellStyle name="Normal 5 12 2 5" xfId="1855"/>
    <cellStyle name="Normal 5 12 2 6" xfId="2388"/>
    <cellStyle name="Normal 5 12 2 7" xfId="2916"/>
    <cellStyle name="Normal 5 12 2 8" xfId="3444"/>
    <cellStyle name="Normal 5 12 2 9" xfId="3972"/>
    <cellStyle name="Normal 5 12 3" xfId="417"/>
    <cellStyle name="Normal 5 12 3 2" xfId="680"/>
    <cellStyle name="Normal 5 12 3 3" xfId="978"/>
    <cellStyle name="Normal 5 12 3 4" xfId="1329"/>
    <cellStyle name="Normal 5 12 3 5" xfId="1764"/>
    <cellStyle name="Normal 5 12 3 6" xfId="2297"/>
    <cellStyle name="Normal 5 12 3 7" xfId="2825"/>
    <cellStyle name="Normal 5 12 3 8" xfId="3353"/>
    <cellStyle name="Normal 5 12 3 9" xfId="3881"/>
    <cellStyle name="Normal 5 12 4" xfId="510"/>
    <cellStyle name="Normal 5 12 4 2" xfId="1156"/>
    <cellStyle name="Normal 5 12 4 3" xfId="1507"/>
    <cellStyle name="Normal 5 12 4 4" xfId="1942"/>
    <cellStyle name="Normal 5 12 4 5" xfId="2475"/>
    <cellStyle name="Normal 5 12 4 6" xfId="3003"/>
    <cellStyle name="Normal 5 12 4 7" xfId="3531"/>
    <cellStyle name="Normal 5 12 4 8" xfId="4059"/>
    <cellStyle name="Normal 5 12 5" xfId="768"/>
    <cellStyle name="Normal 5 12 5 2" xfId="1591"/>
    <cellStyle name="Normal 5 12 5 3" xfId="2026"/>
    <cellStyle name="Normal 5 12 5 4" xfId="2559"/>
    <cellStyle name="Normal 5 12 5 5" xfId="3087"/>
    <cellStyle name="Normal 5 12 5 6" xfId="3615"/>
    <cellStyle name="Normal 5 12 5 7" xfId="4143"/>
    <cellStyle name="Normal 5 12 6" xfId="889"/>
    <cellStyle name="Normal 5 12 6 2" xfId="4320"/>
    <cellStyle name="Normal 5 12 7" xfId="1240"/>
    <cellStyle name="Normal 5 12 8" xfId="1675"/>
    <cellStyle name="Normal 5 12 9" xfId="2208"/>
    <cellStyle name="Normal 5 13" xfId="234"/>
    <cellStyle name="Normal 5 13 10" xfId="2744"/>
    <cellStyle name="Normal 5 13 11" xfId="3272"/>
    <cellStyle name="Normal 5 13 12" xfId="3800"/>
    <cellStyle name="Normal 5 13 2" xfId="328"/>
    <cellStyle name="Normal 5 13 2 2" xfId="603"/>
    <cellStyle name="Normal 5 13 2 2 2" xfId="2124"/>
    <cellStyle name="Normal 5 13 2 2 3" xfId="2657"/>
    <cellStyle name="Normal 5 13 2 2 4" xfId="3185"/>
    <cellStyle name="Normal 5 13 2 2 5" xfId="3713"/>
    <cellStyle name="Normal 5 13 2 2 6" xfId="4241"/>
    <cellStyle name="Normal 5 13 2 3" xfId="1077"/>
    <cellStyle name="Normal 5 13 2 4" xfId="1428"/>
    <cellStyle name="Normal 5 13 2 5" xfId="1863"/>
    <cellStyle name="Normal 5 13 2 6" xfId="2396"/>
    <cellStyle name="Normal 5 13 2 7" xfId="2924"/>
    <cellStyle name="Normal 5 13 2 8" xfId="3452"/>
    <cellStyle name="Normal 5 13 2 9" xfId="3980"/>
    <cellStyle name="Normal 5 13 3" xfId="425"/>
    <cellStyle name="Normal 5 13 3 2" xfId="688"/>
    <cellStyle name="Normal 5 13 3 3" xfId="986"/>
    <cellStyle name="Normal 5 13 3 4" xfId="1337"/>
    <cellStyle name="Normal 5 13 3 5" xfId="1772"/>
    <cellStyle name="Normal 5 13 3 6" xfId="2305"/>
    <cellStyle name="Normal 5 13 3 7" xfId="2833"/>
    <cellStyle name="Normal 5 13 3 8" xfId="3361"/>
    <cellStyle name="Normal 5 13 3 9" xfId="3889"/>
    <cellStyle name="Normal 5 13 4" xfId="518"/>
    <cellStyle name="Normal 5 13 4 2" xfId="1164"/>
    <cellStyle name="Normal 5 13 4 3" xfId="1515"/>
    <cellStyle name="Normal 5 13 4 4" xfId="1950"/>
    <cellStyle name="Normal 5 13 4 5" xfId="2483"/>
    <cellStyle name="Normal 5 13 4 6" xfId="3011"/>
    <cellStyle name="Normal 5 13 4 7" xfId="3539"/>
    <cellStyle name="Normal 5 13 4 8" xfId="4067"/>
    <cellStyle name="Normal 5 13 5" xfId="776"/>
    <cellStyle name="Normal 5 13 5 2" xfId="1599"/>
    <cellStyle name="Normal 5 13 5 3" xfId="2034"/>
    <cellStyle name="Normal 5 13 5 4" xfId="2567"/>
    <cellStyle name="Normal 5 13 5 5" xfId="3095"/>
    <cellStyle name="Normal 5 13 5 6" xfId="3623"/>
    <cellStyle name="Normal 5 13 5 7" xfId="4151"/>
    <cellStyle name="Normal 5 13 6" xfId="897"/>
    <cellStyle name="Normal 5 13 6 2" xfId="4328"/>
    <cellStyle name="Normal 5 13 7" xfId="1248"/>
    <cellStyle name="Normal 5 13 8" xfId="1683"/>
    <cellStyle name="Normal 5 13 9" xfId="2216"/>
    <cellStyle name="Normal 5 14" xfId="166"/>
    <cellStyle name="Normal 5 14 10" xfId="2676"/>
    <cellStyle name="Normal 5 14 11" xfId="3204"/>
    <cellStyle name="Normal 5 14 12" xfId="3732"/>
    <cellStyle name="Normal 5 14 2" xfId="260"/>
    <cellStyle name="Normal 5 14 2 2" xfId="535"/>
    <cellStyle name="Normal 5 14 2 2 2" xfId="2056"/>
    <cellStyle name="Normal 5 14 2 2 3" xfId="2589"/>
    <cellStyle name="Normal 5 14 2 2 4" xfId="3117"/>
    <cellStyle name="Normal 5 14 2 2 5" xfId="3645"/>
    <cellStyle name="Normal 5 14 2 2 6" xfId="4173"/>
    <cellStyle name="Normal 5 14 2 3" xfId="1009"/>
    <cellStyle name="Normal 5 14 2 4" xfId="1360"/>
    <cellStyle name="Normal 5 14 2 5" xfId="1795"/>
    <cellStyle name="Normal 5 14 2 6" xfId="2328"/>
    <cellStyle name="Normal 5 14 2 7" xfId="2856"/>
    <cellStyle name="Normal 5 14 2 8" xfId="3384"/>
    <cellStyle name="Normal 5 14 2 9" xfId="3912"/>
    <cellStyle name="Normal 5 14 3" xfId="357"/>
    <cellStyle name="Normal 5 14 3 2" xfId="620"/>
    <cellStyle name="Normal 5 14 3 3" xfId="918"/>
    <cellStyle name="Normal 5 14 3 4" xfId="1269"/>
    <cellStyle name="Normal 5 14 3 5" xfId="1704"/>
    <cellStyle name="Normal 5 14 3 6" xfId="2237"/>
    <cellStyle name="Normal 5 14 3 7" xfId="2765"/>
    <cellStyle name="Normal 5 14 3 8" xfId="3293"/>
    <cellStyle name="Normal 5 14 3 9" xfId="3821"/>
    <cellStyle name="Normal 5 14 4" xfId="450"/>
    <cellStyle name="Normal 5 14 4 2" xfId="1096"/>
    <cellStyle name="Normal 5 14 4 3" xfId="1447"/>
    <cellStyle name="Normal 5 14 4 4" xfId="1882"/>
    <cellStyle name="Normal 5 14 4 5" xfId="2415"/>
    <cellStyle name="Normal 5 14 4 6" xfId="2943"/>
    <cellStyle name="Normal 5 14 4 7" xfId="3471"/>
    <cellStyle name="Normal 5 14 4 8" xfId="3999"/>
    <cellStyle name="Normal 5 14 5" xfId="708"/>
    <cellStyle name="Normal 5 14 5 2" xfId="1531"/>
    <cellStyle name="Normal 5 14 5 3" xfId="1966"/>
    <cellStyle name="Normal 5 14 5 4" xfId="2499"/>
    <cellStyle name="Normal 5 14 5 5" xfId="3027"/>
    <cellStyle name="Normal 5 14 5 6" xfId="3555"/>
    <cellStyle name="Normal 5 14 5 7" xfId="4083"/>
    <cellStyle name="Normal 5 14 6" xfId="829"/>
    <cellStyle name="Normal 5 14 6 2" xfId="4260"/>
    <cellStyle name="Normal 5 14 7" xfId="1180"/>
    <cellStyle name="Normal 5 14 8" xfId="1615"/>
    <cellStyle name="Normal 5 14 9" xfId="2148"/>
    <cellStyle name="Normal 5 15" xfId="238"/>
    <cellStyle name="Normal 5 15 10" xfId="2748"/>
    <cellStyle name="Normal 5 15 11" xfId="3276"/>
    <cellStyle name="Normal 5 15 12" xfId="3804"/>
    <cellStyle name="Normal 5 15 2" xfId="332"/>
    <cellStyle name="Normal 5 15 2 2" xfId="607"/>
    <cellStyle name="Normal 5 15 2 2 2" xfId="2128"/>
    <cellStyle name="Normal 5 15 2 2 3" xfId="2661"/>
    <cellStyle name="Normal 5 15 2 2 4" xfId="3189"/>
    <cellStyle name="Normal 5 15 2 2 5" xfId="3717"/>
    <cellStyle name="Normal 5 15 2 2 6" xfId="4245"/>
    <cellStyle name="Normal 5 15 2 3" xfId="1081"/>
    <cellStyle name="Normal 5 15 2 4" xfId="1432"/>
    <cellStyle name="Normal 5 15 2 5" xfId="1867"/>
    <cellStyle name="Normal 5 15 2 6" xfId="2400"/>
    <cellStyle name="Normal 5 15 2 7" xfId="2928"/>
    <cellStyle name="Normal 5 15 2 8" xfId="3456"/>
    <cellStyle name="Normal 5 15 2 9" xfId="3984"/>
    <cellStyle name="Normal 5 15 3" xfId="429"/>
    <cellStyle name="Normal 5 15 3 2" xfId="692"/>
    <cellStyle name="Normal 5 15 3 3" xfId="990"/>
    <cellStyle name="Normal 5 15 3 4" xfId="1341"/>
    <cellStyle name="Normal 5 15 3 5" xfId="1776"/>
    <cellStyle name="Normal 5 15 3 6" xfId="2309"/>
    <cellStyle name="Normal 5 15 3 7" xfId="2837"/>
    <cellStyle name="Normal 5 15 3 8" xfId="3365"/>
    <cellStyle name="Normal 5 15 3 9" xfId="3893"/>
    <cellStyle name="Normal 5 15 4" xfId="522"/>
    <cellStyle name="Normal 5 15 4 2" xfId="1168"/>
    <cellStyle name="Normal 5 15 4 3" xfId="1519"/>
    <cellStyle name="Normal 5 15 4 4" xfId="1954"/>
    <cellStyle name="Normal 5 15 4 5" xfId="2487"/>
    <cellStyle name="Normal 5 15 4 6" xfId="3015"/>
    <cellStyle name="Normal 5 15 4 7" xfId="3543"/>
    <cellStyle name="Normal 5 15 4 8" xfId="4071"/>
    <cellStyle name="Normal 5 15 5" xfId="780"/>
    <cellStyle name="Normal 5 15 5 2" xfId="1603"/>
    <cellStyle name="Normal 5 15 5 3" xfId="2038"/>
    <cellStyle name="Normal 5 15 5 4" xfId="2571"/>
    <cellStyle name="Normal 5 15 5 5" xfId="3099"/>
    <cellStyle name="Normal 5 15 5 6" xfId="3627"/>
    <cellStyle name="Normal 5 15 5 7" xfId="4155"/>
    <cellStyle name="Normal 5 15 6" xfId="901"/>
    <cellStyle name="Normal 5 15 6 2" xfId="4332"/>
    <cellStyle name="Normal 5 15 7" xfId="1252"/>
    <cellStyle name="Normal 5 15 8" xfId="1687"/>
    <cellStyle name="Normal 5 15 9" xfId="2220"/>
    <cellStyle name="Normal 5 16" xfId="252"/>
    <cellStyle name="Normal 5 16 2" xfId="527"/>
    <cellStyle name="Normal 5 16 2 2" xfId="2048"/>
    <cellStyle name="Normal 5 16 2 3" xfId="2581"/>
    <cellStyle name="Normal 5 16 2 4" xfId="3109"/>
    <cellStyle name="Normal 5 16 2 5" xfId="3637"/>
    <cellStyle name="Normal 5 16 2 6" xfId="4165"/>
    <cellStyle name="Normal 5 16 3" xfId="1001"/>
    <cellStyle name="Normal 5 16 4" xfId="1352"/>
    <cellStyle name="Normal 5 16 5" xfId="1787"/>
    <cellStyle name="Normal 5 16 6" xfId="2320"/>
    <cellStyle name="Normal 5 16 7" xfId="2848"/>
    <cellStyle name="Normal 5 16 8" xfId="3376"/>
    <cellStyle name="Normal 5 16 9" xfId="3904"/>
    <cellStyle name="Normal 5 17" xfId="349"/>
    <cellStyle name="Normal 5 17 2" xfId="612"/>
    <cellStyle name="Normal 5 17 3" xfId="910"/>
    <cellStyle name="Normal 5 17 4" xfId="1261"/>
    <cellStyle name="Normal 5 17 5" xfId="1696"/>
    <cellStyle name="Normal 5 17 6" xfId="2229"/>
    <cellStyle name="Normal 5 17 7" xfId="2757"/>
    <cellStyle name="Normal 5 17 8" xfId="3285"/>
    <cellStyle name="Normal 5 17 9" xfId="3813"/>
    <cellStyle name="Normal 5 18" xfId="442"/>
    <cellStyle name="Normal 5 18 2" xfId="1088"/>
    <cellStyle name="Normal 5 18 3" xfId="1439"/>
    <cellStyle name="Normal 5 18 4" xfId="1874"/>
    <cellStyle name="Normal 5 18 5" xfId="2407"/>
    <cellStyle name="Normal 5 18 6" xfId="2935"/>
    <cellStyle name="Normal 5 18 7" xfId="3463"/>
    <cellStyle name="Normal 5 18 8" xfId="3991"/>
    <cellStyle name="Normal 5 19" xfId="700"/>
    <cellStyle name="Normal 5 19 2" xfId="1523"/>
    <cellStyle name="Normal 5 19 3" xfId="1958"/>
    <cellStyle name="Normal 5 19 4" xfId="2491"/>
    <cellStyle name="Normal 5 19 5" xfId="3019"/>
    <cellStyle name="Normal 5 19 6" xfId="3547"/>
    <cellStyle name="Normal 5 19 7" xfId="4075"/>
    <cellStyle name="Normal 5 2" xfId="162"/>
    <cellStyle name="Normal 5 2 10" xfId="446"/>
    <cellStyle name="Normal 5 2 10 2" xfId="1092"/>
    <cellStyle name="Normal 5 2 10 3" xfId="1443"/>
    <cellStyle name="Normal 5 2 10 4" xfId="1878"/>
    <cellStyle name="Normal 5 2 10 5" xfId="2411"/>
    <cellStyle name="Normal 5 2 10 6" xfId="2939"/>
    <cellStyle name="Normal 5 2 10 7" xfId="3467"/>
    <cellStyle name="Normal 5 2 10 8" xfId="3995"/>
    <cellStyle name="Normal 5 2 11" xfId="704"/>
    <cellStyle name="Normal 5 2 11 2" xfId="1527"/>
    <cellStyle name="Normal 5 2 11 3" xfId="1962"/>
    <cellStyle name="Normal 5 2 11 4" xfId="2495"/>
    <cellStyle name="Normal 5 2 11 5" xfId="3023"/>
    <cellStyle name="Normal 5 2 11 6" xfId="3551"/>
    <cellStyle name="Normal 5 2 11 7" xfId="4079"/>
    <cellStyle name="Normal 5 2 12" xfId="825"/>
    <cellStyle name="Normal 5 2 12 2" xfId="4256"/>
    <cellStyle name="Normal 5 2 13" xfId="1176"/>
    <cellStyle name="Normal 5 2 14" xfId="1611"/>
    <cellStyle name="Normal 5 2 15" xfId="2144"/>
    <cellStyle name="Normal 5 2 16" xfId="2672"/>
    <cellStyle name="Normal 5 2 17" xfId="3200"/>
    <cellStyle name="Normal 5 2 18" xfId="3728"/>
    <cellStyle name="Normal 5 2 2" xfId="198"/>
    <cellStyle name="Normal 5 2 2 10" xfId="2708"/>
    <cellStyle name="Normal 5 2 2 11" xfId="3236"/>
    <cellStyle name="Normal 5 2 2 12" xfId="3764"/>
    <cellStyle name="Normal 5 2 2 2" xfId="292"/>
    <cellStyle name="Normal 5 2 2 2 2" xfId="567"/>
    <cellStyle name="Normal 5 2 2 2 2 2" xfId="2088"/>
    <cellStyle name="Normal 5 2 2 2 2 3" xfId="2621"/>
    <cellStyle name="Normal 5 2 2 2 2 4" xfId="3149"/>
    <cellStyle name="Normal 5 2 2 2 2 5" xfId="3677"/>
    <cellStyle name="Normal 5 2 2 2 2 6" xfId="4205"/>
    <cellStyle name="Normal 5 2 2 2 3" xfId="1041"/>
    <cellStyle name="Normal 5 2 2 2 4" xfId="1392"/>
    <cellStyle name="Normal 5 2 2 2 5" xfId="1827"/>
    <cellStyle name="Normal 5 2 2 2 6" xfId="2360"/>
    <cellStyle name="Normal 5 2 2 2 7" xfId="2888"/>
    <cellStyle name="Normal 5 2 2 2 8" xfId="3416"/>
    <cellStyle name="Normal 5 2 2 2 9" xfId="3944"/>
    <cellStyle name="Normal 5 2 2 3" xfId="389"/>
    <cellStyle name="Normal 5 2 2 3 2" xfId="652"/>
    <cellStyle name="Normal 5 2 2 3 3" xfId="950"/>
    <cellStyle name="Normal 5 2 2 3 4" xfId="1301"/>
    <cellStyle name="Normal 5 2 2 3 5" xfId="1736"/>
    <cellStyle name="Normal 5 2 2 3 6" xfId="2269"/>
    <cellStyle name="Normal 5 2 2 3 7" xfId="2797"/>
    <cellStyle name="Normal 5 2 2 3 8" xfId="3325"/>
    <cellStyle name="Normal 5 2 2 3 9" xfId="3853"/>
    <cellStyle name="Normal 5 2 2 4" xfId="482"/>
    <cellStyle name="Normal 5 2 2 4 2" xfId="1128"/>
    <cellStyle name="Normal 5 2 2 4 3" xfId="1479"/>
    <cellStyle name="Normal 5 2 2 4 4" xfId="1914"/>
    <cellStyle name="Normal 5 2 2 4 5" xfId="2447"/>
    <cellStyle name="Normal 5 2 2 4 6" xfId="2975"/>
    <cellStyle name="Normal 5 2 2 4 7" xfId="3503"/>
    <cellStyle name="Normal 5 2 2 4 8" xfId="4031"/>
    <cellStyle name="Normal 5 2 2 5" xfId="740"/>
    <cellStyle name="Normal 5 2 2 5 2" xfId="1563"/>
    <cellStyle name="Normal 5 2 2 5 3" xfId="1998"/>
    <cellStyle name="Normal 5 2 2 5 4" xfId="2531"/>
    <cellStyle name="Normal 5 2 2 5 5" xfId="3059"/>
    <cellStyle name="Normal 5 2 2 5 6" xfId="3587"/>
    <cellStyle name="Normal 5 2 2 5 7" xfId="4115"/>
    <cellStyle name="Normal 5 2 2 6" xfId="861"/>
    <cellStyle name="Normal 5 2 2 6 2" xfId="4292"/>
    <cellStyle name="Normal 5 2 2 7" xfId="1212"/>
    <cellStyle name="Normal 5 2 2 8" xfId="1647"/>
    <cellStyle name="Normal 5 2 2 9" xfId="2180"/>
    <cellStyle name="Normal 5 2 3" xfId="206"/>
    <cellStyle name="Normal 5 2 3 10" xfId="2716"/>
    <cellStyle name="Normal 5 2 3 11" xfId="3244"/>
    <cellStyle name="Normal 5 2 3 12" xfId="3772"/>
    <cellStyle name="Normal 5 2 3 2" xfId="300"/>
    <cellStyle name="Normal 5 2 3 2 2" xfId="575"/>
    <cellStyle name="Normal 5 2 3 2 2 2" xfId="2096"/>
    <cellStyle name="Normal 5 2 3 2 2 3" xfId="2629"/>
    <cellStyle name="Normal 5 2 3 2 2 4" xfId="3157"/>
    <cellStyle name="Normal 5 2 3 2 2 5" xfId="3685"/>
    <cellStyle name="Normal 5 2 3 2 2 6" xfId="4213"/>
    <cellStyle name="Normal 5 2 3 2 3" xfId="1049"/>
    <cellStyle name="Normal 5 2 3 2 4" xfId="1400"/>
    <cellStyle name="Normal 5 2 3 2 5" xfId="1835"/>
    <cellStyle name="Normal 5 2 3 2 6" xfId="2368"/>
    <cellStyle name="Normal 5 2 3 2 7" xfId="2896"/>
    <cellStyle name="Normal 5 2 3 2 8" xfId="3424"/>
    <cellStyle name="Normal 5 2 3 2 9" xfId="3952"/>
    <cellStyle name="Normal 5 2 3 3" xfId="397"/>
    <cellStyle name="Normal 5 2 3 3 2" xfId="660"/>
    <cellStyle name="Normal 5 2 3 3 3" xfId="958"/>
    <cellStyle name="Normal 5 2 3 3 4" xfId="1309"/>
    <cellStyle name="Normal 5 2 3 3 5" xfId="1744"/>
    <cellStyle name="Normal 5 2 3 3 6" xfId="2277"/>
    <cellStyle name="Normal 5 2 3 3 7" xfId="2805"/>
    <cellStyle name="Normal 5 2 3 3 8" xfId="3333"/>
    <cellStyle name="Normal 5 2 3 3 9" xfId="3861"/>
    <cellStyle name="Normal 5 2 3 4" xfId="490"/>
    <cellStyle name="Normal 5 2 3 4 2" xfId="1136"/>
    <cellStyle name="Normal 5 2 3 4 3" xfId="1487"/>
    <cellStyle name="Normal 5 2 3 4 4" xfId="1922"/>
    <cellStyle name="Normal 5 2 3 4 5" xfId="2455"/>
    <cellStyle name="Normal 5 2 3 4 6" xfId="2983"/>
    <cellStyle name="Normal 5 2 3 4 7" xfId="3511"/>
    <cellStyle name="Normal 5 2 3 4 8" xfId="4039"/>
    <cellStyle name="Normal 5 2 3 5" xfId="748"/>
    <cellStyle name="Normal 5 2 3 5 2" xfId="1571"/>
    <cellStyle name="Normal 5 2 3 5 3" xfId="2006"/>
    <cellStyle name="Normal 5 2 3 5 4" xfId="2539"/>
    <cellStyle name="Normal 5 2 3 5 5" xfId="3067"/>
    <cellStyle name="Normal 5 2 3 5 6" xfId="3595"/>
    <cellStyle name="Normal 5 2 3 5 7" xfId="4123"/>
    <cellStyle name="Normal 5 2 3 6" xfId="869"/>
    <cellStyle name="Normal 5 2 3 6 2" xfId="4300"/>
    <cellStyle name="Normal 5 2 3 7" xfId="1220"/>
    <cellStyle name="Normal 5 2 3 8" xfId="1655"/>
    <cellStyle name="Normal 5 2 3 9" xfId="2188"/>
    <cellStyle name="Normal 5 2 4" xfId="214"/>
    <cellStyle name="Normal 5 2 4 10" xfId="2724"/>
    <cellStyle name="Normal 5 2 4 11" xfId="3252"/>
    <cellStyle name="Normal 5 2 4 12" xfId="3780"/>
    <cellStyle name="Normal 5 2 4 2" xfId="308"/>
    <cellStyle name="Normal 5 2 4 2 2" xfId="583"/>
    <cellStyle name="Normal 5 2 4 2 2 2" xfId="2104"/>
    <cellStyle name="Normal 5 2 4 2 2 3" xfId="2637"/>
    <cellStyle name="Normal 5 2 4 2 2 4" xfId="3165"/>
    <cellStyle name="Normal 5 2 4 2 2 5" xfId="3693"/>
    <cellStyle name="Normal 5 2 4 2 2 6" xfId="4221"/>
    <cellStyle name="Normal 5 2 4 2 3" xfId="1057"/>
    <cellStyle name="Normal 5 2 4 2 4" xfId="1408"/>
    <cellStyle name="Normal 5 2 4 2 5" xfId="1843"/>
    <cellStyle name="Normal 5 2 4 2 6" xfId="2376"/>
    <cellStyle name="Normal 5 2 4 2 7" xfId="2904"/>
    <cellStyle name="Normal 5 2 4 2 8" xfId="3432"/>
    <cellStyle name="Normal 5 2 4 2 9" xfId="3960"/>
    <cellStyle name="Normal 5 2 4 3" xfId="405"/>
    <cellStyle name="Normal 5 2 4 3 2" xfId="668"/>
    <cellStyle name="Normal 5 2 4 3 3" xfId="966"/>
    <cellStyle name="Normal 5 2 4 3 4" xfId="1317"/>
    <cellStyle name="Normal 5 2 4 3 5" xfId="1752"/>
    <cellStyle name="Normal 5 2 4 3 6" xfId="2285"/>
    <cellStyle name="Normal 5 2 4 3 7" xfId="2813"/>
    <cellStyle name="Normal 5 2 4 3 8" xfId="3341"/>
    <cellStyle name="Normal 5 2 4 3 9" xfId="3869"/>
    <cellStyle name="Normal 5 2 4 4" xfId="498"/>
    <cellStyle name="Normal 5 2 4 4 2" xfId="1144"/>
    <cellStyle name="Normal 5 2 4 4 3" xfId="1495"/>
    <cellStyle name="Normal 5 2 4 4 4" xfId="1930"/>
    <cellStyle name="Normal 5 2 4 4 5" xfId="2463"/>
    <cellStyle name="Normal 5 2 4 4 6" xfId="2991"/>
    <cellStyle name="Normal 5 2 4 4 7" xfId="3519"/>
    <cellStyle name="Normal 5 2 4 4 8" xfId="4047"/>
    <cellStyle name="Normal 5 2 4 5" xfId="756"/>
    <cellStyle name="Normal 5 2 4 5 2" xfId="1579"/>
    <cellStyle name="Normal 5 2 4 5 3" xfId="2014"/>
    <cellStyle name="Normal 5 2 4 5 4" xfId="2547"/>
    <cellStyle name="Normal 5 2 4 5 5" xfId="3075"/>
    <cellStyle name="Normal 5 2 4 5 6" xfId="3603"/>
    <cellStyle name="Normal 5 2 4 5 7" xfId="4131"/>
    <cellStyle name="Normal 5 2 4 6" xfId="877"/>
    <cellStyle name="Normal 5 2 4 6 2" xfId="4308"/>
    <cellStyle name="Normal 5 2 4 7" xfId="1228"/>
    <cellStyle name="Normal 5 2 4 8" xfId="1663"/>
    <cellStyle name="Normal 5 2 4 9" xfId="2196"/>
    <cellStyle name="Normal 5 2 5" xfId="222"/>
    <cellStyle name="Normal 5 2 5 10" xfId="2732"/>
    <cellStyle name="Normal 5 2 5 11" xfId="3260"/>
    <cellStyle name="Normal 5 2 5 12" xfId="3788"/>
    <cellStyle name="Normal 5 2 5 2" xfId="316"/>
    <cellStyle name="Normal 5 2 5 2 2" xfId="591"/>
    <cellStyle name="Normal 5 2 5 2 2 2" xfId="2112"/>
    <cellStyle name="Normal 5 2 5 2 2 3" xfId="2645"/>
    <cellStyle name="Normal 5 2 5 2 2 4" xfId="3173"/>
    <cellStyle name="Normal 5 2 5 2 2 5" xfId="3701"/>
    <cellStyle name="Normal 5 2 5 2 2 6" xfId="4229"/>
    <cellStyle name="Normal 5 2 5 2 3" xfId="1065"/>
    <cellStyle name="Normal 5 2 5 2 4" xfId="1416"/>
    <cellStyle name="Normal 5 2 5 2 5" xfId="1851"/>
    <cellStyle name="Normal 5 2 5 2 6" xfId="2384"/>
    <cellStyle name="Normal 5 2 5 2 7" xfId="2912"/>
    <cellStyle name="Normal 5 2 5 2 8" xfId="3440"/>
    <cellStyle name="Normal 5 2 5 2 9" xfId="3968"/>
    <cellStyle name="Normal 5 2 5 3" xfId="413"/>
    <cellStyle name="Normal 5 2 5 3 2" xfId="676"/>
    <cellStyle name="Normal 5 2 5 3 3" xfId="974"/>
    <cellStyle name="Normal 5 2 5 3 4" xfId="1325"/>
    <cellStyle name="Normal 5 2 5 3 5" xfId="1760"/>
    <cellStyle name="Normal 5 2 5 3 6" xfId="2293"/>
    <cellStyle name="Normal 5 2 5 3 7" xfId="2821"/>
    <cellStyle name="Normal 5 2 5 3 8" xfId="3349"/>
    <cellStyle name="Normal 5 2 5 3 9" xfId="3877"/>
    <cellStyle name="Normal 5 2 5 4" xfId="506"/>
    <cellStyle name="Normal 5 2 5 4 2" xfId="1152"/>
    <cellStyle name="Normal 5 2 5 4 3" xfId="1503"/>
    <cellStyle name="Normal 5 2 5 4 4" xfId="1938"/>
    <cellStyle name="Normal 5 2 5 4 5" xfId="2471"/>
    <cellStyle name="Normal 5 2 5 4 6" xfId="2999"/>
    <cellStyle name="Normal 5 2 5 4 7" xfId="3527"/>
    <cellStyle name="Normal 5 2 5 4 8" xfId="4055"/>
    <cellStyle name="Normal 5 2 5 5" xfId="764"/>
    <cellStyle name="Normal 5 2 5 5 2" xfId="1587"/>
    <cellStyle name="Normal 5 2 5 5 3" xfId="2022"/>
    <cellStyle name="Normal 5 2 5 5 4" xfId="2555"/>
    <cellStyle name="Normal 5 2 5 5 5" xfId="3083"/>
    <cellStyle name="Normal 5 2 5 5 6" xfId="3611"/>
    <cellStyle name="Normal 5 2 5 5 7" xfId="4139"/>
    <cellStyle name="Normal 5 2 5 6" xfId="885"/>
    <cellStyle name="Normal 5 2 5 6 2" xfId="4316"/>
    <cellStyle name="Normal 5 2 5 7" xfId="1236"/>
    <cellStyle name="Normal 5 2 5 8" xfId="1671"/>
    <cellStyle name="Normal 5 2 5 9" xfId="2204"/>
    <cellStyle name="Normal 5 2 6" xfId="230"/>
    <cellStyle name="Normal 5 2 6 10" xfId="2740"/>
    <cellStyle name="Normal 5 2 6 11" xfId="3268"/>
    <cellStyle name="Normal 5 2 6 12" xfId="3796"/>
    <cellStyle name="Normal 5 2 6 2" xfId="324"/>
    <cellStyle name="Normal 5 2 6 2 2" xfId="599"/>
    <cellStyle name="Normal 5 2 6 2 2 2" xfId="2120"/>
    <cellStyle name="Normal 5 2 6 2 2 3" xfId="2653"/>
    <cellStyle name="Normal 5 2 6 2 2 4" xfId="3181"/>
    <cellStyle name="Normal 5 2 6 2 2 5" xfId="3709"/>
    <cellStyle name="Normal 5 2 6 2 2 6" xfId="4237"/>
    <cellStyle name="Normal 5 2 6 2 3" xfId="1073"/>
    <cellStyle name="Normal 5 2 6 2 4" xfId="1424"/>
    <cellStyle name="Normal 5 2 6 2 5" xfId="1859"/>
    <cellStyle name="Normal 5 2 6 2 6" xfId="2392"/>
    <cellStyle name="Normal 5 2 6 2 7" xfId="2920"/>
    <cellStyle name="Normal 5 2 6 2 8" xfId="3448"/>
    <cellStyle name="Normal 5 2 6 2 9" xfId="3976"/>
    <cellStyle name="Normal 5 2 6 3" xfId="421"/>
    <cellStyle name="Normal 5 2 6 3 2" xfId="684"/>
    <cellStyle name="Normal 5 2 6 3 3" xfId="982"/>
    <cellStyle name="Normal 5 2 6 3 4" xfId="1333"/>
    <cellStyle name="Normal 5 2 6 3 5" xfId="1768"/>
    <cellStyle name="Normal 5 2 6 3 6" xfId="2301"/>
    <cellStyle name="Normal 5 2 6 3 7" xfId="2829"/>
    <cellStyle name="Normal 5 2 6 3 8" xfId="3357"/>
    <cellStyle name="Normal 5 2 6 3 9" xfId="3885"/>
    <cellStyle name="Normal 5 2 6 4" xfId="514"/>
    <cellStyle name="Normal 5 2 6 4 2" xfId="1160"/>
    <cellStyle name="Normal 5 2 6 4 3" xfId="1511"/>
    <cellStyle name="Normal 5 2 6 4 4" xfId="1946"/>
    <cellStyle name="Normal 5 2 6 4 5" xfId="2479"/>
    <cellStyle name="Normal 5 2 6 4 6" xfId="3007"/>
    <cellStyle name="Normal 5 2 6 4 7" xfId="3535"/>
    <cellStyle name="Normal 5 2 6 4 8" xfId="4063"/>
    <cellStyle name="Normal 5 2 6 5" xfId="772"/>
    <cellStyle name="Normal 5 2 6 5 2" xfId="1595"/>
    <cellStyle name="Normal 5 2 6 5 3" xfId="2030"/>
    <cellStyle name="Normal 5 2 6 5 4" xfId="2563"/>
    <cellStyle name="Normal 5 2 6 5 5" xfId="3091"/>
    <cellStyle name="Normal 5 2 6 5 6" xfId="3619"/>
    <cellStyle name="Normal 5 2 6 5 7" xfId="4147"/>
    <cellStyle name="Normal 5 2 6 6" xfId="893"/>
    <cellStyle name="Normal 5 2 6 6 2" xfId="4324"/>
    <cellStyle name="Normal 5 2 6 7" xfId="1244"/>
    <cellStyle name="Normal 5 2 6 8" xfId="1679"/>
    <cellStyle name="Normal 5 2 6 9" xfId="2212"/>
    <cellStyle name="Normal 5 2 7" xfId="170"/>
    <cellStyle name="Normal 5 2 7 10" xfId="2680"/>
    <cellStyle name="Normal 5 2 7 11" xfId="3208"/>
    <cellStyle name="Normal 5 2 7 12" xfId="3736"/>
    <cellStyle name="Normal 5 2 7 2" xfId="264"/>
    <cellStyle name="Normal 5 2 7 2 2" xfId="539"/>
    <cellStyle name="Normal 5 2 7 2 2 2" xfId="2060"/>
    <cellStyle name="Normal 5 2 7 2 2 3" xfId="2593"/>
    <cellStyle name="Normal 5 2 7 2 2 4" xfId="3121"/>
    <cellStyle name="Normal 5 2 7 2 2 5" xfId="3649"/>
    <cellStyle name="Normal 5 2 7 2 2 6" xfId="4177"/>
    <cellStyle name="Normal 5 2 7 2 3" xfId="1013"/>
    <cellStyle name="Normal 5 2 7 2 4" xfId="1364"/>
    <cellStyle name="Normal 5 2 7 2 5" xfId="1799"/>
    <cellStyle name="Normal 5 2 7 2 6" xfId="2332"/>
    <cellStyle name="Normal 5 2 7 2 7" xfId="2860"/>
    <cellStyle name="Normal 5 2 7 2 8" xfId="3388"/>
    <cellStyle name="Normal 5 2 7 2 9" xfId="3916"/>
    <cellStyle name="Normal 5 2 7 3" xfId="361"/>
    <cellStyle name="Normal 5 2 7 3 2" xfId="624"/>
    <cellStyle name="Normal 5 2 7 3 3" xfId="922"/>
    <cellStyle name="Normal 5 2 7 3 4" xfId="1273"/>
    <cellStyle name="Normal 5 2 7 3 5" xfId="1708"/>
    <cellStyle name="Normal 5 2 7 3 6" xfId="2241"/>
    <cellStyle name="Normal 5 2 7 3 7" xfId="2769"/>
    <cellStyle name="Normal 5 2 7 3 8" xfId="3297"/>
    <cellStyle name="Normal 5 2 7 3 9" xfId="3825"/>
    <cellStyle name="Normal 5 2 7 4" xfId="454"/>
    <cellStyle name="Normal 5 2 7 4 2" xfId="1100"/>
    <cellStyle name="Normal 5 2 7 4 3" xfId="1451"/>
    <cellStyle name="Normal 5 2 7 4 4" xfId="1886"/>
    <cellStyle name="Normal 5 2 7 4 5" xfId="2419"/>
    <cellStyle name="Normal 5 2 7 4 6" xfId="2947"/>
    <cellStyle name="Normal 5 2 7 4 7" xfId="3475"/>
    <cellStyle name="Normal 5 2 7 4 8" xfId="4003"/>
    <cellStyle name="Normal 5 2 7 5" xfId="712"/>
    <cellStyle name="Normal 5 2 7 5 2" xfId="1535"/>
    <cellStyle name="Normal 5 2 7 5 3" xfId="1970"/>
    <cellStyle name="Normal 5 2 7 5 4" xfId="2503"/>
    <cellStyle name="Normal 5 2 7 5 5" xfId="3031"/>
    <cellStyle name="Normal 5 2 7 5 6" xfId="3559"/>
    <cellStyle name="Normal 5 2 7 5 7" xfId="4087"/>
    <cellStyle name="Normal 5 2 7 6" xfId="833"/>
    <cellStyle name="Normal 5 2 7 6 2" xfId="4264"/>
    <cellStyle name="Normal 5 2 7 7" xfId="1184"/>
    <cellStyle name="Normal 5 2 7 8" xfId="1619"/>
    <cellStyle name="Normal 5 2 7 9" xfId="2152"/>
    <cellStyle name="Normal 5 2 8" xfId="256"/>
    <cellStyle name="Normal 5 2 8 2" xfId="531"/>
    <cellStyle name="Normal 5 2 8 2 2" xfId="2052"/>
    <cellStyle name="Normal 5 2 8 2 3" xfId="2585"/>
    <cellStyle name="Normal 5 2 8 2 4" xfId="3113"/>
    <cellStyle name="Normal 5 2 8 2 5" xfId="3641"/>
    <cellStyle name="Normal 5 2 8 2 6" xfId="4169"/>
    <cellStyle name="Normal 5 2 8 3" xfId="1005"/>
    <cellStyle name="Normal 5 2 8 4" xfId="1356"/>
    <cellStyle name="Normal 5 2 8 5" xfId="1791"/>
    <cellStyle name="Normal 5 2 8 6" xfId="2324"/>
    <cellStyle name="Normal 5 2 8 7" xfId="2852"/>
    <cellStyle name="Normal 5 2 8 8" xfId="3380"/>
    <cellStyle name="Normal 5 2 8 9" xfId="3908"/>
    <cellStyle name="Normal 5 2 9" xfId="353"/>
    <cellStyle name="Normal 5 2 9 2" xfId="616"/>
    <cellStyle name="Normal 5 2 9 3" xfId="914"/>
    <cellStyle name="Normal 5 2 9 4" xfId="1265"/>
    <cellStyle name="Normal 5 2 9 5" xfId="1700"/>
    <cellStyle name="Normal 5 2 9 6" xfId="2233"/>
    <cellStyle name="Normal 5 2 9 7" xfId="2761"/>
    <cellStyle name="Normal 5 2 9 8" xfId="3289"/>
    <cellStyle name="Normal 5 2 9 9" xfId="3817"/>
    <cellStyle name="Normal 5 20" xfId="821"/>
    <cellStyle name="Normal 5 20 2" xfId="4252"/>
    <cellStyle name="Normal 5 21" xfId="1172"/>
    <cellStyle name="Normal 5 22" xfId="1607"/>
    <cellStyle name="Normal 5 23" xfId="2140"/>
    <cellStyle name="Normal 5 24" xfId="2668"/>
    <cellStyle name="Normal 5 25" xfId="3196"/>
    <cellStyle name="Normal 5 26" xfId="3724"/>
    <cellStyle name="Normal 5 3" xfId="174"/>
    <cellStyle name="Normal 5 3 10" xfId="2684"/>
    <cellStyle name="Normal 5 3 11" xfId="3212"/>
    <cellStyle name="Normal 5 3 12" xfId="3740"/>
    <cellStyle name="Normal 5 3 2" xfId="268"/>
    <cellStyle name="Normal 5 3 2 2" xfId="543"/>
    <cellStyle name="Normal 5 3 2 2 2" xfId="2064"/>
    <cellStyle name="Normal 5 3 2 2 3" xfId="2597"/>
    <cellStyle name="Normal 5 3 2 2 4" xfId="3125"/>
    <cellStyle name="Normal 5 3 2 2 5" xfId="3653"/>
    <cellStyle name="Normal 5 3 2 2 6" xfId="4181"/>
    <cellStyle name="Normal 5 3 2 3" xfId="1017"/>
    <cellStyle name="Normal 5 3 2 4" xfId="1368"/>
    <cellStyle name="Normal 5 3 2 5" xfId="1803"/>
    <cellStyle name="Normal 5 3 2 6" xfId="2336"/>
    <cellStyle name="Normal 5 3 2 7" xfId="2864"/>
    <cellStyle name="Normal 5 3 2 8" xfId="3392"/>
    <cellStyle name="Normal 5 3 2 9" xfId="3920"/>
    <cellStyle name="Normal 5 3 3" xfId="365"/>
    <cellStyle name="Normal 5 3 3 2" xfId="628"/>
    <cellStyle name="Normal 5 3 3 3" xfId="926"/>
    <cellStyle name="Normal 5 3 3 4" xfId="1277"/>
    <cellStyle name="Normal 5 3 3 5" xfId="1712"/>
    <cellStyle name="Normal 5 3 3 6" xfId="2245"/>
    <cellStyle name="Normal 5 3 3 7" xfId="2773"/>
    <cellStyle name="Normal 5 3 3 8" xfId="3301"/>
    <cellStyle name="Normal 5 3 3 9" xfId="3829"/>
    <cellStyle name="Normal 5 3 4" xfId="458"/>
    <cellStyle name="Normal 5 3 4 2" xfId="1104"/>
    <cellStyle name="Normal 5 3 4 3" xfId="1455"/>
    <cellStyle name="Normal 5 3 4 4" xfId="1890"/>
    <cellStyle name="Normal 5 3 4 5" xfId="2423"/>
    <cellStyle name="Normal 5 3 4 6" xfId="2951"/>
    <cellStyle name="Normal 5 3 4 7" xfId="3479"/>
    <cellStyle name="Normal 5 3 4 8" xfId="4007"/>
    <cellStyle name="Normal 5 3 5" xfId="716"/>
    <cellStyle name="Normal 5 3 5 2" xfId="1539"/>
    <cellStyle name="Normal 5 3 5 3" xfId="1974"/>
    <cellStyle name="Normal 5 3 5 4" xfId="2507"/>
    <cellStyle name="Normal 5 3 5 5" xfId="3035"/>
    <cellStyle name="Normal 5 3 5 6" xfId="3563"/>
    <cellStyle name="Normal 5 3 5 7" xfId="4091"/>
    <cellStyle name="Normal 5 3 6" xfId="837"/>
    <cellStyle name="Normal 5 3 6 2" xfId="4268"/>
    <cellStyle name="Normal 5 3 7" xfId="1188"/>
    <cellStyle name="Normal 5 3 8" xfId="1623"/>
    <cellStyle name="Normal 5 3 9" xfId="2156"/>
    <cellStyle name="Normal 5 4" xfId="178"/>
    <cellStyle name="Normal 5 4 10" xfId="2688"/>
    <cellStyle name="Normal 5 4 11" xfId="3216"/>
    <cellStyle name="Normal 5 4 12" xfId="3744"/>
    <cellStyle name="Normal 5 4 2" xfId="272"/>
    <cellStyle name="Normal 5 4 2 2" xfId="547"/>
    <cellStyle name="Normal 5 4 2 2 2" xfId="2068"/>
    <cellStyle name="Normal 5 4 2 2 3" xfId="2601"/>
    <cellStyle name="Normal 5 4 2 2 4" xfId="3129"/>
    <cellStyle name="Normal 5 4 2 2 5" xfId="3657"/>
    <cellStyle name="Normal 5 4 2 2 6" xfId="4185"/>
    <cellStyle name="Normal 5 4 2 3" xfId="1021"/>
    <cellStyle name="Normal 5 4 2 4" xfId="1372"/>
    <cellStyle name="Normal 5 4 2 5" xfId="1807"/>
    <cellStyle name="Normal 5 4 2 6" xfId="2340"/>
    <cellStyle name="Normal 5 4 2 7" xfId="2868"/>
    <cellStyle name="Normal 5 4 2 8" xfId="3396"/>
    <cellStyle name="Normal 5 4 2 9" xfId="3924"/>
    <cellStyle name="Normal 5 4 3" xfId="369"/>
    <cellStyle name="Normal 5 4 3 2" xfId="632"/>
    <cellStyle name="Normal 5 4 3 3" xfId="930"/>
    <cellStyle name="Normal 5 4 3 4" xfId="1281"/>
    <cellStyle name="Normal 5 4 3 5" xfId="1716"/>
    <cellStyle name="Normal 5 4 3 6" xfId="2249"/>
    <cellStyle name="Normal 5 4 3 7" xfId="2777"/>
    <cellStyle name="Normal 5 4 3 8" xfId="3305"/>
    <cellStyle name="Normal 5 4 3 9" xfId="3833"/>
    <cellStyle name="Normal 5 4 4" xfId="462"/>
    <cellStyle name="Normal 5 4 4 2" xfId="1108"/>
    <cellStyle name="Normal 5 4 4 3" xfId="1459"/>
    <cellStyle name="Normal 5 4 4 4" xfId="1894"/>
    <cellStyle name="Normal 5 4 4 5" xfId="2427"/>
    <cellStyle name="Normal 5 4 4 6" xfId="2955"/>
    <cellStyle name="Normal 5 4 4 7" xfId="3483"/>
    <cellStyle name="Normal 5 4 4 8" xfId="4011"/>
    <cellStyle name="Normal 5 4 5" xfId="720"/>
    <cellStyle name="Normal 5 4 5 2" xfId="1543"/>
    <cellStyle name="Normal 5 4 5 3" xfId="1978"/>
    <cellStyle name="Normal 5 4 5 4" xfId="2511"/>
    <cellStyle name="Normal 5 4 5 5" xfId="3039"/>
    <cellStyle name="Normal 5 4 5 6" xfId="3567"/>
    <cellStyle name="Normal 5 4 5 7" xfId="4095"/>
    <cellStyle name="Normal 5 4 6" xfId="841"/>
    <cellStyle name="Normal 5 4 6 2" xfId="4272"/>
    <cellStyle name="Normal 5 4 7" xfId="1192"/>
    <cellStyle name="Normal 5 4 8" xfId="1627"/>
    <cellStyle name="Normal 5 4 9" xfId="2160"/>
    <cellStyle name="Normal 5 5" xfId="182"/>
    <cellStyle name="Normal 5 5 10" xfId="2692"/>
    <cellStyle name="Normal 5 5 11" xfId="3220"/>
    <cellStyle name="Normal 5 5 12" xfId="3748"/>
    <cellStyle name="Normal 5 5 2" xfId="276"/>
    <cellStyle name="Normal 5 5 2 2" xfId="551"/>
    <cellStyle name="Normal 5 5 2 2 2" xfId="2072"/>
    <cellStyle name="Normal 5 5 2 2 3" xfId="2605"/>
    <cellStyle name="Normal 5 5 2 2 4" xfId="3133"/>
    <cellStyle name="Normal 5 5 2 2 5" xfId="3661"/>
    <cellStyle name="Normal 5 5 2 2 6" xfId="4189"/>
    <cellStyle name="Normal 5 5 2 3" xfId="1025"/>
    <cellStyle name="Normal 5 5 2 4" xfId="1376"/>
    <cellStyle name="Normal 5 5 2 5" xfId="1811"/>
    <cellStyle name="Normal 5 5 2 6" xfId="2344"/>
    <cellStyle name="Normal 5 5 2 7" xfId="2872"/>
    <cellStyle name="Normal 5 5 2 8" xfId="3400"/>
    <cellStyle name="Normal 5 5 2 9" xfId="3928"/>
    <cellStyle name="Normal 5 5 3" xfId="373"/>
    <cellStyle name="Normal 5 5 3 2" xfId="636"/>
    <cellStyle name="Normal 5 5 3 3" xfId="934"/>
    <cellStyle name="Normal 5 5 3 4" xfId="1285"/>
    <cellStyle name="Normal 5 5 3 5" xfId="1720"/>
    <cellStyle name="Normal 5 5 3 6" xfId="2253"/>
    <cellStyle name="Normal 5 5 3 7" xfId="2781"/>
    <cellStyle name="Normal 5 5 3 8" xfId="3309"/>
    <cellStyle name="Normal 5 5 3 9" xfId="3837"/>
    <cellStyle name="Normal 5 5 4" xfId="466"/>
    <cellStyle name="Normal 5 5 4 2" xfId="1112"/>
    <cellStyle name="Normal 5 5 4 3" xfId="1463"/>
    <cellStyle name="Normal 5 5 4 4" xfId="1898"/>
    <cellStyle name="Normal 5 5 4 5" xfId="2431"/>
    <cellStyle name="Normal 5 5 4 6" xfId="2959"/>
    <cellStyle name="Normal 5 5 4 7" xfId="3487"/>
    <cellStyle name="Normal 5 5 4 8" xfId="4015"/>
    <cellStyle name="Normal 5 5 5" xfId="724"/>
    <cellStyle name="Normal 5 5 5 2" xfId="1547"/>
    <cellStyle name="Normal 5 5 5 3" xfId="1982"/>
    <cellStyle name="Normal 5 5 5 4" xfId="2515"/>
    <cellStyle name="Normal 5 5 5 5" xfId="3043"/>
    <cellStyle name="Normal 5 5 5 6" xfId="3571"/>
    <cellStyle name="Normal 5 5 5 7" xfId="4099"/>
    <cellStyle name="Normal 5 5 6" xfId="845"/>
    <cellStyle name="Normal 5 5 6 2" xfId="4276"/>
    <cellStyle name="Normal 5 5 7" xfId="1196"/>
    <cellStyle name="Normal 5 5 8" xfId="1631"/>
    <cellStyle name="Normal 5 5 9" xfId="2164"/>
    <cellStyle name="Normal 5 6" xfId="186"/>
    <cellStyle name="Normal 5 6 10" xfId="2696"/>
    <cellStyle name="Normal 5 6 11" xfId="3224"/>
    <cellStyle name="Normal 5 6 12" xfId="3752"/>
    <cellStyle name="Normal 5 6 2" xfId="280"/>
    <cellStyle name="Normal 5 6 2 2" xfId="555"/>
    <cellStyle name="Normal 5 6 2 2 2" xfId="2076"/>
    <cellStyle name="Normal 5 6 2 2 3" xfId="2609"/>
    <cellStyle name="Normal 5 6 2 2 4" xfId="3137"/>
    <cellStyle name="Normal 5 6 2 2 5" xfId="3665"/>
    <cellStyle name="Normal 5 6 2 2 6" xfId="4193"/>
    <cellStyle name="Normal 5 6 2 3" xfId="1029"/>
    <cellStyle name="Normal 5 6 2 4" xfId="1380"/>
    <cellStyle name="Normal 5 6 2 5" xfId="1815"/>
    <cellStyle name="Normal 5 6 2 6" xfId="2348"/>
    <cellStyle name="Normal 5 6 2 7" xfId="2876"/>
    <cellStyle name="Normal 5 6 2 8" xfId="3404"/>
    <cellStyle name="Normal 5 6 2 9" xfId="3932"/>
    <cellStyle name="Normal 5 6 3" xfId="377"/>
    <cellStyle name="Normal 5 6 3 2" xfId="640"/>
    <cellStyle name="Normal 5 6 3 3" xfId="938"/>
    <cellStyle name="Normal 5 6 3 4" xfId="1289"/>
    <cellStyle name="Normal 5 6 3 5" xfId="1724"/>
    <cellStyle name="Normal 5 6 3 6" xfId="2257"/>
    <cellStyle name="Normal 5 6 3 7" xfId="2785"/>
    <cellStyle name="Normal 5 6 3 8" xfId="3313"/>
    <cellStyle name="Normal 5 6 3 9" xfId="3841"/>
    <cellStyle name="Normal 5 6 4" xfId="470"/>
    <cellStyle name="Normal 5 6 4 2" xfId="1116"/>
    <cellStyle name="Normal 5 6 4 3" xfId="1467"/>
    <cellStyle name="Normal 5 6 4 4" xfId="1902"/>
    <cellStyle name="Normal 5 6 4 5" xfId="2435"/>
    <cellStyle name="Normal 5 6 4 6" xfId="2963"/>
    <cellStyle name="Normal 5 6 4 7" xfId="3491"/>
    <cellStyle name="Normal 5 6 4 8" xfId="4019"/>
    <cellStyle name="Normal 5 6 5" xfId="728"/>
    <cellStyle name="Normal 5 6 5 2" xfId="1551"/>
    <cellStyle name="Normal 5 6 5 3" xfId="1986"/>
    <cellStyle name="Normal 5 6 5 4" xfId="2519"/>
    <cellStyle name="Normal 5 6 5 5" xfId="3047"/>
    <cellStyle name="Normal 5 6 5 6" xfId="3575"/>
    <cellStyle name="Normal 5 6 5 7" xfId="4103"/>
    <cellStyle name="Normal 5 6 6" xfId="849"/>
    <cellStyle name="Normal 5 6 6 2" xfId="4280"/>
    <cellStyle name="Normal 5 6 7" xfId="1200"/>
    <cellStyle name="Normal 5 6 8" xfId="1635"/>
    <cellStyle name="Normal 5 6 9" xfId="2168"/>
    <cellStyle name="Normal 5 7" xfId="190"/>
    <cellStyle name="Normal 5 7 10" xfId="2700"/>
    <cellStyle name="Normal 5 7 11" xfId="3228"/>
    <cellStyle name="Normal 5 7 12" xfId="3756"/>
    <cellStyle name="Normal 5 7 2" xfId="284"/>
    <cellStyle name="Normal 5 7 2 2" xfId="559"/>
    <cellStyle name="Normal 5 7 2 2 2" xfId="2080"/>
    <cellStyle name="Normal 5 7 2 2 3" xfId="2613"/>
    <cellStyle name="Normal 5 7 2 2 4" xfId="3141"/>
    <cellStyle name="Normal 5 7 2 2 5" xfId="3669"/>
    <cellStyle name="Normal 5 7 2 2 6" xfId="4197"/>
    <cellStyle name="Normal 5 7 2 3" xfId="1033"/>
    <cellStyle name="Normal 5 7 2 4" xfId="1384"/>
    <cellStyle name="Normal 5 7 2 5" xfId="1819"/>
    <cellStyle name="Normal 5 7 2 6" xfId="2352"/>
    <cellStyle name="Normal 5 7 2 7" xfId="2880"/>
    <cellStyle name="Normal 5 7 2 8" xfId="3408"/>
    <cellStyle name="Normal 5 7 2 9" xfId="3936"/>
    <cellStyle name="Normal 5 7 3" xfId="381"/>
    <cellStyle name="Normal 5 7 3 2" xfId="644"/>
    <cellStyle name="Normal 5 7 3 3" xfId="942"/>
    <cellStyle name="Normal 5 7 3 4" xfId="1293"/>
    <cellStyle name="Normal 5 7 3 5" xfId="1728"/>
    <cellStyle name="Normal 5 7 3 6" xfId="2261"/>
    <cellStyle name="Normal 5 7 3 7" xfId="2789"/>
    <cellStyle name="Normal 5 7 3 8" xfId="3317"/>
    <cellStyle name="Normal 5 7 3 9" xfId="3845"/>
    <cellStyle name="Normal 5 7 4" xfId="474"/>
    <cellStyle name="Normal 5 7 4 2" xfId="1120"/>
    <cellStyle name="Normal 5 7 4 3" xfId="1471"/>
    <cellStyle name="Normal 5 7 4 4" xfId="1906"/>
    <cellStyle name="Normal 5 7 4 5" xfId="2439"/>
    <cellStyle name="Normal 5 7 4 6" xfId="2967"/>
    <cellStyle name="Normal 5 7 4 7" xfId="3495"/>
    <cellStyle name="Normal 5 7 4 8" xfId="4023"/>
    <cellStyle name="Normal 5 7 5" xfId="732"/>
    <cellStyle name="Normal 5 7 5 2" xfId="1555"/>
    <cellStyle name="Normal 5 7 5 3" xfId="1990"/>
    <cellStyle name="Normal 5 7 5 4" xfId="2523"/>
    <cellStyle name="Normal 5 7 5 5" xfId="3051"/>
    <cellStyle name="Normal 5 7 5 6" xfId="3579"/>
    <cellStyle name="Normal 5 7 5 7" xfId="4107"/>
    <cellStyle name="Normal 5 7 6" xfId="853"/>
    <cellStyle name="Normal 5 7 6 2" xfId="4284"/>
    <cellStyle name="Normal 5 7 7" xfId="1204"/>
    <cellStyle name="Normal 5 7 8" xfId="1639"/>
    <cellStyle name="Normal 5 7 9" xfId="2172"/>
    <cellStyle name="Normal 5 8" xfId="194"/>
    <cellStyle name="Normal 5 8 10" xfId="2704"/>
    <cellStyle name="Normal 5 8 11" xfId="3232"/>
    <cellStyle name="Normal 5 8 12" xfId="3760"/>
    <cellStyle name="Normal 5 8 2" xfId="288"/>
    <cellStyle name="Normal 5 8 2 2" xfId="563"/>
    <cellStyle name="Normal 5 8 2 2 2" xfId="2084"/>
    <cellStyle name="Normal 5 8 2 2 3" xfId="2617"/>
    <cellStyle name="Normal 5 8 2 2 4" xfId="3145"/>
    <cellStyle name="Normal 5 8 2 2 5" xfId="3673"/>
    <cellStyle name="Normal 5 8 2 2 6" xfId="4201"/>
    <cellStyle name="Normal 5 8 2 3" xfId="1037"/>
    <cellStyle name="Normal 5 8 2 4" xfId="1388"/>
    <cellStyle name="Normal 5 8 2 5" xfId="1823"/>
    <cellStyle name="Normal 5 8 2 6" xfId="2356"/>
    <cellStyle name="Normal 5 8 2 7" xfId="2884"/>
    <cellStyle name="Normal 5 8 2 8" xfId="3412"/>
    <cellStyle name="Normal 5 8 2 9" xfId="3940"/>
    <cellStyle name="Normal 5 8 3" xfId="385"/>
    <cellStyle name="Normal 5 8 3 2" xfId="648"/>
    <cellStyle name="Normal 5 8 3 3" xfId="946"/>
    <cellStyle name="Normal 5 8 3 4" xfId="1297"/>
    <cellStyle name="Normal 5 8 3 5" xfId="1732"/>
    <cellStyle name="Normal 5 8 3 6" xfId="2265"/>
    <cellStyle name="Normal 5 8 3 7" xfId="2793"/>
    <cellStyle name="Normal 5 8 3 8" xfId="3321"/>
    <cellStyle name="Normal 5 8 3 9" xfId="3849"/>
    <cellStyle name="Normal 5 8 4" xfId="478"/>
    <cellStyle name="Normal 5 8 4 2" xfId="1124"/>
    <cellStyle name="Normal 5 8 4 3" xfId="1475"/>
    <cellStyle name="Normal 5 8 4 4" xfId="1910"/>
    <cellStyle name="Normal 5 8 4 5" xfId="2443"/>
    <cellStyle name="Normal 5 8 4 6" xfId="2971"/>
    <cellStyle name="Normal 5 8 4 7" xfId="3499"/>
    <cellStyle name="Normal 5 8 4 8" xfId="4027"/>
    <cellStyle name="Normal 5 8 5" xfId="736"/>
    <cellStyle name="Normal 5 8 5 2" xfId="1559"/>
    <cellStyle name="Normal 5 8 5 3" xfId="1994"/>
    <cellStyle name="Normal 5 8 5 4" xfId="2527"/>
    <cellStyle name="Normal 5 8 5 5" xfId="3055"/>
    <cellStyle name="Normal 5 8 5 6" xfId="3583"/>
    <cellStyle name="Normal 5 8 5 7" xfId="4111"/>
    <cellStyle name="Normal 5 8 6" xfId="857"/>
    <cellStyle name="Normal 5 8 6 2" xfId="4288"/>
    <cellStyle name="Normal 5 8 7" xfId="1208"/>
    <cellStyle name="Normal 5 8 8" xfId="1643"/>
    <cellStyle name="Normal 5 8 9" xfId="2176"/>
    <cellStyle name="Normal 5 9" xfId="202"/>
    <cellStyle name="Normal 5 9 10" xfId="2712"/>
    <cellStyle name="Normal 5 9 11" xfId="3240"/>
    <cellStyle name="Normal 5 9 12" xfId="3768"/>
    <cellStyle name="Normal 5 9 2" xfId="296"/>
    <cellStyle name="Normal 5 9 2 2" xfId="571"/>
    <cellStyle name="Normal 5 9 2 2 2" xfId="2092"/>
    <cellStyle name="Normal 5 9 2 2 3" xfId="2625"/>
    <cellStyle name="Normal 5 9 2 2 4" xfId="3153"/>
    <cellStyle name="Normal 5 9 2 2 5" xfId="3681"/>
    <cellStyle name="Normal 5 9 2 2 6" xfId="4209"/>
    <cellStyle name="Normal 5 9 2 3" xfId="1045"/>
    <cellStyle name="Normal 5 9 2 4" xfId="1396"/>
    <cellStyle name="Normal 5 9 2 5" xfId="1831"/>
    <cellStyle name="Normal 5 9 2 6" xfId="2364"/>
    <cellStyle name="Normal 5 9 2 7" xfId="2892"/>
    <cellStyle name="Normal 5 9 2 8" xfId="3420"/>
    <cellStyle name="Normal 5 9 2 9" xfId="3948"/>
    <cellStyle name="Normal 5 9 3" xfId="393"/>
    <cellStyle name="Normal 5 9 3 2" xfId="656"/>
    <cellStyle name="Normal 5 9 3 3" xfId="954"/>
    <cellStyle name="Normal 5 9 3 4" xfId="1305"/>
    <cellStyle name="Normal 5 9 3 5" xfId="1740"/>
    <cellStyle name="Normal 5 9 3 6" xfId="2273"/>
    <cellStyle name="Normal 5 9 3 7" xfId="2801"/>
    <cellStyle name="Normal 5 9 3 8" xfId="3329"/>
    <cellStyle name="Normal 5 9 3 9" xfId="3857"/>
    <cellStyle name="Normal 5 9 4" xfId="486"/>
    <cellStyle name="Normal 5 9 4 2" xfId="1132"/>
    <cellStyle name="Normal 5 9 4 3" xfId="1483"/>
    <cellStyle name="Normal 5 9 4 4" xfId="1918"/>
    <cellStyle name="Normal 5 9 4 5" xfId="2451"/>
    <cellStyle name="Normal 5 9 4 6" xfId="2979"/>
    <cellStyle name="Normal 5 9 4 7" xfId="3507"/>
    <cellStyle name="Normal 5 9 4 8" xfId="4035"/>
    <cellStyle name="Normal 5 9 5" xfId="744"/>
    <cellStyle name="Normal 5 9 5 2" xfId="1567"/>
    <cellStyle name="Normal 5 9 5 3" xfId="2002"/>
    <cellStyle name="Normal 5 9 5 4" xfId="2535"/>
    <cellStyle name="Normal 5 9 5 5" xfId="3063"/>
    <cellStyle name="Normal 5 9 5 6" xfId="3591"/>
    <cellStyle name="Normal 5 9 5 7" xfId="4119"/>
    <cellStyle name="Normal 5 9 6" xfId="865"/>
    <cellStyle name="Normal 5 9 6 2" xfId="4296"/>
    <cellStyle name="Normal 5 9 7" xfId="1216"/>
    <cellStyle name="Normal 5 9 8" xfId="1651"/>
    <cellStyle name="Normal 5 9 9" xfId="2184"/>
    <cellStyle name="Normal 6" xfId="141"/>
    <cellStyle name="Normal 6 2" xfId="341"/>
    <cellStyle name="Normal 6 2 2" xfId="2039"/>
    <cellStyle name="Normal 6 2 3" xfId="2572"/>
    <cellStyle name="Normal 6 2 4" xfId="3100"/>
    <cellStyle name="Normal 6 2 5" xfId="3628"/>
    <cellStyle name="Normal 6 2 6" xfId="4156"/>
    <cellStyle name="Normal 6 3" xfId="437"/>
    <cellStyle name="Normal 7" xfId="339"/>
    <cellStyle name="Normal 7 2" xfId="608"/>
    <cellStyle name="Normal 7 3" xfId="902"/>
    <cellStyle name="Normal 7 4" xfId="1253"/>
    <cellStyle name="Normal 7 5" xfId="1688"/>
    <cellStyle name="Normal 7 6" xfId="2221"/>
    <cellStyle name="Normal 7 7" xfId="2749"/>
    <cellStyle name="Normal 7 8" xfId="3277"/>
    <cellStyle name="Normal 7 9" xfId="3805"/>
    <cellStyle name="Normal 8" xfId="436"/>
    <cellStyle name="Normal 8 2" xfId="693"/>
    <cellStyle name="Normal_Composições" xfId="3"/>
    <cellStyle name="Porcentagem" xfId="2" builtinId="5"/>
    <cellStyle name="Porcentagem 2" xfId="16"/>
    <cellStyle name="Porcentagem 2 2" xfId="148"/>
    <cellStyle name="Porcentagem 3" xfId="149"/>
    <cellStyle name="Porcentagem 4" xfId="150"/>
    <cellStyle name="Porcentagem 4 10" xfId="208"/>
    <cellStyle name="Porcentagem 4 10 10" xfId="2718"/>
    <cellStyle name="Porcentagem 4 10 11" xfId="3246"/>
    <cellStyle name="Porcentagem 4 10 12" xfId="3774"/>
    <cellStyle name="Porcentagem 4 10 2" xfId="302"/>
    <cellStyle name="Porcentagem 4 10 2 2" xfId="577"/>
    <cellStyle name="Porcentagem 4 10 2 2 2" xfId="2098"/>
    <cellStyle name="Porcentagem 4 10 2 2 3" xfId="2631"/>
    <cellStyle name="Porcentagem 4 10 2 2 4" xfId="3159"/>
    <cellStyle name="Porcentagem 4 10 2 2 5" xfId="3687"/>
    <cellStyle name="Porcentagem 4 10 2 2 6" xfId="4215"/>
    <cellStyle name="Porcentagem 4 10 2 3" xfId="1051"/>
    <cellStyle name="Porcentagem 4 10 2 4" xfId="1402"/>
    <cellStyle name="Porcentagem 4 10 2 5" xfId="1837"/>
    <cellStyle name="Porcentagem 4 10 2 6" xfId="2370"/>
    <cellStyle name="Porcentagem 4 10 2 7" xfId="2898"/>
    <cellStyle name="Porcentagem 4 10 2 8" xfId="3426"/>
    <cellStyle name="Porcentagem 4 10 2 9" xfId="3954"/>
    <cellStyle name="Porcentagem 4 10 3" xfId="399"/>
    <cellStyle name="Porcentagem 4 10 3 2" xfId="662"/>
    <cellStyle name="Porcentagem 4 10 3 3" xfId="960"/>
    <cellStyle name="Porcentagem 4 10 3 4" xfId="1311"/>
    <cellStyle name="Porcentagem 4 10 3 5" xfId="1746"/>
    <cellStyle name="Porcentagem 4 10 3 6" xfId="2279"/>
    <cellStyle name="Porcentagem 4 10 3 7" xfId="2807"/>
    <cellStyle name="Porcentagem 4 10 3 8" xfId="3335"/>
    <cellStyle name="Porcentagem 4 10 3 9" xfId="3863"/>
    <cellStyle name="Porcentagem 4 10 4" xfId="492"/>
    <cellStyle name="Porcentagem 4 10 4 2" xfId="1138"/>
    <cellStyle name="Porcentagem 4 10 4 3" xfId="1489"/>
    <cellStyle name="Porcentagem 4 10 4 4" xfId="1924"/>
    <cellStyle name="Porcentagem 4 10 4 5" xfId="2457"/>
    <cellStyle name="Porcentagem 4 10 4 6" xfId="2985"/>
    <cellStyle name="Porcentagem 4 10 4 7" xfId="3513"/>
    <cellStyle name="Porcentagem 4 10 4 8" xfId="4041"/>
    <cellStyle name="Porcentagem 4 10 5" xfId="750"/>
    <cellStyle name="Porcentagem 4 10 5 2" xfId="1573"/>
    <cellStyle name="Porcentagem 4 10 5 3" xfId="2008"/>
    <cellStyle name="Porcentagem 4 10 5 4" xfId="2541"/>
    <cellStyle name="Porcentagem 4 10 5 5" xfId="3069"/>
    <cellStyle name="Porcentagem 4 10 5 6" xfId="3597"/>
    <cellStyle name="Porcentagem 4 10 5 7" xfId="4125"/>
    <cellStyle name="Porcentagem 4 10 6" xfId="871"/>
    <cellStyle name="Porcentagem 4 10 6 2" xfId="4302"/>
    <cellStyle name="Porcentagem 4 10 7" xfId="1222"/>
    <cellStyle name="Porcentagem 4 10 8" xfId="1657"/>
    <cellStyle name="Porcentagem 4 10 9" xfId="2190"/>
    <cellStyle name="Porcentagem 4 11" xfId="216"/>
    <cellStyle name="Porcentagem 4 11 10" xfId="2726"/>
    <cellStyle name="Porcentagem 4 11 11" xfId="3254"/>
    <cellStyle name="Porcentagem 4 11 12" xfId="3782"/>
    <cellStyle name="Porcentagem 4 11 2" xfId="310"/>
    <cellStyle name="Porcentagem 4 11 2 2" xfId="585"/>
    <cellStyle name="Porcentagem 4 11 2 2 2" xfId="2106"/>
    <cellStyle name="Porcentagem 4 11 2 2 3" xfId="2639"/>
    <cellStyle name="Porcentagem 4 11 2 2 4" xfId="3167"/>
    <cellStyle name="Porcentagem 4 11 2 2 5" xfId="3695"/>
    <cellStyle name="Porcentagem 4 11 2 2 6" xfId="4223"/>
    <cellStyle name="Porcentagem 4 11 2 3" xfId="1059"/>
    <cellStyle name="Porcentagem 4 11 2 4" xfId="1410"/>
    <cellStyle name="Porcentagem 4 11 2 5" xfId="1845"/>
    <cellStyle name="Porcentagem 4 11 2 6" xfId="2378"/>
    <cellStyle name="Porcentagem 4 11 2 7" xfId="2906"/>
    <cellStyle name="Porcentagem 4 11 2 8" xfId="3434"/>
    <cellStyle name="Porcentagem 4 11 2 9" xfId="3962"/>
    <cellStyle name="Porcentagem 4 11 3" xfId="407"/>
    <cellStyle name="Porcentagem 4 11 3 2" xfId="670"/>
    <cellStyle name="Porcentagem 4 11 3 3" xfId="968"/>
    <cellStyle name="Porcentagem 4 11 3 4" xfId="1319"/>
    <cellStyle name="Porcentagem 4 11 3 5" xfId="1754"/>
    <cellStyle name="Porcentagem 4 11 3 6" xfId="2287"/>
    <cellStyle name="Porcentagem 4 11 3 7" xfId="2815"/>
    <cellStyle name="Porcentagem 4 11 3 8" xfId="3343"/>
    <cellStyle name="Porcentagem 4 11 3 9" xfId="3871"/>
    <cellStyle name="Porcentagem 4 11 4" xfId="500"/>
    <cellStyle name="Porcentagem 4 11 4 2" xfId="1146"/>
    <cellStyle name="Porcentagem 4 11 4 3" xfId="1497"/>
    <cellStyle name="Porcentagem 4 11 4 4" xfId="1932"/>
    <cellStyle name="Porcentagem 4 11 4 5" xfId="2465"/>
    <cellStyle name="Porcentagem 4 11 4 6" xfId="2993"/>
    <cellStyle name="Porcentagem 4 11 4 7" xfId="3521"/>
    <cellStyle name="Porcentagem 4 11 4 8" xfId="4049"/>
    <cellStyle name="Porcentagem 4 11 5" xfId="758"/>
    <cellStyle name="Porcentagem 4 11 5 2" xfId="1581"/>
    <cellStyle name="Porcentagem 4 11 5 3" xfId="2016"/>
    <cellStyle name="Porcentagem 4 11 5 4" xfId="2549"/>
    <cellStyle name="Porcentagem 4 11 5 5" xfId="3077"/>
    <cellStyle name="Porcentagem 4 11 5 6" xfId="3605"/>
    <cellStyle name="Porcentagem 4 11 5 7" xfId="4133"/>
    <cellStyle name="Porcentagem 4 11 6" xfId="879"/>
    <cellStyle name="Porcentagem 4 11 6 2" xfId="4310"/>
    <cellStyle name="Porcentagem 4 11 7" xfId="1230"/>
    <cellStyle name="Porcentagem 4 11 8" xfId="1665"/>
    <cellStyle name="Porcentagem 4 11 9" xfId="2198"/>
    <cellStyle name="Porcentagem 4 12" xfId="224"/>
    <cellStyle name="Porcentagem 4 12 10" xfId="2734"/>
    <cellStyle name="Porcentagem 4 12 11" xfId="3262"/>
    <cellStyle name="Porcentagem 4 12 12" xfId="3790"/>
    <cellStyle name="Porcentagem 4 12 2" xfId="318"/>
    <cellStyle name="Porcentagem 4 12 2 2" xfId="593"/>
    <cellStyle name="Porcentagem 4 12 2 2 2" xfId="2114"/>
    <cellStyle name="Porcentagem 4 12 2 2 3" xfId="2647"/>
    <cellStyle name="Porcentagem 4 12 2 2 4" xfId="3175"/>
    <cellStyle name="Porcentagem 4 12 2 2 5" xfId="3703"/>
    <cellStyle name="Porcentagem 4 12 2 2 6" xfId="4231"/>
    <cellStyle name="Porcentagem 4 12 2 3" xfId="1067"/>
    <cellStyle name="Porcentagem 4 12 2 4" xfId="1418"/>
    <cellStyle name="Porcentagem 4 12 2 5" xfId="1853"/>
    <cellStyle name="Porcentagem 4 12 2 6" xfId="2386"/>
    <cellStyle name="Porcentagem 4 12 2 7" xfId="2914"/>
    <cellStyle name="Porcentagem 4 12 2 8" xfId="3442"/>
    <cellStyle name="Porcentagem 4 12 2 9" xfId="3970"/>
    <cellStyle name="Porcentagem 4 12 3" xfId="415"/>
    <cellStyle name="Porcentagem 4 12 3 2" xfId="678"/>
    <cellStyle name="Porcentagem 4 12 3 3" xfId="976"/>
    <cellStyle name="Porcentagem 4 12 3 4" xfId="1327"/>
    <cellStyle name="Porcentagem 4 12 3 5" xfId="1762"/>
    <cellStyle name="Porcentagem 4 12 3 6" xfId="2295"/>
    <cellStyle name="Porcentagem 4 12 3 7" xfId="2823"/>
    <cellStyle name="Porcentagem 4 12 3 8" xfId="3351"/>
    <cellStyle name="Porcentagem 4 12 3 9" xfId="3879"/>
    <cellStyle name="Porcentagem 4 12 4" xfId="508"/>
    <cellStyle name="Porcentagem 4 12 4 2" xfId="1154"/>
    <cellStyle name="Porcentagem 4 12 4 3" xfId="1505"/>
    <cellStyle name="Porcentagem 4 12 4 4" xfId="1940"/>
    <cellStyle name="Porcentagem 4 12 4 5" xfId="2473"/>
    <cellStyle name="Porcentagem 4 12 4 6" xfId="3001"/>
    <cellStyle name="Porcentagem 4 12 4 7" xfId="3529"/>
    <cellStyle name="Porcentagem 4 12 4 8" xfId="4057"/>
    <cellStyle name="Porcentagem 4 12 5" xfId="766"/>
    <cellStyle name="Porcentagem 4 12 5 2" xfId="1589"/>
    <cellStyle name="Porcentagem 4 12 5 3" xfId="2024"/>
    <cellStyle name="Porcentagem 4 12 5 4" xfId="2557"/>
    <cellStyle name="Porcentagem 4 12 5 5" xfId="3085"/>
    <cellStyle name="Porcentagem 4 12 5 6" xfId="3613"/>
    <cellStyle name="Porcentagem 4 12 5 7" xfId="4141"/>
    <cellStyle name="Porcentagem 4 12 6" xfId="887"/>
    <cellStyle name="Porcentagem 4 12 6 2" xfId="4318"/>
    <cellStyle name="Porcentagem 4 12 7" xfId="1238"/>
    <cellStyle name="Porcentagem 4 12 8" xfId="1673"/>
    <cellStyle name="Porcentagem 4 12 9" xfId="2206"/>
    <cellStyle name="Porcentagem 4 13" xfId="232"/>
    <cellStyle name="Porcentagem 4 13 10" xfId="2742"/>
    <cellStyle name="Porcentagem 4 13 11" xfId="3270"/>
    <cellStyle name="Porcentagem 4 13 12" xfId="3798"/>
    <cellStyle name="Porcentagem 4 13 2" xfId="326"/>
    <cellStyle name="Porcentagem 4 13 2 2" xfId="601"/>
    <cellStyle name="Porcentagem 4 13 2 2 2" xfId="2122"/>
    <cellStyle name="Porcentagem 4 13 2 2 3" xfId="2655"/>
    <cellStyle name="Porcentagem 4 13 2 2 4" xfId="3183"/>
    <cellStyle name="Porcentagem 4 13 2 2 5" xfId="3711"/>
    <cellStyle name="Porcentagem 4 13 2 2 6" xfId="4239"/>
    <cellStyle name="Porcentagem 4 13 2 3" xfId="1075"/>
    <cellStyle name="Porcentagem 4 13 2 4" xfId="1426"/>
    <cellStyle name="Porcentagem 4 13 2 5" xfId="1861"/>
    <cellStyle name="Porcentagem 4 13 2 6" xfId="2394"/>
    <cellStyle name="Porcentagem 4 13 2 7" xfId="2922"/>
    <cellStyle name="Porcentagem 4 13 2 8" xfId="3450"/>
    <cellStyle name="Porcentagem 4 13 2 9" xfId="3978"/>
    <cellStyle name="Porcentagem 4 13 3" xfId="423"/>
    <cellStyle name="Porcentagem 4 13 3 2" xfId="686"/>
    <cellStyle name="Porcentagem 4 13 3 3" xfId="984"/>
    <cellStyle name="Porcentagem 4 13 3 4" xfId="1335"/>
    <cellStyle name="Porcentagem 4 13 3 5" xfId="1770"/>
    <cellStyle name="Porcentagem 4 13 3 6" xfId="2303"/>
    <cellStyle name="Porcentagem 4 13 3 7" xfId="2831"/>
    <cellStyle name="Porcentagem 4 13 3 8" xfId="3359"/>
    <cellStyle name="Porcentagem 4 13 3 9" xfId="3887"/>
    <cellStyle name="Porcentagem 4 13 4" xfId="516"/>
    <cellStyle name="Porcentagem 4 13 4 2" xfId="1162"/>
    <cellStyle name="Porcentagem 4 13 4 3" xfId="1513"/>
    <cellStyle name="Porcentagem 4 13 4 4" xfId="1948"/>
    <cellStyle name="Porcentagem 4 13 4 5" xfId="2481"/>
    <cellStyle name="Porcentagem 4 13 4 6" xfId="3009"/>
    <cellStyle name="Porcentagem 4 13 4 7" xfId="3537"/>
    <cellStyle name="Porcentagem 4 13 4 8" xfId="4065"/>
    <cellStyle name="Porcentagem 4 13 5" xfId="774"/>
    <cellStyle name="Porcentagem 4 13 5 2" xfId="1597"/>
    <cellStyle name="Porcentagem 4 13 5 3" xfId="2032"/>
    <cellStyle name="Porcentagem 4 13 5 4" xfId="2565"/>
    <cellStyle name="Porcentagem 4 13 5 5" xfId="3093"/>
    <cellStyle name="Porcentagem 4 13 5 6" xfId="3621"/>
    <cellStyle name="Porcentagem 4 13 5 7" xfId="4149"/>
    <cellStyle name="Porcentagem 4 13 6" xfId="895"/>
    <cellStyle name="Porcentagem 4 13 6 2" xfId="4326"/>
    <cellStyle name="Porcentagem 4 13 7" xfId="1246"/>
    <cellStyle name="Porcentagem 4 13 8" xfId="1681"/>
    <cellStyle name="Porcentagem 4 13 9" xfId="2214"/>
    <cellStyle name="Porcentagem 4 14" xfId="164"/>
    <cellStyle name="Porcentagem 4 14 10" xfId="2674"/>
    <cellStyle name="Porcentagem 4 14 11" xfId="3202"/>
    <cellStyle name="Porcentagem 4 14 12" xfId="3730"/>
    <cellStyle name="Porcentagem 4 14 2" xfId="258"/>
    <cellStyle name="Porcentagem 4 14 2 2" xfId="533"/>
    <cellStyle name="Porcentagem 4 14 2 2 2" xfId="2054"/>
    <cellStyle name="Porcentagem 4 14 2 2 3" xfId="2587"/>
    <cellStyle name="Porcentagem 4 14 2 2 4" xfId="3115"/>
    <cellStyle name="Porcentagem 4 14 2 2 5" xfId="3643"/>
    <cellStyle name="Porcentagem 4 14 2 2 6" xfId="4171"/>
    <cellStyle name="Porcentagem 4 14 2 3" xfId="1007"/>
    <cellStyle name="Porcentagem 4 14 2 4" xfId="1358"/>
    <cellStyle name="Porcentagem 4 14 2 5" xfId="1793"/>
    <cellStyle name="Porcentagem 4 14 2 6" xfId="2326"/>
    <cellStyle name="Porcentagem 4 14 2 7" xfId="2854"/>
    <cellStyle name="Porcentagem 4 14 2 8" xfId="3382"/>
    <cellStyle name="Porcentagem 4 14 2 9" xfId="3910"/>
    <cellStyle name="Porcentagem 4 14 3" xfId="355"/>
    <cellStyle name="Porcentagem 4 14 3 2" xfId="618"/>
    <cellStyle name="Porcentagem 4 14 3 3" xfId="916"/>
    <cellStyle name="Porcentagem 4 14 3 4" xfId="1267"/>
    <cellStyle name="Porcentagem 4 14 3 5" xfId="1702"/>
    <cellStyle name="Porcentagem 4 14 3 6" xfId="2235"/>
    <cellStyle name="Porcentagem 4 14 3 7" xfId="2763"/>
    <cellStyle name="Porcentagem 4 14 3 8" xfId="3291"/>
    <cellStyle name="Porcentagem 4 14 3 9" xfId="3819"/>
    <cellStyle name="Porcentagem 4 14 4" xfId="448"/>
    <cellStyle name="Porcentagem 4 14 4 2" xfId="1094"/>
    <cellStyle name="Porcentagem 4 14 4 3" xfId="1445"/>
    <cellStyle name="Porcentagem 4 14 4 4" xfId="1880"/>
    <cellStyle name="Porcentagem 4 14 4 5" xfId="2413"/>
    <cellStyle name="Porcentagem 4 14 4 6" xfId="2941"/>
    <cellStyle name="Porcentagem 4 14 4 7" xfId="3469"/>
    <cellStyle name="Porcentagem 4 14 4 8" xfId="3997"/>
    <cellStyle name="Porcentagem 4 14 5" xfId="706"/>
    <cellStyle name="Porcentagem 4 14 5 2" xfId="1529"/>
    <cellStyle name="Porcentagem 4 14 5 3" xfId="1964"/>
    <cellStyle name="Porcentagem 4 14 5 4" xfId="2497"/>
    <cellStyle name="Porcentagem 4 14 5 5" xfId="3025"/>
    <cellStyle name="Porcentagem 4 14 5 6" xfId="3553"/>
    <cellStyle name="Porcentagem 4 14 5 7" xfId="4081"/>
    <cellStyle name="Porcentagem 4 14 6" xfId="827"/>
    <cellStyle name="Porcentagem 4 14 6 2" xfId="4258"/>
    <cellStyle name="Porcentagem 4 14 7" xfId="1178"/>
    <cellStyle name="Porcentagem 4 14 8" xfId="1613"/>
    <cellStyle name="Porcentagem 4 14 9" xfId="2146"/>
    <cellStyle name="Porcentagem 4 15" xfId="236"/>
    <cellStyle name="Porcentagem 4 15 10" xfId="2746"/>
    <cellStyle name="Porcentagem 4 15 11" xfId="3274"/>
    <cellStyle name="Porcentagem 4 15 12" xfId="3802"/>
    <cellStyle name="Porcentagem 4 15 2" xfId="330"/>
    <cellStyle name="Porcentagem 4 15 2 2" xfId="605"/>
    <cellStyle name="Porcentagem 4 15 2 2 2" xfId="2126"/>
    <cellStyle name="Porcentagem 4 15 2 2 3" xfId="2659"/>
    <cellStyle name="Porcentagem 4 15 2 2 4" xfId="3187"/>
    <cellStyle name="Porcentagem 4 15 2 2 5" xfId="3715"/>
    <cellStyle name="Porcentagem 4 15 2 2 6" xfId="4243"/>
    <cellStyle name="Porcentagem 4 15 2 3" xfId="1079"/>
    <cellStyle name="Porcentagem 4 15 2 4" xfId="1430"/>
    <cellStyle name="Porcentagem 4 15 2 5" xfId="1865"/>
    <cellStyle name="Porcentagem 4 15 2 6" xfId="2398"/>
    <cellStyle name="Porcentagem 4 15 2 7" xfId="2926"/>
    <cellStyle name="Porcentagem 4 15 2 8" xfId="3454"/>
    <cellStyle name="Porcentagem 4 15 2 9" xfId="3982"/>
    <cellStyle name="Porcentagem 4 15 3" xfId="427"/>
    <cellStyle name="Porcentagem 4 15 3 2" xfId="690"/>
    <cellStyle name="Porcentagem 4 15 3 3" xfId="988"/>
    <cellStyle name="Porcentagem 4 15 3 4" xfId="1339"/>
    <cellStyle name="Porcentagem 4 15 3 5" xfId="1774"/>
    <cellStyle name="Porcentagem 4 15 3 6" xfId="2307"/>
    <cellStyle name="Porcentagem 4 15 3 7" xfId="2835"/>
    <cellStyle name="Porcentagem 4 15 3 8" xfId="3363"/>
    <cellStyle name="Porcentagem 4 15 3 9" xfId="3891"/>
    <cellStyle name="Porcentagem 4 15 4" xfId="520"/>
    <cellStyle name="Porcentagem 4 15 4 2" xfId="1166"/>
    <cellStyle name="Porcentagem 4 15 4 3" xfId="1517"/>
    <cellStyle name="Porcentagem 4 15 4 4" xfId="1952"/>
    <cellStyle name="Porcentagem 4 15 4 5" xfId="2485"/>
    <cellStyle name="Porcentagem 4 15 4 6" xfId="3013"/>
    <cellStyle name="Porcentagem 4 15 4 7" xfId="3541"/>
    <cellStyle name="Porcentagem 4 15 4 8" xfId="4069"/>
    <cellStyle name="Porcentagem 4 15 5" xfId="778"/>
    <cellStyle name="Porcentagem 4 15 5 2" xfId="1601"/>
    <cellStyle name="Porcentagem 4 15 5 3" xfId="2036"/>
    <cellStyle name="Porcentagem 4 15 5 4" xfId="2569"/>
    <cellStyle name="Porcentagem 4 15 5 5" xfId="3097"/>
    <cellStyle name="Porcentagem 4 15 5 6" xfId="3625"/>
    <cellStyle name="Porcentagem 4 15 5 7" xfId="4153"/>
    <cellStyle name="Porcentagem 4 15 6" xfId="899"/>
    <cellStyle name="Porcentagem 4 15 6 2" xfId="4330"/>
    <cellStyle name="Porcentagem 4 15 7" xfId="1250"/>
    <cellStyle name="Porcentagem 4 15 8" xfId="1685"/>
    <cellStyle name="Porcentagem 4 15 9" xfId="2218"/>
    <cellStyle name="Porcentagem 4 16" xfId="247"/>
    <cellStyle name="Porcentagem 4 16 2" xfId="525"/>
    <cellStyle name="Porcentagem 4 16 2 2" xfId="2043"/>
    <cellStyle name="Porcentagem 4 16 2 3" xfId="2576"/>
    <cellStyle name="Porcentagem 4 16 2 4" xfId="3104"/>
    <cellStyle name="Porcentagem 4 16 2 5" xfId="3632"/>
    <cellStyle name="Porcentagem 4 16 2 6" xfId="4160"/>
    <cellStyle name="Porcentagem 4 16 3" xfId="996"/>
    <cellStyle name="Porcentagem 4 16 4" xfId="1347"/>
    <cellStyle name="Porcentagem 4 16 5" xfId="1782"/>
    <cellStyle name="Porcentagem 4 16 6" xfId="2315"/>
    <cellStyle name="Porcentagem 4 16 7" xfId="2843"/>
    <cellStyle name="Porcentagem 4 16 8" xfId="3371"/>
    <cellStyle name="Porcentagem 4 16 9" xfId="3899"/>
    <cellStyle name="Porcentagem 4 17" xfId="344"/>
    <cellStyle name="Porcentagem 4 17 2" xfId="610"/>
    <cellStyle name="Porcentagem 4 17 3" xfId="905"/>
    <cellStyle name="Porcentagem 4 17 4" xfId="1256"/>
    <cellStyle name="Porcentagem 4 17 5" xfId="1691"/>
    <cellStyle name="Porcentagem 4 17 6" xfId="2224"/>
    <cellStyle name="Porcentagem 4 17 7" xfId="2752"/>
    <cellStyle name="Porcentagem 4 17 8" xfId="3280"/>
    <cellStyle name="Porcentagem 4 17 9" xfId="3808"/>
    <cellStyle name="Porcentagem 4 18" xfId="440"/>
    <cellStyle name="Porcentagem 4 18 2" xfId="1086"/>
    <cellStyle name="Porcentagem 4 18 3" xfId="1437"/>
    <cellStyle name="Porcentagem 4 18 4" xfId="1872"/>
    <cellStyle name="Porcentagem 4 18 5" xfId="2405"/>
    <cellStyle name="Porcentagem 4 18 6" xfId="2933"/>
    <cellStyle name="Porcentagem 4 18 7" xfId="3461"/>
    <cellStyle name="Porcentagem 4 18 8" xfId="3989"/>
    <cellStyle name="Porcentagem 4 19" xfId="698"/>
    <cellStyle name="Porcentagem 4 19 2" xfId="1521"/>
    <cellStyle name="Porcentagem 4 19 3" xfId="1956"/>
    <cellStyle name="Porcentagem 4 19 4" xfId="2489"/>
    <cellStyle name="Porcentagem 4 19 5" xfId="3017"/>
    <cellStyle name="Porcentagem 4 19 6" xfId="3545"/>
    <cellStyle name="Porcentagem 4 19 7" xfId="4073"/>
    <cellStyle name="Porcentagem 4 2" xfId="160"/>
    <cellStyle name="Porcentagem 4 2 10" xfId="444"/>
    <cellStyle name="Porcentagem 4 2 10 2" xfId="1090"/>
    <cellStyle name="Porcentagem 4 2 10 3" xfId="1441"/>
    <cellStyle name="Porcentagem 4 2 10 4" xfId="1876"/>
    <cellStyle name="Porcentagem 4 2 10 5" xfId="2409"/>
    <cellStyle name="Porcentagem 4 2 10 6" xfId="2937"/>
    <cellStyle name="Porcentagem 4 2 10 7" xfId="3465"/>
    <cellStyle name="Porcentagem 4 2 10 8" xfId="3993"/>
    <cellStyle name="Porcentagem 4 2 11" xfId="702"/>
    <cellStyle name="Porcentagem 4 2 11 2" xfId="1525"/>
    <cellStyle name="Porcentagem 4 2 11 3" xfId="1960"/>
    <cellStyle name="Porcentagem 4 2 11 4" xfId="2493"/>
    <cellStyle name="Porcentagem 4 2 11 5" xfId="3021"/>
    <cellStyle name="Porcentagem 4 2 11 6" xfId="3549"/>
    <cellStyle name="Porcentagem 4 2 11 7" xfId="4077"/>
    <cellStyle name="Porcentagem 4 2 12" xfId="823"/>
    <cellStyle name="Porcentagem 4 2 12 2" xfId="4254"/>
    <cellStyle name="Porcentagem 4 2 13" xfId="1174"/>
    <cellStyle name="Porcentagem 4 2 14" xfId="1609"/>
    <cellStyle name="Porcentagem 4 2 15" xfId="2142"/>
    <cellStyle name="Porcentagem 4 2 16" xfId="2670"/>
    <cellStyle name="Porcentagem 4 2 17" xfId="3198"/>
    <cellStyle name="Porcentagem 4 2 18" xfId="3726"/>
    <cellStyle name="Porcentagem 4 2 2" xfId="196"/>
    <cellStyle name="Porcentagem 4 2 2 10" xfId="2706"/>
    <cellStyle name="Porcentagem 4 2 2 11" xfId="3234"/>
    <cellStyle name="Porcentagem 4 2 2 12" xfId="3762"/>
    <cellStyle name="Porcentagem 4 2 2 2" xfId="290"/>
    <cellStyle name="Porcentagem 4 2 2 2 2" xfId="565"/>
    <cellStyle name="Porcentagem 4 2 2 2 2 2" xfId="2086"/>
    <cellStyle name="Porcentagem 4 2 2 2 2 3" xfId="2619"/>
    <cellStyle name="Porcentagem 4 2 2 2 2 4" xfId="3147"/>
    <cellStyle name="Porcentagem 4 2 2 2 2 5" xfId="3675"/>
    <cellStyle name="Porcentagem 4 2 2 2 2 6" xfId="4203"/>
    <cellStyle name="Porcentagem 4 2 2 2 3" xfId="1039"/>
    <cellStyle name="Porcentagem 4 2 2 2 4" xfId="1390"/>
    <cellStyle name="Porcentagem 4 2 2 2 5" xfId="1825"/>
    <cellStyle name="Porcentagem 4 2 2 2 6" xfId="2358"/>
    <cellStyle name="Porcentagem 4 2 2 2 7" xfId="2886"/>
    <cellStyle name="Porcentagem 4 2 2 2 8" xfId="3414"/>
    <cellStyle name="Porcentagem 4 2 2 2 9" xfId="3942"/>
    <cellStyle name="Porcentagem 4 2 2 3" xfId="387"/>
    <cellStyle name="Porcentagem 4 2 2 3 2" xfId="650"/>
    <cellStyle name="Porcentagem 4 2 2 3 3" xfId="948"/>
    <cellStyle name="Porcentagem 4 2 2 3 4" xfId="1299"/>
    <cellStyle name="Porcentagem 4 2 2 3 5" xfId="1734"/>
    <cellStyle name="Porcentagem 4 2 2 3 6" xfId="2267"/>
    <cellStyle name="Porcentagem 4 2 2 3 7" xfId="2795"/>
    <cellStyle name="Porcentagem 4 2 2 3 8" xfId="3323"/>
    <cellStyle name="Porcentagem 4 2 2 3 9" xfId="3851"/>
    <cellStyle name="Porcentagem 4 2 2 4" xfId="480"/>
    <cellStyle name="Porcentagem 4 2 2 4 2" xfId="1126"/>
    <cellStyle name="Porcentagem 4 2 2 4 3" xfId="1477"/>
    <cellStyle name="Porcentagem 4 2 2 4 4" xfId="1912"/>
    <cellStyle name="Porcentagem 4 2 2 4 5" xfId="2445"/>
    <cellStyle name="Porcentagem 4 2 2 4 6" xfId="2973"/>
    <cellStyle name="Porcentagem 4 2 2 4 7" xfId="3501"/>
    <cellStyle name="Porcentagem 4 2 2 4 8" xfId="4029"/>
    <cellStyle name="Porcentagem 4 2 2 5" xfId="738"/>
    <cellStyle name="Porcentagem 4 2 2 5 2" xfId="1561"/>
    <cellStyle name="Porcentagem 4 2 2 5 3" xfId="1996"/>
    <cellStyle name="Porcentagem 4 2 2 5 4" xfId="2529"/>
    <cellStyle name="Porcentagem 4 2 2 5 5" xfId="3057"/>
    <cellStyle name="Porcentagem 4 2 2 5 6" xfId="3585"/>
    <cellStyle name="Porcentagem 4 2 2 5 7" xfId="4113"/>
    <cellStyle name="Porcentagem 4 2 2 6" xfId="859"/>
    <cellStyle name="Porcentagem 4 2 2 6 2" xfId="4290"/>
    <cellStyle name="Porcentagem 4 2 2 7" xfId="1210"/>
    <cellStyle name="Porcentagem 4 2 2 8" xfId="1645"/>
    <cellStyle name="Porcentagem 4 2 2 9" xfId="2178"/>
    <cellStyle name="Porcentagem 4 2 3" xfId="204"/>
    <cellStyle name="Porcentagem 4 2 3 10" xfId="2714"/>
    <cellStyle name="Porcentagem 4 2 3 11" xfId="3242"/>
    <cellStyle name="Porcentagem 4 2 3 12" xfId="3770"/>
    <cellStyle name="Porcentagem 4 2 3 2" xfId="298"/>
    <cellStyle name="Porcentagem 4 2 3 2 2" xfId="573"/>
    <cellStyle name="Porcentagem 4 2 3 2 2 2" xfId="2094"/>
    <cellStyle name="Porcentagem 4 2 3 2 2 3" xfId="2627"/>
    <cellStyle name="Porcentagem 4 2 3 2 2 4" xfId="3155"/>
    <cellStyle name="Porcentagem 4 2 3 2 2 5" xfId="3683"/>
    <cellStyle name="Porcentagem 4 2 3 2 2 6" xfId="4211"/>
    <cellStyle name="Porcentagem 4 2 3 2 3" xfId="1047"/>
    <cellStyle name="Porcentagem 4 2 3 2 4" xfId="1398"/>
    <cellStyle name="Porcentagem 4 2 3 2 5" xfId="1833"/>
    <cellStyle name="Porcentagem 4 2 3 2 6" xfId="2366"/>
    <cellStyle name="Porcentagem 4 2 3 2 7" xfId="2894"/>
    <cellStyle name="Porcentagem 4 2 3 2 8" xfId="3422"/>
    <cellStyle name="Porcentagem 4 2 3 2 9" xfId="3950"/>
    <cellStyle name="Porcentagem 4 2 3 3" xfId="395"/>
    <cellStyle name="Porcentagem 4 2 3 3 2" xfId="658"/>
    <cellStyle name="Porcentagem 4 2 3 3 3" xfId="956"/>
    <cellStyle name="Porcentagem 4 2 3 3 4" xfId="1307"/>
    <cellStyle name="Porcentagem 4 2 3 3 5" xfId="1742"/>
    <cellStyle name="Porcentagem 4 2 3 3 6" xfId="2275"/>
    <cellStyle name="Porcentagem 4 2 3 3 7" xfId="2803"/>
    <cellStyle name="Porcentagem 4 2 3 3 8" xfId="3331"/>
    <cellStyle name="Porcentagem 4 2 3 3 9" xfId="3859"/>
    <cellStyle name="Porcentagem 4 2 3 4" xfId="488"/>
    <cellStyle name="Porcentagem 4 2 3 4 2" xfId="1134"/>
    <cellStyle name="Porcentagem 4 2 3 4 3" xfId="1485"/>
    <cellStyle name="Porcentagem 4 2 3 4 4" xfId="1920"/>
    <cellStyle name="Porcentagem 4 2 3 4 5" xfId="2453"/>
    <cellStyle name="Porcentagem 4 2 3 4 6" xfId="2981"/>
    <cellStyle name="Porcentagem 4 2 3 4 7" xfId="3509"/>
    <cellStyle name="Porcentagem 4 2 3 4 8" xfId="4037"/>
    <cellStyle name="Porcentagem 4 2 3 5" xfId="746"/>
    <cellStyle name="Porcentagem 4 2 3 5 2" xfId="1569"/>
    <cellStyle name="Porcentagem 4 2 3 5 3" xfId="2004"/>
    <cellStyle name="Porcentagem 4 2 3 5 4" xfId="2537"/>
    <cellStyle name="Porcentagem 4 2 3 5 5" xfId="3065"/>
    <cellStyle name="Porcentagem 4 2 3 5 6" xfId="3593"/>
    <cellStyle name="Porcentagem 4 2 3 5 7" xfId="4121"/>
    <cellStyle name="Porcentagem 4 2 3 6" xfId="867"/>
    <cellStyle name="Porcentagem 4 2 3 6 2" xfId="4298"/>
    <cellStyle name="Porcentagem 4 2 3 7" xfId="1218"/>
    <cellStyle name="Porcentagem 4 2 3 8" xfId="1653"/>
    <cellStyle name="Porcentagem 4 2 3 9" xfId="2186"/>
    <cellStyle name="Porcentagem 4 2 4" xfId="212"/>
    <cellStyle name="Porcentagem 4 2 4 10" xfId="2722"/>
    <cellStyle name="Porcentagem 4 2 4 11" xfId="3250"/>
    <cellStyle name="Porcentagem 4 2 4 12" xfId="3778"/>
    <cellStyle name="Porcentagem 4 2 4 2" xfId="306"/>
    <cellStyle name="Porcentagem 4 2 4 2 2" xfId="581"/>
    <cellStyle name="Porcentagem 4 2 4 2 2 2" xfId="2102"/>
    <cellStyle name="Porcentagem 4 2 4 2 2 3" xfId="2635"/>
    <cellStyle name="Porcentagem 4 2 4 2 2 4" xfId="3163"/>
    <cellStyle name="Porcentagem 4 2 4 2 2 5" xfId="3691"/>
    <cellStyle name="Porcentagem 4 2 4 2 2 6" xfId="4219"/>
    <cellStyle name="Porcentagem 4 2 4 2 3" xfId="1055"/>
    <cellStyle name="Porcentagem 4 2 4 2 4" xfId="1406"/>
    <cellStyle name="Porcentagem 4 2 4 2 5" xfId="1841"/>
    <cellStyle name="Porcentagem 4 2 4 2 6" xfId="2374"/>
    <cellStyle name="Porcentagem 4 2 4 2 7" xfId="2902"/>
    <cellStyle name="Porcentagem 4 2 4 2 8" xfId="3430"/>
    <cellStyle name="Porcentagem 4 2 4 2 9" xfId="3958"/>
    <cellStyle name="Porcentagem 4 2 4 3" xfId="403"/>
    <cellStyle name="Porcentagem 4 2 4 3 2" xfId="666"/>
    <cellStyle name="Porcentagem 4 2 4 3 3" xfId="964"/>
    <cellStyle name="Porcentagem 4 2 4 3 4" xfId="1315"/>
    <cellStyle name="Porcentagem 4 2 4 3 5" xfId="1750"/>
    <cellStyle name="Porcentagem 4 2 4 3 6" xfId="2283"/>
    <cellStyle name="Porcentagem 4 2 4 3 7" xfId="2811"/>
    <cellStyle name="Porcentagem 4 2 4 3 8" xfId="3339"/>
    <cellStyle name="Porcentagem 4 2 4 3 9" xfId="3867"/>
    <cellStyle name="Porcentagem 4 2 4 4" xfId="496"/>
    <cellStyle name="Porcentagem 4 2 4 4 2" xfId="1142"/>
    <cellStyle name="Porcentagem 4 2 4 4 3" xfId="1493"/>
    <cellStyle name="Porcentagem 4 2 4 4 4" xfId="1928"/>
    <cellStyle name="Porcentagem 4 2 4 4 5" xfId="2461"/>
    <cellStyle name="Porcentagem 4 2 4 4 6" xfId="2989"/>
    <cellStyle name="Porcentagem 4 2 4 4 7" xfId="3517"/>
    <cellStyle name="Porcentagem 4 2 4 4 8" xfId="4045"/>
    <cellStyle name="Porcentagem 4 2 4 5" xfId="754"/>
    <cellStyle name="Porcentagem 4 2 4 5 2" xfId="1577"/>
    <cellStyle name="Porcentagem 4 2 4 5 3" xfId="2012"/>
    <cellStyle name="Porcentagem 4 2 4 5 4" xfId="2545"/>
    <cellStyle name="Porcentagem 4 2 4 5 5" xfId="3073"/>
    <cellStyle name="Porcentagem 4 2 4 5 6" xfId="3601"/>
    <cellStyle name="Porcentagem 4 2 4 5 7" xfId="4129"/>
    <cellStyle name="Porcentagem 4 2 4 6" xfId="875"/>
    <cellStyle name="Porcentagem 4 2 4 6 2" xfId="4306"/>
    <cellStyle name="Porcentagem 4 2 4 7" xfId="1226"/>
    <cellStyle name="Porcentagem 4 2 4 8" xfId="1661"/>
    <cellStyle name="Porcentagem 4 2 4 9" xfId="2194"/>
    <cellStyle name="Porcentagem 4 2 5" xfId="220"/>
    <cellStyle name="Porcentagem 4 2 5 10" xfId="2730"/>
    <cellStyle name="Porcentagem 4 2 5 11" xfId="3258"/>
    <cellStyle name="Porcentagem 4 2 5 12" xfId="3786"/>
    <cellStyle name="Porcentagem 4 2 5 2" xfId="314"/>
    <cellStyle name="Porcentagem 4 2 5 2 2" xfId="589"/>
    <cellStyle name="Porcentagem 4 2 5 2 2 2" xfId="2110"/>
    <cellStyle name="Porcentagem 4 2 5 2 2 3" xfId="2643"/>
    <cellStyle name="Porcentagem 4 2 5 2 2 4" xfId="3171"/>
    <cellStyle name="Porcentagem 4 2 5 2 2 5" xfId="3699"/>
    <cellStyle name="Porcentagem 4 2 5 2 2 6" xfId="4227"/>
    <cellStyle name="Porcentagem 4 2 5 2 3" xfId="1063"/>
    <cellStyle name="Porcentagem 4 2 5 2 4" xfId="1414"/>
    <cellStyle name="Porcentagem 4 2 5 2 5" xfId="1849"/>
    <cellStyle name="Porcentagem 4 2 5 2 6" xfId="2382"/>
    <cellStyle name="Porcentagem 4 2 5 2 7" xfId="2910"/>
    <cellStyle name="Porcentagem 4 2 5 2 8" xfId="3438"/>
    <cellStyle name="Porcentagem 4 2 5 2 9" xfId="3966"/>
    <cellStyle name="Porcentagem 4 2 5 3" xfId="411"/>
    <cellStyle name="Porcentagem 4 2 5 3 2" xfId="674"/>
    <cellStyle name="Porcentagem 4 2 5 3 3" xfId="972"/>
    <cellStyle name="Porcentagem 4 2 5 3 4" xfId="1323"/>
    <cellStyle name="Porcentagem 4 2 5 3 5" xfId="1758"/>
    <cellStyle name="Porcentagem 4 2 5 3 6" xfId="2291"/>
    <cellStyle name="Porcentagem 4 2 5 3 7" xfId="2819"/>
    <cellStyle name="Porcentagem 4 2 5 3 8" xfId="3347"/>
    <cellStyle name="Porcentagem 4 2 5 3 9" xfId="3875"/>
    <cellStyle name="Porcentagem 4 2 5 4" xfId="504"/>
    <cellStyle name="Porcentagem 4 2 5 4 2" xfId="1150"/>
    <cellStyle name="Porcentagem 4 2 5 4 3" xfId="1501"/>
    <cellStyle name="Porcentagem 4 2 5 4 4" xfId="1936"/>
    <cellStyle name="Porcentagem 4 2 5 4 5" xfId="2469"/>
    <cellStyle name="Porcentagem 4 2 5 4 6" xfId="2997"/>
    <cellStyle name="Porcentagem 4 2 5 4 7" xfId="3525"/>
    <cellStyle name="Porcentagem 4 2 5 4 8" xfId="4053"/>
    <cellStyle name="Porcentagem 4 2 5 5" xfId="762"/>
    <cellStyle name="Porcentagem 4 2 5 5 2" xfId="1585"/>
    <cellStyle name="Porcentagem 4 2 5 5 3" xfId="2020"/>
    <cellStyle name="Porcentagem 4 2 5 5 4" xfId="2553"/>
    <cellStyle name="Porcentagem 4 2 5 5 5" xfId="3081"/>
    <cellStyle name="Porcentagem 4 2 5 5 6" xfId="3609"/>
    <cellStyle name="Porcentagem 4 2 5 5 7" xfId="4137"/>
    <cellStyle name="Porcentagem 4 2 5 6" xfId="883"/>
    <cellStyle name="Porcentagem 4 2 5 6 2" xfId="4314"/>
    <cellStyle name="Porcentagem 4 2 5 7" xfId="1234"/>
    <cellStyle name="Porcentagem 4 2 5 8" xfId="1669"/>
    <cellStyle name="Porcentagem 4 2 5 9" xfId="2202"/>
    <cellStyle name="Porcentagem 4 2 6" xfId="228"/>
    <cellStyle name="Porcentagem 4 2 6 10" xfId="2738"/>
    <cellStyle name="Porcentagem 4 2 6 11" xfId="3266"/>
    <cellStyle name="Porcentagem 4 2 6 12" xfId="3794"/>
    <cellStyle name="Porcentagem 4 2 6 2" xfId="322"/>
    <cellStyle name="Porcentagem 4 2 6 2 2" xfId="597"/>
    <cellStyle name="Porcentagem 4 2 6 2 2 2" xfId="2118"/>
    <cellStyle name="Porcentagem 4 2 6 2 2 3" xfId="2651"/>
    <cellStyle name="Porcentagem 4 2 6 2 2 4" xfId="3179"/>
    <cellStyle name="Porcentagem 4 2 6 2 2 5" xfId="3707"/>
    <cellStyle name="Porcentagem 4 2 6 2 2 6" xfId="4235"/>
    <cellStyle name="Porcentagem 4 2 6 2 3" xfId="1071"/>
    <cellStyle name="Porcentagem 4 2 6 2 4" xfId="1422"/>
    <cellStyle name="Porcentagem 4 2 6 2 5" xfId="1857"/>
    <cellStyle name="Porcentagem 4 2 6 2 6" xfId="2390"/>
    <cellStyle name="Porcentagem 4 2 6 2 7" xfId="2918"/>
    <cellStyle name="Porcentagem 4 2 6 2 8" xfId="3446"/>
    <cellStyle name="Porcentagem 4 2 6 2 9" xfId="3974"/>
    <cellStyle name="Porcentagem 4 2 6 3" xfId="419"/>
    <cellStyle name="Porcentagem 4 2 6 3 2" xfId="682"/>
    <cellStyle name="Porcentagem 4 2 6 3 3" xfId="980"/>
    <cellStyle name="Porcentagem 4 2 6 3 4" xfId="1331"/>
    <cellStyle name="Porcentagem 4 2 6 3 5" xfId="1766"/>
    <cellStyle name="Porcentagem 4 2 6 3 6" xfId="2299"/>
    <cellStyle name="Porcentagem 4 2 6 3 7" xfId="2827"/>
    <cellStyle name="Porcentagem 4 2 6 3 8" xfId="3355"/>
    <cellStyle name="Porcentagem 4 2 6 3 9" xfId="3883"/>
    <cellStyle name="Porcentagem 4 2 6 4" xfId="512"/>
    <cellStyle name="Porcentagem 4 2 6 4 2" xfId="1158"/>
    <cellStyle name="Porcentagem 4 2 6 4 3" xfId="1509"/>
    <cellStyle name="Porcentagem 4 2 6 4 4" xfId="1944"/>
    <cellStyle name="Porcentagem 4 2 6 4 5" xfId="2477"/>
    <cellStyle name="Porcentagem 4 2 6 4 6" xfId="3005"/>
    <cellStyle name="Porcentagem 4 2 6 4 7" xfId="3533"/>
    <cellStyle name="Porcentagem 4 2 6 4 8" xfId="4061"/>
    <cellStyle name="Porcentagem 4 2 6 5" xfId="770"/>
    <cellStyle name="Porcentagem 4 2 6 5 2" xfId="1593"/>
    <cellStyle name="Porcentagem 4 2 6 5 3" xfId="2028"/>
    <cellStyle name="Porcentagem 4 2 6 5 4" xfId="2561"/>
    <cellStyle name="Porcentagem 4 2 6 5 5" xfId="3089"/>
    <cellStyle name="Porcentagem 4 2 6 5 6" xfId="3617"/>
    <cellStyle name="Porcentagem 4 2 6 5 7" xfId="4145"/>
    <cellStyle name="Porcentagem 4 2 6 6" xfId="891"/>
    <cellStyle name="Porcentagem 4 2 6 6 2" xfId="4322"/>
    <cellStyle name="Porcentagem 4 2 6 7" xfId="1242"/>
    <cellStyle name="Porcentagem 4 2 6 8" xfId="1677"/>
    <cellStyle name="Porcentagem 4 2 6 9" xfId="2210"/>
    <cellStyle name="Porcentagem 4 2 7" xfId="168"/>
    <cellStyle name="Porcentagem 4 2 7 10" xfId="2678"/>
    <cellStyle name="Porcentagem 4 2 7 11" xfId="3206"/>
    <cellStyle name="Porcentagem 4 2 7 12" xfId="3734"/>
    <cellStyle name="Porcentagem 4 2 7 2" xfId="262"/>
    <cellStyle name="Porcentagem 4 2 7 2 2" xfId="537"/>
    <cellStyle name="Porcentagem 4 2 7 2 2 2" xfId="2058"/>
    <cellStyle name="Porcentagem 4 2 7 2 2 3" xfId="2591"/>
    <cellStyle name="Porcentagem 4 2 7 2 2 4" xfId="3119"/>
    <cellStyle name="Porcentagem 4 2 7 2 2 5" xfId="3647"/>
    <cellStyle name="Porcentagem 4 2 7 2 2 6" xfId="4175"/>
    <cellStyle name="Porcentagem 4 2 7 2 3" xfId="1011"/>
    <cellStyle name="Porcentagem 4 2 7 2 4" xfId="1362"/>
    <cellStyle name="Porcentagem 4 2 7 2 5" xfId="1797"/>
    <cellStyle name="Porcentagem 4 2 7 2 6" xfId="2330"/>
    <cellStyle name="Porcentagem 4 2 7 2 7" xfId="2858"/>
    <cellStyle name="Porcentagem 4 2 7 2 8" xfId="3386"/>
    <cellStyle name="Porcentagem 4 2 7 2 9" xfId="3914"/>
    <cellStyle name="Porcentagem 4 2 7 3" xfId="359"/>
    <cellStyle name="Porcentagem 4 2 7 3 2" xfId="622"/>
    <cellStyle name="Porcentagem 4 2 7 3 3" xfId="920"/>
    <cellStyle name="Porcentagem 4 2 7 3 4" xfId="1271"/>
    <cellStyle name="Porcentagem 4 2 7 3 5" xfId="1706"/>
    <cellStyle name="Porcentagem 4 2 7 3 6" xfId="2239"/>
    <cellStyle name="Porcentagem 4 2 7 3 7" xfId="2767"/>
    <cellStyle name="Porcentagem 4 2 7 3 8" xfId="3295"/>
    <cellStyle name="Porcentagem 4 2 7 3 9" xfId="3823"/>
    <cellStyle name="Porcentagem 4 2 7 4" xfId="452"/>
    <cellStyle name="Porcentagem 4 2 7 4 2" xfId="1098"/>
    <cellStyle name="Porcentagem 4 2 7 4 3" xfId="1449"/>
    <cellStyle name="Porcentagem 4 2 7 4 4" xfId="1884"/>
    <cellStyle name="Porcentagem 4 2 7 4 5" xfId="2417"/>
    <cellStyle name="Porcentagem 4 2 7 4 6" xfId="2945"/>
    <cellStyle name="Porcentagem 4 2 7 4 7" xfId="3473"/>
    <cellStyle name="Porcentagem 4 2 7 4 8" xfId="4001"/>
    <cellStyle name="Porcentagem 4 2 7 5" xfId="710"/>
    <cellStyle name="Porcentagem 4 2 7 5 2" xfId="1533"/>
    <cellStyle name="Porcentagem 4 2 7 5 3" xfId="1968"/>
    <cellStyle name="Porcentagem 4 2 7 5 4" xfId="2501"/>
    <cellStyle name="Porcentagem 4 2 7 5 5" xfId="3029"/>
    <cellStyle name="Porcentagem 4 2 7 5 6" xfId="3557"/>
    <cellStyle name="Porcentagem 4 2 7 5 7" xfId="4085"/>
    <cellStyle name="Porcentagem 4 2 7 6" xfId="831"/>
    <cellStyle name="Porcentagem 4 2 7 6 2" xfId="4262"/>
    <cellStyle name="Porcentagem 4 2 7 7" xfId="1182"/>
    <cellStyle name="Porcentagem 4 2 7 8" xfId="1617"/>
    <cellStyle name="Porcentagem 4 2 7 9" xfId="2150"/>
    <cellStyle name="Porcentagem 4 2 8" xfId="254"/>
    <cellStyle name="Porcentagem 4 2 8 2" xfId="529"/>
    <cellStyle name="Porcentagem 4 2 8 2 2" xfId="2050"/>
    <cellStyle name="Porcentagem 4 2 8 2 3" xfId="2583"/>
    <cellStyle name="Porcentagem 4 2 8 2 4" xfId="3111"/>
    <cellStyle name="Porcentagem 4 2 8 2 5" xfId="3639"/>
    <cellStyle name="Porcentagem 4 2 8 2 6" xfId="4167"/>
    <cellStyle name="Porcentagem 4 2 8 3" xfId="1003"/>
    <cellStyle name="Porcentagem 4 2 8 4" xfId="1354"/>
    <cellStyle name="Porcentagem 4 2 8 5" xfId="1789"/>
    <cellStyle name="Porcentagem 4 2 8 6" xfId="2322"/>
    <cellStyle name="Porcentagem 4 2 8 7" xfId="2850"/>
    <cellStyle name="Porcentagem 4 2 8 8" xfId="3378"/>
    <cellStyle name="Porcentagem 4 2 8 9" xfId="3906"/>
    <cellStyle name="Porcentagem 4 2 9" xfId="351"/>
    <cellStyle name="Porcentagem 4 2 9 2" xfId="614"/>
    <cellStyle name="Porcentagem 4 2 9 3" xfId="912"/>
    <cellStyle name="Porcentagem 4 2 9 4" xfId="1263"/>
    <cellStyle name="Porcentagem 4 2 9 5" xfId="1698"/>
    <cellStyle name="Porcentagem 4 2 9 6" xfId="2231"/>
    <cellStyle name="Porcentagem 4 2 9 7" xfId="2759"/>
    <cellStyle name="Porcentagem 4 2 9 8" xfId="3287"/>
    <cellStyle name="Porcentagem 4 2 9 9" xfId="3815"/>
    <cellStyle name="Porcentagem 4 20" xfId="819"/>
    <cellStyle name="Porcentagem 4 20 2" xfId="4250"/>
    <cellStyle name="Porcentagem 4 21" xfId="1170"/>
    <cellStyle name="Porcentagem 4 22" xfId="1605"/>
    <cellStyle name="Porcentagem 4 23" xfId="2138"/>
    <cellStyle name="Porcentagem 4 24" xfId="2666"/>
    <cellStyle name="Porcentagem 4 25" xfId="3194"/>
    <cellStyle name="Porcentagem 4 26" xfId="3722"/>
    <cellStyle name="Porcentagem 4 3" xfId="172"/>
    <cellStyle name="Porcentagem 4 3 10" xfId="2682"/>
    <cellStyle name="Porcentagem 4 3 11" xfId="3210"/>
    <cellStyle name="Porcentagem 4 3 12" xfId="3738"/>
    <cellStyle name="Porcentagem 4 3 2" xfId="266"/>
    <cellStyle name="Porcentagem 4 3 2 2" xfId="541"/>
    <cellStyle name="Porcentagem 4 3 2 2 2" xfId="2062"/>
    <cellStyle name="Porcentagem 4 3 2 2 3" xfId="2595"/>
    <cellStyle name="Porcentagem 4 3 2 2 4" xfId="3123"/>
    <cellStyle name="Porcentagem 4 3 2 2 5" xfId="3651"/>
    <cellStyle name="Porcentagem 4 3 2 2 6" xfId="4179"/>
    <cellStyle name="Porcentagem 4 3 2 3" xfId="1015"/>
    <cellStyle name="Porcentagem 4 3 2 4" xfId="1366"/>
    <cellStyle name="Porcentagem 4 3 2 5" xfId="1801"/>
    <cellStyle name="Porcentagem 4 3 2 6" xfId="2334"/>
    <cellStyle name="Porcentagem 4 3 2 7" xfId="2862"/>
    <cellStyle name="Porcentagem 4 3 2 8" xfId="3390"/>
    <cellStyle name="Porcentagem 4 3 2 9" xfId="3918"/>
    <cellStyle name="Porcentagem 4 3 3" xfId="363"/>
    <cellStyle name="Porcentagem 4 3 3 2" xfId="626"/>
    <cellStyle name="Porcentagem 4 3 3 3" xfId="924"/>
    <cellStyle name="Porcentagem 4 3 3 4" xfId="1275"/>
    <cellStyle name="Porcentagem 4 3 3 5" xfId="1710"/>
    <cellStyle name="Porcentagem 4 3 3 6" xfId="2243"/>
    <cellStyle name="Porcentagem 4 3 3 7" xfId="2771"/>
    <cellStyle name="Porcentagem 4 3 3 8" xfId="3299"/>
    <cellStyle name="Porcentagem 4 3 3 9" xfId="3827"/>
    <cellStyle name="Porcentagem 4 3 4" xfId="456"/>
    <cellStyle name="Porcentagem 4 3 4 2" xfId="1102"/>
    <cellStyle name="Porcentagem 4 3 4 3" xfId="1453"/>
    <cellStyle name="Porcentagem 4 3 4 4" xfId="1888"/>
    <cellStyle name="Porcentagem 4 3 4 5" xfId="2421"/>
    <cellStyle name="Porcentagem 4 3 4 6" xfId="2949"/>
    <cellStyle name="Porcentagem 4 3 4 7" xfId="3477"/>
    <cellStyle name="Porcentagem 4 3 4 8" xfId="4005"/>
    <cellStyle name="Porcentagem 4 3 5" xfId="714"/>
    <cellStyle name="Porcentagem 4 3 5 2" xfId="1537"/>
    <cellStyle name="Porcentagem 4 3 5 3" xfId="1972"/>
    <cellStyle name="Porcentagem 4 3 5 4" xfId="2505"/>
    <cellStyle name="Porcentagem 4 3 5 5" xfId="3033"/>
    <cellStyle name="Porcentagem 4 3 5 6" xfId="3561"/>
    <cellStyle name="Porcentagem 4 3 5 7" xfId="4089"/>
    <cellStyle name="Porcentagem 4 3 6" xfId="835"/>
    <cellStyle name="Porcentagem 4 3 6 2" xfId="4266"/>
    <cellStyle name="Porcentagem 4 3 7" xfId="1186"/>
    <cellStyle name="Porcentagem 4 3 8" xfId="1621"/>
    <cellStyle name="Porcentagem 4 3 9" xfId="2154"/>
    <cellStyle name="Porcentagem 4 4" xfId="176"/>
    <cellStyle name="Porcentagem 4 4 10" xfId="2686"/>
    <cellStyle name="Porcentagem 4 4 11" xfId="3214"/>
    <cellStyle name="Porcentagem 4 4 12" xfId="3742"/>
    <cellStyle name="Porcentagem 4 4 2" xfId="270"/>
    <cellStyle name="Porcentagem 4 4 2 2" xfId="545"/>
    <cellStyle name="Porcentagem 4 4 2 2 2" xfId="2066"/>
    <cellStyle name="Porcentagem 4 4 2 2 3" xfId="2599"/>
    <cellStyle name="Porcentagem 4 4 2 2 4" xfId="3127"/>
    <cellStyle name="Porcentagem 4 4 2 2 5" xfId="3655"/>
    <cellStyle name="Porcentagem 4 4 2 2 6" xfId="4183"/>
    <cellStyle name="Porcentagem 4 4 2 3" xfId="1019"/>
    <cellStyle name="Porcentagem 4 4 2 4" xfId="1370"/>
    <cellStyle name="Porcentagem 4 4 2 5" xfId="1805"/>
    <cellStyle name="Porcentagem 4 4 2 6" xfId="2338"/>
    <cellStyle name="Porcentagem 4 4 2 7" xfId="2866"/>
    <cellStyle name="Porcentagem 4 4 2 8" xfId="3394"/>
    <cellStyle name="Porcentagem 4 4 2 9" xfId="3922"/>
    <cellStyle name="Porcentagem 4 4 3" xfId="367"/>
    <cellStyle name="Porcentagem 4 4 3 2" xfId="630"/>
    <cellStyle name="Porcentagem 4 4 3 3" xfId="928"/>
    <cellStyle name="Porcentagem 4 4 3 4" xfId="1279"/>
    <cellStyle name="Porcentagem 4 4 3 5" xfId="1714"/>
    <cellStyle name="Porcentagem 4 4 3 6" xfId="2247"/>
    <cellStyle name="Porcentagem 4 4 3 7" xfId="2775"/>
    <cellStyle name="Porcentagem 4 4 3 8" xfId="3303"/>
    <cellStyle name="Porcentagem 4 4 3 9" xfId="3831"/>
    <cellStyle name="Porcentagem 4 4 4" xfId="460"/>
    <cellStyle name="Porcentagem 4 4 4 2" xfId="1106"/>
    <cellStyle name="Porcentagem 4 4 4 3" xfId="1457"/>
    <cellStyle name="Porcentagem 4 4 4 4" xfId="1892"/>
    <cellStyle name="Porcentagem 4 4 4 5" xfId="2425"/>
    <cellStyle name="Porcentagem 4 4 4 6" xfId="2953"/>
    <cellStyle name="Porcentagem 4 4 4 7" xfId="3481"/>
    <cellStyle name="Porcentagem 4 4 4 8" xfId="4009"/>
    <cellStyle name="Porcentagem 4 4 5" xfId="718"/>
    <cellStyle name="Porcentagem 4 4 5 2" xfId="1541"/>
    <cellStyle name="Porcentagem 4 4 5 3" xfId="1976"/>
    <cellStyle name="Porcentagem 4 4 5 4" xfId="2509"/>
    <cellStyle name="Porcentagem 4 4 5 5" xfId="3037"/>
    <cellStyle name="Porcentagem 4 4 5 6" xfId="3565"/>
    <cellStyle name="Porcentagem 4 4 5 7" xfId="4093"/>
    <cellStyle name="Porcentagem 4 4 6" xfId="839"/>
    <cellStyle name="Porcentagem 4 4 6 2" xfId="4270"/>
    <cellStyle name="Porcentagem 4 4 7" xfId="1190"/>
    <cellStyle name="Porcentagem 4 4 8" xfId="1625"/>
    <cellStyle name="Porcentagem 4 4 9" xfId="2158"/>
    <cellStyle name="Porcentagem 4 5" xfId="180"/>
    <cellStyle name="Porcentagem 4 5 10" xfId="2690"/>
    <cellStyle name="Porcentagem 4 5 11" xfId="3218"/>
    <cellStyle name="Porcentagem 4 5 12" xfId="3746"/>
    <cellStyle name="Porcentagem 4 5 2" xfId="274"/>
    <cellStyle name="Porcentagem 4 5 2 2" xfId="549"/>
    <cellStyle name="Porcentagem 4 5 2 2 2" xfId="2070"/>
    <cellStyle name="Porcentagem 4 5 2 2 3" xfId="2603"/>
    <cellStyle name="Porcentagem 4 5 2 2 4" xfId="3131"/>
    <cellStyle name="Porcentagem 4 5 2 2 5" xfId="3659"/>
    <cellStyle name="Porcentagem 4 5 2 2 6" xfId="4187"/>
    <cellStyle name="Porcentagem 4 5 2 3" xfId="1023"/>
    <cellStyle name="Porcentagem 4 5 2 4" xfId="1374"/>
    <cellStyle name="Porcentagem 4 5 2 5" xfId="1809"/>
    <cellStyle name="Porcentagem 4 5 2 6" xfId="2342"/>
    <cellStyle name="Porcentagem 4 5 2 7" xfId="2870"/>
    <cellStyle name="Porcentagem 4 5 2 8" xfId="3398"/>
    <cellStyle name="Porcentagem 4 5 2 9" xfId="3926"/>
    <cellStyle name="Porcentagem 4 5 3" xfId="371"/>
    <cellStyle name="Porcentagem 4 5 3 2" xfId="634"/>
    <cellStyle name="Porcentagem 4 5 3 3" xfId="932"/>
    <cellStyle name="Porcentagem 4 5 3 4" xfId="1283"/>
    <cellStyle name="Porcentagem 4 5 3 5" xfId="1718"/>
    <cellStyle name="Porcentagem 4 5 3 6" xfId="2251"/>
    <cellStyle name="Porcentagem 4 5 3 7" xfId="2779"/>
    <cellStyle name="Porcentagem 4 5 3 8" xfId="3307"/>
    <cellStyle name="Porcentagem 4 5 3 9" xfId="3835"/>
    <cellStyle name="Porcentagem 4 5 4" xfId="464"/>
    <cellStyle name="Porcentagem 4 5 4 2" xfId="1110"/>
    <cellStyle name="Porcentagem 4 5 4 3" xfId="1461"/>
    <cellStyle name="Porcentagem 4 5 4 4" xfId="1896"/>
    <cellStyle name="Porcentagem 4 5 4 5" xfId="2429"/>
    <cellStyle name="Porcentagem 4 5 4 6" xfId="2957"/>
    <cellStyle name="Porcentagem 4 5 4 7" xfId="3485"/>
    <cellStyle name="Porcentagem 4 5 4 8" xfId="4013"/>
    <cellStyle name="Porcentagem 4 5 5" xfId="722"/>
    <cellStyle name="Porcentagem 4 5 5 2" xfId="1545"/>
    <cellStyle name="Porcentagem 4 5 5 3" xfId="1980"/>
    <cellStyle name="Porcentagem 4 5 5 4" xfId="2513"/>
    <cellStyle name="Porcentagem 4 5 5 5" xfId="3041"/>
    <cellStyle name="Porcentagem 4 5 5 6" xfId="3569"/>
    <cellStyle name="Porcentagem 4 5 5 7" xfId="4097"/>
    <cellStyle name="Porcentagem 4 5 6" xfId="843"/>
    <cellStyle name="Porcentagem 4 5 6 2" xfId="4274"/>
    <cellStyle name="Porcentagem 4 5 7" xfId="1194"/>
    <cellStyle name="Porcentagem 4 5 8" xfId="1629"/>
    <cellStyle name="Porcentagem 4 5 9" xfId="2162"/>
    <cellStyle name="Porcentagem 4 6" xfId="184"/>
    <cellStyle name="Porcentagem 4 6 10" xfId="2694"/>
    <cellStyle name="Porcentagem 4 6 11" xfId="3222"/>
    <cellStyle name="Porcentagem 4 6 12" xfId="3750"/>
    <cellStyle name="Porcentagem 4 6 2" xfId="278"/>
    <cellStyle name="Porcentagem 4 6 2 2" xfId="553"/>
    <cellStyle name="Porcentagem 4 6 2 2 2" xfId="2074"/>
    <cellStyle name="Porcentagem 4 6 2 2 3" xfId="2607"/>
    <cellStyle name="Porcentagem 4 6 2 2 4" xfId="3135"/>
    <cellStyle name="Porcentagem 4 6 2 2 5" xfId="3663"/>
    <cellStyle name="Porcentagem 4 6 2 2 6" xfId="4191"/>
    <cellStyle name="Porcentagem 4 6 2 3" xfId="1027"/>
    <cellStyle name="Porcentagem 4 6 2 4" xfId="1378"/>
    <cellStyle name="Porcentagem 4 6 2 5" xfId="1813"/>
    <cellStyle name="Porcentagem 4 6 2 6" xfId="2346"/>
    <cellStyle name="Porcentagem 4 6 2 7" xfId="2874"/>
    <cellStyle name="Porcentagem 4 6 2 8" xfId="3402"/>
    <cellStyle name="Porcentagem 4 6 2 9" xfId="3930"/>
    <cellStyle name="Porcentagem 4 6 3" xfId="375"/>
    <cellStyle name="Porcentagem 4 6 3 2" xfId="638"/>
    <cellStyle name="Porcentagem 4 6 3 3" xfId="936"/>
    <cellStyle name="Porcentagem 4 6 3 4" xfId="1287"/>
    <cellStyle name="Porcentagem 4 6 3 5" xfId="1722"/>
    <cellStyle name="Porcentagem 4 6 3 6" xfId="2255"/>
    <cellStyle name="Porcentagem 4 6 3 7" xfId="2783"/>
    <cellStyle name="Porcentagem 4 6 3 8" xfId="3311"/>
    <cellStyle name="Porcentagem 4 6 3 9" xfId="3839"/>
    <cellStyle name="Porcentagem 4 6 4" xfId="468"/>
    <cellStyle name="Porcentagem 4 6 4 2" xfId="1114"/>
    <cellStyle name="Porcentagem 4 6 4 3" xfId="1465"/>
    <cellStyle name="Porcentagem 4 6 4 4" xfId="1900"/>
    <cellStyle name="Porcentagem 4 6 4 5" xfId="2433"/>
    <cellStyle name="Porcentagem 4 6 4 6" xfId="2961"/>
    <cellStyle name="Porcentagem 4 6 4 7" xfId="3489"/>
    <cellStyle name="Porcentagem 4 6 4 8" xfId="4017"/>
    <cellStyle name="Porcentagem 4 6 5" xfId="726"/>
    <cellStyle name="Porcentagem 4 6 5 2" xfId="1549"/>
    <cellStyle name="Porcentagem 4 6 5 3" xfId="1984"/>
    <cellStyle name="Porcentagem 4 6 5 4" xfId="2517"/>
    <cellStyle name="Porcentagem 4 6 5 5" xfId="3045"/>
    <cellStyle name="Porcentagem 4 6 5 6" xfId="3573"/>
    <cellStyle name="Porcentagem 4 6 5 7" xfId="4101"/>
    <cellStyle name="Porcentagem 4 6 6" xfId="847"/>
    <cellStyle name="Porcentagem 4 6 6 2" xfId="4278"/>
    <cellStyle name="Porcentagem 4 6 7" xfId="1198"/>
    <cellStyle name="Porcentagem 4 6 8" xfId="1633"/>
    <cellStyle name="Porcentagem 4 6 9" xfId="2166"/>
    <cellStyle name="Porcentagem 4 7" xfId="188"/>
    <cellStyle name="Porcentagem 4 7 10" xfId="2698"/>
    <cellStyle name="Porcentagem 4 7 11" xfId="3226"/>
    <cellStyle name="Porcentagem 4 7 12" xfId="3754"/>
    <cellStyle name="Porcentagem 4 7 2" xfId="282"/>
    <cellStyle name="Porcentagem 4 7 2 2" xfId="557"/>
    <cellStyle name="Porcentagem 4 7 2 2 2" xfId="2078"/>
    <cellStyle name="Porcentagem 4 7 2 2 3" xfId="2611"/>
    <cellStyle name="Porcentagem 4 7 2 2 4" xfId="3139"/>
    <cellStyle name="Porcentagem 4 7 2 2 5" xfId="3667"/>
    <cellStyle name="Porcentagem 4 7 2 2 6" xfId="4195"/>
    <cellStyle name="Porcentagem 4 7 2 3" xfId="1031"/>
    <cellStyle name="Porcentagem 4 7 2 4" xfId="1382"/>
    <cellStyle name="Porcentagem 4 7 2 5" xfId="1817"/>
    <cellStyle name="Porcentagem 4 7 2 6" xfId="2350"/>
    <cellStyle name="Porcentagem 4 7 2 7" xfId="2878"/>
    <cellStyle name="Porcentagem 4 7 2 8" xfId="3406"/>
    <cellStyle name="Porcentagem 4 7 2 9" xfId="3934"/>
    <cellStyle name="Porcentagem 4 7 3" xfId="379"/>
    <cellStyle name="Porcentagem 4 7 3 2" xfId="642"/>
    <cellStyle name="Porcentagem 4 7 3 3" xfId="940"/>
    <cellStyle name="Porcentagem 4 7 3 4" xfId="1291"/>
    <cellStyle name="Porcentagem 4 7 3 5" xfId="1726"/>
    <cellStyle name="Porcentagem 4 7 3 6" xfId="2259"/>
    <cellStyle name="Porcentagem 4 7 3 7" xfId="2787"/>
    <cellStyle name="Porcentagem 4 7 3 8" xfId="3315"/>
    <cellStyle name="Porcentagem 4 7 3 9" xfId="3843"/>
    <cellStyle name="Porcentagem 4 7 4" xfId="472"/>
    <cellStyle name="Porcentagem 4 7 4 2" xfId="1118"/>
    <cellStyle name="Porcentagem 4 7 4 3" xfId="1469"/>
    <cellStyle name="Porcentagem 4 7 4 4" xfId="1904"/>
    <cellStyle name="Porcentagem 4 7 4 5" xfId="2437"/>
    <cellStyle name="Porcentagem 4 7 4 6" xfId="2965"/>
    <cellStyle name="Porcentagem 4 7 4 7" xfId="3493"/>
    <cellStyle name="Porcentagem 4 7 4 8" xfId="4021"/>
    <cellStyle name="Porcentagem 4 7 5" xfId="730"/>
    <cellStyle name="Porcentagem 4 7 5 2" xfId="1553"/>
    <cellStyle name="Porcentagem 4 7 5 3" xfId="1988"/>
    <cellStyle name="Porcentagem 4 7 5 4" xfId="2521"/>
    <cellStyle name="Porcentagem 4 7 5 5" xfId="3049"/>
    <cellStyle name="Porcentagem 4 7 5 6" xfId="3577"/>
    <cellStyle name="Porcentagem 4 7 5 7" xfId="4105"/>
    <cellStyle name="Porcentagem 4 7 6" xfId="851"/>
    <cellStyle name="Porcentagem 4 7 6 2" xfId="4282"/>
    <cellStyle name="Porcentagem 4 7 7" xfId="1202"/>
    <cellStyle name="Porcentagem 4 7 8" xfId="1637"/>
    <cellStyle name="Porcentagem 4 7 9" xfId="2170"/>
    <cellStyle name="Porcentagem 4 8" xfId="192"/>
    <cellStyle name="Porcentagem 4 8 10" xfId="2702"/>
    <cellStyle name="Porcentagem 4 8 11" xfId="3230"/>
    <cellStyle name="Porcentagem 4 8 12" xfId="3758"/>
    <cellStyle name="Porcentagem 4 8 2" xfId="286"/>
    <cellStyle name="Porcentagem 4 8 2 2" xfId="561"/>
    <cellStyle name="Porcentagem 4 8 2 2 2" xfId="2082"/>
    <cellStyle name="Porcentagem 4 8 2 2 3" xfId="2615"/>
    <cellStyle name="Porcentagem 4 8 2 2 4" xfId="3143"/>
    <cellStyle name="Porcentagem 4 8 2 2 5" xfId="3671"/>
    <cellStyle name="Porcentagem 4 8 2 2 6" xfId="4199"/>
    <cellStyle name="Porcentagem 4 8 2 3" xfId="1035"/>
    <cellStyle name="Porcentagem 4 8 2 4" xfId="1386"/>
    <cellStyle name="Porcentagem 4 8 2 5" xfId="1821"/>
    <cellStyle name="Porcentagem 4 8 2 6" xfId="2354"/>
    <cellStyle name="Porcentagem 4 8 2 7" xfId="2882"/>
    <cellStyle name="Porcentagem 4 8 2 8" xfId="3410"/>
    <cellStyle name="Porcentagem 4 8 2 9" xfId="3938"/>
    <cellStyle name="Porcentagem 4 8 3" xfId="383"/>
    <cellStyle name="Porcentagem 4 8 3 2" xfId="646"/>
    <cellStyle name="Porcentagem 4 8 3 3" xfId="944"/>
    <cellStyle name="Porcentagem 4 8 3 4" xfId="1295"/>
    <cellStyle name="Porcentagem 4 8 3 5" xfId="1730"/>
    <cellStyle name="Porcentagem 4 8 3 6" xfId="2263"/>
    <cellStyle name="Porcentagem 4 8 3 7" xfId="2791"/>
    <cellStyle name="Porcentagem 4 8 3 8" xfId="3319"/>
    <cellStyle name="Porcentagem 4 8 3 9" xfId="3847"/>
    <cellStyle name="Porcentagem 4 8 4" xfId="476"/>
    <cellStyle name="Porcentagem 4 8 4 2" xfId="1122"/>
    <cellStyle name="Porcentagem 4 8 4 3" xfId="1473"/>
    <cellStyle name="Porcentagem 4 8 4 4" xfId="1908"/>
    <cellStyle name="Porcentagem 4 8 4 5" xfId="2441"/>
    <cellStyle name="Porcentagem 4 8 4 6" xfId="2969"/>
    <cellStyle name="Porcentagem 4 8 4 7" xfId="3497"/>
    <cellStyle name="Porcentagem 4 8 4 8" xfId="4025"/>
    <cellStyle name="Porcentagem 4 8 5" xfId="734"/>
    <cellStyle name="Porcentagem 4 8 5 2" xfId="1557"/>
    <cellStyle name="Porcentagem 4 8 5 3" xfId="1992"/>
    <cellStyle name="Porcentagem 4 8 5 4" xfId="2525"/>
    <cellStyle name="Porcentagem 4 8 5 5" xfId="3053"/>
    <cellStyle name="Porcentagem 4 8 5 6" xfId="3581"/>
    <cellStyle name="Porcentagem 4 8 5 7" xfId="4109"/>
    <cellStyle name="Porcentagem 4 8 6" xfId="855"/>
    <cellStyle name="Porcentagem 4 8 6 2" xfId="4286"/>
    <cellStyle name="Porcentagem 4 8 7" xfId="1206"/>
    <cellStyle name="Porcentagem 4 8 8" xfId="1641"/>
    <cellStyle name="Porcentagem 4 8 9" xfId="2174"/>
    <cellStyle name="Porcentagem 4 9" xfId="200"/>
    <cellStyle name="Porcentagem 4 9 10" xfId="2710"/>
    <cellStyle name="Porcentagem 4 9 11" xfId="3238"/>
    <cellStyle name="Porcentagem 4 9 12" xfId="3766"/>
    <cellStyle name="Porcentagem 4 9 2" xfId="294"/>
    <cellStyle name="Porcentagem 4 9 2 2" xfId="569"/>
    <cellStyle name="Porcentagem 4 9 2 2 2" xfId="2090"/>
    <cellStyle name="Porcentagem 4 9 2 2 3" xfId="2623"/>
    <cellStyle name="Porcentagem 4 9 2 2 4" xfId="3151"/>
    <cellStyle name="Porcentagem 4 9 2 2 5" xfId="3679"/>
    <cellStyle name="Porcentagem 4 9 2 2 6" xfId="4207"/>
    <cellStyle name="Porcentagem 4 9 2 3" xfId="1043"/>
    <cellStyle name="Porcentagem 4 9 2 4" xfId="1394"/>
    <cellStyle name="Porcentagem 4 9 2 5" xfId="1829"/>
    <cellStyle name="Porcentagem 4 9 2 6" xfId="2362"/>
    <cellStyle name="Porcentagem 4 9 2 7" xfId="2890"/>
    <cellStyle name="Porcentagem 4 9 2 8" xfId="3418"/>
    <cellStyle name="Porcentagem 4 9 2 9" xfId="3946"/>
    <cellStyle name="Porcentagem 4 9 3" xfId="391"/>
    <cellStyle name="Porcentagem 4 9 3 2" xfId="654"/>
    <cellStyle name="Porcentagem 4 9 3 3" xfId="952"/>
    <cellStyle name="Porcentagem 4 9 3 4" xfId="1303"/>
    <cellStyle name="Porcentagem 4 9 3 5" xfId="1738"/>
    <cellStyle name="Porcentagem 4 9 3 6" xfId="2271"/>
    <cellStyle name="Porcentagem 4 9 3 7" xfId="2799"/>
    <cellStyle name="Porcentagem 4 9 3 8" xfId="3327"/>
    <cellStyle name="Porcentagem 4 9 3 9" xfId="3855"/>
    <cellStyle name="Porcentagem 4 9 4" xfId="484"/>
    <cellStyle name="Porcentagem 4 9 4 2" xfId="1130"/>
    <cellStyle name="Porcentagem 4 9 4 3" xfId="1481"/>
    <cellStyle name="Porcentagem 4 9 4 4" xfId="1916"/>
    <cellStyle name="Porcentagem 4 9 4 5" xfId="2449"/>
    <cellStyle name="Porcentagem 4 9 4 6" xfId="2977"/>
    <cellStyle name="Porcentagem 4 9 4 7" xfId="3505"/>
    <cellStyle name="Porcentagem 4 9 4 8" xfId="4033"/>
    <cellStyle name="Porcentagem 4 9 5" xfId="742"/>
    <cellStyle name="Porcentagem 4 9 5 2" xfId="1565"/>
    <cellStyle name="Porcentagem 4 9 5 3" xfId="2000"/>
    <cellStyle name="Porcentagem 4 9 5 4" xfId="2533"/>
    <cellStyle name="Porcentagem 4 9 5 5" xfId="3061"/>
    <cellStyle name="Porcentagem 4 9 5 6" xfId="3589"/>
    <cellStyle name="Porcentagem 4 9 5 7" xfId="4117"/>
    <cellStyle name="Porcentagem 4 9 6" xfId="863"/>
    <cellStyle name="Porcentagem 4 9 6 2" xfId="4294"/>
    <cellStyle name="Porcentagem 4 9 7" xfId="1214"/>
    <cellStyle name="Porcentagem 4 9 8" xfId="1649"/>
    <cellStyle name="Porcentagem 4 9 9" xfId="2182"/>
    <cellStyle name="Porcentagem 5" xfId="143"/>
    <cellStyle name="Porcentagem 6" xfId="695"/>
    <cellStyle name="Separador de milhares 2" xfId="151"/>
    <cellStyle name="Separador de milhares 2 10" xfId="29675"/>
    <cellStyle name="Separador de milhares 2 2" xfId="152"/>
    <cellStyle name="Separador de milhares 2 2 2" xfId="153"/>
    <cellStyle name="Separador de milhares 2 2 2 2" xfId="250"/>
    <cellStyle name="Separador de milhares 2 2 2 2 10" xfId="4951"/>
    <cellStyle name="Separador de milhares 2 2 2 2 10 2" xfId="8173"/>
    <cellStyle name="Separador de milhares 2 2 2 2 10 2 2" xfId="20027"/>
    <cellStyle name="Separador de milhares 2 2 2 2 10 2 2 2" xfId="46506"/>
    <cellStyle name="Separador de milhares 2 2 2 2 10 2 3" xfId="14100"/>
    <cellStyle name="Separador de milhares 2 2 2 2 10 2 3 2" xfId="40598"/>
    <cellStyle name="Separador de milhares 2 2 2 2 10 2 4" xfId="34690"/>
    <cellStyle name="Separador de milhares 2 2 2 2 10 2 5" xfId="28156"/>
    <cellStyle name="Separador de milhares 2 2 2 2 10 3" xfId="17063"/>
    <cellStyle name="Separador de milhares 2 2 2 2 10 3 2" xfId="43552"/>
    <cellStyle name="Separador de milhares 2 2 2 2 10 4" xfId="11136"/>
    <cellStyle name="Separador de milhares 2 2 2 2 10 4 2" xfId="37644"/>
    <cellStyle name="Separador de milhares 2 2 2 2 10 5" xfId="31478"/>
    <cellStyle name="Separador de milhares 2 2 2 2 10 6" xfId="24944"/>
    <cellStyle name="Separador de milhares 2 2 2 2 11" xfId="6697"/>
    <cellStyle name="Separador de milhares 2 2 2 2 11 2" xfId="18551"/>
    <cellStyle name="Separador de milhares 2 2 2 2 11 2 2" xfId="45038"/>
    <cellStyle name="Separador de milhares 2 2 2 2 11 3" xfId="12624"/>
    <cellStyle name="Separador de milhares 2 2 2 2 11 3 2" xfId="39130"/>
    <cellStyle name="Separador de milhares 2 2 2 2 11 4" xfId="33222"/>
    <cellStyle name="Separador de milhares 2 2 2 2 11 5" xfId="26688"/>
    <cellStyle name="Separador de milhares 2 2 2 2 12" xfId="15587"/>
    <cellStyle name="Separador de milhares 2 2 2 2 12 2" xfId="42084"/>
    <cellStyle name="Separador de milhares 2 2 2 2 12 3" xfId="23172"/>
    <cellStyle name="Separador de milhares 2 2 2 2 13" xfId="9660"/>
    <cellStyle name="Separador de milhares 2 2 2 2 13 2" xfId="36176"/>
    <cellStyle name="Separador de milhares 2 2 2 2 14" xfId="29706"/>
    <cellStyle name="Separador de milhares 2 2 2 2 15" xfId="21424"/>
    <cellStyle name="Separador de milhares 2 2 2 2 2" xfId="793"/>
    <cellStyle name="Separador de milhares 2 2 2 2 2 10" xfId="9811"/>
    <cellStyle name="Separador de milhares 2 2 2 2 2 10 2" xfId="36324"/>
    <cellStyle name="Separador de milhares 2 2 2 2 2 11" xfId="29861"/>
    <cellStyle name="Separador de milhares 2 2 2 2 2 12" xfId="21555"/>
    <cellStyle name="Separador de milhares 2 2 2 2 2 2" xfId="2046"/>
    <cellStyle name="Separador de milhares 2 2 2 2 2 2 2" xfId="5470"/>
    <cellStyle name="Separador de milhares 2 2 2 2 2 2 2 2" xfId="8685"/>
    <cellStyle name="Separador de milhares 2 2 2 2 2 2 2 2 2" xfId="20539"/>
    <cellStyle name="Separador de milhares 2 2 2 2 2 2 2 2 2 2" xfId="47018"/>
    <cellStyle name="Separador de milhares 2 2 2 2 2 2 2 2 3" xfId="14612"/>
    <cellStyle name="Separador de milhares 2 2 2 2 2 2 2 2 3 2" xfId="41110"/>
    <cellStyle name="Separador de milhares 2 2 2 2 2 2 2 2 4" xfId="35202"/>
    <cellStyle name="Separador de milhares 2 2 2 2 2 2 2 2 5" xfId="28668"/>
    <cellStyle name="Separador de milhares 2 2 2 2 2 2 2 3" xfId="17575"/>
    <cellStyle name="Separador de milhares 2 2 2 2 2 2 2 3 2" xfId="44064"/>
    <cellStyle name="Separador de milhares 2 2 2 2 2 2 2 4" xfId="11648"/>
    <cellStyle name="Separador de milhares 2 2 2 2 2 2 2 4 2" xfId="38156"/>
    <cellStyle name="Separador de milhares 2 2 2 2 2 2 2 5" xfId="31997"/>
    <cellStyle name="Separador de milhares 2 2 2 2 2 2 2 6" xfId="25463"/>
    <cellStyle name="Separador de milhares 2 2 2 2 2 2 3" xfId="7213"/>
    <cellStyle name="Separador de milhares 2 2 2 2 2 2 3 2" xfId="19067"/>
    <cellStyle name="Separador de milhares 2 2 2 2 2 2 3 2 2" xfId="45550"/>
    <cellStyle name="Separador de milhares 2 2 2 2 2 2 3 3" xfId="13140"/>
    <cellStyle name="Separador de milhares 2 2 2 2 2 2 3 3 2" xfId="39642"/>
    <cellStyle name="Separador de milhares 2 2 2 2 2 2 3 4" xfId="33734"/>
    <cellStyle name="Separador de milhares 2 2 2 2 2 2 3 5" xfId="27200"/>
    <cellStyle name="Separador de milhares 2 2 2 2 2 2 4" xfId="16103"/>
    <cellStyle name="Separador de milhares 2 2 2 2 2 2 4 2" xfId="42596"/>
    <cellStyle name="Separador de milhares 2 2 2 2 2 2 4 3" xfId="23691"/>
    <cellStyle name="Separador de milhares 2 2 2 2 2 2 5" xfId="10176"/>
    <cellStyle name="Separador de milhares 2 2 2 2 2 2 5 2" xfId="36688"/>
    <cellStyle name="Separador de milhares 2 2 2 2 2 2 6" xfId="30225"/>
    <cellStyle name="Separador de milhares 2 2 2 2 2 2 7" xfId="21919"/>
    <cellStyle name="Separador de milhares 2 2 2 2 2 3" xfId="2579"/>
    <cellStyle name="Separador de milhares 2 2 2 2 2 3 2" xfId="5620"/>
    <cellStyle name="Separador de milhares 2 2 2 2 2 3 2 2" xfId="8832"/>
    <cellStyle name="Separador de milhares 2 2 2 2 2 3 2 2 2" xfId="20686"/>
    <cellStyle name="Separador de milhares 2 2 2 2 2 3 2 2 2 2" xfId="47165"/>
    <cellStyle name="Separador de milhares 2 2 2 2 2 3 2 2 3" xfId="14759"/>
    <cellStyle name="Separador de milhares 2 2 2 2 2 3 2 2 3 2" xfId="41257"/>
    <cellStyle name="Separador de milhares 2 2 2 2 2 3 2 2 4" xfId="35349"/>
    <cellStyle name="Separador de milhares 2 2 2 2 2 3 2 2 5" xfId="28815"/>
    <cellStyle name="Separador de milhares 2 2 2 2 2 3 2 3" xfId="17722"/>
    <cellStyle name="Separador de milhares 2 2 2 2 2 3 2 3 2" xfId="44211"/>
    <cellStyle name="Separador de milhares 2 2 2 2 2 3 2 4" xfId="11795"/>
    <cellStyle name="Separador de milhares 2 2 2 2 2 3 2 4 2" xfId="38303"/>
    <cellStyle name="Separador de milhares 2 2 2 2 2 3 2 5" xfId="32147"/>
    <cellStyle name="Separador de milhares 2 2 2 2 2 3 2 6" xfId="25613"/>
    <cellStyle name="Separador de milhares 2 2 2 2 2 3 3" xfId="7361"/>
    <cellStyle name="Separador de milhares 2 2 2 2 2 3 3 2" xfId="19215"/>
    <cellStyle name="Separador de milhares 2 2 2 2 2 3 3 2 2" xfId="45697"/>
    <cellStyle name="Separador de milhares 2 2 2 2 2 3 3 3" xfId="13288"/>
    <cellStyle name="Separador de milhares 2 2 2 2 2 3 3 3 2" xfId="39789"/>
    <cellStyle name="Separador de milhares 2 2 2 2 2 3 3 4" xfId="33881"/>
    <cellStyle name="Separador de milhares 2 2 2 2 2 3 3 5" xfId="27347"/>
    <cellStyle name="Separador de milhares 2 2 2 2 2 3 4" xfId="16251"/>
    <cellStyle name="Separador de milhares 2 2 2 2 2 3 4 2" xfId="42743"/>
    <cellStyle name="Separador de milhares 2 2 2 2 2 3 4 3" xfId="23841"/>
    <cellStyle name="Separador de milhares 2 2 2 2 2 3 5" xfId="10324"/>
    <cellStyle name="Separador de milhares 2 2 2 2 2 3 5 2" xfId="36835"/>
    <cellStyle name="Separador de milhares 2 2 2 2 2 3 6" xfId="30375"/>
    <cellStyle name="Separador de milhares 2 2 2 2 2 3 7" xfId="22069"/>
    <cellStyle name="Separador de milhares 2 2 2 2 2 4" xfId="3107"/>
    <cellStyle name="Separador de milhares 2 2 2 2 2 4 2" xfId="5767"/>
    <cellStyle name="Separador de milhares 2 2 2 2 2 4 2 2" xfId="8979"/>
    <cellStyle name="Separador de milhares 2 2 2 2 2 4 2 2 2" xfId="20833"/>
    <cellStyle name="Separador de milhares 2 2 2 2 2 4 2 2 2 2" xfId="47312"/>
    <cellStyle name="Separador de milhares 2 2 2 2 2 4 2 2 3" xfId="14906"/>
    <cellStyle name="Separador de milhares 2 2 2 2 2 4 2 2 3 2" xfId="41404"/>
    <cellStyle name="Separador de milhares 2 2 2 2 2 4 2 2 4" xfId="35496"/>
    <cellStyle name="Separador de milhares 2 2 2 2 2 4 2 2 5" xfId="28962"/>
    <cellStyle name="Separador de milhares 2 2 2 2 2 4 2 3" xfId="17869"/>
    <cellStyle name="Separador de milhares 2 2 2 2 2 4 2 3 2" xfId="44358"/>
    <cellStyle name="Separador de milhares 2 2 2 2 2 4 2 4" xfId="11942"/>
    <cellStyle name="Separador de milhares 2 2 2 2 2 4 2 4 2" xfId="38450"/>
    <cellStyle name="Separador de milhares 2 2 2 2 2 4 2 5" xfId="32294"/>
    <cellStyle name="Separador de milhares 2 2 2 2 2 4 2 6" xfId="25760"/>
    <cellStyle name="Separador de milhares 2 2 2 2 2 4 3" xfId="7509"/>
    <cellStyle name="Separador de milhares 2 2 2 2 2 4 3 2" xfId="19363"/>
    <cellStyle name="Separador de milhares 2 2 2 2 2 4 3 2 2" xfId="45844"/>
    <cellStyle name="Separador de milhares 2 2 2 2 2 4 3 3" xfId="13436"/>
    <cellStyle name="Separador de milhares 2 2 2 2 2 4 3 3 2" xfId="39936"/>
    <cellStyle name="Separador de milhares 2 2 2 2 2 4 3 4" xfId="34028"/>
    <cellStyle name="Separador de milhares 2 2 2 2 2 4 3 5" xfId="27494"/>
    <cellStyle name="Separador de milhares 2 2 2 2 2 4 4" xfId="16399"/>
    <cellStyle name="Separador de milhares 2 2 2 2 2 4 4 2" xfId="42890"/>
    <cellStyle name="Separador de milhares 2 2 2 2 2 4 4 3" xfId="23988"/>
    <cellStyle name="Separador de milhares 2 2 2 2 2 4 5" xfId="10472"/>
    <cellStyle name="Separador de milhares 2 2 2 2 2 4 5 2" xfId="36982"/>
    <cellStyle name="Separador de milhares 2 2 2 2 2 4 6" xfId="30522"/>
    <cellStyle name="Separador de milhares 2 2 2 2 2 4 7" xfId="22216"/>
    <cellStyle name="Separador de milhares 2 2 2 2 2 5" xfId="3635"/>
    <cellStyle name="Separador de milhares 2 2 2 2 2 5 2" xfId="5914"/>
    <cellStyle name="Separador de milhares 2 2 2 2 2 5 2 2" xfId="9126"/>
    <cellStyle name="Separador de milhares 2 2 2 2 2 5 2 2 2" xfId="20980"/>
    <cellStyle name="Separador de milhares 2 2 2 2 2 5 2 2 2 2" xfId="47459"/>
    <cellStyle name="Separador de milhares 2 2 2 2 2 5 2 2 3" xfId="15053"/>
    <cellStyle name="Separador de milhares 2 2 2 2 2 5 2 2 3 2" xfId="41551"/>
    <cellStyle name="Separador de milhares 2 2 2 2 2 5 2 2 4" xfId="35643"/>
    <cellStyle name="Separador de milhares 2 2 2 2 2 5 2 2 5" xfId="29109"/>
    <cellStyle name="Separador de milhares 2 2 2 2 2 5 2 3" xfId="18016"/>
    <cellStyle name="Separador de milhares 2 2 2 2 2 5 2 3 2" xfId="44505"/>
    <cellStyle name="Separador de milhares 2 2 2 2 2 5 2 4" xfId="12089"/>
    <cellStyle name="Separador de milhares 2 2 2 2 2 5 2 4 2" xfId="38597"/>
    <cellStyle name="Separador de milhares 2 2 2 2 2 5 2 5" xfId="32441"/>
    <cellStyle name="Separador de milhares 2 2 2 2 2 5 2 6" xfId="25907"/>
    <cellStyle name="Separador de milhares 2 2 2 2 2 5 3" xfId="7657"/>
    <cellStyle name="Separador de milhares 2 2 2 2 2 5 3 2" xfId="19511"/>
    <cellStyle name="Separador de milhares 2 2 2 2 2 5 3 2 2" xfId="45991"/>
    <cellStyle name="Separador de milhares 2 2 2 2 2 5 3 3" xfId="13584"/>
    <cellStyle name="Separador de milhares 2 2 2 2 2 5 3 3 2" xfId="40083"/>
    <cellStyle name="Separador de milhares 2 2 2 2 2 5 3 4" xfId="34175"/>
    <cellStyle name="Separador de milhares 2 2 2 2 2 5 3 5" xfId="27641"/>
    <cellStyle name="Separador de milhares 2 2 2 2 2 5 4" xfId="16547"/>
    <cellStyle name="Separador de milhares 2 2 2 2 2 5 4 2" xfId="43037"/>
    <cellStyle name="Separador de milhares 2 2 2 2 2 5 4 3" xfId="24135"/>
    <cellStyle name="Separador de milhares 2 2 2 2 2 5 5" xfId="10620"/>
    <cellStyle name="Separador de milhares 2 2 2 2 2 5 5 2" xfId="37129"/>
    <cellStyle name="Separador de milhares 2 2 2 2 2 5 6" xfId="30669"/>
    <cellStyle name="Separador de milhares 2 2 2 2 2 5 7" xfId="22363"/>
    <cellStyle name="Separador de milhares 2 2 2 2 2 6" xfId="4163"/>
    <cellStyle name="Separador de milhares 2 2 2 2 2 6 2" xfId="6061"/>
    <cellStyle name="Separador de milhares 2 2 2 2 2 6 2 2" xfId="9273"/>
    <cellStyle name="Separador de milhares 2 2 2 2 2 6 2 2 2" xfId="21127"/>
    <cellStyle name="Separador de milhares 2 2 2 2 2 6 2 2 2 2" xfId="47606"/>
    <cellStyle name="Separador de milhares 2 2 2 2 2 6 2 2 3" xfId="15200"/>
    <cellStyle name="Separador de milhares 2 2 2 2 2 6 2 2 3 2" xfId="41698"/>
    <cellStyle name="Separador de milhares 2 2 2 2 2 6 2 2 4" xfId="35790"/>
    <cellStyle name="Separador de milhares 2 2 2 2 2 6 2 2 5" xfId="29256"/>
    <cellStyle name="Separador de milhares 2 2 2 2 2 6 2 3" xfId="18163"/>
    <cellStyle name="Separador de milhares 2 2 2 2 2 6 2 3 2" xfId="44652"/>
    <cellStyle name="Separador de milhares 2 2 2 2 2 6 2 4" xfId="12236"/>
    <cellStyle name="Separador de milhares 2 2 2 2 2 6 2 4 2" xfId="38744"/>
    <cellStyle name="Separador de milhares 2 2 2 2 2 6 2 5" xfId="32588"/>
    <cellStyle name="Separador de milhares 2 2 2 2 2 6 2 6" xfId="26054"/>
    <cellStyle name="Separador de milhares 2 2 2 2 2 6 3" xfId="7805"/>
    <cellStyle name="Separador de milhares 2 2 2 2 2 6 3 2" xfId="19659"/>
    <cellStyle name="Separador de milhares 2 2 2 2 2 6 3 2 2" xfId="46138"/>
    <cellStyle name="Separador de milhares 2 2 2 2 2 6 3 3" xfId="13732"/>
    <cellStyle name="Separador de milhares 2 2 2 2 2 6 3 3 2" xfId="40230"/>
    <cellStyle name="Separador de milhares 2 2 2 2 2 6 3 4" xfId="34322"/>
    <cellStyle name="Separador de milhares 2 2 2 2 2 6 3 5" xfId="27788"/>
    <cellStyle name="Separador de milhares 2 2 2 2 2 6 4" xfId="16695"/>
    <cellStyle name="Separador de milhares 2 2 2 2 2 6 4 2" xfId="43184"/>
    <cellStyle name="Separador de milhares 2 2 2 2 2 6 4 3" xfId="24282"/>
    <cellStyle name="Separador de milhares 2 2 2 2 2 6 5" xfId="10768"/>
    <cellStyle name="Separador de milhares 2 2 2 2 2 6 5 2" xfId="37276"/>
    <cellStyle name="Separador de milhares 2 2 2 2 2 6 6" xfId="30816"/>
    <cellStyle name="Separador de milhares 2 2 2 2 2 6 7" xfId="22510"/>
    <cellStyle name="Separador de milhares 2 2 2 2 2 7" xfId="5106"/>
    <cellStyle name="Separador de milhares 2 2 2 2 2 7 2" xfId="8321"/>
    <cellStyle name="Separador de milhares 2 2 2 2 2 7 2 2" xfId="20175"/>
    <cellStyle name="Separador de milhares 2 2 2 2 2 7 2 2 2" xfId="46654"/>
    <cellStyle name="Separador de milhares 2 2 2 2 2 7 2 3" xfId="14248"/>
    <cellStyle name="Separador de milhares 2 2 2 2 2 7 2 3 2" xfId="40746"/>
    <cellStyle name="Separador de milhares 2 2 2 2 2 7 2 4" xfId="34838"/>
    <cellStyle name="Separador de milhares 2 2 2 2 2 7 2 5" xfId="28304"/>
    <cellStyle name="Separador de milhares 2 2 2 2 2 7 3" xfId="17211"/>
    <cellStyle name="Separador de milhares 2 2 2 2 2 7 3 2" xfId="43700"/>
    <cellStyle name="Separador de milhares 2 2 2 2 2 7 4" xfId="11284"/>
    <cellStyle name="Separador de milhares 2 2 2 2 2 7 4 2" xfId="37792"/>
    <cellStyle name="Separador de milhares 2 2 2 2 2 7 5" xfId="31633"/>
    <cellStyle name="Separador de milhares 2 2 2 2 2 7 6" xfId="25099"/>
    <cellStyle name="Separador de milhares 2 2 2 2 2 8" xfId="6848"/>
    <cellStyle name="Separador de milhares 2 2 2 2 2 8 2" xfId="18702"/>
    <cellStyle name="Separador de milhares 2 2 2 2 2 8 2 2" xfId="45186"/>
    <cellStyle name="Separador de milhares 2 2 2 2 2 8 3" xfId="12775"/>
    <cellStyle name="Separador de milhares 2 2 2 2 2 8 3 2" xfId="39278"/>
    <cellStyle name="Separador de milhares 2 2 2 2 2 8 4" xfId="33370"/>
    <cellStyle name="Separador de milhares 2 2 2 2 2 8 5" xfId="26836"/>
    <cellStyle name="Separador de milhares 2 2 2 2 2 9" xfId="15738"/>
    <cellStyle name="Separador de milhares 2 2 2 2 2 9 2" xfId="42232"/>
    <cellStyle name="Separador de milhares 2 2 2 2 2 9 3" xfId="23327"/>
    <cellStyle name="Separador de milhares 2 2 2 2 3" xfId="999"/>
    <cellStyle name="Separador de milhares 2 2 2 2 3 2" xfId="5183"/>
    <cellStyle name="Separador de milhares 2 2 2 2 3 2 2" xfId="8398"/>
    <cellStyle name="Separador de milhares 2 2 2 2 3 2 2 2" xfId="20252"/>
    <cellStyle name="Separador de milhares 2 2 2 2 3 2 2 2 2" xfId="46731"/>
    <cellStyle name="Separador de milhares 2 2 2 2 3 2 2 3" xfId="14325"/>
    <cellStyle name="Separador de milhares 2 2 2 2 3 2 2 3 2" xfId="40823"/>
    <cellStyle name="Separador de milhares 2 2 2 2 3 2 2 4" xfId="34915"/>
    <cellStyle name="Separador de milhares 2 2 2 2 3 2 2 5" xfId="28381"/>
    <cellStyle name="Separador de milhares 2 2 2 2 3 2 3" xfId="17288"/>
    <cellStyle name="Separador de milhares 2 2 2 2 3 2 3 2" xfId="43777"/>
    <cellStyle name="Separador de milhares 2 2 2 2 3 2 4" xfId="11361"/>
    <cellStyle name="Separador de milhares 2 2 2 2 3 2 4 2" xfId="37869"/>
    <cellStyle name="Separador de milhares 2 2 2 2 3 2 5" xfId="31710"/>
    <cellStyle name="Separador de milhares 2 2 2 2 3 2 6" xfId="25176"/>
    <cellStyle name="Separador de milhares 2 2 2 2 3 3" xfId="6925"/>
    <cellStyle name="Separador de milhares 2 2 2 2 3 3 2" xfId="18779"/>
    <cellStyle name="Separador de milhares 2 2 2 2 3 3 2 2" xfId="45263"/>
    <cellStyle name="Separador de milhares 2 2 2 2 3 3 3" xfId="12852"/>
    <cellStyle name="Separador de milhares 2 2 2 2 3 3 3 2" xfId="39355"/>
    <cellStyle name="Separador de milhares 2 2 2 2 3 3 4" xfId="33447"/>
    <cellStyle name="Separador de milhares 2 2 2 2 3 3 5" xfId="26913"/>
    <cellStyle name="Separador de milhares 2 2 2 2 3 4" xfId="15815"/>
    <cellStyle name="Separador de milhares 2 2 2 2 3 4 2" xfId="42309"/>
    <cellStyle name="Separador de milhares 2 2 2 2 3 4 3" xfId="23404"/>
    <cellStyle name="Separador de milhares 2 2 2 2 3 5" xfId="9888"/>
    <cellStyle name="Separador de milhares 2 2 2 2 3 5 2" xfId="36401"/>
    <cellStyle name="Separador de milhares 2 2 2 2 3 6" xfId="29938"/>
    <cellStyle name="Separador de milhares 2 2 2 2 3 7" xfId="21632"/>
    <cellStyle name="Separador de milhares 2 2 2 2 4" xfId="1350"/>
    <cellStyle name="Separador de milhares 2 2 2 2 4 2" xfId="5281"/>
    <cellStyle name="Separador de milhares 2 2 2 2 4 2 2" xfId="8496"/>
    <cellStyle name="Separador de milhares 2 2 2 2 4 2 2 2" xfId="20350"/>
    <cellStyle name="Separador de milhares 2 2 2 2 4 2 2 2 2" xfId="46829"/>
    <cellStyle name="Separador de milhares 2 2 2 2 4 2 2 3" xfId="14423"/>
    <cellStyle name="Separador de milhares 2 2 2 2 4 2 2 3 2" xfId="40921"/>
    <cellStyle name="Separador de milhares 2 2 2 2 4 2 2 4" xfId="35013"/>
    <cellStyle name="Separador de milhares 2 2 2 2 4 2 2 5" xfId="28479"/>
    <cellStyle name="Separador de milhares 2 2 2 2 4 2 3" xfId="17386"/>
    <cellStyle name="Separador de milhares 2 2 2 2 4 2 3 2" xfId="43875"/>
    <cellStyle name="Separador de milhares 2 2 2 2 4 2 4" xfId="11459"/>
    <cellStyle name="Separador de milhares 2 2 2 2 4 2 4 2" xfId="37967"/>
    <cellStyle name="Separador de milhares 2 2 2 2 4 2 5" xfId="31808"/>
    <cellStyle name="Separador de milhares 2 2 2 2 4 2 6" xfId="25274"/>
    <cellStyle name="Separador de milhares 2 2 2 2 4 3" xfId="7023"/>
    <cellStyle name="Separador de milhares 2 2 2 2 4 3 2" xfId="18877"/>
    <cellStyle name="Separador de milhares 2 2 2 2 4 3 2 2" xfId="45361"/>
    <cellStyle name="Separador de milhares 2 2 2 2 4 3 3" xfId="12950"/>
    <cellStyle name="Separador de milhares 2 2 2 2 4 3 3 2" xfId="39453"/>
    <cellStyle name="Separador de milhares 2 2 2 2 4 3 4" xfId="33545"/>
    <cellStyle name="Separador de milhares 2 2 2 2 4 3 5" xfId="27011"/>
    <cellStyle name="Separador de milhares 2 2 2 2 4 4" xfId="15913"/>
    <cellStyle name="Separador de milhares 2 2 2 2 4 4 2" xfId="42407"/>
    <cellStyle name="Separador de milhares 2 2 2 2 4 4 3" xfId="23502"/>
    <cellStyle name="Separador de milhares 2 2 2 2 4 5" xfId="9986"/>
    <cellStyle name="Separador de milhares 2 2 2 2 4 5 2" xfId="36499"/>
    <cellStyle name="Separador de milhares 2 2 2 2 4 6" xfId="30036"/>
    <cellStyle name="Separador de milhares 2 2 2 2 4 7" xfId="21730"/>
    <cellStyle name="Separador de milhares 2 2 2 2 5" xfId="1785"/>
    <cellStyle name="Separador de milhares 2 2 2 2 5 2" xfId="5400"/>
    <cellStyle name="Separador de milhares 2 2 2 2 5 2 2" xfId="8615"/>
    <cellStyle name="Separador de milhares 2 2 2 2 5 2 2 2" xfId="20469"/>
    <cellStyle name="Separador de milhares 2 2 2 2 5 2 2 2 2" xfId="46948"/>
    <cellStyle name="Separador de milhares 2 2 2 2 5 2 2 3" xfId="14542"/>
    <cellStyle name="Separador de milhares 2 2 2 2 5 2 2 3 2" xfId="41040"/>
    <cellStyle name="Separador de milhares 2 2 2 2 5 2 2 4" xfId="35132"/>
    <cellStyle name="Separador de milhares 2 2 2 2 5 2 2 5" xfId="28598"/>
    <cellStyle name="Separador de milhares 2 2 2 2 5 2 3" xfId="17505"/>
    <cellStyle name="Separador de milhares 2 2 2 2 5 2 3 2" xfId="43994"/>
    <cellStyle name="Separador de milhares 2 2 2 2 5 2 4" xfId="11578"/>
    <cellStyle name="Separador de milhares 2 2 2 2 5 2 4 2" xfId="38086"/>
    <cellStyle name="Separador de milhares 2 2 2 2 5 2 5" xfId="31927"/>
    <cellStyle name="Separador de milhares 2 2 2 2 5 2 6" xfId="25393"/>
    <cellStyle name="Separador de milhares 2 2 2 2 5 3" xfId="7142"/>
    <cellStyle name="Separador de milhares 2 2 2 2 5 3 2" xfId="18996"/>
    <cellStyle name="Separador de milhares 2 2 2 2 5 3 2 2" xfId="45480"/>
    <cellStyle name="Separador de milhares 2 2 2 2 5 3 3" xfId="13069"/>
    <cellStyle name="Separador de milhares 2 2 2 2 5 3 3 2" xfId="39572"/>
    <cellStyle name="Separador de milhares 2 2 2 2 5 3 4" xfId="33664"/>
    <cellStyle name="Separador de milhares 2 2 2 2 5 3 5" xfId="27130"/>
    <cellStyle name="Separador de milhares 2 2 2 2 5 4" xfId="16032"/>
    <cellStyle name="Separador de milhares 2 2 2 2 5 4 2" xfId="42526"/>
    <cellStyle name="Separador de milhares 2 2 2 2 5 4 3" xfId="23621"/>
    <cellStyle name="Separador de milhares 2 2 2 2 5 5" xfId="10105"/>
    <cellStyle name="Separador de milhares 2 2 2 2 5 5 2" xfId="36618"/>
    <cellStyle name="Separador de milhares 2 2 2 2 5 6" xfId="30155"/>
    <cellStyle name="Separador de milhares 2 2 2 2 5 7" xfId="21849"/>
    <cellStyle name="Separador de milhares 2 2 2 2 6" xfId="2318"/>
    <cellStyle name="Separador de milhares 2 2 2 2 6 2" xfId="5550"/>
    <cellStyle name="Separador de milhares 2 2 2 2 6 2 2" xfId="8762"/>
    <cellStyle name="Separador de milhares 2 2 2 2 6 2 2 2" xfId="20616"/>
    <cellStyle name="Separador de milhares 2 2 2 2 6 2 2 2 2" xfId="47095"/>
    <cellStyle name="Separador de milhares 2 2 2 2 6 2 2 3" xfId="14689"/>
    <cellStyle name="Separador de milhares 2 2 2 2 6 2 2 3 2" xfId="41187"/>
    <cellStyle name="Separador de milhares 2 2 2 2 6 2 2 4" xfId="35279"/>
    <cellStyle name="Separador de milhares 2 2 2 2 6 2 2 5" xfId="28745"/>
    <cellStyle name="Separador de milhares 2 2 2 2 6 2 3" xfId="17652"/>
    <cellStyle name="Separador de milhares 2 2 2 2 6 2 3 2" xfId="44141"/>
    <cellStyle name="Separador de milhares 2 2 2 2 6 2 4" xfId="11725"/>
    <cellStyle name="Separador de milhares 2 2 2 2 6 2 4 2" xfId="38233"/>
    <cellStyle name="Separador de milhares 2 2 2 2 6 2 5" xfId="32077"/>
    <cellStyle name="Separador de milhares 2 2 2 2 6 2 6" xfId="25543"/>
    <cellStyle name="Separador de milhares 2 2 2 2 6 3" xfId="7290"/>
    <cellStyle name="Separador de milhares 2 2 2 2 6 3 2" xfId="19144"/>
    <cellStyle name="Separador de milhares 2 2 2 2 6 3 2 2" xfId="45627"/>
    <cellStyle name="Separador de milhares 2 2 2 2 6 3 3" xfId="13217"/>
    <cellStyle name="Separador de milhares 2 2 2 2 6 3 3 2" xfId="39719"/>
    <cellStyle name="Separador de milhares 2 2 2 2 6 3 4" xfId="33811"/>
    <cellStyle name="Separador de milhares 2 2 2 2 6 3 5" xfId="27277"/>
    <cellStyle name="Separador de milhares 2 2 2 2 6 4" xfId="16180"/>
    <cellStyle name="Separador de milhares 2 2 2 2 6 4 2" xfId="42673"/>
    <cellStyle name="Separador de milhares 2 2 2 2 6 4 3" xfId="23771"/>
    <cellStyle name="Separador de milhares 2 2 2 2 6 5" xfId="10253"/>
    <cellStyle name="Separador de milhares 2 2 2 2 6 5 2" xfId="36765"/>
    <cellStyle name="Separador de milhares 2 2 2 2 6 6" xfId="30305"/>
    <cellStyle name="Separador de milhares 2 2 2 2 6 7" xfId="21999"/>
    <cellStyle name="Separador de milhares 2 2 2 2 7" xfId="2846"/>
    <cellStyle name="Separador de milhares 2 2 2 2 7 2" xfId="5697"/>
    <cellStyle name="Separador de milhares 2 2 2 2 7 2 2" xfId="8909"/>
    <cellStyle name="Separador de milhares 2 2 2 2 7 2 2 2" xfId="20763"/>
    <cellStyle name="Separador de milhares 2 2 2 2 7 2 2 2 2" xfId="47242"/>
    <cellStyle name="Separador de milhares 2 2 2 2 7 2 2 3" xfId="14836"/>
    <cellStyle name="Separador de milhares 2 2 2 2 7 2 2 3 2" xfId="41334"/>
    <cellStyle name="Separador de milhares 2 2 2 2 7 2 2 4" xfId="35426"/>
    <cellStyle name="Separador de milhares 2 2 2 2 7 2 2 5" xfId="28892"/>
    <cellStyle name="Separador de milhares 2 2 2 2 7 2 3" xfId="17799"/>
    <cellStyle name="Separador de milhares 2 2 2 2 7 2 3 2" xfId="44288"/>
    <cellStyle name="Separador de milhares 2 2 2 2 7 2 4" xfId="11872"/>
    <cellStyle name="Separador de milhares 2 2 2 2 7 2 4 2" xfId="38380"/>
    <cellStyle name="Separador de milhares 2 2 2 2 7 2 5" xfId="32224"/>
    <cellStyle name="Separador de milhares 2 2 2 2 7 2 6" xfId="25690"/>
    <cellStyle name="Separador de milhares 2 2 2 2 7 3" xfId="7438"/>
    <cellStyle name="Separador de milhares 2 2 2 2 7 3 2" xfId="19292"/>
    <cellStyle name="Separador de milhares 2 2 2 2 7 3 2 2" xfId="45774"/>
    <cellStyle name="Separador de milhares 2 2 2 2 7 3 3" xfId="13365"/>
    <cellStyle name="Separador de milhares 2 2 2 2 7 3 3 2" xfId="39866"/>
    <cellStyle name="Separador de milhares 2 2 2 2 7 3 4" xfId="33958"/>
    <cellStyle name="Separador de milhares 2 2 2 2 7 3 5" xfId="27424"/>
    <cellStyle name="Separador de milhares 2 2 2 2 7 4" xfId="16328"/>
    <cellStyle name="Separador de milhares 2 2 2 2 7 4 2" xfId="42820"/>
    <cellStyle name="Separador de milhares 2 2 2 2 7 4 3" xfId="23918"/>
    <cellStyle name="Separador de milhares 2 2 2 2 7 5" xfId="10401"/>
    <cellStyle name="Separador de milhares 2 2 2 2 7 5 2" xfId="36912"/>
    <cellStyle name="Separador de milhares 2 2 2 2 7 6" xfId="30452"/>
    <cellStyle name="Separador de milhares 2 2 2 2 7 7" xfId="22146"/>
    <cellStyle name="Separador de milhares 2 2 2 2 8" xfId="3374"/>
    <cellStyle name="Separador de milhares 2 2 2 2 8 2" xfId="5844"/>
    <cellStyle name="Separador de milhares 2 2 2 2 8 2 2" xfId="9056"/>
    <cellStyle name="Separador de milhares 2 2 2 2 8 2 2 2" xfId="20910"/>
    <cellStyle name="Separador de milhares 2 2 2 2 8 2 2 2 2" xfId="47389"/>
    <cellStyle name="Separador de milhares 2 2 2 2 8 2 2 3" xfId="14983"/>
    <cellStyle name="Separador de milhares 2 2 2 2 8 2 2 3 2" xfId="41481"/>
    <cellStyle name="Separador de milhares 2 2 2 2 8 2 2 4" xfId="35573"/>
    <cellStyle name="Separador de milhares 2 2 2 2 8 2 2 5" xfId="29039"/>
    <cellStyle name="Separador de milhares 2 2 2 2 8 2 3" xfId="17946"/>
    <cellStyle name="Separador de milhares 2 2 2 2 8 2 3 2" xfId="44435"/>
    <cellStyle name="Separador de milhares 2 2 2 2 8 2 4" xfId="12019"/>
    <cellStyle name="Separador de milhares 2 2 2 2 8 2 4 2" xfId="38527"/>
    <cellStyle name="Separador de milhares 2 2 2 2 8 2 5" xfId="32371"/>
    <cellStyle name="Separador de milhares 2 2 2 2 8 2 6" xfId="25837"/>
    <cellStyle name="Separador de milhares 2 2 2 2 8 3" xfId="7586"/>
    <cellStyle name="Separador de milhares 2 2 2 2 8 3 2" xfId="19440"/>
    <cellStyle name="Separador de milhares 2 2 2 2 8 3 2 2" xfId="45921"/>
    <cellStyle name="Separador de milhares 2 2 2 2 8 3 3" xfId="13513"/>
    <cellStyle name="Separador de milhares 2 2 2 2 8 3 3 2" xfId="40013"/>
    <cellStyle name="Separador de milhares 2 2 2 2 8 3 4" xfId="34105"/>
    <cellStyle name="Separador de milhares 2 2 2 2 8 3 5" xfId="27571"/>
    <cellStyle name="Separador de milhares 2 2 2 2 8 4" xfId="16476"/>
    <cellStyle name="Separador de milhares 2 2 2 2 8 4 2" xfId="42967"/>
    <cellStyle name="Separador de milhares 2 2 2 2 8 4 3" xfId="24065"/>
    <cellStyle name="Separador de milhares 2 2 2 2 8 5" xfId="10549"/>
    <cellStyle name="Separador de milhares 2 2 2 2 8 5 2" xfId="37059"/>
    <cellStyle name="Separador de milhares 2 2 2 2 8 6" xfId="30599"/>
    <cellStyle name="Separador de milhares 2 2 2 2 8 7" xfId="22293"/>
    <cellStyle name="Separador de milhares 2 2 2 2 9" xfId="3902"/>
    <cellStyle name="Separador de milhares 2 2 2 2 9 2" xfId="5991"/>
    <cellStyle name="Separador de milhares 2 2 2 2 9 2 2" xfId="9203"/>
    <cellStyle name="Separador de milhares 2 2 2 2 9 2 2 2" xfId="21057"/>
    <cellStyle name="Separador de milhares 2 2 2 2 9 2 2 2 2" xfId="47536"/>
    <cellStyle name="Separador de milhares 2 2 2 2 9 2 2 3" xfId="15130"/>
    <cellStyle name="Separador de milhares 2 2 2 2 9 2 2 3 2" xfId="41628"/>
    <cellStyle name="Separador de milhares 2 2 2 2 9 2 2 4" xfId="35720"/>
    <cellStyle name="Separador de milhares 2 2 2 2 9 2 2 5" xfId="29186"/>
    <cellStyle name="Separador de milhares 2 2 2 2 9 2 3" xfId="18093"/>
    <cellStyle name="Separador de milhares 2 2 2 2 9 2 3 2" xfId="44582"/>
    <cellStyle name="Separador de milhares 2 2 2 2 9 2 4" xfId="12166"/>
    <cellStyle name="Separador de milhares 2 2 2 2 9 2 4 2" xfId="38674"/>
    <cellStyle name="Separador de milhares 2 2 2 2 9 2 5" xfId="32518"/>
    <cellStyle name="Separador de milhares 2 2 2 2 9 2 6" xfId="25984"/>
    <cellStyle name="Separador de milhares 2 2 2 2 9 3" xfId="7734"/>
    <cellStyle name="Separador de milhares 2 2 2 2 9 3 2" xfId="19588"/>
    <cellStyle name="Separador de milhares 2 2 2 2 9 3 2 2" xfId="46068"/>
    <cellStyle name="Separador de milhares 2 2 2 2 9 3 3" xfId="13661"/>
    <cellStyle name="Separador de milhares 2 2 2 2 9 3 3 2" xfId="40160"/>
    <cellStyle name="Separador de milhares 2 2 2 2 9 3 4" xfId="34252"/>
    <cellStyle name="Separador de milhares 2 2 2 2 9 3 5" xfId="27718"/>
    <cellStyle name="Separador de milhares 2 2 2 2 9 4" xfId="16624"/>
    <cellStyle name="Separador de milhares 2 2 2 2 9 4 2" xfId="43114"/>
    <cellStyle name="Separador de milhares 2 2 2 2 9 4 3" xfId="24212"/>
    <cellStyle name="Separador de milhares 2 2 2 2 9 5" xfId="10697"/>
    <cellStyle name="Separador de milhares 2 2 2 2 9 5 2" xfId="37206"/>
    <cellStyle name="Separador de milhares 2 2 2 2 9 6" xfId="30746"/>
    <cellStyle name="Separador de milhares 2 2 2 2 9 7" xfId="22440"/>
    <cellStyle name="Separador de milhares 2 2 2 3" xfId="347"/>
    <cellStyle name="Separador de milhares 2 2 2 3 10" xfId="4982"/>
    <cellStyle name="Separador de milhares 2 2 2 3 10 2" xfId="8201"/>
    <cellStyle name="Separador de milhares 2 2 2 3 10 2 2" xfId="20055"/>
    <cellStyle name="Separador de milhares 2 2 2 3 10 2 2 2" xfId="46534"/>
    <cellStyle name="Separador de milhares 2 2 2 3 10 2 3" xfId="14128"/>
    <cellStyle name="Separador de milhares 2 2 2 3 10 2 3 2" xfId="40626"/>
    <cellStyle name="Separador de milhares 2 2 2 3 10 2 4" xfId="34718"/>
    <cellStyle name="Separador de milhares 2 2 2 3 10 2 5" xfId="28184"/>
    <cellStyle name="Separador de milhares 2 2 2 3 10 3" xfId="17091"/>
    <cellStyle name="Separador de milhares 2 2 2 3 10 3 2" xfId="43580"/>
    <cellStyle name="Separador de milhares 2 2 2 3 10 4" xfId="11164"/>
    <cellStyle name="Separador de milhares 2 2 2 3 10 4 2" xfId="37672"/>
    <cellStyle name="Separador de milhares 2 2 2 3 10 5" xfId="31509"/>
    <cellStyle name="Separador de milhares 2 2 2 3 10 6" xfId="24975"/>
    <cellStyle name="Separador de milhares 2 2 2 3 11" xfId="6725"/>
    <cellStyle name="Separador de milhares 2 2 2 3 11 2" xfId="18579"/>
    <cellStyle name="Separador de milhares 2 2 2 3 11 2 2" xfId="45066"/>
    <cellStyle name="Separador de milhares 2 2 2 3 11 3" xfId="12652"/>
    <cellStyle name="Separador de milhares 2 2 2 3 11 3 2" xfId="39158"/>
    <cellStyle name="Separador de milhares 2 2 2 3 11 4" xfId="33250"/>
    <cellStyle name="Separador de milhares 2 2 2 3 11 5" xfId="26716"/>
    <cellStyle name="Separador de milhares 2 2 2 3 12" xfId="15615"/>
    <cellStyle name="Separador de milhares 2 2 2 3 12 2" xfId="42112"/>
    <cellStyle name="Separador de milhares 2 2 2 3 12 3" xfId="23203"/>
    <cellStyle name="Separador de milhares 2 2 2 3 13" xfId="9688"/>
    <cellStyle name="Separador de milhares 2 2 2 3 13 2" xfId="36204"/>
    <cellStyle name="Separador de milhares 2 2 2 3 14" xfId="29737"/>
    <cellStyle name="Separador de milhares 2 2 2 3 15" xfId="21455"/>
    <cellStyle name="Separador de milhares 2 2 2 3 2" xfId="786"/>
    <cellStyle name="Separador de milhares 2 2 2 3 2 2" xfId="5099"/>
    <cellStyle name="Separador de milhares 2 2 2 3 2 2 2" xfId="8314"/>
    <cellStyle name="Separador de milhares 2 2 2 3 2 2 2 2" xfId="20168"/>
    <cellStyle name="Separador de milhares 2 2 2 3 2 2 2 2 2" xfId="46647"/>
    <cellStyle name="Separador de milhares 2 2 2 3 2 2 2 3" xfId="14241"/>
    <cellStyle name="Separador de milhares 2 2 2 3 2 2 2 3 2" xfId="40739"/>
    <cellStyle name="Separador de milhares 2 2 2 3 2 2 2 4" xfId="34831"/>
    <cellStyle name="Separador de milhares 2 2 2 3 2 2 2 5" xfId="28297"/>
    <cellStyle name="Separador de milhares 2 2 2 3 2 2 3" xfId="17204"/>
    <cellStyle name="Separador de milhares 2 2 2 3 2 2 3 2" xfId="43693"/>
    <cellStyle name="Separador de milhares 2 2 2 3 2 2 4" xfId="11277"/>
    <cellStyle name="Separador de milhares 2 2 2 3 2 2 4 2" xfId="37785"/>
    <cellStyle name="Separador de milhares 2 2 2 3 2 2 5" xfId="31626"/>
    <cellStyle name="Separador de milhares 2 2 2 3 2 2 6" xfId="25092"/>
    <cellStyle name="Separador de milhares 2 2 2 3 2 3" xfId="6841"/>
    <cellStyle name="Separador de milhares 2 2 2 3 2 3 2" xfId="18695"/>
    <cellStyle name="Separador de milhares 2 2 2 3 2 3 2 2" xfId="45179"/>
    <cellStyle name="Separador de milhares 2 2 2 3 2 3 3" xfId="12768"/>
    <cellStyle name="Separador de milhares 2 2 2 3 2 3 3 2" xfId="39271"/>
    <cellStyle name="Separador de milhares 2 2 2 3 2 3 4" xfId="33363"/>
    <cellStyle name="Separador de milhares 2 2 2 3 2 3 5" xfId="26829"/>
    <cellStyle name="Separador de milhares 2 2 2 3 2 4" xfId="15731"/>
    <cellStyle name="Separador de milhares 2 2 2 3 2 4 2" xfId="42225"/>
    <cellStyle name="Separador de milhares 2 2 2 3 2 4 3" xfId="23320"/>
    <cellStyle name="Separador de milhares 2 2 2 3 2 5" xfId="9804"/>
    <cellStyle name="Separador de milhares 2 2 2 3 2 5 2" xfId="36317"/>
    <cellStyle name="Separador de milhares 2 2 2 3 2 6" xfId="29854"/>
    <cellStyle name="Separador de milhares 2 2 2 3 2 7" xfId="21548"/>
    <cellStyle name="Separador de milhares 2 2 2 3 3" xfId="908"/>
    <cellStyle name="Separador de milhares 2 2 2 3 3 2" xfId="5155"/>
    <cellStyle name="Separador de milhares 2 2 2 3 3 2 2" xfId="8370"/>
    <cellStyle name="Separador de milhares 2 2 2 3 3 2 2 2" xfId="20224"/>
    <cellStyle name="Separador de milhares 2 2 2 3 3 2 2 2 2" xfId="46703"/>
    <cellStyle name="Separador de milhares 2 2 2 3 3 2 2 3" xfId="14297"/>
    <cellStyle name="Separador de milhares 2 2 2 3 3 2 2 3 2" xfId="40795"/>
    <cellStyle name="Separador de milhares 2 2 2 3 3 2 2 4" xfId="34887"/>
    <cellStyle name="Separador de milhares 2 2 2 3 3 2 2 5" xfId="28353"/>
    <cellStyle name="Separador de milhares 2 2 2 3 3 2 3" xfId="17260"/>
    <cellStyle name="Separador de milhares 2 2 2 3 3 2 3 2" xfId="43749"/>
    <cellStyle name="Separador de milhares 2 2 2 3 3 2 4" xfId="11333"/>
    <cellStyle name="Separador de milhares 2 2 2 3 3 2 4 2" xfId="37841"/>
    <cellStyle name="Separador de milhares 2 2 2 3 3 2 5" xfId="31682"/>
    <cellStyle name="Separador de milhares 2 2 2 3 3 2 6" xfId="25148"/>
    <cellStyle name="Separador de milhares 2 2 2 3 3 3" xfId="6897"/>
    <cellStyle name="Separador de milhares 2 2 2 3 3 3 2" xfId="18751"/>
    <cellStyle name="Separador de milhares 2 2 2 3 3 3 2 2" xfId="45235"/>
    <cellStyle name="Separador de milhares 2 2 2 3 3 3 3" xfId="12824"/>
    <cellStyle name="Separador de milhares 2 2 2 3 3 3 3 2" xfId="39327"/>
    <cellStyle name="Separador de milhares 2 2 2 3 3 3 4" xfId="33419"/>
    <cellStyle name="Separador de milhares 2 2 2 3 3 3 5" xfId="26885"/>
    <cellStyle name="Separador de milhares 2 2 2 3 3 4" xfId="15787"/>
    <cellStyle name="Separador de milhares 2 2 2 3 3 4 2" xfId="42281"/>
    <cellStyle name="Separador de milhares 2 2 2 3 3 4 3" xfId="23376"/>
    <cellStyle name="Separador de milhares 2 2 2 3 3 5" xfId="9860"/>
    <cellStyle name="Separador de milhares 2 2 2 3 3 5 2" xfId="36373"/>
    <cellStyle name="Separador de milhares 2 2 2 3 3 6" xfId="29910"/>
    <cellStyle name="Separador de milhares 2 2 2 3 3 7" xfId="21604"/>
    <cellStyle name="Separador de milhares 2 2 2 3 4" xfId="1259"/>
    <cellStyle name="Separador de milhares 2 2 2 3 4 2" xfId="5253"/>
    <cellStyle name="Separador de milhares 2 2 2 3 4 2 2" xfId="8468"/>
    <cellStyle name="Separador de milhares 2 2 2 3 4 2 2 2" xfId="20322"/>
    <cellStyle name="Separador de milhares 2 2 2 3 4 2 2 2 2" xfId="46801"/>
    <cellStyle name="Separador de milhares 2 2 2 3 4 2 2 3" xfId="14395"/>
    <cellStyle name="Separador de milhares 2 2 2 3 4 2 2 3 2" xfId="40893"/>
    <cellStyle name="Separador de milhares 2 2 2 3 4 2 2 4" xfId="34985"/>
    <cellStyle name="Separador de milhares 2 2 2 3 4 2 2 5" xfId="28451"/>
    <cellStyle name="Separador de milhares 2 2 2 3 4 2 3" xfId="17358"/>
    <cellStyle name="Separador de milhares 2 2 2 3 4 2 3 2" xfId="43847"/>
    <cellStyle name="Separador de milhares 2 2 2 3 4 2 4" xfId="11431"/>
    <cellStyle name="Separador de milhares 2 2 2 3 4 2 4 2" xfId="37939"/>
    <cellStyle name="Separador de milhares 2 2 2 3 4 2 5" xfId="31780"/>
    <cellStyle name="Separador de milhares 2 2 2 3 4 2 6" xfId="25246"/>
    <cellStyle name="Separador de milhares 2 2 2 3 4 3" xfId="6995"/>
    <cellStyle name="Separador de milhares 2 2 2 3 4 3 2" xfId="18849"/>
    <cellStyle name="Separador de milhares 2 2 2 3 4 3 2 2" xfId="45333"/>
    <cellStyle name="Separador de milhares 2 2 2 3 4 3 3" xfId="12922"/>
    <cellStyle name="Separador de milhares 2 2 2 3 4 3 3 2" xfId="39425"/>
    <cellStyle name="Separador de milhares 2 2 2 3 4 3 4" xfId="33517"/>
    <cellStyle name="Separador de milhares 2 2 2 3 4 3 5" xfId="26983"/>
    <cellStyle name="Separador de milhares 2 2 2 3 4 4" xfId="15885"/>
    <cellStyle name="Separador de milhares 2 2 2 3 4 4 2" xfId="42379"/>
    <cellStyle name="Separador de milhares 2 2 2 3 4 4 3" xfId="23474"/>
    <cellStyle name="Separador de milhares 2 2 2 3 4 5" xfId="9958"/>
    <cellStyle name="Separador de milhares 2 2 2 3 4 5 2" xfId="36471"/>
    <cellStyle name="Separador de milhares 2 2 2 3 4 6" xfId="30008"/>
    <cellStyle name="Separador de milhares 2 2 2 3 4 7" xfId="21702"/>
    <cellStyle name="Separador de milhares 2 2 2 3 5" xfId="1694"/>
    <cellStyle name="Separador de milhares 2 2 2 3 5 2" xfId="5372"/>
    <cellStyle name="Separador de milhares 2 2 2 3 5 2 2" xfId="8587"/>
    <cellStyle name="Separador de milhares 2 2 2 3 5 2 2 2" xfId="20441"/>
    <cellStyle name="Separador de milhares 2 2 2 3 5 2 2 2 2" xfId="46920"/>
    <cellStyle name="Separador de milhares 2 2 2 3 5 2 2 3" xfId="14514"/>
    <cellStyle name="Separador de milhares 2 2 2 3 5 2 2 3 2" xfId="41012"/>
    <cellStyle name="Separador de milhares 2 2 2 3 5 2 2 4" xfId="35104"/>
    <cellStyle name="Separador de milhares 2 2 2 3 5 2 2 5" xfId="28570"/>
    <cellStyle name="Separador de milhares 2 2 2 3 5 2 3" xfId="17477"/>
    <cellStyle name="Separador de milhares 2 2 2 3 5 2 3 2" xfId="43966"/>
    <cellStyle name="Separador de milhares 2 2 2 3 5 2 4" xfId="11550"/>
    <cellStyle name="Separador de milhares 2 2 2 3 5 2 4 2" xfId="38058"/>
    <cellStyle name="Separador de milhares 2 2 2 3 5 2 5" xfId="31899"/>
    <cellStyle name="Separador de milhares 2 2 2 3 5 2 6" xfId="25365"/>
    <cellStyle name="Separador de milhares 2 2 2 3 5 3" xfId="7114"/>
    <cellStyle name="Separador de milhares 2 2 2 3 5 3 2" xfId="18968"/>
    <cellStyle name="Separador de milhares 2 2 2 3 5 3 2 2" xfId="45452"/>
    <cellStyle name="Separador de milhares 2 2 2 3 5 3 3" xfId="13041"/>
    <cellStyle name="Separador de milhares 2 2 2 3 5 3 3 2" xfId="39544"/>
    <cellStyle name="Separador de milhares 2 2 2 3 5 3 4" xfId="33636"/>
    <cellStyle name="Separador de milhares 2 2 2 3 5 3 5" xfId="27102"/>
    <cellStyle name="Separador de milhares 2 2 2 3 5 4" xfId="16004"/>
    <cellStyle name="Separador de milhares 2 2 2 3 5 4 2" xfId="42498"/>
    <cellStyle name="Separador de milhares 2 2 2 3 5 4 3" xfId="23593"/>
    <cellStyle name="Separador de milhares 2 2 2 3 5 5" xfId="10077"/>
    <cellStyle name="Separador de milhares 2 2 2 3 5 5 2" xfId="36590"/>
    <cellStyle name="Separador de milhares 2 2 2 3 5 6" xfId="30127"/>
    <cellStyle name="Separador de milhares 2 2 2 3 5 7" xfId="21821"/>
    <cellStyle name="Separador de milhares 2 2 2 3 6" xfId="2227"/>
    <cellStyle name="Separador de milhares 2 2 2 3 6 2" xfId="5522"/>
    <cellStyle name="Separador de milhares 2 2 2 3 6 2 2" xfId="8734"/>
    <cellStyle name="Separador de milhares 2 2 2 3 6 2 2 2" xfId="20588"/>
    <cellStyle name="Separador de milhares 2 2 2 3 6 2 2 2 2" xfId="47067"/>
    <cellStyle name="Separador de milhares 2 2 2 3 6 2 2 3" xfId="14661"/>
    <cellStyle name="Separador de milhares 2 2 2 3 6 2 2 3 2" xfId="41159"/>
    <cellStyle name="Separador de milhares 2 2 2 3 6 2 2 4" xfId="35251"/>
    <cellStyle name="Separador de milhares 2 2 2 3 6 2 2 5" xfId="28717"/>
    <cellStyle name="Separador de milhares 2 2 2 3 6 2 3" xfId="17624"/>
    <cellStyle name="Separador de milhares 2 2 2 3 6 2 3 2" xfId="44113"/>
    <cellStyle name="Separador de milhares 2 2 2 3 6 2 4" xfId="11697"/>
    <cellStyle name="Separador de milhares 2 2 2 3 6 2 4 2" xfId="38205"/>
    <cellStyle name="Separador de milhares 2 2 2 3 6 2 5" xfId="32049"/>
    <cellStyle name="Separador de milhares 2 2 2 3 6 2 6" xfId="25515"/>
    <cellStyle name="Separador de milhares 2 2 2 3 6 3" xfId="7262"/>
    <cellStyle name="Separador de milhares 2 2 2 3 6 3 2" xfId="19116"/>
    <cellStyle name="Separador de milhares 2 2 2 3 6 3 2 2" xfId="45599"/>
    <cellStyle name="Separador de milhares 2 2 2 3 6 3 3" xfId="13189"/>
    <cellStyle name="Separador de milhares 2 2 2 3 6 3 3 2" xfId="39691"/>
    <cellStyle name="Separador de milhares 2 2 2 3 6 3 4" xfId="33783"/>
    <cellStyle name="Separador de milhares 2 2 2 3 6 3 5" xfId="27249"/>
    <cellStyle name="Separador de milhares 2 2 2 3 6 4" xfId="16152"/>
    <cellStyle name="Separador de milhares 2 2 2 3 6 4 2" xfId="42645"/>
    <cellStyle name="Separador de milhares 2 2 2 3 6 4 3" xfId="23743"/>
    <cellStyle name="Separador de milhares 2 2 2 3 6 5" xfId="10225"/>
    <cellStyle name="Separador de milhares 2 2 2 3 6 5 2" xfId="36737"/>
    <cellStyle name="Separador de milhares 2 2 2 3 6 6" xfId="30277"/>
    <cellStyle name="Separador de milhares 2 2 2 3 6 7" xfId="21971"/>
    <cellStyle name="Separador de milhares 2 2 2 3 7" xfId="2755"/>
    <cellStyle name="Separador de milhares 2 2 2 3 7 2" xfId="5669"/>
    <cellStyle name="Separador de milhares 2 2 2 3 7 2 2" xfId="8881"/>
    <cellStyle name="Separador de milhares 2 2 2 3 7 2 2 2" xfId="20735"/>
    <cellStyle name="Separador de milhares 2 2 2 3 7 2 2 2 2" xfId="47214"/>
    <cellStyle name="Separador de milhares 2 2 2 3 7 2 2 3" xfId="14808"/>
    <cellStyle name="Separador de milhares 2 2 2 3 7 2 2 3 2" xfId="41306"/>
    <cellStyle name="Separador de milhares 2 2 2 3 7 2 2 4" xfId="35398"/>
    <cellStyle name="Separador de milhares 2 2 2 3 7 2 2 5" xfId="28864"/>
    <cellStyle name="Separador de milhares 2 2 2 3 7 2 3" xfId="17771"/>
    <cellStyle name="Separador de milhares 2 2 2 3 7 2 3 2" xfId="44260"/>
    <cellStyle name="Separador de milhares 2 2 2 3 7 2 4" xfId="11844"/>
    <cellStyle name="Separador de milhares 2 2 2 3 7 2 4 2" xfId="38352"/>
    <cellStyle name="Separador de milhares 2 2 2 3 7 2 5" xfId="32196"/>
    <cellStyle name="Separador de milhares 2 2 2 3 7 2 6" xfId="25662"/>
    <cellStyle name="Separador de milhares 2 2 2 3 7 3" xfId="7410"/>
    <cellStyle name="Separador de milhares 2 2 2 3 7 3 2" xfId="19264"/>
    <cellStyle name="Separador de milhares 2 2 2 3 7 3 2 2" xfId="45746"/>
    <cellStyle name="Separador de milhares 2 2 2 3 7 3 3" xfId="13337"/>
    <cellStyle name="Separador de milhares 2 2 2 3 7 3 3 2" xfId="39838"/>
    <cellStyle name="Separador de milhares 2 2 2 3 7 3 4" xfId="33930"/>
    <cellStyle name="Separador de milhares 2 2 2 3 7 3 5" xfId="27396"/>
    <cellStyle name="Separador de milhares 2 2 2 3 7 4" xfId="16300"/>
    <cellStyle name="Separador de milhares 2 2 2 3 7 4 2" xfId="42792"/>
    <cellStyle name="Separador de milhares 2 2 2 3 7 4 3" xfId="23890"/>
    <cellStyle name="Separador de milhares 2 2 2 3 7 5" xfId="10373"/>
    <cellStyle name="Separador de milhares 2 2 2 3 7 5 2" xfId="36884"/>
    <cellStyle name="Separador de milhares 2 2 2 3 7 6" xfId="30424"/>
    <cellStyle name="Separador de milhares 2 2 2 3 7 7" xfId="22118"/>
    <cellStyle name="Separador de milhares 2 2 2 3 8" xfId="3283"/>
    <cellStyle name="Separador de milhares 2 2 2 3 8 2" xfId="5816"/>
    <cellStyle name="Separador de milhares 2 2 2 3 8 2 2" xfId="9028"/>
    <cellStyle name="Separador de milhares 2 2 2 3 8 2 2 2" xfId="20882"/>
    <cellStyle name="Separador de milhares 2 2 2 3 8 2 2 2 2" xfId="47361"/>
    <cellStyle name="Separador de milhares 2 2 2 3 8 2 2 3" xfId="14955"/>
    <cellStyle name="Separador de milhares 2 2 2 3 8 2 2 3 2" xfId="41453"/>
    <cellStyle name="Separador de milhares 2 2 2 3 8 2 2 4" xfId="35545"/>
    <cellStyle name="Separador de milhares 2 2 2 3 8 2 2 5" xfId="29011"/>
    <cellStyle name="Separador de milhares 2 2 2 3 8 2 3" xfId="17918"/>
    <cellStyle name="Separador de milhares 2 2 2 3 8 2 3 2" xfId="44407"/>
    <cellStyle name="Separador de milhares 2 2 2 3 8 2 4" xfId="11991"/>
    <cellStyle name="Separador de milhares 2 2 2 3 8 2 4 2" xfId="38499"/>
    <cellStyle name="Separador de milhares 2 2 2 3 8 2 5" xfId="32343"/>
    <cellStyle name="Separador de milhares 2 2 2 3 8 2 6" xfId="25809"/>
    <cellStyle name="Separador de milhares 2 2 2 3 8 3" xfId="7558"/>
    <cellStyle name="Separador de milhares 2 2 2 3 8 3 2" xfId="19412"/>
    <cellStyle name="Separador de milhares 2 2 2 3 8 3 2 2" xfId="45893"/>
    <cellStyle name="Separador de milhares 2 2 2 3 8 3 3" xfId="13485"/>
    <cellStyle name="Separador de milhares 2 2 2 3 8 3 3 2" xfId="39985"/>
    <cellStyle name="Separador de milhares 2 2 2 3 8 3 4" xfId="34077"/>
    <cellStyle name="Separador de milhares 2 2 2 3 8 3 5" xfId="27543"/>
    <cellStyle name="Separador de milhares 2 2 2 3 8 4" xfId="16448"/>
    <cellStyle name="Separador de milhares 2 2 2 3 8 4 2" xfId="42939"/>
    <cellStyle name="Separador de milhares 2 2 2 3 8 4 3" xfId="24037"/>
    <cellStyle name="Separador de milhares 2 2 2 3 8 5" xfId="10521"/>
    <cellStyle name="Separador de milhares 2 2 2 3 8 5 2" xfId="37031"/>
    <cellStyle name="Separador de milhares 2 2 2 3 8 6" xfId="30571"/>
    <cellStyle name="Separador de milhares 2 2 2 3 8 7" xfId="22265"/>
    <cellStyle name="Separador de milhares 2 2 2 3 9" xfId="3811"/>
    <cellStyle name="Separador de milhares 2 2 2 3 9 2" xfId="5963"/>
    <cellStyle name="Separador de milhares 2 2 2 3 9 2 2" xfId="9175"/>
    <cellStyle name="Separador de milhares 2 2 2 3 9 2 2 2" xfId="21029"/>
    <cellStyle name="Separador de milhares 2 2 2 3 9 2 2 2 2" xfId="47508"/>
    <cellStyle name="Separador de milhares 2 2 2 3 9 2 2 3" xfId="15102"/>
    <cellStyle name="Separador de milhares 2 2 2 3 9 2 2 3 2" xfId="41600"/>
    <cellStyle name="Separador de milhares 2 2 2 3 9 2 2 4" xfId="35692"/>
    <cellStyle name="Separador de milhares 2 2 2 3 9 2 2 5" xfId="29158"/>
    <cellStyle name="Separador de milhares 2 2 2 3 9 2 3" xfId="18065"/>
    <cellStyle name="Separador de milhares 2 2 2 3 9 2 3 2" xfId="44554"/>
    <cellStyle name="Separador de milhares 2 2 2 3 9 2 4" xfId="12138"/>
    <cellStyle name="Separador de milhares 2 2 2 3 9 2 4 2" xfId="38646"/>
    <cellStyle name="Separador de milhares 2 2 2 3 9 2 5" xfId="32490"/>
    <cellStyle name="Separador de milhares 2 2 2 3 9 2 6" xfId="25956"/>
    <cellStyle name="Separador de milhares 2 2 2 3 9 3" xfId="7706"/>
    <cellStyle name="Separador de milhares 2 2 2 3 9 3 2" xfId="19560"/>
    <cellStyle name="Separador de milhares 2 2 2 3 9 3 2 2" xfId="46040"/>
    <cellStyle name="Separador de milhares 2 2 2 3 9 3 3" xfId="13633"/>
    <cellStyle name="Separador de milhares 2 2 2 3 9 3 3 2" xfId="40132"/>
    <cellStyle name="Separador de milhares 2 2 2 3 9 3 4" xfId="34224"/>
    <cellStyle name="Separador de milhares 2 2 2 3 9 3 5" xfId="27690"/>
    <cellStyle name="Separador de milhares 2 2 2 3 9 4" xfId="16596"/>
    <cellStyle name="Separador de milhares 2 2 2 3 9 4 2" xfId="43086"/>
    <cellStyle name="Separador de milhares 2 2 2 3 9 4 3" xfId="24184"/>
    <cellStyle name="Separador de milhares 2 2 2 3 9 5" xfId="10669"/>
    <cellStyle name="Separador de milhares 2 2 2 3 9 5 2" xfId="37178"/>
    <cellStyle name="Separador de milhares 2 2 2 3 9 6" xfId="30718"/>
    <cellStyle name="Separador de milhares 2 2 2 3 9 7" xfId="22412"/>
    <cellStyle name="Separador de milhares 2 2 2 4" xfId="4922"/>
    <cellStyle name="Separador de milhares 2 2 2 4 2" xfId="8146"/>
    <cellStyle name="Separador de milhares 2 2 2 4 2 2" xfId="20000"/>
    <cellStyle name="Separador de milhares 2 2 2 4 2 2 2" xfId="46479"/>
    <cellStyle name="Separador de milhares 2 2 2 4 2 3" xfId="14073"/>
    <cellStyle name="Separador de milhares 2 2 2 4 2 3 2" xfId="40571"/>
    <cellStyle name="Separador de milhares 2 2 2 4 2 4" xfId="34663"/>
    <cellStyle name="Separador de milhares 2 2 2 4 2 5" xfId="28129"/>
    <cellStyle name="Separador de milhares 2 2 2 4 3" xfId="17036"/>
    <cellStyle name="Separador de milhares 2 2 2 4 3 2" xfId="43525"/>
    <cellStyle name="Separador de milhares 2 2 2 4 4" xfId="11109"/>
    <cellStyle name="Separador de milhares 2 2 2 4 4 2" xfId="37617"/>
    <cellStyle name="Separador de milhares 2 2 2 4 5" xfId="31449"/>
    <cellStyle name="Separador de milhares 2 2 2 4 6" xfId="24915"/>
    <cellStyle name="Separador de milhares 2 2 2 5" xfId="6670"/>
    <cellStyle name="Separador de milhares 2 2 2 5 2" xfId="18524"/>
    <cellStyle name="Separador de milhares 2 2 2 5 2 2" xfId="45011"/>
    <cellStyle name="Separador de milhares 2 2 2 5 3" xfId="12597"/>
    <cellStyle name="Separador de milhares 2 2 2 5 3 2" xfId="39103"/>
    <cellStyle name="Separador de milhares 2 2 2 5 4" xfId="33195"/>
    <cellStyle name="Separador de milhares 2 2 2 5 5" xfId="26661"/>
    <cellStyle name="Separador de milhares 2 2 2 6" xfId="15560"/>
    <cellStyle name="Separador de milhares 2 2 2 6 2" xfId="42057"/>
    <cellStyle name="Separador de milhares 2 2 2 6 3" xfId="23143"/>
    <cellStyle name="Separador de milhares 2 2 2 7" xfId="9633"/>
    <cellStyle name="Separador de milhares 2 2 2 7 2" xfId="36149"/>
    <cellStyle name="Separador de milhares 2 2 2 8" xfId="29677"/>
    <cellStyle name="Separador de milhares 2 2 3" xfId="249"/>
    <cellStyle name="Separador de milhares 2 2 3 10" xfId="4950"/>
    <cellStyle name="Separador de milhares 2 2 3 10 2" xfId="8172"/>
    <cellStyle name="Separador de milhares 2 2 3 10 2 2" xfId="20026"/>
    <cellStyle name="Separador de milhares 2 2 3 10 2 2 2" xfId="46505"/>
    <cellStyle name="Separador de milhares 2 2 3 10 2 3" xfId="14099"/>
    <cellStyle name="Separador de milhares 2 2 3 10 2 3 2" xfId="40597"/>
    <cellStyle name="Separador de milhares 2 2 3 10 2 4" xfId="34689"/>
    <cellStyle name="Separador de milhares 2 2 3 10 2 5" xfId="28155"/>
    <cellStyle name="Separador de milhares 2 2 3 10 3" xfId="17062"/>
    <cellStyle name="Separador de milhares 2 2 3 10 3 2" xfId="43551"/>
    <cellStyle name="Separador de milhares 2 2 3 10 4" xfId="11135"/>
    <cellStyle name="Separador de milhares 2 2 3 10 4 2" xfId="37643"/>
    <cellStyle name="Separador de milhares 2 2 3 10 5" xfId="31477"/>
    <cellStyle name="Separador de milhares 2 2 3 10 6" xfId="24943"/>
    <cellStyle name="Separador de milhares 2 2 3 11" xfId="6696"/>
    <cellStyle name="Separador de milhares 2 2 3 11 2" xfId="18550"/>
    <cellStyle name="Separador de milhares 2 2 3 11 2 2" xfId="45037"/>
    <cellStyle name="Separador de milhares 2 2 3 11 3" xfId="12623"/>
    <cellStyle name="Separador de milhares 2 2 3 11 3 2" xfId="39129"/>
    <cellStyle name="Separador de milhares 2 2 3 11 4" xfId="33221"/>
    <cellStyle name="Separador de milhares 2 2 3 11 5" xfId="26687"/>
    <cellStyle name="Separador de milhares 2 2 3 12" xfId="15586"/>
    <cellStyle name="Separador de milhares 2 2 3 12 2" xfId="42083"/>
    <cellStyle name="Separador de milhares 2 2 3 12 3" xfId="23171"/>
    <cellStyle name="Separador de milhares 2 2 3 13" xfId="9659"/>
    <cellStyle name="Separador de milhares 2 2 3 13 2" xfId="36175"/>
    <cellStyle name="Separador de milhares 2 2 3 14" xfId="29705"/>
    <cellStyle name="Separador de milhares 2 2 3 15" xfId="21423"/>
    <cellStyle name="Separador de milhares 2 2 3 2" xfId="792"/>
    <cellStyle name="Separador de milhares 2 2 3 2 10" xfId="9810"/>
    <cellStyle name="Separador de milhares 2 2 3 2 10 2" xfId="36323"/>
    <cellStyle name="Separador de milhares 2 2 3 2 11" xfId="29860"/>
    <cellStyle name="Separador de milhares 2 2 3 2 12" xfId="21554"/>
    <cellStyle name="Separador de milhares 2 2 3 2 2" xfId="2045"/>
    <cellStyle name="Separador de milhares 2 2 3 2 2 2" xfId="5469"/>
    <cellStyle name="Separador de milhares 2 2 3 2 2 2 2" xfId="8684"/>
    <cellStyle name="Separador de milhares 2 2 3 2 2 2 2 2" xfId="20538"/>
    <cellStyle name="Separador de milhares 2 2 3 2 2 2 2 2 2" xfId="47017"/>
    <cellStyle name="Separador de milhares 2 2 3 2 2 2 2 3" xfId="14611"/>
    <cellStyle name="Separador de milhares 2 2 3 2 2 2 2 3 2" xfId="41109"/>
    <cellStyle name="Separador de milhares 2 2 3 2 2 2 2 4" xfId="35201"/>
    <cellStyle name="Separador de milhares 2 2 3 2 2 2 2 5" xfId="28667"/>
    <cellStyle name="Separador de milhares 2 2 3 2 2 2 3" xfId="17574"/>
    <cellStyle name="Separador de milhares 2 2 3 2 2 2 3 2" xfId="44063"/>
    <cellStyle name="Separador de milhares 2 2 3 2 2 2 4" xfId="11647"/>
    <cellStyle name="Separador de milhares 2 2 3 2 2 2 4 2" xfId="38155"/>
    <cellStyle name="Separador de milhares 2 2 3 2 2 2 5" xfId="31996"/>
    <cellStyle name="Separador de milhares 2 2 3 2 2 2 6" xfId="25462"/>
    <cellStyle name="Separador de milhares 2 2 3 2 2 3" xfId="7212"/>
    <cellStyle name="Separador de milhares 2 2 3 2 2 3 2" xfId="19066"/>
    <cellStyle name="Separador de milhares 2 2 3 2 2 3 2 2" xfId="45549"/>
    <cellStyle name="Separador de milhares 2 2 3 2 2 3 3" xfId="13139"/>
    <cellStyle name="Separador de milhares 2 2 3 2 2 3 3 2" xfId="39641"/>
    <cellStyle name="Separador de milhares 2 2 3 2 2 3 4" xfId="33733"/>
    <cellStyle name="Separador de milhares 2 2 3 2 2 3 5" xfId="27199"/>
    <cellStyle name="Separador de milhares 2 2 3 2 2 4" xfId="16102"/>
    <cellStyle name="Separador de milhares 2 2 3 2 2 4 2" xfId="42595"/>
    <cellStyle name="Separador de milhares 2 2 3 2 2 4 3" xfId="23690"/>
    <cellStyle name="Separador de milhares 2 2 3 2 2 5" xfId="10175"/>
    <cellStyle name="Separador de milhares 2 2 3 2 2 5 2" xfId="36687"/>
    <cellStyle name="Separador de milhares 2 2 3 2 2 6" xfId="30224"/>
    <cellStyle name="Separador de milhares 2 2 3 2 2 7" xfId="21918"/>
    <cellStyle name="Separador de milhares 2 2 3 2 3" xfId="2578"/>
    <cellStyle name="Separador de milhares 2 2 3 2 3 2" xfId="5619"/>
    <cellStyle name="Separador de milhares 2 2 3 2 3 2 2" xfId="8831"/>
    <cellStyle name="Separador de milhares 2 2 3 2 3 2 2 2" xfId="20685"/>
    <cellStyle name="Separador de milhares 2 2 3 2 3 2 2 2 2" xfId="47164"/>
    <cellStyle name="Separador de milhares 2 2 3 2 3 2 2 3" xfId="14758"/>
    <cellStyle name="Separador de milhares 2 2 3 2 3 2 2 3 2" xfId="41256"/>
    <cellStyle name="Separador de milhares 2 2 3 2 3 2 2 4" xfId="35348"/>
    <cellStyle name="Separador de milhares 2 2 3 2 3 2 2 5" xfId="28814"/>
    <cellStyle name="Separador de milhares 2 2 3 2 3 2 3" xfId="17721"/>
    <cellStyle name="Separador de milhares 2 2 3 2 3 2 3 2" xfId="44210"/>
    <cellStyle name="Separador de milhares 2 2 3 2 3 2 4" xfId="11794"/>
    <cellStyle name="Separador de milhares 2 2 3 2 3 2 4 2" xfId="38302"/>
    <cellStyle name="Separador de milhares 2 2 3 2 3 2 5" xfId="32146"/>
    <cellStyle name="Separador de milhares 2 2 3 2 3 2 6" xfId="25612"/>
    <cellStyle name="Separador de milhares 2 2 3 2 3 3" xfId="7360"/>
    <cellStyle name="Separador de milhares 2 2 3 2 3 3 2" xfId="19214"/>
    <cellStyle name="Separador de milhares 2 2 3 2 3 3 2 2" xfId="45696"/>
    <cellStyle name="Separador de milhares 2 2 3 2 3 3 3" xfId="13287"/>
    <cellStyle name="Separador de milhares 2 2 3 2 3 3 3 2" xfId="39788"/>
    <cellStyle name="Separador de milhares 2 2 3 2 3 3 4" xfId="33880"/>
    <cellStyle name="Separador de milhares 2 2 3 2 3 3 5" xfId="27346"/>
    <cellStyle name="Separador de milhares 2 2 3 2 3 4" xfId="16250"/>
    <cellStyle name="Separador de milhares 2 2 3 2 3 4 2" xfId="42742"/>
    <cellStyle name="Separador de milhares 2 2 3 2 3 4 3" xfId="23840"/>
    <cellStyle name="Separador de milhares 2 2 3 2 3 5" xfId="10323"/>
    <cellStyle name="Separador de milhares 2 2 3 2 3 5 2" xfId="36834"/>
    <cellStyle name="Separador de milhares 2 2 3 2 3 6" xfId="30374"/>
    <cellStyle name="Separador de milhares 2 2 3 2 3 7" xfId="22068"/>
    <cellStyle name="Separador de milhares 2 2 3 2 4" xfId="3106"/>
    <cellStyle name="Separador de milhares 2 2 3 2 4 2" xfId="5766"/>
    <cellStyle name="Separador de milhares 2 2 3 2 4 2 2" xfId="8978"/>
    <cellStyle name="Separador de milhares 2 2 3 2 4 2 2 2" xfId="20832"/>
    <cellStyle name="Separador de milhares 2 2 3 2 4 2 2 2 2" xfId="47311"/>
    <cellStyle name="Separador de milhares 2 2 3 2 4 2 2 3" xfId="14905"/>
    <cellStyle name="Separador de milhares 2 2 3 2 4 2 2 3 2" xfId="41403"/>
    <cellStyle name="Separador de milhares 2 2 3 2 4 2 2 4" xfId="35495"/>
    <cellStyle name="Separador de milhares 2 2 3 2 4 2 2 5" xfId="28961"/>
    <cellStyle name="Separador de milhares 2 2 3 2 4 2 3" xfId="17868"/>
    <cellStyle name="Separador de milhares 2 2 3 2 4 2 3 2" xfId="44357"/>
    <cellStyle name="Separador de milhares 2 2 3 2 4 2 4" xfId="11941"/>
    <cellStyle name="Separador de milhares 2 2 3 2 4 2 4 2" xfId="38449"/>
    <cellStyle name="Separador de milhares 2 2 3 2 4 2 5" xfId="32293"/>
    <cellStyle name="Separador de milhares 2 2 3 2 4 2 6" xfId="25759"/>
    <cellStyle name="Separador de milhares 2 2 3 2 4 3" xfId="7508"/>
    <cellStyle name="Separador de milhares 2 2 3 2 4 3 2" xfId="19362"/>
    <cellStyle name="Separador de milhares 2 2 3 2 4 3 2 2" xfId="45843"/>
    <cellStyle name="Separador de milhares 2 2 3 2 4 3 3" xfId="13435"/>
    <cellStyle name="Separador de milhares 2 2 3 2 4 3 3 2" xfId="39935"/>
    <cellStyle name="Separador de milhares 2 2 3 2 4 3 4" xfId="34027"/>
    <cellStyle name="Separador de milhares 2 2 3 2 4 3 5" xfId="27493"/>
    <cellStyle name="Separador de milhares 2 2 3 2 4 4" xfId="16398"/>
    <cellStyle name="Separador de milhares 2 2 3 2 4 4 2" xfId="42889"/>
    <cellStyle name="Separador de milhares 2 2 3 2 4 4 3" xfId="23987"/>
    <cellStyle name="Separador de milhares 2 2 3 2 4 5" xfId="10471"/>
    <cellStyle name="Separador de milhares 2 2 3 2 4 5 2" xfId="36981"/>
    <cellStyle name="Separador de milhares 2 2 3 2 4 6" xfId="30521"/>
    <cellStyle name="Separador de milhares 2 2 3 2 4 7" xfId="22215"/>
    <cellStyle name="Separador de milhares 2 2 3 2 5" xfId="3634"/>
    <cellStyle name="Separador de milhares 2 2 3 2 5 2" xfId="5913"/>
    <cellStyle name="Separador de milhares 2 2 3 2 5 2 2" xfId="9125"/>
    <cellStyle name="Separador de milhares 2 2 3 2 5 2 2 2" xfId="20979"/>
    <cellStyle name="Separador de milhares 2 2 3 2 5 2 2 2 2" xfId="47458"/>
    <cellStyle name="Separador de milhares 2 2 3 2 5 2 2 3" xfId="15052"/>
    <cellStyle name="Separador de milhares 2 2 3 2 5 2 2 3 2" xfId="41550"/>
    <cellStyle name="Separador de milhares 2 2 3 2 5 2 2 4" xfId="35642"/>
    <cellStyle name="Separador de milhares 2 2 3 2 5 2 2 5" xfId="29108"/>
    <cellStyle name="Separador de milhares 2 2 3 2 5 2 3" xfId="18015"/>
    <cellStyle name="Separador de milhares 2 2 3 2 5 2 3 2" xfId="44504"/>
    <cellStyle name="Separador de milhares 2 2 3 2 5 2 4" xfId="12088"/>
    <cellStyle name="Separador de milhares 2 2 3 2 5 2 4 2" xfId="38596"/>
    <cellStyle name="Separador de milhares 2 2 3 2 5 2 5" xfId="32440"/>
    <cellStyle name="Separador de milhares 2 2 3 2 5 2 6" xfId="25906"/>
    <cellStyle name="Separador de milhares 2 2 3 2 5 3" xfId="7656"/>
    <cellStyle name="Separador de milhares 2 2 3 2 5 3 2" xfId="19510"/>
    <cellStyle name="Separador de milhares 2 2 3 2 5 3 2 2" xfId="45990"/>
    <cellStyle name="Separador de milhares 2 2 3 2 5 3 3" xfId="13583"/>
    <cellStyle name="Separador de milhares 2 2 3 2 5 3 3 2" xfId="40082"/>
    <cellStyle name="Separador de milhares 2 2 3 2 5 3 4" xfId="34174"/>
    <cellStyle name="Separador de milhares 2 2 3 2 5 3 5" xfId="27640"/>
    <cellStyle name="Separador de milhares 2 2 3 2 5 4" xfId="16546"/>
    <cellStyle name="Separador de milhares 2 2 3 2 5 4 2" xfId="43036"/>
    <cellStyle name="Separador de milhares 2 2 3 2 5 4 3" xfId="24134"/>
    <cellStyle name="Separador de milhares 2 2 3 2 5 5" xfId="10619"/>
    <cellStyle name="Separador de milhares 2 2 3 2 5 5 2" xfId="37128"/>
    <cellStyle name="Separador de milhares 2 2 3 2 5 6" xfId="30668"/>
    <cellStyle name="Separador de milhares 2 2 3 2 5 7" xfId="22362"/>
    <cellStyle name="Separador de milhares 2 2 3 2 6" xfId="4162"/>
    <cellStyle name="Separador de milhares 2 2 3 2 6 2" xfId="6060"/>
    <cellStyle name="Separador de milhares 2 2 3 2 6 2 2" xfId="9272"/>
    <cellStyle name="Separador de milhares 2 2 3 2 6 2 2 2" xfId="21126"/>
    <cellStyle name="Separador de milhares 2 2 3 2 6 2 2 2 2" xfId="47605"/>
    <cellStyle name="Separador de milhares 2 2 3 2 6 2 2 3" xfId="15199"/>
    <cellStyle name="Separador de milhares 2 2 3 2 6 2 2 3 2" xfId="41697"/>
    <cellStyle name="Separador de milhares 2 2 3 2 6 2 2 4" xfId="35789"/>
    <cellStyle name="Separador de milhares 2 2 3 2 6 2 2 5" xfId="29255"/>
    <cellStyle name="Separador de milhares 2 2 3 2 6 2 3" xfId="18162"/>
    <cellStyle name="Separador de milhares 2 2 3 2 6 2 3 2" xfId="44651"/>
    <cellStyle name="Separador de milhares 2 2 3 2 6 2 4" xfId="12235"/>
    <cellStyle name="Separador de milhares 2 2 3 2 6 2 4 2" xfId="38743"/>
    <cellStyle name="Separador de milhares 2 2 3 2 6 2 5" xfId="32587"/>
    <cellStyle name="Separador de milhares 2 2 3 2 6 2 6" xfId="26053"/>
    <cellStyle name="Separador de milhares 2 2 3 2 6 3" xfId="7804"/>
    <cellStyle name="Separador de milhares 2 2 3 2 6 3 2" xfId="19658"/>
    <cellStyle name="Separador de milhares 2 2 3 2 6 3 2 2" xfId="46137"/>
    <cellStyle name="Separador de milhares 2 2 3 2 6 3 3" xfId="13731"/>
    <cellStyle name="Separador de milhares 2 2 3 2 6 3 3 2" xfId="40229"/>
    <cellStyle name="Separador de milhares 2 2 3 2 6 3 4" xfId="34321"/>
    <cellStyle name="Separador de milhares 2 2 3 2 6 3 5" xfId="27787"/>
    <cellStyle name="Separador de milhares 2 2 3 2 6 4" xfId="16694"/>
    <cellStyle name="Separador de milhares 2 2 3 2 6 4 2" xfId="43183"/>
    <cellStyle name="Separador de milhares 2 2 3 2 6 4 3" xfId="24281"/>
    <cellStyle name="Separador de milhares 2 2 3 2 6 5" xfId="10767"/>
    <cellStyle name="Separador de milhares 2 2 3 2 6 5 2" xfId="37275"/>
    <cellStyle name="Separador de milhares 2 2 3 2 6 6" xfId="30815"/>
    <cellStyle name="Separador de milhares 2 2 3 2 6 7" xfId="22509"/>
    <cellStyle name="Separador de milhares 2 2 3 2 7" xfId="5105"/>
    <cellStyle name="Separador de milhares 2 2 3 2 7 2" xfId="8320"/>
    <cellStyle name="Separador de milhares 2 2 3 2 7 2 2" xfId="20174"/>
    <cellStyle name="Separador de milhares 2 2 3 2 7 2 2 2" xfId="46653"/>
    <cellStyle name="Separador de milhares 2 2 3 2 7 2 3" xfId="14247"/>
    <cellStyle name="Separador de milhares 2 2 3 2 7 2 3 2" xfId="40745"/>
    <cellStyle name="Separador de milhares 2 2 3 2 7 2 4" xfId="34837"/>
    <cellStyle name="Separador de milhares 2 2 3 2 7 2 5" xfId="28303"/>
    <cellStyle name="Separador de milhares 2 2 3 2 7 3" xfId="17210"/>
    <cellStyle name="Separador de milhares 2 2 3 2 7 3 2" xfId="43699"/>
    <cellStyle name="Separador de milhares 2 2 3 2 7 4" xfId="11283"/>
    <cellStyle name="Separador de milhares 2 2 3 2 7 4 2" xfId="37791"/>
    <cellStyle name="Separador de milhares 2 2 3 2 7 5" xfId="31632"/>
    <cellStyle name="Separador de milhares 2 2 3 2 7 6" xfId="25098"/>
    <cellStyle name="Separador de milhares 2 2 3 2 8" xfId="6847"/>
    <cellStyle name="Separador de milhares 2 2 3 2 8 2" xfId="18701"/>
    <cellStyle name="Separador de milhares 2 2 3 2 8 2 2" xfId="45185"/>
    <cellStyle name="Separador de milhares 2 2 3 2 8 3" xfId="12774"/>
    <cellStyle name="Separador de milhares 2 2 3 2 8 3 2" xfId="39277"/>
    <cellStyle name="Separador de milhares 2 2 3 2 8 4" xfId="33369"/>
    <cellStyle name="Separador de milhares 2 2 3 2 8 5" xfId="26835"/>
    <cellStyle name="Separador de milhares 2 2 3 2 9" xfId="15737"/>
    <cellStyle name="Separador de milhares 2 2 3 2 9 2" xfId="42231"/>
    <cellStyle name="Separador de milhares 2 2 3 2 9 3" xfId="23326"/>
    <cellStyle name="Separador de milhares 2 2 3 3" xfId="998"/>
    <cellStyle name="Separador de milhares 2 2 3 3 2" xfId="5182"/>
    <cellStyle name="Separador de milhares 2 2 3 3 2 2" xfId="8397"/>
    <cellStyle name="Separador de milhares 2 2 3 3 2 2 2" xfId="20251"/>
    <cellStyle name="Separador de milhares 2 2 3 3 2 2 2 2" xfId="46730"/>
    <cellStyle name="Separador de milhares 2 2 3 3 2 2 3" xfId="14324"/>
    <cellStyle name="Separador de milhares 2 2 3 3 2 2 3 2" xfId="40822"/>
    <cellStyle name="Separador de milhares 2 2 3 3 2 2 4" xfId="34914"/>
    <cellStyle name="Separador de milhares 2 2 3 3 2 2 5" xfId="28380"/>
    <cellStyle name="Separador de milhares 2 2 3 3 2 3" xfId="17287"/>
    <cellStyle name="Separador de milhares 2 2 3 3 2 3 2" xfId="43776"/>
    <cellStyle name="Separador de milhares 2 2 3 3 2 4" xfId="11360"/>
    <cellStyle name="Separador de milhares 2 2 3 3 2 4 2" xfId="37868"/>
    <cellStyle name="Separador de milhares 2 2 3 3 2 5" xfId="31709"/>
    <cellStyle name="Separador de milhares 2 2 3 3 2 6" xfId="25175"/>
    <cellStyle name="Separador de milhares 2 2 3 3 3" xfId="6924"/>
    <cellStyle name="Separador de milhares 2 2 3 3 3 2" xfId="18778"/>
    <cellStyle name="Separador de milhares 2 2 3 3 3 2 2" xfId="45262"/>
    <cellStyle name="Separador de milhares 2 2 3 3 3 3" xfId="12851"/>
    <cellStyle name="Separador de milhares 2 2 3 3 3 3 2" xfId="39354"/>
    <cellStyle name="Separador de milhares 2 2 3 3 3 4" xfId="33446"/>
    <cellStyle name="Separador de milhares 2 2 3 3 3 5" xfId="26912"/>
    <cellStyle name="Separador de milhares 2 2 3 3 4" xfId="15814"/>
    <cellStyle name="Separador de milhares 2 2 3 3 4 2" xfId="42308"/>
    <cellStyle name="Separador de milhares 2 2 3 3 4 3" xfId="23403"/>
    <cellStyle name="Separador de milhares 2 2 3 3 5" xfId="9887"/>
    <cellStyle name="Separador de milhares 2 2 3 3 5 2" xfId="36400"/>
    <cellStyle name="Separador de milhares 2 2 3 3 6" xfId="29937"/>
    <cellStyle name="Separador de milhares 2 2 3 3 7" xfId="21631"/>
    <cellStyle name="Separador de milhares 2 2 3 4" xfId="1349"/>
    <cellStyle name="Separador de milhares 2 2 3 4 2" xfId="5280"/>
    <cellStyle name="Separador de milhares 2 2 3 4 2 2" xfId="8495"/>
    <cellStyle name="Separador de milhares 2 2 3 4 2 2 2" xfId="20349"/>
    <cellStyle name="Separador de milhares 2 2 3 4 2 2 2 2" xfId="46828"/>
    <cellStyle name="Separador de milhares 2 2 3 4 2 2 3" xfId="14422"/>
    <cellStyle name="Separador de milhares 2 2 3 4 2 2 3 2" xfId="40920"/>
    <cellStyle name="Separador de milhares 2 2 3 4 2 2 4" xfId="35012"/>
    <cellStyle name="Separador de milhares 2 2 3 4 2 2 5" xfId="28478"/>
    <cellStyle name="Separador de milhares 2 2 3 4 2 3" xfId="17385"/>
    <cellStyle name="Separador de milhares 2 2 3 4 2 3 2" xfId="43874"/>
    <cellStyle name="Separador de milhares 2 2 3 4 2 4" xfId="11458"/>
    <cellStyle name="Separador de milhares 2 2 3 4 2 4 2" xfId="37966"/>
    <cellStyle name="Separador de milhares 2 2 3 4 2 5" xfId="31807"/>
    <cellStyle name="Separador de milhares 2 2 3 4 2 6" xfId="25273"/>
    <cellStyle name="Separador de milhares 2 2 3 4 3" xfId="7022"/>
    <cellStyle name="Separador de milhares 2 2 3 4 3 2" xfId="18876"/>
    <cellStyle name="Separador de milhares 2 2 3 4 3 2 2" xfId="45360"/>
    <cellStyle name="Separador de milhares 2 2 3 4 3 3" xfId="12949"/>
    <cellStyle name="Separador de milhares 2 2 3 4 3 3 2" xfId="39452"/>
    <cellStyle name="Separador de milhares 2 2 3 4 3 4" xfId="33544"/>
    <cellStyle name="Separador de milhares 2 2 3 4 3 5" xfId="27010"/>
    <cellStyle name="Separador de milhares 2 2 3 4 4" xfId="15912"/>
    <cellStyle name="Separador de milhares 2 2 3 4 4 2" xfId="42406"/>
    <cellStyle name="Separador de milhares 2 2 3 4 4 3" xfId="23501"/>
    <cellStyle name="Separador de milhares 2 2 3 4 5" xfId="9985"/>
    <cellStyle name="Separador de milhares 2 2 3 4 5 2" xfId="36498"/>
    <cellStyle name="Separador de milhares 2 2 3 4 6" xfId="30035"/>
    <cellStyle name="Separador de milhares 2 2 3 4 7" xfId="21729"/>
    <cellStyle name="Separador de milhares 2 2 3 5" xfId="1784"/>
    <cellStyle name="Separador de milhares 2 2 3 5 2" xfId="5399"/>
    <cellStyle name="Separador de milhares 2 2 3 5 2 2" xfId="8614"/>
    <cellStyle name="Separador de milhares 2 2 3 5 2 2 2" xfId="20468"/>
    <cellStyle name="Separador de milhares 2 2 3 5 2 2 2 2" xfId="46947"/>
    <cellStyle name="Separador de milhares 2 2 3 5 2 2 3" xfId="14541"/>
    <cellStyle name="Separador de milhares 2 2 3 5 2 2 3 2" xfId="41039"/>
    <cellStyle name="Separador de milhares 2 2 3 5 2 2 4" xfId="35131"/>
    <cellStyle name="Separador de milhares 2 2 3 5 2 2 5" xfId="28597"/>
    <cellStyle name="Separador de milhares 2 2 3 5 2 3" xfId="17504"/>
    <cellStyle name="Separador de milhares 2 2 3 5 2 3 2" xfId="43993"/>
    <cellStyle name="Separador de milhares 2 2 3 5 2 4" xfId="11577"/>
    <cellStyle name="Separador de milhares 2 2 3 5 2 4 2" xfId="38085"/>
    <cellStyle name="Separador de milhares 2 2 3 5 2 5" xfId="31926"/>
    <cellStyle name="Separador de milhares 2 2 3 5 2 6" xfId="25392"/>
    <cellStyle name="Separador de milhares 2 2 3 5 3" xfId="7141"/>
    <cellStyle name="Separador de milhares 2 2 3 5 3 2" xfId="18995"/>
    <cellStyle name="Separador de milhares 2 2 3 5 3 2 2" xfId="45479"/>
    <cellStyle name="Separador de milhares 2 2 3 5 3 3" xfId="13068"/>
    <cellStyle name="Separador de milhares 2 2 3 5 3 3 2" xfId="39571"/>
    <cellStyle name="Separador de milhares 2 2 3 5 3 4" xfId="33663"/>
    <cellStyle name="Separador de milhares 2 2 3 5 3 5" xfId="27129"/>
    <cellStyle name="Separador de milhares 2 2 3 5 4" xfId="16031"/>
    <cellStyle name="Separador de milhares 2 2 3 5 4 2" xfId="42525"/>
    <cellStyle name="Separador de milhares 2 2 3 5 4 3" xfId="23620"/>
    <cellStyle name="Separador de milhares 2 2 3 5 5" xfId="10104"/>
    <cellStyle name="Separador de milhares 2 2 3 5 5 2" xfId="36617"/>
    <cellStyle name="Separador de milhares 2 2 3 5 6" xfId="30154"/>
    <cellStyle name="Separador de milhares 2 2 3 5 7" xfId="21848"/>
    <cellStyle name="Separador de milhares 2 2 3 6" xfId="2317"/>
    <cellStyle name="Separador de milhares 2 2 3 6 2" xfId="5549"/>
    <cellStyle name="Separador de milhares 2 2 3 6 2 2" xfId="8761"/>
    <cellStyle name="Separador de milhares 2 2 3 6 2 2 2" xfId="20615"/>
    <cellStyle name="Separador de milhares 2 2 3 6 2 2 2 2" xfId="47094"/>
    <cellStyle name="Separador de milhares 2 2 3 6 2 2 3" xfId="14688"/>
    <cellStyle name="Separador de milhares 2 2 3 6 2 2 3 2" xfId="41186"/>
    <cellStyle name="Separador de milhares 2 2 3 6 2 2 4" xfId="35278"/>
    <cellStyle name="Separador de milhares 2 2 3 6 2 2 5" xfId="28744"/>
    <cellStyle name="Separador de milhares 2 2 3 6 2 3" xfId="17651"/>
    <cellStyle name="Separador de milhares 2 2 3 6 2 3 2" xfId="44140"/>
    <cellStyle name="Separador de milhares 2 2 3 6 2 4" xfId="11724"/>
    <cellStyle name="Separador de milhares 2 2 3 6 2 4 2" xfId="38232"/>
    <cellStyle name="Separador de milhares 2 2 3 6 2 5" xfId="32076"/>
    <cellStyle name="Separador de milhares 2 2 3 6 2 6" xfId="25542"/>
    <cellStyle name="Separador de milhares 2 2 3 6 3" xfId="7289"/>
    <cellStyle name="Separador de milhares 2 2 3 6 3 2" xfId="19143"/>
    <cellStyle name="Separador de milhares 2 2 3 6 3 2 2" xfId="45626"/>
    <cellStyle name="Separador de milhares 2 2 3 6 3 3" xfId="13216"/>
    <cellStyle name="Separador de milhares 2 2 3 6 3 3 2" xfId="39718"/>
    <cellStyle name="Separador de milhares 2 2 3 6 3 4" xfId="33810"/>
    <cellStyle name="Separador de milhares 2 2 3 6 3 5" xfId="27276"/>
    <cellStyle name="Separador de milhares 2 2 3 6 4" xfId="16179"/>
    <cellStyle name="Separador de milhares 2 2 3 6 4 2" xfId="42672"/>
    <cellStyle name="Separador de milhares 2 2 3 6 4 3" xfId="23770"/>
    <cellStyle name="Separador de milhares 2 2 3 6 5" xfId="10252"/>
    <cellStyle name="Separador de milhares 2 2 3 6 5 2" xfId="36764"/>
    <cellStyle name="Separador de milhares 2 2 3 6 6" xfId="30304"/>
    <cellStyle name="Separador de milhares 2 2 3 6 7" xfId="21998"/>
    <cellStyle name="Separador de milhares 2 2 3 7" xfId="2845"/>
    <cellStyle name="Separador de milhares 2 2 3 7 2" xfId="5696"/>
    <cellStyle name="Separador de milhares 2 2 3 7 2 2" xfId="8908"/>
    <cellStyle name="Separador de milhares 2 2 3 7 2 2 2" xfId="20762"/>
    <cellStyle name="Separador de milhares 2 2 3 7 2 2 2 2" xfId="47241"/>
    <cellStyle name="Separador de milhares 2 2 3 7 2 2 3" xfId="14835"/>
    <cellStyle name="Separador de milhares 2 2 3 7 2 2 3 2" xfId="41333"/>
    <cellStyle name="Separador de milhares 2 2 3 7 2 2 4" xfId="35425"/>
    <cellStyle name="Separador de milhares 2 2 3 7 2 2 5" xfId="28891"/>
    <cellStyle name="Separador de milhares 2 2 3 7 2 3" xfId="17798"/>
    <cellStyle name="Separador de milhares 2 2 3 7 2 3 2" xfId="44287"/>
    <cellStyle name="Separador de milhares 2 2 3 7 2 4" xfId="11871"/>
    <cellStyle name="Separador de milhares 2 2 3 7 2 4 2" xfId="38379"/>
    <cellStyle name="Separador de milhares 2 2 3 7 2 5" xfId="32223"/>
    <cellStyle name="Separador de milhares 2 2 3 7 2 6" xfId="25689"/>
    <cellStyle name="Separador de milhares 2 2 3 7 3" xfId="7437"/>
    <cellStyle name="Separador de milhares 2 2 3 7 3 2" xfId="19291"/>
    <cellStyle name="Separador de milhares 2 2 3 7 3 2 2" xfId="45773"/>
    <cellStyle name="Separador de milhares 2 2 3 7 3 3" xfId="13364"/>
    <cellStyle name="Separador de milhares 2 2 3 7 3 3 2" xfId="39865"/>
    <cellStyle name="Separador de milhares 2 2 3 7 3 4" xfId="33957"/>
    <cellStyle name="Separador de milhares 2 2 3 7 3 5" xfId="27423"/>
    <cellStyle name="Separador de milhares 2 2 3 7 4" xfId="16327"/>
    <cellStyle name="Separador de milhares 2 2 3 7 4 2" xfId="42819"/>
    <cellStyle name="Separador de milhares 2 2 3 7 4 3" xfId="23917"/>
    <cellStyle name="Separador de milhares 2 2 3 7 5" xfId="10400"/>
    <cellStyle name="Separador de milhares 2 2 3 7 5 2" xfId="36911"/>
    <cellStyle name="Separador de milhares 2 2 3 7 6" xfId="30451"/>
    <cellStyle name="Separador de milhares 2 2 3 7 7" xfId="22145"/>
    <cellStyle name="Separador de milhares 2 2 3 8" xfId="3373"/>
    <cellStyle name="Separador de milhares 2 2 3 8 2" xfId="5843"/>
    <cellStyle name="Separador de milhares 2 2 3 8 2 2" xfId="9055"/>
    <cellStyle name="Separador de milhares 2 2 3 8 2 2 2" xfId="20909"/>
    <cellStyle name="Separador de milhares 2 2 3 8 2 2 2 2" xfId="47388"/>
    <cellStyle name="Separador de milhares 2 2 3 8 2 2 3" xfId="14982"/>
    <cellStyle name="Separador de milhares 2 2 3 8 2 2 3 2" xfId="41480"/>
    <cellStyle name="Separador de milhares 2 2 3 8 2 2 4" xfId="35572"/>
    <cellStyle name="Separador de milhares 2 2 3 8 2 2 5" xfId="29038"/>
    <cellStyle name="Separador de milhares 2 2 3 8 2 3" xfId="17945"/>
    <cellStyle name="Separador de milhares 2 2 3 8 2 3 2" xfId="44434"/>
    <cellStyle name="Separador de milhares 2 2 3 8 2 4" xfId="12018"/>
    <cellStyle name="Separador de milhares 2 2 3 8 2 4 2" xfId="38526"/>
    <cellStyle name="Separador de milhares 2 2 3 8 2 5" xfId="32370"/>
    <cellStyle name="Separador de milhares 2 2 3 8 2 6" xfId="25836"/>
    <cellStyle name="Separador de milhares 2 2 3 8 3" xfId="7585"/>
    <cellStyle name="Separador de milhares 2 2 3 8 3 2" xfId="19439"/>
    <cellStyle name="Separador de milhares 2 2 3 8 3 2 2" xfId="45920"/>
    <cellStyle name="Separador de milhares 2 2 3 8 3 3" xfId="13512"/>
    <cellStyle name="Separador de milhares 2 2 3 8 3 3 2" xfId="40012"/>
    <cellStyle name="Separador de milhares 2 2 3 8 3 4" xfId="34104"/>
    <cellStyle name="Separador de milhares 2 2 3 8 3 5" xfId="27570"/>
    <cellStyle name="Separador de milhares 2 2 3 8 4" xfId="16475"/>
    <cellStyle name="Separador de milhares 2 2 3 8 4 2" xfId="42966"/>
    <cellStyle name="Separador de milhares 2 2 3 8 4 3" xfId="24064"/>
    <cellStyle name="Separador de milhares 2 2 3 8 5" xfId="10548"/>
    <cellStyle name="Separador de milhares 2 2 3 8 5 2" xfId="37058"/>
    <cellStyle name="Separador de milhares 2 2 3 8 6" xfId="30598"/>
    <cellStyle name="Separador de milhares 2 2 3 8 7" xfId="22292"/>
    <cellStyle name="Separador de milhares 2 2 3 9" xfId="3901"/>
    <cellStyle name="Separador de milhares 2 2 3 9 2" xfId="5990"/>
    <cellStyle name="Separador de milhares 2 2 3 9 2 2" xfId="9202"/>
    <cellStyle name="Separador de milhares 2 2 3 9 2 2 2" xfId="21056"/>
    <cellStyle name="Separador de milhares 2 2 3 9 2 2 2 2" xfId="47535"/>
    <cellStyle name="Separador de milhares 2 2 3 9 2 2 3" xfId="15129"/>
    <cellStyle name="Separador de milhares 2 2 3 9 2 2 3 2" xfId="41627"/>
    <cellStyle name="Separador de milhares 2 2 3 9 2 2 4" xfId="35719"/>
    <cellStyle name="Separador de milhares 2 2 3 9 2 2 5" xfId="29185"/>
    <cellStyle name="Separador de milhares 2 2 3 9 2 3" xfId="18092"/>
    <cellStyle name="Separador de milhares 2 2 3 9 2 3 2" xfId="44581"/>
    <cellStyle name="Separador de milhares 2 2 3 9 2 4" xfId="12165"/>
    <cellStyle name="Separador de milhares 2 2 3 9 2 4 2" xfId="38673"/>
    <cellStyle name="Separador de milhares 2 2 3 9 2 5" xfId="32517"/>
    <cellStyle name="Separador de milhares 2 2 3 9 2 6" xfId="25983"/>
    <cellStyle name="Separador de milhares 2 2 3 9 3" xfId="7733"/>
    <cellStyle name="Separador de milhares 2 2 3 9 3 2" xfId="19587"/>
    <cellStyle name="Separador de milhares 2 2 3 9 3 2 2" xfId="46067"/>
    <cellStyle name="Separador de milhares 2 2 3 9 3 3" xfId="13660"/>
    <cellStyle name="Separador de milhares 2 2 3 9 3 3 2" xfId="40159"/>
    <cellStyle name="Separador de milhares 2 2 3 9 3 4" xfId="34251"/>
    <cellStyle name="Separador de milhares 2 2 3 9 3 5" xfId="27717"/>
    <cellStyle name="Separador de milhares 2 2 3 9 4" xfId="16623"/>
    <cellStyle name="Separador de milhares 2 2 3 9 4 2" xfId="43113"/>
    <cellStyle name="Separador de milhares 2 2 3 9 4 3" xfId="24211"/>
    <cellStyle name="Separador de milhares 2 2 3 9 5" xfId="10696"/>
    <cellStyle name="Separador de milhares 2 2 3 9 5 2" xfId="37205"/>
    <cellStyle name="Separador de milhares 2 2 3 9 6" xfId="30745"/>
    <cellStyle name="Separador de milhares 2 2 3 9 7" xfId="22439"/>
    <cellStyle name="Separador de milhares 2 2 4" xfId="346"/>
    <cellStyle name="Separador de milhares 2 2 4 10" xfId="4981"/>
    <cellStyle name="Separador de milhares 2 2 4 10 2" xfId="8200"/>
    <cellStyle name="Separador de milhares 2 2 4 10 2 2" xfId="20054"/>
    <cellStyle name="Separador de milhares 2 2 4 10 2 2 2" xfId="46533"/>
    <cellStyle name="Separador de milhares 2 2 4 10 2 3" xfId="14127"/>
    <cellStyle name="Separador de milhares 2 2 4 10 2 3 2" xfId="40625"/>
    <cellStyle name="Separador de milhares 2 2 4 10 2 4" xfId="34717"/>
    <cellStyle name="Separador de milhares 2 2 4 10 2 5" xfId="28183"/>
    <cellStyle name="Separador de milhares 2 2 4 10 3" xfId="17090"/>
    <cellStyle name="Separador de milhares 2 2 4 10 3 2" xfId="43579"/>
    <cellStyle name="Separador de milhares 2 2 4 10 4" xfId="11163"/>
    <cellStyle name="Separador de milhares 2 2 4 10 4 2" xfId="37671"/>
    <cellStyle name="Separador de milhares 2 2 4 10 5" xfId="31508"/>
    <cellStyle name="Separador de milhares 2 2 4 10 6" xfId="24974"/>
    <cellStyle name="Separador de milhares 2 2 4 11" xfId="6724"/>
    <cellStyle name="Separador de milhares 2 2 4 11 2" xfId="18578"/>
    <cellStyle name="Separador de milhares 2 2 4 11 2 2" xfId="45065"/>
    <cellStyle name="Separador de milhares 2 2 4 11 3" xfId="12651"/>
    <cellStyle name="Separador de milhares 2 2 4 11 3 2" xfId="39157"/>
    <cellStyle name="Separador de milhares 2 2 4 11 4" xfId="33249"/>
    <cellStyle name="Separador de milhares 2 2 4 11 5" xfId="26715"/>
    <cellStyle name="Separador de milhares 2 2 4 12" xfId="15614"/>
    <cellStyle name="Separador de milhares 2 2 4 12 2" xfId="42111"/>
    <cellStyle name="Separador de milhares 2 2 4 12 3" xfId="23202"/>
    <cellStyle name="Separador de milhares 2 2 4 13" xfId="9687"/>
    <cellStyle name="Separador de milhares 2 2 4 13 2" xfId="36203"/>
    <cellStyle name="Separador de milhares 2 2 4 14" xfId="29736"/>
    <cellStyle name="Separador de milhares 2 2 4 15" xfId="21454"/>
    <cellStyle name="Separador de milhares 2 2 4 2" xfId="785"/>
    <cellStyle name="Separador de milhares 2 2 4 2 2" xfId="5098"/>
    <cellStyle name="Separador de milhares 2 2 4 2 2 2" xfId="8313"/>
    <cellStyle name="Separador de milhares 2 2 4 2 2 2 2" xfId="20167"/>
    <cellStyle name="Separador de milhares 2 2 4 2 2 2 2 2" xfId="46646"/>
    <cellStyle name="Separador de milhares 2 2 4 2 2 2 3" xfId="14240"/>
    <cellStyle name="Separador de milhares 2 2 4 2 2 2 3 2" xfId="40738"/>
    <cellStyle name="Separador de milhares 2 2 4 2 2 2 4" xfId="34830"/>
    <cellStyle name="Separador de milhares 2 2 4 2 2 2 5" xfId="28296"/>
    <cellStyle name="Separador de milhares 2 2 4 2 2 3" xfId="17203"/>
    <cellStyle name="Separador de milhares 2 2 4 2 2 3 2" xfId="43692"/>
    <cellStyle name="Separador de milhares 2 2 4 2 2 4" xfId="11276"/>
    <cellStyle name="Separador de milhares 2 2 4 2 2 4 2" xfId="37784"/>
    <cellStyle name="Separador de milhares 2 2 4 2 2 5" xfId="31625"/>
    <cellStyle name="Separador de milhares 2 2 4 2 2 6" xfId="25091"/>
    <cellStyle name="Separador de milhares 2 2 4 2 3" xfId="6840"/>
    <cellStyle name="Separador de milhares 2 2 4 2 3 2" xfId="18694"/>
    <cellStyle name="Separador de milhares 2 2 4 2 3 2 2" xfId="45178"/>
    <cellStyle name="Separador de milhares 2 2 4 2 3 3" xfId="12767"/>
    <cellStyle name="Separador de milhares 2 2 4 2 3 3 2" xfId="39270"/>
    <cellStyle name="Separador de milhares 2 2 4 2 3 4" xfId="33362"/>
    <cellStyle name="Separador de milhares 2 2 4 2 3 5" xfId="26828"/>
    <cellStyle name="Separador de milhares 2 2 4 2 4" xfId="15730"/>
    <cellStyle name="Separador de milhares 2 2 4 2 4 2" xfId="42224"/>
    <cellStyle name="Separador de milhares 2 2 4 2 4 3" xfId="23319"/>
    <cellStyle name="Separador de milhares 2 2 4 2 5" xfId="9803"/>
    <cellStyle name="Separador de milhares 2 2 4 2 5 2" xfId="36316"/>
    <cellStyle name="Separador de milhares 2 2 4 2 6" xfId="29853"/>
    <cellStyle name="Separador de milhares 2 2 4 2 7" xfId="21547"/>
    <cellStyle name="Separador de milhares 2 2 4 3" xfId="907"/>
    <cellStyle name="Separador de milhares 2 2 4 3 2" xfId="5154"/>
    <cellStyle name="Separador de milhares 2 2 4 3 2 2" xfId="8369"/>
    <cellStyle name="Separador de milhares 2 2 4 3 2 2 2" xfId="20223"/>
    <cellStyle name="Separador de milhares 2 2 4 3 2 2 2 2" xfId="46702"/>
    <cellStyle name="Separador de milhares 2 2 4 3 2 2 3" xfId="14296"/>
    <cellStyle name="Separador de milhares 2 2 4 3 2 2 3 2" xfId="40794"/>
    <cellStyle name="Separador de milhares 2 2 4 3 2 2 4" xfId="34886"/>
    <cellStyle name="Separador de milhares 2 2 4 3 2 2 5" xfId="28352"/>
    <cellStyle name="Separador de milhares 2 2 4 3 2 3" xfId="17259"/>
    <cellStyle name="Separador de milhares 2 2 4 3 2 3 2" xfId="43748"/>
    <cellStyle name="Separador de milhares 2 2 4 3 2 4" xfId="11332"/>
    <cellStyle name="Separador de milhares 2 2 4 3 2 4 2" xfId="37840"/>
    <cellStyle name="Separador de milhares 2 2 4 3 2 5" xfId="31681"/>
    <cellStyle name="Separador de milhares 2 2 4 3 2 6" xfId="25147"/>
    <cellStyle name="Separador de milhares 2 2 4 3 3" xfId="6896"/>
    <cellStyle name="Separador de milhares 2 2 4 3 3 2" xfId="18750"/>
    <cellStyle name="Separador de milhares 2 2 4 3 3 2 2" xfId="45234"/>
    <cellStyle name="Separador de milhares 2 2 4 3 3 3" xfId="12823"/>
    <cellStyle name="Separador de milhares 2 2 4 3 3 3 2" xfId="39326"/>
    <cellStyle name="Separador de milhares 2 2 4 3 3 4" xfId="33418"/>
    <cellStyle name="Separador de milhares 2 2 4 3 3 5" xfId="26884"/>
    <cellStyle name="Separador de milhares 2 2 4 3 4" xfId="15786"/>
    <cellStyle name="Separador de milhares 2 2 4 3 4 2" xfId="42280"/>
    <cellStyle name="Separador de milhares 2 2 4 3 4 3" xfId="23375"/>
    <cellStyle name="Separador de milhares 2 2 4 3 5" xfId="9859"/>
    <cellStyle name="Separador de milhares 2 2 4 3 5 2" xfId="36372"/>
    <cellStyle name="Separador de milhares 2 2 4 3 6" xfId="29909"/>
    <cellStyle name="Separador de milhares 2 2 4 3 7" xfId="21603"/>
    <cellStyle name="Separador de milhares 2 2 4 4" xfId="1258"/>
    <cellStyle name="Separador de milhares 2 2 4 4 2" xfId="5252"/>
    <cellStyle name="Separador de milhares 2 2 4 4 2 2" xfId="8467"/>
    <cellStyle name="Separador de milhares 2 2 4 4 2 2 2" xfId="20321"/>
    <cellStyle name="Separador de milhares 2 2 4 4 2 2 2 2" xfId="46800"/>
    <cellStyle name="Separador de milhares 2 2 4 4 2 2 3" xfId="14394"/>
    <cellStyle name="Separador de milhares 2 2 4 4 2 2 3 2" xfId="40892"/>
    <cellStyle name="Separador de milhares 2 2 4 4 2 2 4" xfId="34984"/>
    <cellStyle name="Separador de milhares 2 2 4 4 2 2 5" xfId="28450"/>
    <cellStyle name="Separador de milhares 2 2 4 4 2 3" xfId="17357"/>
    <cellStyle name="Separador de milhares 2 2 4 4 2 3 2" xfId="43846"/>
    <cellStyle name="Separador de milhares 2 2 4 4 2 4" xfId="11430"/>
    <cellStyle name="Separador de milhares 2 2 4 4 2 4 2" xfId="37938"/>
    <cellStyle name="Separador de milhares 2 2 4 4 2 5" xfId="31779"/>
    <cellStyle name="Separador de milhares 2 2 4 4 2 6" xfId="25245"/>
    <cellStyle name="Separador de milhares 2 2 4 4 3" xfId="6994"/>
    <cellStyle name="Separador de milhares 2 2 4 4 3 2" xfId="18848"/>
    <cellStyle name="Separador de milhares 2 2 4 4 3 2 2" xfId="45332"/>
    <cellStyle name="Separador de milhares 2 2 4 4 3 3" xfId="12921"/>
    <cellStyle name="Separador de milhares 2 2 4 4 3 3 2" xfId="39424"/>
    <cellStyle name="Separador de milhares 2 2 4 4 3 4" xfId="33516"/>
    <cellStyle name="Separador de milhares 2 2 4 4 3 5" xfId="26982"/>
    <cellStyle name="Separador de milhares 2 2 4 4 4" xfId="15884"/>
    <cellStyle name="Separador de milhares 2 2 4 4 4 2" xfId="42378"/>
    <cellStyle name="Separador de milhares 2 2 4 4 4 3" xfId="23473"/>
    <cellStyle name="Separador de milhares 2 2 4 4 5" xfId="9957"/>
    <cellStyle name="Separador de milhares 2 2 4 4 5 2" xfId="36470"/>
    <cellStyle name="Separador de milhares 2 2 4 4 6" xfId="30007"/>
    <cellStyle name="Separador de milhares 2 2 4 4 7" xfId="21701"/>
    <cellStyle name="Separador de milhares 2 2 4 5" xfId="1693"/>
    <cellStyle name="Separador de milhares 2 2 4 5 2" xfId="5371"/>
    <cellStyle name="Separador de milhares 2 2 4 5 2 2" xfId="8586"/>
    <cellStyle name="Separador de milhares 2 2 4 5 2 2 2" xfId="20440"/>
    <cellStyle name="Separador de milhares 2 2 4 5 2 2 2 2" xfId="46919"/>
    <cellStyle name="Separador de milhares 2 2 4 5 2 2 3" xfId="14513"/>
    <cellStyle name="Separador de milhares 2 2 4 5 2 2 3 2" xfId="41011"/>
    <cellStyle name="Separador de milhares 2 2 4 5 2 2 4" xfId="35103"/>
    <cellStyle name="Separador de milhares 2 2 4 5 2 2 5" xfId="28569"/>
    <cellStyle name="Separador de milhares 2 2 4 5 2 3" xfId="17476"/>
    <cellStyle name="Separador de milhares 2 2 4 5 2 3 2" xfId="43965"/>
    <cellStyle name="Separador de milhares 2 2 4 5 2 4" xfId="11549"/>
    <cellStyle name="Separador de milhares 2 2 4 5 2 4 2" xfId="38057"/>
    <cellStyle name="Separador de milhares 2 2 4 5 2 5" xfId="31898"/>
    <cellStyle name="Separador de milhares 2 2 4 5 2 6" xfId="25364"/>
    <cellStyle name="Separador de milhares 2 2 4 5 3" xfId="7113"/>
    <cellStyle name="Separador de milhares 2 2 4 5 3 2" xfId="18967"/>
    <cellStyle name="Separador de milhares 2 2 4 5 3 2 2" xfId="45451"/>
    <cellStyle name="Separador de milhares 2 2 4 5 3 3" xfId="13040"/>
    <cellStyle name="Separador de milhares 2 2 4 5 3 3 2" xfId="39543"/>
    <cellStyle name="Separador de milhares 2 2 4 5 3 4" xfId="33635"/>
    <cellStyle name="Separador de milhares 2 2 4 5 3 5" xfId="27101"/>
    <cellStyle name="Separador de milhares 2 2 4 5 4" xfId="16003"/>
    <cellStyle name="Separador de milhares 2 2 4 5 4 2" xfId="42497"/>
    <cellStyle name="Separador de milhares 2 2 4 5 4 3" xfId="23592"/>
    <cellStyle name="Separador de milhares 2 2 4 5 5" xfId="10076"/>
    <cellStyle name="Separador de milhares 2 2 4 5 5 2" xfId="36589"/>
    <cellStyle name="Separador de milhares 2 2 4 5 6" xfId="30126"/>
    <cellStyle name="Separador de milhares 2 2 4 5 7" xfId="21820"/>
    <cellStyle name="Separador de milhares 2 2 4 6" xfId="2226"/>
    <cellStyle name="Separador de milhares 2 2 4 6 2" xfId="5521"/>
    <cellStyle name="Separador de milhares 2 2 4 6 2 2" xfId="8733"/>
    <cellStyle name="Separador de milhares 2 2 4 6 2 2 2" xfId="20587"/>
    <cellStyle name="Separador de milhares 2 2 4 6 2 2 2 2" xfId="47066"/>
    <cellStyle name="Separador de milhares 2 2 4 6 2 2 3" xfId="14660"/>
    <cellStyle name="Separador de milhares 2 2 4 6 2 2 3 2" xfId="41158"/>
    <cellStyle name="Separador de milhares 2 2 4 6 2 2 4" xfId="35250"/>
    <cellStyle name="Separador de milhares 2 2 4 6 2 2 5" xfId="28716"/>
    <cellStyle name="Separador de milhares 2 2 4 6 2 3" xfId="17623"/>
    <cellStyle name="Separador de milhares 2 2 4 6 2 3 2" xfId="44112"/>
    <cellStyle name="Separador de milhares 2 2 4 6 2 4" xfId="11696"/>
    <cellStyle name="Separador de milhares 2 2 4 6 2 4 2" xfId="38204"/>
    <cellStyle name="Separador de milhares 2 2 4 6 2 5" xfId="32048"/>
    <cellStyle name="Separador de milhares 2 2 4 6 2 6" xfId="25514"/>
    <cellStyle name="Separador de milhares 2 2 4 6 3" xfId="7261"/>
    <cellStyle name="Separador de milhares 2 2 4 6 3 2" xfId="19115"/>
    <cellStyle name="Separador de milhares 2 2 4 6 3 2 2" xfId="45598"/>
    <cellStyle name="Separador de milhares 2 2 4 6 3 3" xfId="13188"/>
    <cellStyle name="Separador de milhares 2 2 4 6 3 3 2" xfId="39690"/>
    <cellStyle name="Separador de milhares 2 2 4 6 3 4" xfId="33782"/>
    <cellStyle name="Separador de milhares 2 2 4 6 3 5" xfId="27248"/>
    <cellStyle name="Separador de milhares 2 2 4 6 4" xfId="16151"/>
    <cellStyle name="Separador de milhares 2 2 4 6 4 2" xfId="42644"/>
    <cellStyle name="Separador de milhares 2 2 4 6 4 3" xfId="23742"/>
    <cellStyle name="Separador de milhares 2 2 4 6 5" xfId="10224"/>
    <cellStyle name="Separador de milhares 2 2 4 6 5 2" xfId="36736"/>
    <cellStyle name="Separador de milhares 2 2 4 6 6" xfId="30276"/>
    <cellStyle name="Separador de milhares 2 2 4 6 7" xfId="21970"/>
    <cellStyle name="Separador de milhares 2 2 4 7" xfId="2754"/>
    <cellStyle name="Separador de milhares 2 2 4 7 2" xfId="5668"/>
    <cellStyle name="Separador de milhares 2 2 4 7 2 2" xfId="8880"/>
    <cellStyle name="Separador de milhares 2 2 4 7 2 2 2" xfId="20734"/>
    <cellStyle name="Separador de milhares 2 2 4 7 2 2 2 2" xfId="47213"/>
    <cellStyle name="Separador de milhares 2 2 4 7 2 2 3" xfId="14807"/>
    <cellStyle name="Separador de milhares 2 2 4 7 2 2 3 2" xfId="41305"/>
    <cellStyle name="Separador de milhares 2 2 4 7 2 2 4" xfId="35397"/>
    <cellStyle name="Separador de milhares 2 2 4 7 2 2 5" xfId="28863"/>
    <cellStyle name="Separador de milhares 2 2 4 7 2 3" xfId="17770"/>
    <cellStyle name="Separador de milhares 2 2 4 7 2 3 2" xfId="44259"/>
    <cellStyle name="Separador de milhares 2 2 4 7 2 4" xfId="11843"/>
    <cellStyle name="Separador de milhares 2 2 4 7 2 4 2" xfId="38351"/>
    <cellStyle name="Separador de milhares 2 2 4 7 2 5" xfId="32195"/>
    <cellStyle name="Separador de milhares 2 2 4 7 2 6" xfId="25661"/>
    <cellStyle name="Separador de milhares 2 2 4 7 3" xfId="7409"/>
    <cellStyle name="Separador de milhares 2 2 4 7 3 2" xfId="19263"/>
    <cellStyle name="Separador de milhares 2 2 4 7 3 2 2" xfId="45745"/>
    <cellStyle name="Separador de milhares 2 2 4 7 3 3" xfId="13336"/>
    <cellStyle name="Separador de milhares 2 2 4 7 3 3 2" xfId="39837"/>
    <cellStyle name="Separador de milhares 2 2 4 7 3 4" xfId="33929"/>
    <cellStyle name="Separador de milhares 2 2 4 7 3 5" xfId="27395"/>
    <cellStyle name="Separador de milhares 2 2 4 7 4" xfId="16299"/>
    <cellStyle name="Separador de milhares 2 2 4 7 4 2" xfId="42791"/>
    <cellStyle name="Separador de milhares 2 2 4 7 4 3" xfId="23889"/>
    <cellStyle name="Separador de milhares 2 2 4 7 5" xfId="10372"/>
    <cellStyle name="Separador de milhares 2 2 4 7 5 2" xfId="36883"/>
    <cellStyle name="Separador de milhares 2 2 4 7 6" xfId="30423"/>
    <cellStyle name="Separador de milhares 2 2 4 7 7" xfId="22117"/>
    <cellStyle name="Separador de milhares 2 2 4 8" xfId="3282"/>
    <cellStyle name="Separador de milhares 2 2 4 8 2" xfId="5815"/>
    <cellStyle name="Separador de milhares 2 2 4 8 2 2" xfId="9027"/>
    <cellStyle name="Separador de milhares 2 2 4 8 2 2 2" xfId="20881"/>
    <cellStyle name="Separador de milhares 2 2 4 8 2 2 2 2" xfId="47360"/>
    <cellStyle name="Separador de milhares 2 2 4 8 2 2 3" xfId="14954"/>
    <cellStyle name="Separador de milhares 2 2 4 8 2 2 3 2" xfId="41452"/>
    <cellStyle name="Separador de milhares 2 2 4 8 2 2 4" xfId="35544"/>
    <cellStyle name="Separador de milhares 2 2 4 8 2 2 5" xfId="29010"/>
    <cellStyle name="Separador de milhares 2 2 4 8 2 3" xfId="17917"/>
    <cellStyle name="Separador de milhares 2 2 4 8 2 3 2" xfId="44406"/>
    <cellStyle name="Separador de milhares 2 2 4 8 2 4" xfId="11990"/>
    <cellStyle name="Separador de milhares 2 2 4 8 2 4 2" xfId="38498"/>
    <cellStyle name="Separador de milhares 2 2 4 8 2 5" xfId="32342"/>
    <cellStyle name="Separador de milhares 2 2 4 8 2 6" xfId="25808"/>
    <cellStyle name="Separador de milhares 2 2 4 8 3" xfId="7557"/>
    <cellStyle name="Separador de milhares 2 2 4 8 3 2" xfId="19411"/>
    <cellStyle name="Separador de milhares 2 2 4 8 3 2 2" xfId="45892"/>
    <cellStyle name="Separador de milhares 2 2 4 8 3 3" xfId="13484"/>
    <cellStyle name="Separador de milhares 2 2 4 8 3 3 2" xfId="39984"/>
    <cellStyle name="Separador de milhares 2 2 4 8 3 4" xfId="34076"/>
    <cellStyle name="Separador de milhares 2 2 4 8 3 5" xfId="27542"/>
    <cellStyle name="Separador de milhares 2 2 4 8 4" xfId="16447"/>
    <cellStyle name="Separador de milhares 2 2 4 8 4 2" xfId="42938"/>
    <cellStyle name="Separador de milhares 2 2 4 8 4 3" xfId="24036"/>
    <cellStyle name="Separador de milhares 2 2 4 8 5" xfId="10520"/>
    <cellStyle name="Separador de milhares 2 2 4 8 5 2" xfId="37030"/>
    <cellStyle name="Separador de milhares 2 2 4 8 6" xfId="30570"/>
    <cellStyle name="Separador de milhares 2 2 4 8 7" xfId="22264"/>
    <cellStyle name="Separador de milhares 2 2 4 9" xfId="3810"/>
    <cellStyle name="Separador de milhares 2 2 4 9 2" xfId="5962"/>
    <cellStyle name="Separador de milhares 2 2 4 9 2 2" xfId="9174"/>
    <cellStyle name="Separador de milhares 2 2 4 9 2 2 2" xfId="21028"/>
    <cellStyle name="Separador de milhares 2 2 4 9 2 2 2 2" xfId="47507"/>
    <cellStyle name="Separador de milhares 2 2 4 9 2 2 3" xfId="15101"/>
    <cellStyle name="Separador de milhares 2 2 4 9 2 2 3 2" xfId="41599"/>
    <cellStyle name="Separador de milhares 2 2 4 9 2 2 4" xfId="35691"/>
    <cellStyle name="Separador de milhares 2 2 4 9 2 2 5" xfId="29157"/>
    <cellStyle name="Separador de milhares 2 2 4 9 2 3" xfId="18064"/>
    <cellStyle name="Separador de milhares 2 2 4 9 2 3 2" xfId="44553"/>
    <cellStyle name="Separador de milhares 2 2 4 9 2 4" xfId="12137"/>
    <cellStyle name="Separador de milhares 2 2 4 9 2 4 2" xfId="38645"/>
    <cellStyle name="Separador de milhares 2 2 4 9 2 5" xfId="32489"/>
    <cellStyle name="Separador de milhares 2 2 4 9 2 6" xfId="25955"/>
    <cellStyle name="Separador de milhares 2 2 4 9 3" xfId="7705"/>
    <cellStyle name="Separador de milhares 2 2 4 9 3 2" xfId="19559"/>
    <cellStyle name="Separador de milhares 2 2 4 9 3 2 2" xfId="46039"/>
    <cellStyle name="Separador de milhares 2 2 4 9 3 3" xfId="13632"/>
    <cellStyle name="Separador de milhares 2 2 4 9 3 3 2" xfId="40131"/>
    <cellStyle name="Separador de milhares 2 2 4 9 3 4" xfId="34223"/>
    <cellStyle name="Separador de milhares 2 2 4 9 3 5" xfId="27689"/>
    <cellStyle name="Separador de milhares 2 2 4 9 4" xfId="16595"/>
    <cellStyle name="Separador de milhares 2 2 4 9 4 2" xfId="43085"/>
    <cellStyle name="Separador de milhares 2 2 4 9 4 3" xfId="24183"/>
    <cellStyle name="Separador de milhares 2 2 4 9 5" xfId="10668"/>
    <cellStyle name="Separador de milhares 2 2 4 9 5 2" xfId="37177"/>
    <cellStyle name="Separador de milhares 2 2 4 9 6" xfId="30717"/>
    <cellStyle name="Separador de milhares 2 2 4 9 7" xfId="22411"/>
    <cellStyle name="Separador de milhares 2 2 5" xfId="4921"/>
    <cellStyle name="Separador de milhares 2 2 5 2" xfId="8145"/>
    <cellStyle name="Separador de milhares 2 2 5 2 2" xfId="19999"/>
    <cellStyle name="Separador de milhares 2 2 5 2 2 2" xfId="46478"/>
    <cellStyle name="Separador de milhares 2 2 5 2 3" xfId="14072"/>
    <cellStyle name="Separador de milhares 2 2 5 2 3 2" xfId="40570"/>
    <cellStyle name="Separador de milhares 2 2 5 2 4" xfId="34662"/>
    <cellStyle name="Separador de milhares 2 2 5 2 5" xfId="28128"/>
    <cellStyle name="Separador de milhares 2 2 5 3" xfId="17035"/>
    <cellStyle name="Separador de milhares 2 2 5 3 2" xfId="43524"/>
    <cellStyle name="Separador de milhares 2 2 5 4" xfId="11108"/>
    <cellStyle name="Separador de milhares 2 2 5 4 2" xfId="37616"/>
    <cellStyle name="Separador de milhares 2 2 5 5" xfId="31448"/>
    <cellStyle name="Separador de milhares 2 2 5 6" xfId="24914"/>
    <cellStyle name="Separador de milhares 2 2 6" xfId="6669"/>
    <cellStyle name="Separador de milhares 2 2 6 2" xfId="18523"/>
    <cellStyle name="Separador de milhares 2 2 6 2 2" xfId="45010"/>
    <cellStyle name="Separador de milhares 2 2 6 3" xfId="12596"/>
    <cellStyle name="Separador de milhares 2 2 6 3 2" xfId="39102"/>
    <cellStyle name="Separador de milhares 2 2 6 4" xfId="33194"/>
    <cellStyle name="Separador de milhares 2 2 6 5" xfId="26660"/>
    <cellStyle name="Separador de milhares 2 2 7" xfId="15559"/>
    <cellStyle name="Separador de milhares 2 2 7 2" xfId="42056"/>
    <cellStyle name="Separador de milhares 2 2 7 3" xfId="23142"/>
    <cellStyle name="Separador de milhares 2 2 8" xfId="9632"/>
    <cellStyle name="Separador de milhares 2 2 8 2" xfId="36148"/>
    <cellStyle name="Separador de milhares 2 2 9" xfId="29676"/>
    <cellStyle name="Separador de milhares 2 3" xfId="240"/>
    <cellStyle name="Separador de milhares 2 3 2" xfId="335"/>
    <cellStyle name="Separador de milhares 2 3 2 10" xfId="4975"/>
    <cellStyle name="Separador de milhares 2 3 2 10 2" xfId="8196"/>
    <cellStyle name="Separador de milhares 2 3 2 10 2 2" xfId="20050"/>
    <cellStyle name="Separador de milhares 2 3 2 10 2 2 2" xfId="46529"/>
    <cellStyle name="Separador de milhares 2 3 2 10 2 3" xfId="14123"/>
    <cellStyle name="Separador de milhares 2 3 2 10 2 3 2" xfId="40621"/>
    <cellStyle name="Separador de milhares 2 3 2 10 2 4" xfId="34713"/>
    <cellStyle name="Separador de milhares 2 3 2 10 2 5" xfId="28179"/>
    <cellStyle name="Separador de milhares 2 3 2 10 3" xfId="17086"/>
    <cellStyle name="Separador de milhares 2 3 2 10 3 2" xfId="43575"/>
    <cellStyle name="Separador de milhares 2 3 2 10 4" xfId="11159"/>
    <cellStyle name="Separador de milhares 2 3 2 10 4 2" xfId="37667"/>
    <cellStyle name="Separador de milhares 2 3 2 10 5" xfId="31502"/>
    <cellStyle name="Separador de milhares 2 3 2 10 6" xfId="24968"/>
    <cellStyle name="Separador de milhares 2 3 2 11" xfId="6720"/>
    <cellStyle name="Separador de milhares 2 3 2 11 2" xfId="18574"/>
    <cellStyle name="Separador de milhares 2 3 2 11 2 2" xfId="45061"/>
    <cellStyle name="Separador de milhares 2 3 2 11 3" xfId="12647"/>
    <cellStyle name="Separador de milhares 2 3 2 11 3 2" xfId="39153"/>
    <cellStyle name="Separador de milhares 2 3 2 11 4" xfId="33245"/>
    <cellStyle name="Separador de milhares 2 3 2 11 5" xfId="26711"/>
    <cellStyle name="Separador de milhares 2 3 2 12" xfId="15610"/>
    <cellStyle name="Separador de milhares 2 3 2 12 2" xfId="42107"/>
    <cellStyle name="Separador de milhares 2 3 2 12 3" xfId="23196"/>
    <cellStyle name="Separador de milhares 2 3 2 13" xfId="9683"/>
    <cellStyle name="Separador de milhares 2 3 2 13 2" xfId="36199"/>
    <cellStyle name="Separador de milhares 2 3 2 14" xfId="29730"/>
    <cellStyle name="Separador de milhares 2 3 2 15" xfId="21448"/>
    <cellStyle name="Separador de milhares 2 3 2 2" xfId="795"/>
    <cellStyle name="Separador de milhares 2 3 2 2 10" xfId="9813"/>
    <cellStyle name="Separador de milhares 2 3 2 2 10 2" xfId="36326"/>
    <cellStyle name="Separador de milhares 2 3 2 2 11" xfId="29863"/>
    <cellStyle name="Separador de milhares 2 3 2 2 12" xfId="21557"/>
    <cellStyle name="Separador de milhares 2 3 2 2 2" xfId="2131"/>
    <cellStyle name="Separador de milhares 2 3 2 2 2 2" xfId="5494"/>
    <cellStyle name="Separador de milhares 2 3 2 2 2 2 2" xfId="8708"/>
    <cellStyle name="Separador de milhares 2 3 2 2 2 2 2 2" xfId="20562"/>
    <cellStyle name="Separador de milhares 2 3 2 2 2 2 2 2 2" xfId="47041"/>
    <cellStyle name="Separador de milhares 2 3 2 2 2 2 2 3" xfId="14635"/>
    <cellStyle name="Separador de milhares 2 3 2 2 2 2 2 3 2" xfId="41133"/>
    <cellStyle name="Separador de milhares 2 3 2 2 2 2 2 4" xfId="35225"/>
    <cellStyle name="Separador de milhares 2 3 2 2 2 2 2 5" xfId="28691"/>
    <cellStyle name="Separador de milhares 2 3 2 2 2 2 3" xfId="17598"/>
    <cellStyle name="Separador de milhares 2 3 2 2 2 2 3 2" xfId="44087"/>
    <cellStyle name="Separador de milhares 2 3 2 2 2 2 4" xfId="11671"/>
    <cellStyle name="Separador de milhares 2 3 2 2 2 2 4 2" xfId="38179"/>
    <cellStyle name="Separador de milhares 2 3 2 2 2 2 5" xfId="32021"/>
    <cellStyle name="Separador de milhares 2 3 2 2 2 2 6" xfId="25487"/>
    <cellStyle name="Separador de milhares 2 3 2 2 2 3" xfId="7236"/>
    <cellStyle name="Separador de milhares 2 3 2 2 2 3 2" xfId="19090"/>
    <cellStyle name="Separador de milhares 2 3 2 2 2 3 2 2" xfId="45573"/>
    <cellStyle name="Separador de milhares 2 3 2 2 2 3 3" xfId="13163"/>
    <cellStyle name="Separador de milhares 2 3 2 2 2 3 3 2" xfId="39665"/>
    <cellStyle name="Separador de milhares 2 3 2 2 2 3 4" xfId="33757"/>
    <cellStyle name="Separador de milhares 2 3 2 2 2 3 5" xfId="27223"/>
    <cellStyle name="Separador de milhares 2 3 2 2 2 4" xfId="16126"/>
    <cellStyle name="Separador de milhares 2 3 2 2 2 4 2" xfId="42619"/>
    <cellStyle name="Separador de milhares 2 3 2 2 2 4 3" xfId="23715"/>
    <cellStyle name="Separador de milhares 2 3 2 2 2 5" xfId="10199"/>
    <cellStyle name="Separador de milhares 2 3 2 2 2 5 2" xfId="36711"/>
    <cellStyle name="Separador de milhares 2 3 2 2 2 6" xfId="30249"/>
    <cellStyle name="Separador de milhares 2 3 2 2 2 7" xfId="21943"/>
    <cellStyle name="Separador de milhares 2 3 2 2 3" xfId="2663"/>
    <cellStyle name="Separador de milhares 2 3 2 2 3 2" xfId="5643"/>
    <cellStyle name="Separador de milhares 2 3 2 2 3 2 2" xfId="8855"/>
    <cellStyle name="Separador de milhares 2 3 2 2 3 2 2 2" xfId="20709"/>
    <cellStyle name="Separador de milhares 2 3 2 2 3 2 2 2 2" xfId="47188"/>
    <cellStyle name="Separador de milhares 2 3 2 2 3 2 2 3" xfId="14782"/>
    <cellStyle name="Separador de milhares 2 3 2 2 3 2 2 3 2" xfId="41280"/>
    <cellStyle name="Separador de milhares 2 3 2 2 3 2 2 4" xfId="35372"/>
    <cellStyle name="Separador de milhares 2 3 2 2 3 2 2 5" xfId="28838"/>
    <cellStyle name="Separador de milhares 2 3 2 2 3 2 3" xfId="17745"/>
    <cellStyle name="Separador de milhares 2 3 2 2 3 2 3 2" xfId="44234"/>
    <cellStyle name="Separador de milhares 2 3 2 2 3 2 4" xfId="11818"/>
    <cellStyle name="Separador de milhares 2 3 2 2 3 2 4 2" xfId="38326"/>
    <cellStyle name="Separador de milhares 2 3 2 2 3 2 5" xfId="32170"/>
    <cellStyle name="Separador de milhares 2 3 2 2 3 2 6" xfId="25636"/>
    <cellStyle name="Separador de milhares 2 3 2 2 3 3" xfId="7384"/>
    <cellStyle name="Separador de milhares 2 3 2 2 3 3 2" xfId="19238"/>
    <cellStyle name="Separador de milhares 2 3 2 2 3 3 2 2" xfId="45720"/>
    <cellStyle name="Separador de milhares 2 3 2 2 3 3 3" xfId="13311"/>
    <cellStyle name="Separador de milhares 2 3 2 2 3 3 3 2" xfId="39812"/>
    <cellStyle name="Separador de milhares 2 3 2 2 3 3 4" xfId="33904"/>
    <cellStyle name="Separador de milhares 2 3 2 2 3 3 5" xfId="27370"/>
    <cellStyle name="Separador de milhares 2 3 2 2 3 4" xfId="16274"/>
    <cellStyle name="Separador de milhares 2 3 2 2 3 4 2" xfId="42766"/>
    <cellStyle name="Separador de milhares 2 3 2 2 3 4 3" xfId="23864"/>
    <cellStyle name="Separador de milhares 2 3 2 2 3 5" xfId="10347"/>
    <cellStyle name="Separador de milhares 2 3 2 2 3 5 2" xfId="36858"/>
    <cellStyle name="Separador de milhares 2 3 2 2 3 6" xfId="30398"/>
    <cellStyle name="Separador de milhares 2 3 2 2 3 7" xfId="22092"/>
    <cellStyle name="Separador de milhares 2 3 2 2 4" xfId="3191"/>
    <cellStyle name="Separador de milhares 2 3 2 2 4 2" xfId="5790"/>
    <cellStyle name="Separador de milhares 2 3 2 2 4 2 2" xfId="9002"/>
    <cellStyle name="Separador de milhares 2 3 2 2 4 2 2 2" xfId="20856"/>
    <cellStyle name="Separador de milhares 2 3 2 2 4 2 2 2 2" xfId="47335"/>
    <cellStyle name="Separador de milhares 2 3 2 2 4 2 2 3" xfId="14929"/>
    <cellStyle name="Separador de milhares 2 3 2 2 4 2 2 3 2" xfId="41427"/>
    <cellStyle name="Separador de milhares 2 3 2 2 4 2 2 4" xfId="35519"/>
    <cellStyle name="Separador de milhares 2 3 2 2 4 2 2 5" xfId="28985"/>
    <cellStyle name="Separador de milhares 2 3 2 2 4 2 3" xfId="17892"/>
    <cellStyle name="Separador de milhares 2 3 2 2 4 2 3 2" xfId="44381"/>
    <cellStyle name="Separador de milhares 2 3 2 2 4 2 4" xfId="11965"/>
    <cellStyle name="Separador de milhares 2 3 2 2 4 2 4 2" xfId="38473"/>
    <cellStyle name="Separador de milhares 2 3 2 2 4 2 5" xfId="32317"/>
    <cellStyle name="Separador de milhares 2 3 2 2 4 2 6" xfId="25783"/>
    <cellStyle name="Separador de milhares 2 3 2 2 4 3" xfId="7532"/>
    <cellStyle name="Separador de milhares 2 3 2 2 4 3 2" xfId="19386"/>
    <cellStyle name="Separador de milhares 2 3 2 2 4 3 2 2" xfId="45867"/>
    <cellStyle name="Separador de milhares 2 3 2 2 4 3 3" xfId="13459"/>
    <cellStyle name="Separador de milhares 2 3 2 2 4 3 3 2" xfId="39959"/>
    <cellStyle name="Separador de milhares 2 3 2 2 4 3 4" xfId="34051"/>
    <cellStyle name="Separador de milhares 2 3 2 2 4 3 5" xfId="27517"/>
    <cellStyle name="Separador de milhares 2 3 2 2 4 4" xfId="16422"/>
    <cellStyle name="Separador de milhares 2 3 2 2 4 4 2" xfId="42913"/>
    <cellStyle name="Separador de milhares 2 3 2 2 4 4 3" xfId="24011"/>
    <cellStyle name="Separador de milhares 2 3 2 2 4 5" xfId="10495"/>
    <cellStyle name="Separador de milhares 2 3 2 2 4 5 2" xfId="37005"/>
    <cellStyle name="Separador de milhares 2 3 2 2 4 6" xfId="30545"/>
    <cellStyle name="Separador de milhares 2 3 2 2 4 7" xfId="22239"/>
    <cellStyle name="Separador de milhares 2 3 2 2 5" xfId="3719"/>
    <cellStyle name="Separador de milhares 2 3 2 2 5 2" xfId="5937"/>
    <cellStyle name="Separador de milhares 2 3 2 2 5 2 2" xfId="9149"/>
    <cellStyle name="Separador de milhares 2 3 2 2 5 2 2 2" xfId="21003"/>
    <cellStyle name="Separador de milhares 2 3 2 2 5 2 2 2 2" xfId="47482"/>
    <cellStyle name="Separador de milhares 2 3 2 2 5 2 2 3" xfId="15076"/>
    <cellStyle name="Separador de milhares 2 3 2 2 5 2 2 3 2" xfId="41574"/>
    <cellStyle name="Separador de milhares 2 3 2 2 5 2 2 4" xfId="35666"/>
    <cellStyle name="Separador de milhares 2 3 2 2 5 2 2 5" xfId="29132"/>
    <cellStyle name="Separador de milhares 2 3 2 2 5 2 3" xfId="18039"/>
    <cellStyle name="Separador de milhares 2 3 2 2 5 2 3 2" xfId="44528"/>
    <cellStyle name="Separador de milhares 2 3 2 2 5 2 4" xfId="12112"/>
    <cellStyle name="Separador de milhares 2 3 2 2 5 2 4 2" xfId="38620"/>
    <cellStyle name="Separador de milhares 2 3 2 2 5 2 5" xfId="32464"/>
    <cellStyle name="Separador de milhares 2 3 2 2 5 2 6" xfId="25930"/>
    <cellStyle name="Separador de milhares 2 3 2 2 5 3" xfId="7680"/>
    <cellStyle name="Separador de milhares 2 3 2 2 5 3 2" xfId="19534"/>
    <cellStyle name="Separador de milhares 2 3 2 2 5 3 2 2" xfId="46014"/>
    <cellStyle name="Separador de milhares 2 3 2 2 5 3 3" xfId="13607"/>
    <cellStyle name="Separador de milhares 2 3 2 2 5 3 3 2" xfId="40106"/>
    <cellStyle name="Separador de milhares 2 3 2 2 5 3 4" xfId="34198"/>
    <cellStyle name="Separador de milhares 2 3 2 2 5 3 5" xfId="27664"/>
    <cellStyle name="Separador de milhares 2 3 2 2 5 4" xfId="16570"/>
    <cellStyle name="Separador de milhares 2 3 2 2 5 4 2" xfId="43060"/>
    <cellStyle name="Separador de milhares 2 3 2 2 5 4 3" xfId="24158"/>
    <cellStyle name="Separador de milhares 2 3 2 2 5 5" xfId="10643"/>
    <cellStyle name="Separador de milhares 2 3 2 2 5 5 2" xfId="37152"/>
    <cellStyle name="Separador de milhares 2 3 2 2 5 6" xfId="30692"/>
    <cellStyle name="Separador de milhares 2 3 2 2 5 7" xfId="22386"/>
    <cellStyle name="Separador de milhares 2 3 2 2 6" xfId="4247"/>
    <cellStyle name="Separador de milhares 2 3 2 2 6 2" xfId="6084"/>
    <cellStyle name="Separador de milhares 2 3 2 2 6 2 2" xfId="9296"/>
    <cellStyle name="Separador de milhares 2 3 2 2 6 2 2 2" xfId="21150"/>
    <cellStyle name="Separador de milhares 2 3 2 2 6 2 2 2 2" xfId="47629"/>
    <cellStyle name="Separador de milhares 2 3 2 2 6 2 2 3" xfId="15223"/>
    <cellStyle name="Separador de milhares 2 3 2 2 6 2 2 3 2" xfId="41721"/>
    <cellStyle name="Separador de milhares 2 3 2 2 6 2 2 4" xfId="35813"/>
    <cellStyle name="Separador de milhares 2 3 2 2 6 2 2 5" xfId="29279"/>
    <cellStyle name="Separador de milhares 2 3 2 2 6 2 3" xfId="18186"/>
    <cellStyle name="Separador de milhares 2 3 2 2 6 2 3 2" xfId="44675"/>
    <cellStyle name="Separador de milhares 2 3 2 2 6 2 4" xfId="12259"/>
    <cellStyle name="Separador de milhares 2 3 2 2 6 2 4 2" xfId="38767"/>
    <cellStyle name="Separador de milhares 2 3 2 2 6 2 5" xfId="32611"/>
    <cellStyle name="Separador de milhares 2 3 2 2 6 2 6" xfId="26077"/>
    <cellStyle name="Separador de milhares 2 3 2 2 6 3" xfId="7828"/>
    <cellStyle name="Separador de milhares 2 3 2 2 6 3 2" xfId="19682"/>
    <cellStyle name="Separador de milhares 2 3 2 2 6 3 2 2" xfId="46161"/>
    <cellStyle name="Separador de milhares 2 3 2 2 6 3 3" xfId="13755"/>
    <cellStyle name="Separador de milhares 2 3 2 2 6 3 3 2" xfId="40253"/>
    <cellStyle name="Separador de milhares 2 3 2 2 6 3 4" xfId="34345"/>
    <cellStyle name="Separador de milhares 2 3 2 2 6 3 5" xfId="27811"/>
    <cellStyle name="Separador de milhares 2 3 2 2 6 4" xfId="16718"/>
    <cellStyle name="Separador de milhares 2 3 2 2 6 4 2" xfId="43207"/>
    <cellStyle name="Separador de milhares 2 3 2 2 6 4 3" xfId="24305"/>
    <cellStyle name="Separador de milhares 2 3 2 2 6 5" xfId="10791"/>
    <cellStyle name="Separador de milhares 2 3 2 2 6 5 2" xfId="37299"/>
    <cellStyle name="Separador de milhares 2 3 2 2 6 6" xfId="30839"/>
    <cellStyle name="Separador de milhares 2 3 2 2 6 7" xfId="22533"/>
    <cellStyle name="Separador de milhares 2 3 2 2 7" xfId="5108"/>
    <cellStyle name="Separador de milhares 2 3 2 2 7 2" xfId="8323"/>
    <cellStyle name="Separador de milhares 2 3 2 2 7 2 2" xfId="20177"/>
    <cellStyle name="Separador de milhares 2 3 2 2 7 2 2 2" xfId="46656"/>
    <cellStyle name="Separador de milhares 2 3 2 2 7 2 3" xfId="14250"/>
    <cellStyle name="Separador de milhares 2 3 2 2 7 2 3 2" xfId="40748"/>
    <cellStyle name="Separador de milhares 2 3 2 2 7 2 4" xfId="34840"/>
    <cellStyle name="Separador de milhares 2 3 2 2 7 2 5" xfId="28306"/>
    <cellStyle name="Separador de milhares 2 3 2 2 7 3" xfId="17213"/>
    <cellStyle name="Separador de milhares 2 3 2 2 7 3 2" xfId="43702"/>
    <cellStyle name="Separador de milhares 2 3 2 2 7 4" xfId="11286"/>
    <cellStyle name="Separador de milhares 2 3 2 2 7 4 2" xfId="37794"/>
    <cellStyle name="Separador de milhares 2 3 2 2 7 5" xfId="31635"/>
    <cellStyle name="Separador de milhares 2 3 2 2 7 6" xfId="25101"/>
    <cellStyle name="Separador de milhares 2 3 2 2 8" xfId="6850"/>
    <cellStyle name="Separador de milhares 2 3 2 2 8 2" xfId="18704"/>
    <cellStyle name="Separador de milhares 2 3 2 2 8 2 2" xfId="45188"/>
    <cellStyle name="Separador de milhares 2 3 2 2 8 3" xfId="12777"/>
    <cellStyle name="Separador de milhares 2 3 2 2 8 3 2" xfId="39280"/>
    <cellStyle name="Separador de milhares 2 3 2 2 8 4" xfId="33372"/>
    <cellStyle name="Separador de milhares 2 3 2 2 8 5" xfId="26838"/>
    <cellStyle name="Separador de milhares 2 3 2 2 9" xfId="15740"/>
    <cellStyle name="Separador de milhares 2 3 2 2 9 2" xfId="42234"/>
    <cellStyle name="Separador de milhares 2 3 2 2 9 3" xfId="23329"/>
    <cellStyle name="Separador de milhares 2 3 2 3" xfId="1083"/>
    <cellStyle name="Separador de milhares 2 3 2 3 2" xfId="5206"/>
    <cellStyle name="Separador de milhares 2 3 2 3 2 2" xfId="8421"/>
    <cellStyle name="Separador de milhares 2 3 2 3 2 2 2" xfId="20275"/>
    <cellStyle name="Separador de milhares 2 3 2 3 2 2 2 2" xfId="46754"/>
    <cellStyle name="Separador de milhares 2 3 2 3 2 2 3" xfId="14348"/>
    <cellStyle name="Separador de milhares 2 3 2 3 2 2 3 2" xfId="40846"/>
    <cellStyle name="Separador de milhares 2 3 2 3 2 2 4" xfId="34938"/>
    <cellStyle name="Separador de milhares 2 3 2 3 2 2 5" xfId="28404"/>
    <cellStyle name="Separador de milhares 2 3 2 3 2 3" xfId="17311"/>
    <cellStyle name="Separador de milhares 2 3 2 3 2 3 2" xfId="43800"/>
    <cellStyle name="Separador de milhares 2 3 2 3 2 4" xfId="11384"/>
    <cellStyle name="Separador de milhares 2 3 2 3 2 4 2" xfId="37892"/>
    <cellStyle name="Separador de milhares 2 3 2 3 2 5" xfId="31733"/>
    <cellStyle name="Separador de milhares 2 3 2 3 2 6" xfId="25199"/>
    <cellStyle name="Separador de milhares 2 3 2 3 3" xfId="6948"/>
    <cellStyle name="Separador de milhares 2 3 2 3 3 2" xfId="18802"/>
    <cellStyle name="Separador de milhares 2 3 2 3 3 2 2" xfId="45286"/>
    <cellStyle name="Separador de milhares 2 3 2 3 3 3" xfId="12875"/>
    <cellStyle name="Separador de milhares 2 3 2 3 3 3 2" xfId="39378"/>
    <cellStyle name="Separador de milhares 2 3 2 3 3 4" xfId="33470"/>
    <cellStyle name="Separador de milhares 2 3 2 3 3 5" xfId="26936"/>
    <cellStyle name="Separador de milhares 2 3 2 3 4" xfId="15838"/>
    <cellStyle name="Separador de milhares 2 3 2 3 4 2" xfId="42332"/>
    <cellStyle name="Separador de milhares 2 3 2 3 4 3" xfId="23427"/>
    <cellStyle name="Separador de milhares 2 3 2 3 5" xfId="9911"/>
    <cellStyle name="Separador de milhares 2 3 2 3 5 2" xfId="36424"/>
    <cellStyle name="Separador de milhares 2 3 2 3 6" xfId="29961"/>
    <cellStyle name="Separador de milhares 2 3 2 3 7" xfId="21655"/>
    <cellStyle name="Separador de milhares 2 3 2 4" xfId="1434"/>
    <cellStyle name="Separador de milhares 2 3 2 4 2" xfId="5304"/>
    <cellStyle name="Separador de milhares 2 3 2 4 2 2" xfId="8519"/>
    <cellStyle name="Separador de milhares 2 3 2 4 2 2 2" xfId="20373"/>
    <cellStyle name="Separador de milhares 2 3 2 4 2 2 2 2" xfId="46852"/>
    <cellStyle name="Separador de milhares 2 3 2 4 2 2 3" xfId="14446"/>
    <cellStyle name="Separador de milhares 2 3 2 4 2 2 3 2" xfId="40944"/>
    <cellStyle name="Separador de milhares 2 3 2 4 2 2 4" xfId="35036"/>
    <cellStyle name="Separador de milhares 2 3 2 4 2 2 5" xfId="28502"/>
    <cellStyle name="Separador de milhares 2 3 2 4 2 3" xfId="17409"/>
    <cellStyle name="Separador de milhares 2 3 2 4 2 3 2" xfId="43898"/>
    <cellStyle name="Separador de milhares 2 3 2 4 2 4" xfId="11482"/>
    <cellStyle name="Separador de milhares 2 3 2 4 2 4 2" xfId="37990"/>
    <cellStyle name="Separador de milhares 2 3 2 4 2 5" xfId="31831"/>
    <cellStyle name="Separador de milhares 2 3 2 4 2 6" xfId="25297"/>
    <cellStyle name="Separador de milhares 2 3 2 4 3" xfId="7046"/>
    <cellStyle name="Separador de milhares 2 3 2 4 3 2" xfId="18900"/>
    <cellStyle name="Separador de milhares 2 3 2 4 3 2 2" xfId="45384"/>
    <cellStyle name="Separador de milhares 2 3 2 4 3 3" xfId="12973"/>
    <cellStyle name="Separador de milhares 2 3 2 4 3 3 2" xfId="39476"/>
    <cellStyle name="Separador de milhares 2 3 2 4 3 4" xfId="33568"/>
    <cellStyle name="Separador de milhares 2 3 2 4 3 5" xfId="27034"/>
    <cellStyle name="Separador de milhares 2 3 2 4 4" xfId="15936"/>
    <cellStyle name="Separador de milhares 2 3 2 4 4 2" xfId="42430"/>
    <cellStyle name="Separador de milhares 2 3 2 4 4 3" xfId="23525"/>
    <cellStyle name="Separador de milhares 2 3 2 4 5" xfId="10009"/>
    <cellStyle name="Separador de milhares 2 3 2 4 5 2" xfId="36522"/>
    <cellStyle name="Separador de milhares 2 3 2 4 6" xfId="30059"/>
    <cellStyle name="Separador de milhares 2 3 2 4 7" xfId="21753"/>
    <cellStyle name="Separador de milhares 2 3 2 5" xfId="1869"/>
    <cellStyle name="Separador de milhares 2 3 2 5 2" xfId="5423"/>
    <cellStyle name="Separador de milhares 2 3 2 5 2 2" xfId="8638"/>
    <cellStyle name="Separador de milhares 2 3 2 5 2 2 2" xfId="20492"/>
    <cellStyle name="Separador de milhares 2 3 2 5 2 2 2 2" xfId="46971"/>
    <cellStyle name="Separador de milhares 2 3 2 5 2 2 3" xfId="14565"/>
    <cellStyle name="Separador de milhares 2 3 2 5 2 2 3 2" xfId="41063"/>
    <cellStyle name="Separador de milhares 2 3 2 5 2 2 4" xfId="35155"/>
    <cellStyle name="Separador de milhares 2 3 2 5 2 2 5" xfId="28621"/>
    <cellStyle name="Separador de milhares 2 3 2 5 2 3" xfId="17528"/>
    <cellStyle name="Separador de milhares 2 3 2 5 2 3 2" xfId="44017"/>
    <cellStyle name="Separador de milhares 2 3 2 5 2 4" xfId="11601"/>
    <cellStyle name="Separador de milhares 2 3 2 5 2 4 2" xfId="38109"/>
    <cellStyle name="Separador de milhares 2 3 2 5 2 5" xfId="31950"/>
    <cellStyle name="Separador de milhares 2 3 2 5 2 6" xfId="25416"/>
    <cellStyle name="Separador de milhares 2 3 2 5 3" xfId="7165"/>
    <cellStyle name="Separador de milhares 2 3 2 5 3 2" xfId="19019"/>
    <cellStyle name="Separador de milhares 2 3 2 5 3 2 2" xfId="45503"/>
    <cellStyle name="Separador de milhares 2 3 2 5 3 3" xfId="13092"/>
    <cellStyle name="Separador de milhares 2 3 2 5 3 3 2" xfId="39595"/>
    <cellStyle name="Separador de milhares 2 3 2 5 3 4" xfId="33687"/>
    <cellStyle name="Separador de milhares 2 3 2 5 3 5" xfId="27153"/>
    <cellStyle name="Separador de milhares 2 3 2 5 4" xfId="16055"/>
    <cellStyle name="Separador de milhares 2 3 2 5 4 2" xfId="42549"/>
    <cellStyle name="Separador de milhares 2 3 2 5 4 3" xfId="23644"/>
    <cellStyle name="Separador de milhares 2 3 2 5 5" xfId="10128"/>
    <cellStyle name="Separador de milhares 2 3 2 5 5 2" xfId="36641"/>
    <cellStyle name="Separador de milhares 2 3 2 5 6" xfId="30178"/>
    <cellStyle name="Separador de milhares 2 3 2 5 7" xfId="21872"/>
    <cellStyle name="Separador de milhares 2 3 2 6" xfId="2402"/>
    <cellStyle name="Separador de milhares 2 3 2 6 2" xfId="5573"/>
    <cellStyle name="Separador de milhares 2 3 2 6 2 2" xfId="8785"/>
    <cellStyle name="Separador de milhares 2 3 2 6 2 2 2" xfId="20639"/>
    <cellStyle name="Separador de milhares 2 3 2 6 2 2 2 2" xfId="47118"/>
    <cellStyle name="Separador de milhares 2 3 2 6 2 2 3" xfId="14712"/>
    <cellStyle name="Separador de milhares 2 3 2 6 2 2 3 2" xfId="41210"/>
    <cellStyle name="Separador de milhares 2 3 2 6 2 2 4" xfId="35302"/>
    <cellStyle name="Separador de milhares 2 3 2 6 2 2 5" xfId="28768"/>
    <cellStyle name="Separador de milhares 2 3 2 6 2 3" xfId="17675"/>
    <cellStyle name="Separador de milhares 2 3 2 6 2 3 2" xfId="44164"/>
    <cellStyle name="Separador de milhares 2 3 2 6 2 4" xfId="11748"/>
    <cellStyle name="Separador de milhares 2 3 2 6 2 4 2" xfId="38256"/>
    <cellStyle name="Separador de milhares 2 3 2 6 2 5" xfId="32100"/>
    <cellStyle name="Separador de milhares 2 3 2 6 2 6" xfId="25566"/>
    <cellStyle name="Separador de milhares 2 3 2 6 3" xfId="7313"/>
    <cellStyle name="Separador de milhares 2 3 2 6 3 2" xfId="19167"/>
    <cellStyle name="Separador de milhares 2 3 2 6 3 2 2" xfId="45650"/>
    <cellStyle name="Separador de milhares 2 3 2 6 3 3" xfId="13240"/>
    <cellStyle name="Separador de milhares 2 3 2 6 3 3 2" xfId="39742"/>
    <cellStyle name="Separador de milhares 2 3 2 6 3 4" xfId="33834"/>
    <cellStyle name="Separador de milhares 2 3 2 6 3 5" xfId="27300"/>
    <cellStyle name="Separador de milhares 2 3 2 6 4" xfId="16203"/>
    <cellStyle name="Separador de milhares 2 3 2 6 4 2" xfId="42696"/>
    <cellStyle name="Separador de milhares 2 3 2 6 4 3" xfId="23794"/>
    <cellStyle name="Separador de milhares 2 3 2 6 5" xfId="10276"/>
    <cellStyle name="Separador de milhares 2 3 2 6 5 2" xfId="36788"/>
    <cellStyle name="Separador de milhares 2 3 2 6 6" xfId="30328"/>
    <cellStyle name="Separador de milhares 2 3 2 6 7" xfId="22022"/>
    <cellStyle name="Separador de milhares 2 3 2 7" xfId="2930"/>
    <cellStyle name="Separador de milhares 2 3 2 7 2" xfId="5720"/>
    <cellStyle name="Separador de milhares 2 3 2 7 2 2" xfId="8932"/>
    <cellStyle name="Separador de milhares 2 3 2 7 2 2 2" xfId="20786"/>
    <cellStyle name="Separador de milhares 2 3 2 7 2 2 2 2" xfId="47265"/>
    <cellStyle name="Separador de milhares 2 3 2 7 2 2 3" xfId="14859"/>
    <cellStyle name="Separador de milhares 2 3 2 7 2 2 3 2" xfId="41357"/>
    <cellStyle name="Separador de milhares 2 3 2 7 2 2 4" xfId="35449"/>
    <cellStyle name="Separador de milhares 2 3 2 7 2 2 5" xfId="28915"/>
    <cellStyle name="Separador de milhares 2 3 2 7 2 3" xfId="17822"/>
    <cellStyle name="Separador de milhares 2 3 2 7 2 3 2" xfId="44311"/>
    <cellStyle name="Separador de milhares 2 3 2 7 2 4" xfId="11895"/>
    <cellStyle name="Separador de milhares 2 3 2 7 2 4 2" xfId="38403"/>
    <cellStyle name="Separador de milhares 2 3 2 7 2 5" xfId="32247"/>
    <cellStyle name="Separador de milhares 2 3 2 7 2 6" xfId="25713"/>
    <cellStyle name="Separador de milhares 2 3 2 7 3" xfId="7461"/>
    <cellStyle name="Separador de milhares 2 3 2 7 3 2" xfId="19315"/>
    <cellStyle name="Separador de milhares 2 3 2 7 3 2 2" xfId="45797"/>
    <cellStyle name="Separador de milhares 2 3 2 7 3 3" xfId="13388"/>
    <cellStyle name="Separador de milhares 2 3 2 7 3 3 2" xfId="39889"/>
    <cellStyle name="Separador de milhares 2 3 2 7 3 4" xfId="33981"/>
    <cellStyle name="Separador de milhares 2 3 2 7 3 5" xfId="27447"/>
    <cellStyle name="Separador de milhares 2 3 2 7 4" xfId="16351"/>
    <cellStyle name="Separador de milhares 2 3 2 7 4 2" xfId="42843"/>
    <cellStyle name="Separador de milhares 2 3 2 7 4 3" xfId="23941"/>
    <cellStyle name="Separador de milhares 2 3 2 7 5" xfId="10424"/>
    <cellStyle name="Separador de milhares 2 3 2 7 5 2" xfId="36935"/>
    <cellStyle name="Separador de milhares 2 3 2 7 6" xfId="30475"/>
    <cellStyle name="Separador de milhares 2 3 2 7 7" xfId="22169"/>
    <cellStyle name="Separador de milhares 2 3 2 8" xfId="3458"/>
    <cellStyle name="Separador de milhares 2 3 2 8 2" xfId="5867"/>
    <cellStyle name="Separador de milhares 2 3 2 8 2 2" xfId="9079"/>
    <cellStyle name="Separador de milhares 2 3 2 8 2 2 2" xfId="20933"/>
    <cellStyle name="Separador de milhares 2 3 2 8 2 2 2 2" xfId="47412"/>
    <cellStyle name="Separador de milhares 2 3 2 8 2 2 3" xfId="15006"/>
    <cellStyle name="Separador de milhares 2 3 2 8 2 2 3 2" xfId="41504"/>
    <cellStyle name="Separador de milhares 2 3 2 8 2 2 4" xfId="35596"/>
    <cellStyle name="Separador de milhares 2 3 2 8 2 2 5" xfId="29062"/>
    <cellStyle name="Separador de milhares 2 3 2 8 2 3" xfId="17969"/>
    <cellStyle name="Separador de milhares 2 3 2 8 2 3 2" xfId="44458"/>
    <cellStyle name="Separador de milhares 2 3 2 8 2 4" xfId="12042"/>
    <cellStyle name="Separador de milhares 2 3 2 8 2 4 2" xfId="38550"/>
    <cellStyle name="Separador de milhares 2 3 2 8 2 5" xfId="32394"/>
    <cellStyle name="Separador de milhares 2 3 2 8 2 6" xfId="25860"/>
    <cellStyle name="Separador de milhares 2 3 2 8 3" xfId="7609"/>
    <cellStyle name="Separador de milhares 2 3 2 8 3 2" xfId="19463"/>
    <cellStyle name="Separador de milhares 2 3 2 8 3 2 2" xfId="45944"/>
    <cellStyle name="Separador de milhares 2 3 2 8 3 3" xfId="13536"/>
    <cellStyle name="Separador de milhares 2 3 2 8 3 3 2" xfId="40036"/>
    <cellStyle name="Separador de milhares 2 3 2 8 3 4" xfId="34128"/>
    <cellStyle name="Separador de milhares 2 3 2 8 3 5" xfId="27594"/>
    <cellStyle name="Separador de milhares 2 3 2 8 4" xfId="16499"/>
    <cellStyle name="Separador de milhares 2 3 2 8 4 2" xfId="42990"/>
    <cellStyle name="Separador de milhares 2 3 2 8 4 3" xfId="24088"/>
    <cellStyle name="Separador de milhares 2 3 2 8 5" xfId="10572"/>
    <cellStyle name="Separador de milhares 2 3 2 8 5 2" xfId="37082"/>
    <cellStyle name="Separador de milhares 2 3 2 8 6" xfId="30622"/>
    <cellStyle name="Separador de milhares 2 3 2 8 7" xfId="22316"/>
    <cellStyle name="Separador de milhares 2 3 2 9" xfId="3986"/>
    <cellStyle name="Separador de milhares 2 3 2 9 2" xfId="6014"/>
    <cellStyle name="Separador de milhares 2 3 2 9 2 2" xfId="9226"/>
    <cellStyle name="Separador de milhares 2 3 2 9 2 2 2" xfId="21080"/>
    <cellStyle name="Separador de milhares 2 3 2 9 2 2 2 2" xfId="47559"/>
    <cellStyle name="Separador de milhares 2 3 2 9 2 2 3" xfId="15153"/>
    <cellStyle name="Separador de milhares 2 3 2 9 2 2 3 2" xfId="41651"/>
    <cellStyle name="Separador de milhares 2 3 2 9 2 2 4" xfId="35743"/>
    <cellStyle name="Separador de milhares 2 3 2 9 2 2 5" xfId="29209"/>
    <cellStyle name="Separador de milhares 2 3 2 9 2 3" xfId="18116"/>
    <cellStyle name="Separador de milhares 2 3 2 9 2 3 2" xfId="44605"/>
    <cellStyle name="Separador de milhares 2 3 2 9 2 4" xfId="12189"/>
    <cellStyle name="Separador de milhares 2 3 2 9 2 4 2" xfId="38697"/>
    <cellStyle name="Separador de milhares 2 3 2 9 2 5" xfId="32541"/>
    <cellStyle name="Separador de milhares 2 3 2 9 2 6" xfId="26007"/>
    <cellStyle name="Separador de milhares 2 3 2 9 3" xfId="7757"/>
    <cellStyle name="Separador de milhares 2 3 2 9 3 2" xfId="19611"/>
    <cellStyle name="Separador de milhares 2 3 2 9 3 2 2" xfId="46091"/>
    <cellStyle name="Separador de milhares 2 3 2 9 3 3" xfId="13684"/>
    <cellStyle name="Separador de milhares 2 3 2 9 3 3 2" xfId="40183"/>
    <cellStyle name="Separador de milhares 2 3 2 9 3 4" xfId="34275"/>
    <cellStyle name="Separador de milhares 2 3 2 9 3 5" xfId="27741"/>
    <cellStyle name="Separador de milhares 2 3 2 9 4" xfId="16647"/>
    <cellStyle name="Separador de milhares 2 3 2 9 4 2" xfId="43137"/>
    <cellStyle name="Separador de milhares 2 3 2 9 4 3" xfId="24235"/>
    <cellStyle name="Separador de milhares 2 3 2 9 5" xfId="10720"/>
    <cellStyle name="Separador de milhares 2 3 2 9 5 2" xfId="37229"/>
    <cellStyle name="Separador de milhares 2 3 2 9 6" xfId="30769"/>
    <cellStyle name="Separador de milhares 2 3 2 9 7" xfId="22463"/>
    <cellStyle name="Separador de milhares 2 3 3" xfId="432"/>
    <cellStyle name="Separador de milhares 2 3 3 10" xfId="5006"/>
    <cellStyle name="Separador de milhares 2 3 3 10 2" xfId="8224"/>
    <cellStyle name="Separador de milhares 2 3 3 10 2 2" xfId="20078"/>
    <cellStyle name="Separador de milhares 2 3 3 10 2 2 2" xfId="46557"/>
    <cellStyle name="Separador de milhares 2 3 3 10 2 3" xfId="14151"/>
    <cellStyle name="Separador de milhares 2 3 3 10 2 3 2" xfId="40649"/>
    <cellStyle name="Separador de milhares 2 3 3 10 2 4" xfId="34741"/>
    <cellStyle name="Separador de milhares 2 3 3 10 2 5" xfId="28207"/>
    <cellStyle name="Separador de milhares 2 3 3 10 3" xfId="17114"/>
    <cellStyle name="Separador de milhares 2 3 3 10 3 2" xfId="43603"/>
    <cellStyle name="Separador de milhares 2 3 3 10 4" xfId="11187"/>
    <cellStyle name="Separador de milhares 2 3 3 10 4 2" xfId="37695"/>
    <cellStyle name="Separador de milhares 2 3 3 10 5" xfId="31533"/>
    <cellStyle name="Separador de milhares 2 3 3 10 6" xfId="24999"/>
    <cellStyle name="Separador de milhares 2 3 3 11" xfId="6748"/>
    <cellStyle name="Separador de milhares 2 3 3 11 2" xfId="18602"/>
    <cellStyle name="Separador de milhares 2 3 3 11 2 2" xfId="45089"/>
    <cellStyle name="Separador de milhares 2 3 3 11 3" xfId="12675"/>
    <cellStyle name="Separador de milhares 2 3 3 11 3 2" xfId="39181"/>
    <cellStyle name="Separador de milhares 2 3 3 11 4" xfId="33273"/>
    <cellStyle name="Separador de milhares 2 3 3 11 5" xfId="26739"/>
    <cellStyle name="Separador de milhares 2 3 3 12" xfId="15638"/>
    <cellStyle name="Separador de milhares 2 3 3 12 2" xfId="42135"/>
    <cellStyle name="Separador de milhares 2 3 3 12 3" xfId="23227"/>
    <cellStyle name="Separador de milhares 2 3 3 13" xfId="9711"/>
    <cellStyle name="Separador de milhares 2 3 3 13 2" xfId="36227"/>
    <cellStyle name="Separador de milhares 2 3 3 14" xfId="29761"/>
    <cellStyle name="Separador de milhares 2 3 3 15" xfId="21479"/>
    <cellStyle name="Separador de milhares 2 3 3 2" xfId="788"/>
    <cellStyle name="Separador de milhares 2 3 3 2 2" xfId="5101"/>
    <cellStyle name="Separador de milhares 2 3 3 2 2 2" xfId="8316"/>
    <cellStyle name="Separador de milhares 2 3 3 2 2 2 2" xfId="20170"/>
    <cellStyle name="Separador de milhares 2 3 3 2 2 2 2 2" xfId="46649"/>
    <cellStyle name="Separador de milhares 2 3 3 2 2 2 3" xfId="14243"/>
    <cellStyle name="Separador de milhares 2 3 3 2 2 2 3 2" xfId="40741"/>
    <cellStyle name="Separador de milhares 2 3 3 2 2 2 4" xfId="34833"/>
    <cellStyle name="Separador de milhares 2 3 3 2 2 2 5" xfId="28299"/>
    <cellStyle name="Separador de milhares 2 3 3 2 2 3" xfId="17206"/>
    <cellStyle name="Separador de milhares 2 3 3 2 2 3 2" xfId="43695"/>
    <cellStyle name="Separador de milhares 2 3 3 2 2 4" xfId="11279"/>
    <cellStyle name="Separador de milhares 2 3 3 2 2 4 2" xfId="37787"/>
    <cellStyle name="Separador de milhares 2 3 3 2 2 5" xfId="31628"/>
    <cellStyle name="Separador de milhares 2 3 3 2 2 6" xfId="25094"/>
    <cellStyle name="Separador de milhares 2 3 3 2 3" xfId="6843"/>
    <cellStyle name="Separador de milhares 2 3 3 2 3 2" xfId="18697"/>
    <cellStyle name="Separador de milhares 2 3 3 2 3 2 2" xfId="45181"/>
    <cellStyle name="Separador de milhares 2 3 3 2 3 3" xfId="12770"/>
    <cellStyle name="Separador de milhares 2 3 3 2 3 3 2" xfId="39273"/>
    <cellStyle name="Separador de milhares 2 3 3 2 3 4" xfId="33365"/>
    <cellStyle name="Separador de milhares 2 3 3 2 3 5" xfId="26831"/>
    <cellStyle name="Separador de milhares 2 3 3 2 4" xfId="15733"/>
    <cellStyle name="Separador de milhares 2 3 3 2 4 2" xfId="42227"/>
    <cellStyle name="Separador de milhares 2 3 3 2 4 3" xfId="23322"/>
    <cellStyle name="Separador de milhares 2 3 3 2 5" xfId="9806"/>
    <cellStyle name="Separador de milhares 2 3 3 2 5 2" xfId="36319"/>
    <cellStyle name="Separador de milhares 2 3 3 2 6" xfId="29856"/>
    <cellStyle name="Separador de milhares 2 3 3 2 7" xfId="21550"/>
    <cellStyle name="Separador de milhares 2 3 3 3" xfId="992"/>
    <cellStyle name="Separador de milhares 2 3 3 3 2" xfId="5178"/>
    <cellStyle name="Separador de milhares 2 3 3 3 2 2" xfId="8393"/>
    <cellStyle name="Separador de milhares 2 3 3 3 2 2 2" xfId="20247"/>
    <cellStyle name="Separador de milhares 2 3 3 3 2 2 2 2" xfId="46726"/>
    <cellStyle name="Separador de milhares 2 3 3 3 2 2 3" xfId="14320"/>
    <cellStyle name="Separador de milhares 2 3 3 3 2 2 3 2" xfId="40818"/>
    <cellStyle name="Separador de milhares 2 3 3 3 2 2 4" xfId="34910"/>
    <cellStyle name="Separador de milhares 2 3 3 3 2 2 5" xfId="28376"/>
    <cellStyle name="Separador de milhares 2 3 3 3 2 3" xfId="17283"/>
    <cellStyle name="Separador de milhares 2 3 3 3 2 3 2" xfId="43772"/>
    <cellStyle name="Separador de milhares 2 3 3 3 2 4" xfId="11356"/>
    <cellStyle name="Separador de milhares 2 3 3 3 2 4 2" xfId="37864"/>
    <cellStyle name="Separador de milhares 2 3 3 3 2 5" xfId="31705"/>
    <cellStyle name="Separador de milhares 2 3 3 3 2 6" xfId="25171"/>
    <cellStyle name="Separador de milhares 2 3 3 3 3" xfId="6920"/>
    <cellStyle name="Separador de milhares 2 3 3 3 3 2" xfId="18774"/>
    <cellStyle name="Separador de milhares 2 3 3 3 3 2 2" xfId="45258"/>
    <cellStyle name="Separador de milhares 2 3 3 3 3 3" xfId="12847"/>
    <cellStyle name="Separador de milhares 2 3 3 3 3 3 2" xfId="39350"/>
    <cellStyle name="Separador de milhares 2 3 3 3 3 4" xfId="33442"/>
    <cellStyle name="Separador de milhares 2 3 3 3 3 5" xfId="26908"/>
    <cellStyle name="Separador de milhares 2 3 3 3 4" xfId="15810"/>
    <cellStyle name="Separador de milhares 2 3 3 3 4 2" xfId="42304"/>
    <cellStyle name="Separador de milhares 2 3 3 3 4 3" xfId="23399"/>
    <cellStyle name="Separador de milhares 2 3 3 3 5" xfId="9883"/>
    <cellStyle name="Separador de milhares 2 3 3 3 5 2" xfId="36396"/>
    <cellStyle name="Separador de milhares 2 3 3 3 6" xfId="29933"/>
    <cellStyle name="Separador de milhares 2 3 3 3 7" xfId="21627"/>
    <cellStyle name="Separador de milhares 2 3 3 4" xfId="1343"/>
    <cellStyle name="Separador de milhares 2 3 3 4 2" xfId="5276"/>
    <cellStyle name="Separador de milhares 2 3 3 4 2 2" xfId="8491"/>
    <cellStyle name="Separador de milhares 2 3 3 4 2 2 2" xfId="20345"/>
    <cellStyle name="Separador de milhares 2 3 3 4 2 2 2 2" xfId="46824"/>
    <cellStyle name="Separador de milhares 2 3 3 4 2 2 3" xfId="14418"/>
    <cellStyle name="Separador de milhares 2 3 3 4 2 2 3 2" xfId="40916"/>
    <cellStyle name="Separador de milhares 2 3 3 4 2 2 4" xfId="35008"/>
    <cellStyle name="Separador de milhares 2 3 3 4 2 2 5" xfId="28474"/>
    <cellStyle name="Separador de milhares 2 3 3 4 2 3" xfId="17381"/>
    <cellStyle name="Separador de milhares 2 3 3 4 2 3 2" xfId="43870"/>
    <cellStyle name="Separador de milhares 2 3 3 4 2 4" xfId="11454"/>
    <cellStyle name="Separador de milhares 2 3 3 4 2 4 2" xfId="37962"/>
    <cellStyle name="Separador de milhares 2 3 3 4 2 5" xfId="31803"/>
    <cellStyle name="Separador de milhares 2 3 3 4 2 6" xfId="25269"/>
    <cellStyle name="Separador de milhares 2 3 3 4 3" xfId="7018"/>
    <cellStyle name="Separador de milhares 2 3 3 4 3 2" xfId="18872"/>
    <cellStyle name="Separador de milhares 2 3 3 4 3 2 2" xfId="45356"/>
    <cellStyle name="Separador de milhares 2 3 3 4 3 3" xfId="12945"/>
    <cellStyle name="Separador de milhares 2 3 3 4 3 3 2" xfId="39448"/>
    <cellStyle name="Separador de milhares 2 3 3 4 3 4" xfId="33540"/>
    <cellStyle name="Separador de milhares 2 3 3 4 3 5" xfId="27006"/>
    <cellStyle name="Separador de milhares 2 3 3 4 4" xfId="15908"/>
    <cellStyle name="Separador de milhares 2 3 3 4 4 2" xfId="42402"/>
    <cellStyle name="Separador de milhares 2 3 3 4 4 3" xfId="23497"/>
    <cellStyle name="Separador de milhares 2 3 3 4 5" xfId="9981"/>
    <cellStyle name="Separador de milhares 2 3 3 4 5 2" xfId="36494"/>
    <cellStyle name="Separador de milhares 2 3 3 4 6" xfId="30031"/>
    <cellStyle name="Separador de milhares 2 3 3 4 7" xfId="21725"/>
    <cellStyle name="Separador de milhares 2 3 3 5" xfId="1778"/>
    <cellStyle name="Separador de milhares 2 3 3 5 2" xfId="5395"/>
    <cellStyle name="Separador de milhares 2 3 3 5 2 2" xfId="8610"/>
    <cellStyle name="Separador de milhares 2 3 3 5 2 2 2" xfId="20464"/>
    <cellStyle name="Separador de milhares 2 3 3 5 2 2 2 2" xfId="46943"/>
    <cellStyle name="Separador de milhares 2 3 3 5 2 2 3" xfId="14537"/>
    <cellStyle name="Separador de milhares 2 3 3 5 2 2 3 2" xfId="41035"/>
    <cellStyle name="Separador de milhares 2 3 3 5 2 2 4" xfId="35127"/>
    <cellStyle name="Separador de milhares 2 3 3 5 2 2 5" xfId="28593"/>
    <cellStyle name="Separador de milhares 2 3 3 5 2 3" xfId="17500"/>
    <cellStyle name="Separador de milhares 2 3 3 5 2 3 2" xfId="43989"/>
    <cellStyle name="Separador de milhares 2 3 3 5 2 4" xfId="11573"/>
    <cellStyle name="Separador de milhares 2 3 3 5 2 4 2" xfId="38081"/>
    <cellStyle name="Separador de milhares 2 3 3 5 2 5" xfId="31922"/>
    <cellStyle name="Separador de milhares 2 3 3 5 2 6" xfId="25388"/>
    <cellStyle name="Separador de milhares 2 3 3 5 3" xfId="7137"/>
    <cellStyle name="Separador de milhares 2 3 3 5 3 2" xfId="18991"/>
    <cellStyle name="Separador de milhares 2 3 3 5 3 2 2" xfId="45475"/>
    <cellStyle name="Separador de milhares 2 3 3 5 3 3" xfId="13064"/>
    <cellStyle name="Separador de milhares 2 3 3 5 3 3 2" xfId="39567"/>
    <cellStyle name="Separador de milhares 2 3 3 5 3 4" xfId="33659"/>
    <cellStyle name="Separador de milhares 2 3 3 5 3 5" xfId="27125"/>
    <cellStyle name="Separador de milhares 2 3 3 5 4" xfId="16027"/>
    <cellStyle name="Separador de milhares 2 3 3 5 4 2" xfId="42521"/>
    <cellStyle name="Separador de milhares 2 3 3 5 4 3" xfId="23616"/>
    <cellStyle name="Separador de milhares 2 3 3 5 5" xfId="10100"/>
    <cellStyle name="Separador de milhares 2 3 3 5 5 2" xfId="36613"/>
    <cellStyle name="Separador de milhares 2 3 3 5 6" xfId="30150"/>
    <cellStyle name="Separador de milhares 2 3 3 5 7" xfId="21844"/>
    <cellStyle name="Separador de milhares 2 3 3 6" xfId="2311"/>
    <cellStyle name="Separador de milhares 2 3 3 6 2" xfId="5545"/>
    <cellStyle name="Separador de milhares 2 3 3 6 2 2" xfId="8757"/>
    <cellStyle name="Separador de milhares 2 3 3 6 2 2 2" xfId="20611"/>
    <cellStyle name="Separador de milhares 2 3 3 6 2 2 2 2" xfId="47090"/>
    <cellStyle name="Separador de milhares 2 3 3 6 2 2 3" xfId="14684"/>
    <cellStyle name="Separador de milhares 2 3 3 6 2 2 3 2" xfId="41182"/>
    <cellStyle name="Separador de milhares 2 3 3 6 2 2 4" xfId="35274"/>
    <cellStyle name="Separador de milhares 2 3 3 6 2 2 5" xfId="28740"/>
    <cellStyle name="Separador de milhares 2 3 3 6 2 3" xfId="17647"/>
    <cellStyle name="Separador de milhares 2 3 3 6 2 3 2" xfId="44136"/>
    <cellStyle name="Separador de milhares 2 3 3 6 2 4" xfId="11720"/>
    <cellStyle name="Separador de milhares 2 3 3 6 2 4 2" xfId="38228"/>
    <cellStyle name="Separador de milhares 2 3 3 6 2 5" xfId="32072"/>
    <cellStyle name="Separador de milhares 2 3 3 6 2 6" xfId="25538"/>
    <cellStyle name="Separador de milhares 2 3 3 6 3" xfId="7285"/>
    <cellStyle name="Separador de milhares 2 3 3 6 3 2" xfId="19139"/>
    <cellStyle name="Separador de milhares 2 3 3 6 3 2 2" xfId="45622"/>
    <cellStyle name="Separador de milhares 2 3 3 6 3 3" xfId="13212"/>
    <cellStyle name="Separador de milhares 2 3 3 6 3 3 2" xfId="39714"/>
    <cellStyle name="Separador de milhares 2 3 3 6 3 4" xfId="33806"/>
    <cellStyle name="Separador de milhares 2 3 3 6 3 5" xfId="27272"/>
    <cellStyle name="Separador de milhares 2 3 3 6 4" xfId="16175"/>
    <cellStyle name="Separador de milhares 2 3 3 6 4 2" xfId="42668"/>
    <cellStyle name="Separador de milhares 2 3 3 6 4 3" xfId="23766"/>
    <cellStyle name="Separador de milhares 2 3 3 6 5" xfId="10248"/>
    <cellStyle name="Separador de milhares 2 3 3 6 5 2" xfId="36760"/>
    <cellStyle name="Separador de milhares 2 3 3 6 6" xfId="30300"/>
    <cellStyle name="Separador de milhares 2 3 3 6 7" xfId="21994"/>
    <cellStyle name="Separador de milhares 2 3 3 7" xfId="2839"/>
    <cellStyle name="Separador de milhares 2 3 3 7 2" xfId="5692"/>
    <cellStyle name="Separador de milhares 2 3 3 7 2 2" xfId="8904"/>
    <cellStyle name="Separador de milhares 2 3 3 7 2 2 2" xfId="20758"/>
    <cellStyle name="Separador de milhares 2 3 3 7 2 2 2 2" xfId="47237"/>
    <cellStyle name="Separador de milhares 2 3 3 7 2 2 3" xfId="14831"/>
    <cellStyle name="Separador de milhares 2 3 3 7 2 2 3 2" xfId="41329"/>
    <cellStyle name="Separador de milhares 2 3 3 7 2 2 4" xfId="35421"/>
    <cellStyle name="Separador de milhares 2 3 3 7 2 2 5" xfId="28887"/>
    <cellStyle name="Separador de milhares 2 3 3 7 2 3" xfId="17794"/>
    <cellStyle name="Separador de milhares 2 3 3 7 2 3 2" xfId="44283"/>
    <cellStyle name="Separador de milhares 2 3 3 7 2 4" xfId="11867"/>
    <cellStyle name="Separador de milhares 2 3 3 7 2 4 2" xfId="38375"/>
    <cellStyle name="Separador de milhares 2 3 3 7 2 5" xfId="32219"/>
    <cellStyle name="Separador de milhares 2 3 3 7 2 6" xfId="25685"/>
    <cellStyle name="Separador de milhares 2 3 3 7 3" xfId="7433"/>
    <cellStyle name="Separador de milhares 2 3 3 7 3 2" xfId="19287"/>
    <cellStyle name="Separador de milhares 2 3 3 7 3 2 2" xfId="45769"/>
    <cellStyle name="Separador de milhares 2 3 3 7 3 3" xfId="13360"/>
    <cellStyle name="Separador de milhares 2 3 3 7 3 3 2" xfId="39861"/>
    <cellStyle name="Separador de milhares 2 3 3 7 3 4" xfId="33953"/>
    <cellStyle name="Separador de milhares 2 3 3 7 3 5" xfId="27419"/>
    <cellStyle name="Separador de milhares 2 3 3 7 4" xfId="16323"/>
    <cellStyle name="Separador de milhares 2 3 3 7 4 2" xfId="42815"/>
    <cellStyle name="Separador de milhares 2 3 3 7 4 3" xfId="23913"/>
    <cellStyle name="Separador de milhares 2 3 3 7 5" xfId="10396"/>
    <cellStyle name="Separador de milhares 2 3 3 7 5 2" xfId="36907"/>
    <cellStyle name="Separador de milhares 2 3 3 7 6" xfId="30447"/>
    <cellStyle name="Separador de milhares 2 3 3 7 7" xfId="22141"/>
    <cellStyle name="Separador de milhares 2 3 3 8" xfId="3367"/>
    <cellStyle name="Separador de milhares 2 3 3 8 2" xfId="5839"/>
    <cellStyle name="Separador de milhares 2 3 3 8 2 2" xfId="9051"/>
    <cellStyle name="Separador de milhares 2 3 3 8 2 2 2" xfId="20905"/>
    <cellStyle name="Separador de milhares 2 3 3 8 2 2 2 2" xfId="47384"/>
    <cellStyle name="Separador de milhares 2 3 3 8 2 2 3" xfId="14978"/>
    <cellStyle name="Separador de milhares 2 3 3 8 2 2 3 2" xfId="41476"/>
    <cellStyle name="Separador de milhares 2 3 3 8 2 2 4" xfId="35568"/>
    <cellStyle name="Separador de milhares 2 3 3 8 2 2 5" xfId="29034"/>
    <cellStyle name="Separador de milhares 2 3 3 8 2 3" xfId="17941"/>
    <cellStyle name="Separador de milhares 2 3 3 8 2 3 2" xfId="44430"/>
    <cellStyle name="Separador de milhares 2 3 3 8 2 4" xfId="12014"/>
    <cellStyle name="Separador de milhares 2 3 3 8 2 4 2" xfId="38522"/>
    <cellStyle name="Separador de milhares 2 3 3 8 2 5" xfId="32366"/>
    <cellStyle name="Separador de milhares 2 3 3 8 2 6" xfId="25832"/>
    <cellStyle name="Separador de milhares 2 3 3 8 3" xfId="7581"/>
    <cellStyle name="Separador de milhares 2 3 3 8 3 2" xfId="19435"/>
    <cellStyle name="Separador de milhares 2 3 3 8 3 2 2" xfId="45916"/>
    <cellStyle name="Separador de milhares 2 3 3 8 3 3" xfId="13508"/>
    <cellStyle name="Separador de milhares 2 3 3 8 3 3 2" xfId="40008"/>
    <cellStyle name="Separador de milhares 2 3 3 8 3 4" xfId="34100"/>
    <cellStyle name="Separador de milhares 2 3 3 8 3 5" xfId="27566"/>
    <cellStyle name="Separador de milhares 2 3 3 8 4" xfId="16471"/>
    <cellStyle name="Separador de milhares 2 3 3 8 4 2" xfId="42962"/>
    <cellStyle name="Separador de milhares 2 3 3 8 4 3" xfId="24060"/>
    <cellStyle name="Separador de milhares 2 3 3 8 5" xfId="10544"/>
    <cellStyle name="Separador de milhares 2 3 3 8 5 2" xfId="37054"/>
    <cellStyle name="Separador de milhares 2 3 3 8 6" xfId="30594"/>
    <cellStyle name="Separador de milhares 2 3 3 8 7" xfId="22288"/>
    <cellStyle name="Separador de milhares 2 3 3 9" xfId="3895"/>
    <cellStyle name="Separador de milhares 2 3 3 9 2" xfId="5986"/>
    <cellStyle name="Separador de milhares 2 3 3 9 2 2" xfId="9198"/>
    <cellStyle name="Separador de milhares 2 3 3 9 2 2 2" xfId="21052"/>
    <cellStyle name="Separador de milhares 2 3 3 9 2 2 2 2" xfId="47531"/>
    <cellStyle name="Separador de milhares 2 3 3 9 2 2 3" xfId="15125"/>
    <cellStyle name="Separador de milhares 2 3 3 9 2 2 3 2" xfId="41623"/>
    <cellStyle name="Separador de milhares 2 3 3 9 2 2 4" xfId="35715"/>
    <cellStyle name="Separador de milhares 2 3 3 9 2 2 5" xfId="29181"/>
    <cellStyle name="Separador de milhares 2 3 3 9 2 3" xfId="18088"/>
    <cellStyle name="Separador de milhares 2 3 3 9 2 3 2" xfId="44577"/>
    <cellStyle name="Separador de milhares 2 3 3 9 2 4" xfId="12161"/>
    <cellStyle name="Separador de milhares 2 3 3 9 2 4 2" xfId="38669"/>
    <cellStyle name="Separador de milhares 2 3 3 9 2 5" xfId="32513"/>
    <cellStyle name="Separador de milhares 2 3 3 9 2 6" xfId="25979"/>
    <cellStyle name="Separador de milhares 2 3 3 9 3" xfId="7729"/>
    <cellStyle name="Separador de milhares 2 3 3 9 3 2" xfId="19583"/>
    <cellStyle name="Separador de milhares 2 3 3 9 3 2 2" xfId="46063"/>
    <cellStyle name="Separador de milhares 2 3 3 9 3 3" xfId="13656"/>
    <cellStyle name="Separador de milhares 2 3 3 9 3 3 2" xfId="40155"/>
    <cellStyle name="Separador de milhares 2 3 3 9 3 4" xfId="34247"/>
    <cellStyle name="Separador de milhares 2 3 3 9 3 5" xfId="27713"/>
    <cellStyle name="Separador de milhares 2 3 3 9 4" xfId="16619"/>
    <cellStyle name="Separador de milhares 2 3 3 9 4 2" xfId="43109"/>
    <cellStyle name="Separador de milhares 2 3 3 9 4 3" xfId="24207"/>
    <cellStyle name="Separador de milhares 2 3 3 9 5" xfId="10692"/>
    <cellStyle name="Separador de milhares 2 3 3 9 5 2" xfId="37201"/>
    <cellStyle name="Separador de milhares 2 3 3 9 6" xfId="30741"/>
    <cellStyle name="Separador de milhares 2 3 3 9 7" xfId="22435"/>
    <cellStyle name="Separador de milhares 2 3 4" xfId="4945"/>
    <cellStyle name="Separador de milhares 2 3 4 2" xfId="8168"/>
    <cellStyle name="Separador de milhares 2 3 4 2 2" xfId="20022"/>
    <cellStyle name="Separador de milhares 2 3 4 2 2 2" xfId="46501"/>
    <cellStyle name="Separador de milhares 2 3 4 2 3" xfId="14095"/>
    <cellStyle name="Separador de milhares 2 3 4 2 3 2" xfId="40593"/>
    <cellStyle name="Separador de milhares 2 3 4 2 4" xfId="34685"/>
    <cellStyle name="Separador de milhares 2 3 4 2 5" xfId="28151"/>
    <cellStyle name="Separador de milhares 2 3 4 3" xfId="17058"/>
    <cellStyle name="Separador de milhares 2 3 4 3 2" xfId="43547"/>
    <cellStyle name="Separador de milhares 2 3 4 4" xfId="11131"/>
    <cellStyle name="Separador de milhares 2 3 4 4 2" xfId="37639"/>
    <cellStyle name="Separador de milhares 2 3 4 5" xfId="31472"/>
    <cellStyle name="Separador de milhares 2 3 4 6" xfId="24938"/>
    <cellStyle name="Separador de milhares 2 3 5" xfId="6692"/>
    <cellStyle name="Separador de milhares 2 3 5 2" xfId="18546"/>
    <cellStyle name="Separador de milhares 2 3 5 2 2" xfId="45033"/>
    <cellStyle name="Separador de milhares 2 3 5 3" xfId="12619"/>
    <cellStyle name="Separador de milhares 2 3 5 3 2" xfId="39125"/>
    <cellStyle name="Separador de milhares 2 3 5 4" xfId="33217"/>
    <cellStyle name="Separador de milhares 2 3 5 5" xfId="26683"/>
    <cellStyle name="Separador de milhares 2 3 6" xfId="15582"/>
    <cellStyle name="Separador de milhares 2 3 6 2" xfId="42079"/>
    <cellStyle name="Separador de milhares 2 3 6 3" xfId="23166"/>
    <cellStyle name="Separador de milhares 2 3 7" xfId="9655"/>
    <cellStyle name="Separador de milhares 2 3 7 2" xfId="36171"/>
    <cellStyle name="Separador de milhares 2 3 8" xfId="29700"/>
    <cellStyle name="Separador de milhares 2 4" xfId="248"/>
    <cellStyle name="Separador de milhares 2 4 10" xfId="4949"/>
    <cellStyle name="Separador de milhares 2 4 10 2" xfId="8171"/>
    <cellStyle name="Separador de milhares 2 4 10 2 2" xfId="20025"/>
    <cellStyle name="Separador de milhares 2 4 10 2 2 2" xfId="46504"/>
    <cellStyle name="Separador de milhares 2 4 10 2 3" xfId="14098"/>
    <cellStyle name="Separador de milhares 2 4 10 2 3 2" xfId="40596"/>
    <cellStyle name="Separador de milhares 2 4 10 2 4" xfId="34688"/>
    <cellStyle name="Separador de milhares 2 4 10 2 5" xfId="28154"/>
    <cellStyle name="Separador de milhares 2 4 10 3" xfId="17061"/>
    <cellStyle name="Separador de milhares 2 4 10 3 2" xfId="43550"/>
    <cellStyle name="Separador de milhares 2 4 10 4" xfId="11134"/>
    <cellStyle name="Separador de milhares 2 4 10 4 2" xfId="37642"/>
    <cellStyle name="Separador de milhares 2 4 10 5" xfId="31476"/>
    <cellStyle name="Separador de milhares 2 4 10 6" xfId="24942"/>
    <cellStyle name="Separador de milhares 2 4 11" xfId="6695"/>
    <cellStyle name="Separador de milhares 2 4 11 2" xfId="18549"/>
    <cellStyle name="Separador de milhares 2 4 11 2 2" xfId="45036"/>
    <cellStyle name="Separador de milhares 2 4 11 3" xfId="12622"/>
    <cellStyle name="Separador de milhares 2 4 11 3 2" xfId="39128"/>
    <cellStyle name="Separador de milhares 2 4 11 4" xfId="33220"/>
    <cellStyle name="Separador de milhares 2 4 11 5" xfId="26686"/>
    <cellStyle name="Separador de milhares 2 4 12" xfId="15585"/>
    <cellStyle name="Separador de milhares 2 4 12 2" xfId="42082"/>
    <cellStyle name="Separador de milhares 2 4 12 3" xfId="23170"/>
    <cellStyle name="Separador de milhares 2 4 13" xfId="9658"/>
    <cellStyle name="Separador de milhares 2 4 13 2" xfId="36174"/>
    <cellStyle name="Separador de milhares 2 4 14" xfId="29704"/>
    <cellStyle name="Separador de milhares 2 4 15" xfId="21422"/>
    <cellStyle name="Separador de milhares 2 4 2" xfId="791"/>
    <cellStyle name="Separador de milhares 2 4 2 10" xfId="9809"/>
    <cellStyle name="Separador de milhares 2 4 2 10 2" xfId="36322"/>
    <cellStyle name="Separador de milhares 2 4 2 11" xfId="29859"/>
    <cellStyle name="Separador de milhares 2 4 2 12" xfId="21553"/>
    <cellStyle name="Separador de milhares 2 4 2 2" xfId="2044"/>
    <cellStyle name="Separador de milhares 2 4 2 2 2" xfId="5468"/>
    <cellStyle name="Separador de milhares 2 4 2 2 2 2" xfId="8683"/>
    <cellStyle name="Separador de milhares 2 4 2 2 2 2 2" xfId="20537"/>
    <cellStyle name="Separador de milhares 2 4 2 2 2 2 2 2" xfId="47016"/>
    <cellStyle name="Separador de milhares 2 4 2 2 2 2 3" xfId="14610"/>
    <cellStyle name="Separador de milhares 2 4 2 2 2 2 3 2" xfId="41108"/>
    <cellStyle name="Separador de milhares 2 4 2 2 2 2 4" xfId="35200"/>
    <cellStyle name="Separador de milhares 2 4 2 2 2 2 5" xfId="28666"/>
    <cellStyle name="Separador de milhares 2 4 2 2 2 3" xfId="17573"/>
    <cellStyle name="Separador de milhares 2 4 2 2 2 3 2" xfId="44062"/>
    <cellStyle name="Separador de milhares 2 4 2 2 2 4" xfId="11646"/>
    <cellStyle name="Separador de milhares 2 4 2 2 2 4 2" xfId="38154"/>
    <cellStyle name="Separador de milhares 2 4 2 2 2 5" xfId="31995"/>
    <cellStyle name="Separador de milhares 2 4 2 2 2 6" xfId="25461"/>
    <cellStyle name="Separador de milhares 2 4 2 2 3" xfId="7211"/>
    <cellStyle name="Separador de milhares 2 4 2 2 3 2" xfId="19065"/>
    <cellStyle name="Separador de milhares 2 4 2 2 3 2 2" xfId="45548"/>
    <cellStyle name="Separador de milhares 2 4 2 2 3 3" xfId="13138"/>
    <cellStyle name="Separador de milhares 2 4 2 2 3 3 2" xfId="39640"/>
    <cellStyle name="Separador de milhares 2 4 2 2 3 4" xfId="33732"/>
    <cellStyle name="Separador de milhares 2 4 2 2 3 5" xfId="27198"/>
    <cellStyle name="Separador de milhares 2 4 2 2 4" xfId="16101"/>
    <cellStyle name="Separador de milhares 2 4 2 2 4 2" xfId="42594"/>
    <cellStyle name="Separador de milhares 2 4 2 2 4 3" xfId="23689"/>
    <cellStyle name="Separador de milhares 2 4 2 2 5" xfId="10174"/>
    <cellStyle name="Separador de milhares 2 4 2 2 5 2" xfId="36686"/>
    <cellStyle name="Separador de milhares 2 4 2 2 6" xfId="30223"/>
    <cellStyle name="Separador de milhares 2 4 2 2 7" xfId="21917"/>
    <cellStyle name="Separador de milhares 2 4 2 3" xfId="2577"/>
    <cellStyle name="Separador de milhares 2 4 2 3 2" xfId="5618"/>
    <cellStyle name="Separador de milhares 2 4 2 3 2 2" xfId="8830"/>
    <cellStyle name="Separador de milhares 2 4 2 3 2 2 2" xfId="20684"/>
    <cellStyle name="Separador de milhares 2 4 2 3 2 2 2 2" xfId="47163"/>
    <cellStyle name="Separador de milhares 2 4 2 3 2 2 3" xfId="14757"/>
    <cellStyle name="Separador de milhares 2 4 2 3 2 2 3 2" xfId="41255"/>
    <cellStyle name="Separador de milhares 2 4 2 3 2 2 4" xfId="35347"/>
    <cellStyle name="Separador de milhares 2 4 2 3 2 2 5" xfId="28813"/>
    <cellStyle name="Separador de milhares 2 4 2 3 2 3" xfId="17720"/>
    <cellStyle name="Separador de milhares 2 4 2 3 2 3 2" xfId="44209"/>
    <cellStyle name="Separador de milhares 2 4 2 3 2 4" xfId="11793"/>
    <cellStyle name="Separador de milhares 2 4 2 3 2 4 2" xfId="38301"/>
    <cellStyle name="Separador de milhares 2 4 2 3 2 5" xfId="32145"/>
    <cellStyle name="Separador de milhares 2 4 2 3 2 6" xfId="25611"/>
    <cellStyle name="Separador de milhares 2 4 2 3 3" xfId="7359"/>
    <cellStyle name="Separador de milhares 2 4 2 3 3 2" xfId="19213"/>
    <cellStyle name="Separador de milhares 2 4 2 3 3 2 2" xfId="45695"/>
    <cellStyle name="Separador de milhares 2 4 2 3 3 3" xfId="13286"/>
    <cellStyle name="Separador de milhares 2 4 2 3 3 3 2" xfId="39787"/>
    <cellStyle name="Separador de milhares 2 4 2 3 3 4" xfId="33879"/>
    <cellStyle name="Separador de milhares 2 4 2 3 3 5" xfId="27345"/>
    <cellStyle name="Separador de milhares 2 4 2 3 4" xfId="16249"/>
    <cellStyle name="Separador de milhares 2 4 2 3 4 2" xfId="42741"/>
    <cellStyle name="Separador de milhares 2 4 2 3 4 3" xfId="23839"/>
    <cellStyle name="Separador de milhares 2 4 2 3 5" xfId="10322"/>
    <cellStyle name="Separador de milhares 2 4 2 3 5 2" xfId="36833"/>
    <cellStyle name="Separador de milhares 2 4 2 3 6" xfId="30373"/>
    <cellStyle name="Separador de milhares 2 4 2 3 7" xfId="22067"/>
    <cellStyle name="Separador de milhares 2 4 2 4" xfId="3105"/>
    <cellStyle name="Separador de milhares 2 4 2 4 2" xfId="5765"/>
    <cellStyle name="Separador de milhares 2 4 2 4 2 2" xfId="8977"/>
    <cellStyle name="Separador de milhares 2 4 2 4 2 2 2" xfId="20831"/>
    <cellStyle name="Separador de milhares 2 4 2 4 2 2 2 2" xfId="47310"/>
    <cellStyle name="Separador de milhares 2 4 2 4 2 2 3" xfId="14904"/>
    <cellStyle name="Separador de milhares 2 4 2 4 2 2 3 2" xfId="41402"/>
    <cellStyle name="Separador de milhares 2 4 2 4 2 2 4" xfId="35494"/>
    <cellStyle name="Separador de milhares 2 4 2 4 2 2 5" xfId="28960"/>
    <cellStyle name="Separador de milhares 2 4 2 4 2 3" xfId="17867"/>
    <cellStyle name="Separador de milhares 2 4 2 4 2 3 2" xfId="44356"/>
    <cellStyle name="Separador de milhares 2 4 2 4 2 4" xfId="11940"/>
    <cellStyle name="Separador de milhares 2 4 2 4 2 4 2" xfId="38448"/>
    <cellStyle name="Separador de milhares 2 4 2 4 2 5" xfId="32292"/>
    <cellStyle name="Separador de milhares 2 4 2 4 2 6" xfId="25758"/>
    <cellStyle name="Separador de milhares 2 4 2 4 3" xfId="7507"/>
    <cellStyle name="Separador de milhares 2 4 2 4 3 2" xfId="19361"/>
    <cellStyle name="Separador de milhares 2 4 2 4 3 2 2" xfId="45842"/>
    <cellStyle name="Separador de milhares 2 4 2 4 3 3" xfId="13434"/>
    <cellStyle name="Separador de milhares 2 4 2 4 3 3 2" xfId="39934"/>
    <cellStyle name="Separador de milhares 2 4 2 4 3 4" xfId="34026"/>
    <cellStyle name="Separador de milhares 2 4 2 4 3 5" xfId="27492"/>
    <cellStyle name="Separador de milhares 2 4 2 4 4" xfId="16397"/>
    <cellStyle name="Separador de milhares 2 4 2 4 4 2" xfId="42888"/>
    <cellStyle name="Separador de milhares 2 4 2 4 4 3" xfId="23986"/>
    <cellStyle name="Separador de milhares 2 4 2 4 5" xfId="10470"/>
    <cellStyle name="Separador de milhares 2 4 2 4 5 2" xfId="36980"/>
    <cellStyle name="Separador de milhares 2 4 2 4 6" xfId="30520"/>
    <cellStyle name="Separador de milhares 2 4 2 4 7" xfId="22214"/>
    <cellStyle name="Separador de milhares 2 4 2 5" xfId="3633"/>
    <cellStyle name="Separador de milhares 2 4 2 5 2" xfId="5912"/>
    <cellStyle name="Separador de milhares 2 4 2 5 2 2" xfId="9124"/>
    <cellStyle name="Separador de milhares 2 4 2 5 2 2 2" xfId="20978"/>
    <cellStyle name="Separador de milhares 2 4 2 5 2 2 2 2" xfId="47457"/>
    <cellStyle name="Separador de milhares 2 4 2 5 2 2 3" xfId="15051"/>
    <cellStyle name="Separador de milhares 2 4 2 5 2 2 3 2" xfId="41549"/>
    <cellStyle name="Separador de milhares 2 4 2 5 2 2 4" xfId="35641"/>
    <cellStyle name="Separador de milhares 2 4 2 5 2 2 5" xfId="29107"/>
    <cellStyle name="Separador de milhares 2 4 2 5 2 3" xfId="18014"/>
    <cellStyle name="Separador de milhares 2 4 2 5 2 3 2" xfId="44503"/>
    <cellStyle name="Separador de milhares 2 4 2 5 2 4" xfId="12087"/>
    <cellStyle name="Separador de milhares 2 4 2 5 2 4 2" xfId="38595"/>
    <cellStyle name="Separador de milhares 2 4 2 5 2 5" xfId="32439"/>
    <cellStyle name="Separador de milhares 2 4 2 5 2 6" xfId="25905"/>
    <cellStyle name="Separador de milhares 2 4 2 5 3" xfId="7655"/>
    <cellStyle name="Separador de milhares 2 4 2 5 3 2" xfId="19509"/>
    <cellStyle name="Separador de milhares 2 4 2 5 3 2 2" xfId="45989"/>
    <cellStyle name="Separador de milhares 2 4 2 5 3 3" xfId="13582"/>
    <cellStyle name="Separador de milhares 2 4 2 5 3 3 2" xfId="40081"/>
    <cellStyle name="Separador de milhares 2 4 2 5 3 4" xfId="34173"/>
    <cellStyle name="Separador de milhares 2 4 2 5 3 5" xfId="27639"/>
    <cellStyle name="Separador de milhares 2 4 2 5 4" xfId="16545"/>
    <cellStyle name="Separador de milhares 2 4 2 5 4 2" xfId="43035"/>
    <cellStyle name="Separador de milhares 2 4 2 5 4 3" xfId="24133"/>
    <cellStyle name="Separador de milhares 2 4 2 5 5" xfId="10618"/>
    <cellStyle name="Separador de milhares 2 4 2 5 5 2" xfId="37127"/>
    <cellStyle name="Separador de milhares 2 4 2 5 6" xfId="30667"/>
    <cellStyle name="Separador de milhares 2 4 2 5 7" xfId="22361"/>
    <cellStyle name="Separador de milhares 2 4 2 6" xfId="4161"/>
    <cellStyle name="Separador de milhares 2 4 2 6 2" xfId="6059"/>
    <cellStyle name="Separador de milhares 2 4 2 6 2 2" xfId="9271"/>
    <cellStyle name="Separador de milhares 2 4 2 6 2 2 2" xfId="21125"/>
    <cellStyle name="Separador de milhares 2 4 2 6 2 2 2 2" xfId="47604"/>
    <cellStyle name="Separador de milhares 2 4 2 6 2 2 3" xfId="15198"/>
    <cellStyle name="Separador de milhares 2 4 2 6 2 2 3 2" xfId="41696"/>
    <cellStyle name="Separador de milhares 2 4 2 6 2 2 4" xfId="35788"/>
    <cellStyle name="Separador de milhares 2 4 2 6 2 2 5" xfId="29254"/>
    <cellStyle name="Separador de milhares 2 4 2 6 2 3" xfId="18161"/>
    <cellStyle name="Separador de milhares 2 4 2 6 2 3 2" xfId="44650"/>
    <cellStyle name="Separador de milhares 2 4 2 6 2 4" xfId="12234"/>
    <cellStyle name="Separador de milhares 2 4 2 6 2 4 2" xfId="38742"/>
    <cellStyle name="Separador de milhares 2 4 2 6 2 5" xfId="32586"/>
    <cellStyle name="Separador de milhares 2 4 2 6 2 6" xfId="26052"/>
    <cellStyle name="Separador de milhares 2 4 2 6 3" xfId="7803"/>
    <cellStyle name="Separador de milhares 2 4 2 6 3 2" xfId="19657"/>
    <cellStyle name="Separador de milhares 2 4 2 6 3 2 2" xfId="46136"/>
    <cellStyle name="Separador de milhares 2 4 2 6 3 3" xfId="13730"/>
    <cellStyle name="Separador de milhares 2 4 2 6 3 3 2" xfId="40228"/>
    <cellStyle name="Separador de milhares 2 4 2 6 3 4" xfId="34320"/>
    <cellStyle name="Separador de milhares 2 4 2 6 3 5" xfId="27786"/>
    <cellStyle name="Separador de milhares 2 4 2 6 4" xfId="16693"/>
    <cellStyle name="Separador de milhares 2 4 2 6 4 2" xfId="43182"/>
    <cellStyle name="Separador de milhares 2 4 2 6 4 3" xfId="24280"/>
    <cellStyle name="Separador de milhares 2 4 2 6 5" xfId="10766"/>
    <cellStyle name="Separador de milhares 2 4 2 6 5 2" xfId="37274"/>
    <cellStyle name="Separador de milhares 2 4 2 6 6" xfId="30814"/>
    <cellStyle name="Separador de milhares 2 4 2 6 7" xfId="22508"/>
    <cellStyle name="Separador de milhares 2 4 2 7" xfId="5104"/>
    <cellStyle name="Separador de milhares 2 4 2 7 2" xfId="8319"/>
    <cellStyle name="Separador de milhares 2 4 2 7 2 2" xfId="20173"/>
    <cellStyle name="Separador de milhares 2 4 2 7 2 2 2" xfId="46652"/>
    <cellStyle name="Separador de milhares 2 4 2 7 2 3" xfId="14246"/>
    <cellStyle name="Separador de milhares 2 4 2 7 2 3 2" xfId="40744"/>
    <cellStyle name="Separador de milhares 2 4 2 7 2 4" xfId="34836"/>
    <cellStyle name="Separador de milhares 2 4 2 7 2 5" xfId="28302"/>
    <cellStyle name="Separador de milhares 2 4 2 7 3" xfId="17209"/>
    <cellStyle name="Separador de milhares 2 4 2 7 3 2" xfId="43698"/>
    <cellStyle name="Separador de milhares 2 4 2 7 4" xfId="11282"/>
    <cellStyle name="Separador de milhares 2 4 2 7 4 2" xfId="37790"/>
    <cellStyle name="Separador de milhares 2 4 2 7 5" xfId="31631"/>
    <cellStyle name="Separador de milhares 2 4 2 7 6" xfId="25097"/>
    <cellStyle name="Separador de milhares 2 4 2 8" xfId="6846"/>
    <cellStyle name="Separador de milhares 2 4 2 8 2" xfId="18700"/>
    <cellStyle name="Separador de milhares 2 4 2 8 2 2" xfId="45184"/>
    <cellStyle name="Separador de milhares 2 4 2 8 3" xfId="12773"/>
    <cellStyle name="Separador de milhares 2 4 2 8 3 2" xfId="39276"/>
    <cellStyle name="Separador de milhares 2 4 2 8 4" xfId="33368"/>
    <cellStyle name="Separador de milhares 2 4 2 8 5" xfId="26834"/>
    <cellStyle name="Separador de milhares 2 4 2 9" xfId="15736"/>
    <cellStyle name="Separador de milhares 2 4 2 9 2" xfId="42230"/>
    <cellStyle name="Separador de milhares 2 4 2 9 3" xfId="23325"/>
    <cellStyle name="Separador de milhares 2 4 3" xfId="997"/>
    <cellStyle name="Separador de milhares 2 4 3 2" xfId="5181"/>
    <cellStyle name="Separador de milhares 2 4 3 2 2" xfId="8396"/>
    <cellStyle name="Separador de milhares 2 4 3 2 2 2" xfId="20250"/>
    <cellStyle name="Separador de milhares 2 4 3 2 2 2 2" xfId="46729"/>
    <cellStyle name="Separador de milhares 2 4 3 2 2 3" xfId="14323"/>
    <cellStyle name="Separador de milhares 2 4 3 2 2 3 2" xfId="40821"/>
    <cellStyle name="Separador de milhares 2 4 3 2 2 4" xfId="34913"/>
    <cellStyle name="Separador de milhares 2 4 3 2 2 5" xfId="28379"/>
    <cellStyle name="Separador de milhares 2 4 3 2 3" xfId="17286"/>
    <cellStyle name="Separador de milhares 2 4 3 2 3 2" xfId="43775"/>
    <cellStyle name="Separador de milhares 2 4 3 2 4" xfId="11359"/>
    <cellStyle name="Separador de milhares 2 4 3 2 4 2" xfId="37867"/>
    <cellStyle name="Separador de milhares 2 4 3 2 5" xfId="31708"/>
    <cellStyle name="Separador de milhares 2 4 3 2 6" xfId="25174"/>
    <cellStyle name="Separador de milhares 2 4 3 3" xfId="6923"/>
    <cellStyle name="Separador de milhares 2 4 3 3 2" xfId="18777"/>
    <cellStyle name="Separador de milhares 2 4 3 3 2 2" xfId="45261"/>
    <cellStyle name="Separador de milhares 2 4 3 3 3" xfId="12850"/>
    <cellStyle name="Separador de milhares 2 4 3 3 3 2" xfId="39353"/>
    <cellStyle name="Separador de milhares 2 4 3 3 4" xfId="33445"/>
    <cellStyle name="Separador de milhares 2 4 3 3 5" xfId="26911"/>
    <cellStyle name="Separador de milhares 2 4 3 4" xfId="15813"/>
    <cellStyle name="Separador de milhares 2 4 3 4 2" xfId="42307"/>
    <cellStyle name="Separador de milhares 2 4 3 4 3" xfId="23402"/>
    <cellStyle name="Separador de milhares 2 4 3 5" xfId="9886"/>
    <cellStyle name="Separador de milhares 2 4 3 5 2" xfId="36399"/>
    <cellStyle name="Separador de milhares 2 4 3 6" xfId="29936"/>
    <cellStyle name="Separador de milhares 2 4 3 7" xfId="21630"/>
    <cellStyle name="Separador de milhares 2 4 4" xfId="1348"/>
    <cellStyle name="Separador de milhares 2 4 4 2" xfId="5279"/>
    <cellStyle name="Separador de milhares 2 4 4 2 2" xfId="8494"/>
    <cellStyle name="Separador de milhares 2 4 4 2 2 2" xfId="20348"/>
    <cellStyle name="Separador de milhares 2 4 4 2 2 2 2" xfId="46827"/>
    <cellStyle name="Separador de milhares 2 4 4 2 2 3" xfId="14421"/>
    <cellStyle name="Separador de milhares 2 4 4 2 2 3 2" xfId="40919"/>
    <cellStyle name="Separador de milhares 2 4 4 2 2 4" xfId="35011"/>
    <cellStyle name="Separador de milhares 2 4 4 2 2 5" xfId="28477"/>
    <cellStyle name="Separador de milhares 2 4 4 2 3" xfId="17384"/>
    <cellStyle name="Separador de milhares 2 4 4 2 3 2" xfId="43873"/>
    <cellStyle name="Separador de milhares 2 4 4 2 4" xfId="11457"/>
    <cellStyle name="Separador de milhares 2 4 4 2 4 2" xfId="37965"/>
    <cellStyle name="Separador de milhares 2 4 4 2 5" xfId="31806"/>
    <cellStyle name="Separador de milhares 2 4 4 2 6" xfId="25272"/>
    <cellStyle name="Separador de milhares 2 4 4 3" xfId="7021"/>
    <cellStyle name="Separador de milhares 2 4 4 3 2" xfId="18875"/>
    <cellStyle name="Separador de milhares 2 4 4 3 2 2" xfId="45359"/>
    <cellStyle name="Separador de milhares 2 4 4 3 3" xfId="12948"/>
    <cellStyle name="Separador de milhares 2 4 4 3 3 2" xfId="39451"/>
    <cellStyle name="Separador de milhares 2 4 4 3 4" xfId="33543"/>
    <cellStyle name="Separador de milhares 2 4 4 3 5" xfId="27009"/>
    <cellStyle name="Separador de milhares 2 4 4 4" xfId="15911"/>
    <cellStyle name="Separador de milhares 2 4 4 4 2" xfId="42405"/>
    <cellStyle name="Separador de milhares 2 4 4 4 3" xfId="23500"/>
    <cellStyle name="Separador de milhares 2 4 4 5" xfId="9984"/>
    <cellStyle name="Separador de milhares 2 4 4 5 2" xfId="36497"/>
    <cellStyle name="Separador de milhares 2 4 4 6" xfId="30034"/>
    <cellStyle name="Separador de milhares 2 4 4 7" xfId="21728"/>
    <cellStyle name="Separador de milhares 2 4 5" xfId="1783"/>
    <cellStyle name="Separador de milhares 2 4 5 2" xfId="5398"/>
    <cellStyle name="Separador de milhares 2 4 5 2 2" xfId="8613"/>
    <cellStyle name="Separador de milhares 2 4 5 2 2 2" xfId="20467"/>
    <cellStyle name="Separador de milhares 2 4 5 2 2 2 2" xfId="46946"/>
    <cellStyle name="Separador de milhares 2 4 5 2 2 3" xfId="14540"/>
    <cellStyle name="Separador de milhares 2 4 5 2 2 3 2" xfId="41038"/>
    <cellStyle name="Separador de milhares 2 4 5 2 2 4" xfId="35130"/>
    <cellStyle name="Separador de milhares 2 4 5 2 2 5" xfId="28596"/>
    <cellStyle name="Separador de milhares 2 4 5 2 3" xfId="17503"/>
    <cellStyle name="Separador de milhares 2 4 5 2 3 2" xfId="43992"/>
    <cellStyle name="Separador de milhares 2 4 5 2 4" xfId="11576"/>
    <cellStyle name="Separador de milhares 2 4 5 2 4 2" xfId="38084"/>
    <cellStyle name="Separador de milhares 2 4 5 2 5" xfId="31925"/>
    <cellStyle name="Separador de milhares 2 4 5 2 6" xfId="25391"/>
    <cellStyle name="Separador de milhares 2 4 5 3" xfId="7140"/>
    <cellStyle name="Separador de milhares 2 4 5 3 2" xfId="18994"/>
    <cellStyle name="Separador de milhares 2 4 5 3 2 2" xfId="45478"/>
    <cellStyle name="Separador de milhares 2 4 5 3 3" xfId="13067"/>
    <cellStyle name="Separador de milhares 2 4 5 3 3 2" xfId="39570"/>
    <cellStyle name="Separador de milhares 2 4 5 3 4" xfId="33662"/>
    <cellStyle name="Separador de milhares 2 4 5 3 5" xfId="27128"/>
    <cellStyle name="Separador de milhares 2 4 5 4" xfId="16030"/>
    <cellStyle name="Separador de milhares 2 4 5 4 2" xfId="42524"/>
    <cellStyle name="Separador de milhares 2 4 5 4 3" xfId="23619"/>
    <cellStyle name="Separador de milhares 2 4 5 5" xfId="10103"/>
    <cellStyle name="Separador de milhares 2 4 5 5 2" xfId="36616"/>
    <cellStyle name="Separador de milhares 2 4 5 6" xfId="30153"/>
    <cellStyle name="Separador de milhares 2 4 5 7" xfId="21847"/>
    <cellStyle name="Separador de milhares 2 4 6" xfId="2316"/>
    <cellStyle name="Separador de milhares 2 4 6 2" xfId="5548"/>
    <cellStyle name="Separador de milhares 2 4 6 2 2" xfId="8760"/>
    <cellStyle name="Separador de milhares 2 4 6 2 2 2" xfId="20614"/>
    <cellStyle name="Separador de milhares 2 4 6 2 2 2 2" xfId="47093"/>
    <cellStyle name="Separador de milhares 2 4 6 2 2 3" xfId="14687"/>
    <cellStyle name="Separador de milhares 2 4 6 2 2 3 2" xfId="41185"/>
    <cellStyle name="Separador de milhares 2 4 6 2 2 4" xfId="35277"/>
    <cellStyle name="Separador de milhares 2 4 6 2 2 5" xfId="28743"/>
    <cellStyle name="Separador de milhares 2 4 6 2 3" xfId="17650"/>
    <cellStyle name="Separador de milhares 2 4 6 2 3 2" xfId="44139"/>
    <cellStyle name="Separador de milhares 2 4 6 2 4" xfId="11723"/>
    <cellStyle name="Separador de milhares 2 4 6 2 4 2" xfId="38231"/>
    <cellStyle name="Separador de milhares 2 4 6 2 5" xfId="32075"/>
    <cellStyle name="Separador de milhares 2 4 6 2 6" xfId="25541"/>
    <cellStyle name="Separador de milhares 2 4 6 3" xfId="7288"/>
    <cellStyle name="Separador de milhares 2 4 6 3 2" xfId="19142"/>
    <cellStyle name="Separador de milhares 2 4 6 3 2 2" xfId="45625"/>
    <cellStyle name="Separador de milhares 2 4 6 3 3" xfId="13215"/>
    <cellStyle name="Separador de milhares 2 4 6 3 3 2" xfId="39717"/>
    <cellStyle name="Separador de milhares 2 4 6 3 4" xfId="33809"/>
    <cellStyle name="Separador de milhares 2 4 6 3 5" xfId="27275"/>
    <cellStyle name="Separador de milhares 2 4 6 4" xfId="16178"/>
    <cellStyle name="Separador de milhares 2 4 6 4 2" xfId="42671"/>
    <cellStyle name="Separador de milhares 2 4 6 4 3" xfId="23769"/>
    <cellStyle name="Separador de milhares 2 4 6 5" xfId="10251"/>
    <cellStyle name="Separador de milhares 2 4 6 5 2" xfId="36763"/>
    <cellStyle name="Separador de milhares 2 4 6 6" xfId="30303"/>
    <cellStyle name="Separador de milhares 2 4 6 7" xfId="21997"/>
    <cellStyle name="Separador de milhares 2 4 7" xfId="2844"/>
    <cellStyle name="Separador de milhares 2 4 7 2" xfId="5695"/>
    <cellStyle name="Separador de milhares 2 4 7 2 2" xfId="8907"/>
    <cellStyle name="Separador de milhares 2 4 7 2 2 2" xfId="20761"/>
    <cellStyle name="Separador de milhares 2 4 7 2 2 2 2" xfId="47240"/>
    <cellStyle name="Separador de milhares 2 4 7 2 2 3" xfId="14834"/>
    <cellStyle name="Separador de milhares 2 4 7 2 2 3 2" xfId="41332"/>
    <cellStyle name="Separador de milhares 2 4 7 2 2 4" xfId="35424"/>
    <cellStyle name="Separador de milhares 2 4 7 2 2 5" xfId="28890"/>
    <cellStyle name="Separador de milhares 2 4 7 2 3" xfId="17797"/>
    <cellStyle name="Separador de milhares 2 4 7 2 3 2" xfId="44286"/>
    <cellStyle name="Separador de milhares 2 4 7 2 4" xfId="11870"/>
    <cellStyle name="Separador de milhares 2 4 7 2 4 2" xfId="38378"/>
    <cellStyle name="Separador de milhares 2 4 7 2 5" xfId="32222"/>
    <cellStyle name="Separador de milhares 2 4 7 2 6" xfId="25688"/>
    <cellStyle name="Separador de milhares 2 4 7 3" xfId="7436"/>
    <cellStyle name="Separador de milhares 2 4 7 3 2" xfId="19290"/>
    <cellStyle name="Separador de milhares 2 4 7 3 2 2" xfId="45772"/>
    <cellStyle name="Separador de milhares 2 4 7 3 3" xfId="13363"/>
    <cellStyle name="Separador de milhares 2 4 7 3 3 2" xfId="39864"/>
    <cellStyle name="Separador de milhares 2 4 7 3 4" xfId="33956"/>
    <cellStyle name="Separador de milhares 2 4 7 3 5" xfId="27422"/>
    <cellStyle name="Separador de milhares 2 4 7 4" xfId="16326"/>
    <cellStyle name="Separador de milhares 2 4 7 4 2" xfId="42818"/>
    <cellStyle name="Separador de milhares 2 4 7 4 3" xfId="23916"/>
    <cellStyle name="Separador de milhares 2 4 7 5" xfId="10399"/>
    <cellStyle name="Separador de milhares 2 4 7 5 2" xfId="36910"/>
    <cellStyle name="Separador de milhares 2 4 7 6" xfId="30450"/>
    <cellStyle name="Separador de milhares 2 4 7 7" xfId="22144"/>
    <cellStyle name="Separador de milhares 2 4 8" xfId="3372"/>
    <cellStyle name="Separador de milhares 2 4 8 2" xfId="5842"/>
    <cellStyle name="Separador de milhares 2 4 8 2 2" xfId="9054"/>
    <cellStyle name="Separador de milhares 2 4 8 2 2 2" xfId="20908"/>
    <cellStyle name="Separador de milhares 2 4 8 2 2 2 2" xfId="47387"/>
    <cellStyle name="Separador de milhares 2 4 8 2 2 3" xfId="14981"/>
    <cellStyle name="Separador de milhares 2 4 8 2 2 3 2" xfId="41479"/>
    <cellStyle name="Separador de milhares 2 4 8 2 2 4" xfId="35571"/>
    <cellStyle name="Separador de milhares 2 4 8 2 2 5" xfId="29037"/>
    <cellStyle name="Separador de milhares 2 4 8 2 3" xfId="17944"/>
    <cellStyle name="Separador de milhares 2 4 8 2 3 2" xfId="44433"/>
    <cellStyle name="Separador de milhares 2 4 8 2 4" xfId="12017"/>
    <cellStyle name="Separador de milhares 2 4 8 2 4 2" xfId="38525"/>
    <cellStyle name="Separador de milhares 2 4 8 2 5" xfId="32369"/>
    <cellStyle name="Separador de milhares 2 4 8 2 6" xfId="25835"/>
    <cellStyle name="Separador de milhares 2 4 8 3" xfId="7584"/>
    <cellStyle name="Separador de milhares 2 4 8 3 2" xfId="19438"/>
    <cellStyle name="Separador de milhares 2 4 8 3 2 2" xfId="45919"/>
    <cellStyle name="Separador de milhares 2 4 8 3 3" xfId="13511"/>
    <cellStyle name="Separador de milhares 2 4 8 3 3 2" xfId="40011"/>
    <cellStyle name="Separador de milhares 2 4 8 3 4" xfId="34103"/>
    <cellStyle name="Separador de milhares 2 4 8 3 5" xfId="27569"/>
    <cellStyle name="Separador de milhares 2 4 8 4" xfId="16474"/>
    <cellStyle name="Separador de milhares 2 4 8 4 2" xfId="42965"/>
    <cellStyle name="Separador de milhares 2 4 8 4 3" xfId="24063"/>
    <cellStyle name="Separador de milhares 2 4 8 5" xfId="10547"/>
    <cellStyle name="Separador de milhares 2 4 8 5 2" xfId="37057"/>
    <cellStyle name="Separador de milhares 2 4 8 6" xfId="30597"/>
    <cellStyle name="Separador de milhares 2 4 8 7" xfId="22291"/>
    <cellStyle name="Separador de milhares 2 4 9" xfId="3900"/>
    <cellStyle name="Separador de milhares 2 4 9 2" xfId="5989"/>
    <cellStyle name="Separador de milhares 2 4 9 2 2" xfId="9201"/>
    <cellStyle name="Separador de milhares 2 4 9 2 2 2" xfId="21055"/>
    <cellStyle name="Separador de milhares 2 4 9 2 2 2 2" xfId="47534"/>
    <cellStyle name="Separador de milhares 2 4 9 2 2 3" xfId="15128"/>
    <cellStyle name="Separador de milhares 2 4 9 2 2 3 2" xfId="41626"/>
    <cellStyle name="Separador de milhares 2 4 9 2 2 4" xfId="35718"/>
    <cellStyle name="Separador de milhares 2 4 9 2 2 5" xfId="29184"/>
    <cellStyle name="Separador de milhares 2 4 9 2 3" xfId="18091"/>
    <cellStyle name="Separador de milhares 2 4 9 2 3 2" xfId="44580"/>
    <cellStyle name="Separador de milhares 2 4 9 2 4" xfId="12164"/>
    <cellStyle name="Separador de milhares 2 4 9 2 4 2" xfId="38672"/>
    <cellStyle name="Separador de milhares 2 4 9 2 5" xfId="32516"/>
    <cellStyle name="Separador de milhares 2 4 9 2 6" xfId="25982"/>
    <cellStyle name="Separador de milhares 2 4 9 3" xfId="7732"/>
    <cellStyle name="Separador de milhares 2 4 9 3 2" xfId="19586"/>
    <cellStyle name="Separador de milhares 2 4 9 3 2 2" xfId="46066"/>
    <cellStyle name="Separador de milhares 2 4 9 3 3" xfId="13659"/>
    <cellStyle name="Separador de milhares 2 4 9 3 3 2" xfId="40158"/>
    <cellStyle name="Separador de milhares 2 4 9 3 4" xfId="34250"/>
    <cellStyle name="Separador de milhares 2 4 9 3 5" xfId="27716"/>
    <cellStyle name="Separador de milhares 2 4 9 4" xfId="16622"/>
    <cellStyle name="Separador de milhares 2 4 9 4 2" xfId="43112"/>
    <cellStyle name="Separador de milhares 2 4 9 4 3" xfId="24210"/>
    <cellStyle name="Separador de milhares 2 4 9 5" xfId="10695"/>
    <cellStyle name="Separador de milhares 2 4 9 5 2" xfId="37204"/>
    <cellStyle name="Separador de milhares 2 4 9 6" xfId="30744"/>
    <cellStyle name="Separador de milhares 2 4 9 7" xfId="22438"/>
    <cellStyle name="Separador de milhares 2 5" xfId="345"/>
    <cellStyle name="Separador de milhares 2 5 10" xfId="4980"/>
    <cellStyle name="Separador de milhares 2 5 10 2" xfId="8199"/>
    <cellStyle name="Separador de milhares 2 5 10 2 2" xfId="20053"/>
    <cellStyle name="Separador de milhares 2 5 10 2 2 2" xfId="46532"/>
    <cellStyle name="Separador de milhares 2 5 10 2 3" xfId="14126"/>
    <cellStyle name="Separador de milhares 2 5 10 2 3 2" xfId="40624"/>
    <cellStyle name="Separador de milhares 2 5 10 2 4" xfId="34716"/>
    <cellStyle name="Separador de milhares 2 5 10 2 5" xfId="28182"/>
    <cellStyle name="Separador de milhares 2 5 10 3" xfId="17089"/>
    <cellStyle name="Separador de milhares 2 5 10 3 2" xfId="43578"/>
    <cellStyle name="Separador de milhares 2 5 10 4" xfId="11162"/>
    <cellStyle name="Separador de milhares 2 5 10 4 2" xfId="37670"/>
    <cellStyle name="Separador de milhares 2 5 10 5" xfId="31507"/>
    <cellStyle name="Separador de milhares 2 5 10 6" xfId="24973"/>
    <cellStyle name="Separador de milhares 2 5 11" xfId="6723"/>
    <cellStyle name="Separador de milhares 2 5 11 2" xfId="18577"/>
    <cellStyle name="Separador de milhares 2 5 11 2 2" xfId="45064"/>
    <cellStyle name="Separador de milhares 2 5 11 3" xfId="12650"/>
    <cellStyle name="Separador de milhares 2 5 11 3 2" xfId="39156"/>
    <cellStyle name="Separador de milhares 2 5 11 4" xfId="33248"/>
    <cellStyle name="Separador de milhares 2 5 11 5" xfId="26714"/>
    <cellStyle name="Separador de milhares 2 5 12" xfId="15613"/>
    <cellStyle name="Separador de milhares 2 5 12 2" xfId="42110"/>
    <cellStyle name="Separador de milhares 2 5 12 3" xfId="23201"/>
    <cellStyle name="Separador de milhares 2 5 13" xfId="9686"/>
    <cellStyle name="Separador de milhares 2 5 13 2" xfId="36202"/>
    <cellStyle name="Separador de milhares 2 5 14" xfId="29735"/>
    <cellStyle name="Separador de milhares 2 5 15" xfId="21453"/>
    <cellStyle name="Separador de milhares 2 5 2" xfId="784"/>
    <cellStyle name="Separador de milhares 2 5 2 2" xfId="5097"/>
    <cellStyle name="Separador de milhares 2 5 2 2 2" xfId="8312"/>
    <cellStyle name="Separador de milhares 2 5 2 2 2 2" xfId="20166"/>
    <cellStyle name="Separador de milhares 2 5 2 2 2 2 2" xfId="46645"/>
    <cellStyle name="Separador de milhares 2 5 2 2 2 3" xfId="14239"/>
    <cellStyle name="Separador de milhares 2 5 2 2 2 3 2" xfId="40737"/>
    <cellStyle name="Separador de milhares 2 5 2 2 2 4" xfId="34829"/>
    <cellStyle name="Separador de milhares 2 5 2 2 2 5" xfId="28295"/>
    <cellStyle name="Separador de milhares 2 5 2 2 3" xfId="17202"/>
    <cellStyle name="Separador de milhares 2 5 2 2 3 2" xfId="43691"/>
    <cellStyle name="Separador de milhares 2 5 2 2 4" xfId="11275"/>
    <cellStyle name="Separador de milhares 2 5 2 2 4 2" xfId="37783"/>
    <cellStyle name="Separador de milhares 2 5 2 2 5" xfId="31624"/>
    <cellStyle name="Separador de milhares 2 5 2 2 6" xfId="25090"/>
    <cellStyle name="Separador de milhares 2 5 2 3" xfId="6839"/>
    <cellStyle name="Separador de milhares 2 5 2 3 2" xfId="18693"/>
    <cellStyle name="Separador de milhares 2 5 2 3 2 2" xfId="45177"/>
    <cellStyle name="Separador de milhares 2 5 2 3 3" xfId="12766"/>
    <cellStyle name="Separador de milhares 2 5 2 3 3 2" xfId="39269"/>
    <cellStyle name="Separador de milhares 2 5 2 3 4" xfId="33361"/>
    <cellStyle name="Separador de milhares 2 5 2 3 5" xfId="26827"/>
    <cellStyle name="Separador de milhares 2 5 2 4" xfId="15729"/>
    <cellStyle name="Separador de milhares 2 5 2 4 2" xfId="42223"/>
    <cellStyle name="Separador de milhares 2 5 2 4 3" xfId="23318"/>
    <cellStyle name="Separador de milhares 2 5 2 5" xfId="9802"/>
    <cellStyle name="Separador de milhares 2 5 2 5 2" xfId="36315"/>
    <cellStyle name="Separador de milhares 2 5 2 6" xfId="29852"/>
    <cellStyle name="Separador de milhares 2 5 2 7" xfId="21546"/>
    <cellStyle name="Separador de milhares 2 5 3" xfId="906"/>
    <cellStyle name="Separador de milhares 2 5 3 2" xfId="5153"/>
    <cellStyle name="Separador de milhares 2 5 3 2 2" xfId="8368"/>
    <cellStyle name="Separador de milhares 2 5 3 2 2 2" xfId="20222"/>
    <cellStyle name="Separador de milhares 2 5 3 2 2 2 2" xfId="46701"/>
    <cellStyle name="Separador de milhares 2 5 3 2 2 3" xfId="14295"/>
    <cellStyle name="Separador de milhares 2 5 3 2 2 3 2" xfId="40793"/>
    <cellStyle name="Separador de milhares 2 5 3 2 2 4" xfId="34885"/>
    <cellStyle name="Separador de milhares 2 5 3 2 2 5" xfId="28351"/>
    <cellStyle name="Separador de milhares 2 5 3 2 3" xfId="17258"/>
    <cellStyle name="Separador de milhares 2 5 3 2 3 2" xfId="43747"/>
    <cellStyle name="Separador de milhares 2 5 3 2 4" xfId="11331"/>
    <cellStyle name="Separador de milhares 2 5 3 2 4 2" xfId="37839"/>
    <cellStyle name="Separador de milhares 2 5 3 2 5" xfId="31680"/>
    <cellStyle name="Separador de milhares 2 5 3 2 6" xfId="25146"/>
    <cellStyle name="Separador de milhares 2 5 3 3" xfId="6895"/>
    <cellStyle name="Separador de milhares 2 5 3 3 2" xfId="18749"/>
    <cellStyle name="Separador de milhares 2 5 3 3 2 2" xfId="45233"/>
    <cellStyle name="Separador de milhares 2 5 3 3 3" xfId="12822"/>
    <cellStyle name="Separador de milhares 2 5 3 3 3 2" xfId="39325"/>
    <cellStyle name="Separador de milhares 2 5 3 3 4" xfId="33417"/>
    <cellStyle name="Separador de milhares 2 5 3 3 5" xfId="26883"/>
    <cellStyle name="Separador de milhares 2 5 3 4" xfId="15785"/>
    <cellStyle name="Separador de milhares 2 5 3 4 2" xfId="42279"/>
    <cellStyle name="Separador de milhares 2 5 3 4 3" xfId="23374"/>
    <cellStyle name="Separador de milhares 2 5 3 5" xfId="9858"/>
    <cellStyle name="Separador de milhares 2 5 3 5 2" xfId="36371"/>
    <cellStyle name="Separador de milhares 2 5 3 6" xfId="29908"/>
    <cellStyle name="Separador de milhares 2 5 3 7" xfId="21602"/>
    <cellStyle name="Separador de milhares 2 5 4" xfId="1257"/>
    <cellStyle name="Separador de milhares 2 5 4 2" xfId="5251"/>
    <cellStyle name="Separador de milhares 2 5 4 2 2" xfId="8466"/>
    <cellStyle name="Separador de milhares 2 5 4 2 2 2" xfId="20320"/>
    <cellStyle name="Separador de milhares 2 5 4 2 2 2 2" xfId="46799"/>
    <cellStyle name="Separador de milhares 2 5 4 2 2 3" xfId="14393"/>
    <cellStyle name="Separador de milhares 2 5 4 2 2 3 2" xfId="40891"/>
    <cellStyle name="Separador de milhares 2 5 4 2 2 4" xfId="34983"/>
    <cellStyle name="Separador de milhares 2 5 4 2 2 5" xfId="28449"/>
    <cellStyle name="Separador de milhares 2 5 4 2 3" xfId="17356"/>
    <cellStyle name="Separador de milhares 2 5 4 2 3 2" xfId="43845"/>
    <cellStyle name="Separador de milhares 2 5 4 2 4" xfId="11429"/>
    <cellStyle name="Separador de milhares 2 5 4 2 4 2" xfId="37937"/>
    <cellStyle name="Separador de milhares 2 5 4 2 5" xfId="31778"/>
    <cellStyle name="Separador de milhares 2 5 4 2 6" xfId="25244"/>
    <cellStyle name="Separador de milhares 2 5 4 3" xfId="6993"/>
    <cellStyle name="Separador de milhares 2 5 4 3 2" xfId="18847"/>
    <cellStyle name="Separador de milhares 2 5 4 3 2 2" xfId="45331"/>
    <cellStyle name="Separador de milhares 2 5 4 3 3" xfId="12920"/>
    <cellStyle name="Separador de milhares 2 5 4 3 3 2" xfId="39423"/>
    <cellStyle name="Separador de milhares 2 5 4 3 4" xfId="33515"/>
    <cellStyle name="Separador de milhares 2 5 4 3 5" xfId="26981"/>
    <cellStyle name="Separador de milhares 2 5 4 4" xfId="15883"/>
    <cellStyle name="Separador de milhares 2 5 4 4 2" xfId="42377"/>
    <cellStyle name="Separador de milhares 2 5 4 4 3" xfId="23472"/>
    <cellStyle name="Separador de milhares 2 5 4 5" xfId="9956"/>
    <cellStyle name="Separador de milhares 2 5 4 5 2" xfId="36469"/>
    <cellStyle name="Separador de milhares 2 5 4 6" xfId="30006"/>
    <cellStyle name="Separador de milhares 2 5 4 7" xfId="21700"/>
    <cellStyle name="Separador de milhares 2 5 5" xfId="1692"/>
    <cellStyle name="Separador de milhares 2 5 5 2" xfId="5370"/>
    <cellStyle name="Separador de milhares 2 5 5 2 2" xfId="8585"/>
    <cellStyle name="Separador de milhares 2 5 5 2 2 2" xfId="20439"/>
    <cellStyle name="Separador de milhares 2 5 5 2 2 2 2" xfId="46918"/>
    <cellStyle name="Separador de milhares 2 5 5 2 2 3" xfId="14512"/>
    <cellStyle name="Separador de milhares 2 5 5 2 2 3 2" xfId="41010"/>
    <cellStyle name="Separador de milhares 2 5 5 2 2 4" xfId="35102"/>
    <cellStyle name="Separador de milhares 2 5 5 2 2 5" xfId="28568"/>
    <cellStyle name="Separador de milhares 2 5 5 2 3" xfId="17475"/>
    <cellStyle name="Separador de milhares 2 5 5 2 3 2" xfId="43964"/>
    <cellStyle name="Separador de milhares 2 5 5 2 4" xfId="11548"/>
    <cellStyle name="Separador de milhares 2 5 5 2 4 2" xfId="38056"/>
    <cellStyle name="Separador de milhares 2 5 5 2 5" xfId="31897"/>
    <cellStyle name="Separador de milhares 2 5 5 2 6" xfId="25363"/>
    <cellStyle name="Separador de milhares 2 5 5 3" xfId="7112"/>
    <cellStyle name="Separador de milhares 2 5 5 3 2" xfId="18966"/>
    <cellStyle name="Separador de milhares 2 5 5 3 2 2" xfId="45450"/>
    <cellStyle name="Separador de milhares 2 5 5 3 3" xfId="13039"/>
    <cellStyle name="Separador de milhares 2 5 5 3 3 2" xfId="39542"/>
    <cellStyle name="Separador de milhares 2 5 5 3 4" xfId="33634"/>
    <cellStyle name="Separador de milhares 2 5 5 3 5" xfId="27100"/>
    <cellStyle name="Separador de milhares 2 5 5 4" xfId="16002"/>
    <cellStyle name="Separador de milhares 2 5 5 4 2" xfId="42496"/>
    <cellStyle name="Separador de milhares 2 5 5 4 3" xfId="23591"/>
    <cellStyle name="Separador de milhares 2 5 5 5" xfId="10075"/>
    <cellStyle name="Separador de milhares 2 5 5 5 2" xfId="36588"/>
    <cellStyle name="Separador de milhares 2 5 5 6" xfId="30125"/>
    <cellStyle name="Separador de milhares 2 5 5 7" xfId="21819"/>
    <cellStyle name="Separador de milhares 2 5 6" xfId="2225"/>
    <cellStyle name="Separador de milhares 2 5 6 2" xfId="5520"/>
    <cellStyle name="Separador de milhares 2 5 6 2 2" xfId="8732"/>
    <cellStyle name="Separador de milhares 2 5 6 2 2 2" xfId="20586"/>
    <cellStyle name="Separador de milhares 2 5 6 2 2 2 2" xfId="47065"/>
    <cellStyle name="Separador de milhares 2 5 6 2 2 3" xfId="14659"/>
    <cellStyle name="Separador de milhares 2 5 6 2 2 3 2" xfId="41157"/>
    <cellStyle name="Separador de milhares 2 5 6 2 2 4" xfId="35249"/>
    <cellStyle name="Separador de milhares 2 5 6 2 2 5" xfId="28715"/>
    <cellStyle name="Separador de milhares 2 5 6 2 3" xfId="17622"/>
    <cellStyle name="Separador de milhares 2 5 6 2 3 2" xfId="44111"/>
    <cellStyle name="Separador de milhares 2 5 6 2 4" xfId="11695"/>
    <cellStyle name="Separador de milhares 2 5 6 2 4 2" xfId="38203"/>
    <cellStyle name="Separador de milhares 2 5 6 2 5" xfId="32047"/>
    <cellStyle name="Separador de milhares 2 5 6 2 6" xfId="25513"/>
    <cellStyle name="Separador de milhares 2 5 6 3" xfId="7260"/>
    <cellStyle name="Separador de milhares 2 5 6 3 2" xfId="19114"/>
    <cellStyle name="Separador de milhares 2 5 6 3 2 2" xfId="45597"/>
    <cellStyle name="Separador de milhares 2 5 6 3 3" xfId="13187"/>
    <cellStyle name="Separador de milhares 2 5 6 3 3 2" xfId="39689"/>
    <cellStyle name="Separador de milhares 2 5 6 3 4" xfId="33781"/>
    <cellStyle name="Separador de milhares 2 5 6 3 5" xfId="27247"/>
    <cellStyle name="Separador de milhares 2 5 6 4" xfId="16150"/>
    <cellStyle name="Separador de milhares 2 5 6 4 2" xfId="42643"/>
    <cellStyle name="Separador de milhares 2 5 6 4 3" xfId="23741"/>
    <cellStyle name="Separador de milhares 2 5 6 5" xfId="10223"/>
    <cellStyle name="Separador de milhares 2 5 6 5 2" xfId="36735"/>
    <cellStyle name="Separador de milhares 2 5 6 6" xfId="30275"/>
    <cellStyle name="Separador de milhares 2 5 6 7" xfId="21969"/>
    <cellStyle name="Separador de milhares 2 5 7" xfId="2753"/>
    <cellStyle name="Separador de milhares 2 5 7 2" xfId="5667"/>
    <cellStyle name="Separador de milhares 2 5 7 2 2" xfId="8879"/>
    <cellStyle name="Separador de milhares 2 5 7 2 2 2" xfId="20733"/>
    <cellStyle name="Separador de milhares 2 5 7 2 2 2 2" xfId="47212"/>
    <cellStyle name="Separador de milhares 2 5 7 2 2 3" xfId="14806"/>
    <cellStyle name="Separador de milhares 2 5 7 2 2 3 2" xfId="41304"/>
    <cellStyle name="Separador de milhares 2 5 7 2 2 4" xfId="35396"/>
    <cellStyle name="Separador de milhares 2 5 7 2 2 5" xfId="28862"/>
    <cellStyle name="Separador de milhares 2 5 7 2 3" xfId="17769"/>
    <cellStyle name="Separador de milhares 2 5 7 2 3 2" xfId="44258"/>
    <cellStyle name="Separador de milhares 2 5 7 2 4" xfId="11842"/>
    <cellStyle name="Separador de milhares 2 5 7 2 4 2" xfId="38350"/>
    <cellStyle name="Separador de milhares 2 5 7 2 5" xfId="32194"/>
    <cellStyle name="Separador de milhares 2 5 7 2 6" xfId="25660"/>
    <cellStyle name="Separador de milhares 2 5 7 3" xfId="7408"/>
    <cellStyle name="Separador de milhares 2 5 7 3 2" xfId="19262"/>
    <cellStyle name="Separador de milhares 2 5 7 3 2 2" xfId="45744"/>
    <cellStyle name="Separador de milhares 2 5 7 3 3" xfId="13335"/>
    <cellStyle name="Separador de milhares 2 5 7 3 3 2" xfId="39836"/>
    <cellStyle name="Separador de milhares 2 5 7 3 4" xfId="33928"/>
    <cellStyle name="Separador de milhares 2 5 7 3 5" xfId="27394"/>
    <cellStyle name="Separador de milhares 2 5 7 4" xfId="16298"/>
    <cellStyle name="Separador de milhares 2 5 7 4 2" xfId="42790"/>
    <cellStyle name="Separador de milhares 2 5 7 4 3" xfId="23888"/>
    <cellStyle name="Separador de milhares 2 5 7 5" xfId="10371"/>
    <cellStyle name="Separador de milhares 2 5 7 5 2" xfId="36882"/>
    <cellStyle name="Separador de milhares 2 5 7 6" xfId="30422"/>
    <cellStyle name="Separador de milhares 2 5 7 7" xfId="22116"/>
    <cellStyle name="Separador de milhares 2 5 8" xfId="3281"/>
    <cellStyle name="Separador de milhares 2 5 8 2" xfId="5814"/>
    <cellStyle name="Separador de milhares 2 5 8 2 2" xfId="9026"/>
    <cellStyle name="Separador de milhares 2 5 8 2 2 2" xfId="20880"/>
    <cellStyle name="Separador de milhares 2 5 8 2 2 2 2" xfId="47359"/>
    <cellStyle name="Separador de milhares 2 5 8 2 2 3" xfId="14953"/>
    <cellStyle name="Separador de milhares 2 5 8 2 2 3 2" xfId="41451"/>
    <cellStyle name="Separador de milhares 2 5 8 2 2 4" xfId="35543"/>
    <cellStyle name="Separador de milhares 2 5 8 2 2 5" xfId="29009"/>
    <cellStyle name="Separador de milhares 2 5 8 2 3" xfId="17916"/>
    <cellStyle name="Separador de milhares 2 5 8 2 3 2" xfId="44405"/>
    <cellStyle name="Separador de milhares 2 5 8 2 4" xfId="11989"/>
    <cellStyle name="Separador de milhares 2 5 8 2 4 2" xfId="38497"/>
    <cellStyle name="Separador de milhares 2 5 8 2 5" xfId="32341"/>
    <cellStyle name="Separador de milhares 2 5 8 2 6" xfId="25807"/>
    <cellStyle name="Separador de milhares 2 5 8 3" xfId="7556"/>
    <cellStyle name="Separador de milhares 2 5 8 3 2" xfId="19410"/>
    <cellStyle name="Separador de milhares 2 5 8 3 2 2" xfId="45891"/>
    <cellStyle name="Separador de milhares 2 5 8 3 3" xfId="13483"/>
    <cellStyle name="Separador de milhares 2 5 8 3 3 2" xfId="39983"/>
    <cellStyle name="Separador de milhares 2 5 8 3 4" xfId="34075"/>
    <cellStyle name="Separador de milhares 2 5 8 3 5" xfId="27541"/>
    <cellStyle name="Separador de milhares 2 5 8 4" xfId="16446"/>
    <cellStyle name="Separador de milhares 2 5 8 4 2" xfId="42937"/>
    <cellStyle name="Separador de milhares 2 5 8 4 3" xfId="24035"/>
    <cellStyle name="Separador de milhares 2 5 8 5" xfId="10519"/>
    <cellStyle name="Separador de milhares 2 5 8 5 2" xfId="37029"/>
    <cellStyle name="Separador de milhares 2 5 8 6" xfId="30569"/>
    <cellStyle name="Separador de milhares 2 5 8 7" xfId="22263"/>
    <cellStyle name="Separador de milhares 2 5 9" xfId="3809"/>
    <cellStyle name="Separador de milhares 2 5 9 2" xfId="5961"/>
    <cellStyle name="Separador de milhares 2 5 9 2 2" xfId="9173"/>
    <cellStyle name="Separador de milhares 2 5 9 2 2 2" xfId="21027"/>
    <cellStyle name="Separador de milhares 2 5 9 2 2 2 2" xfId="47506"/>
    <cellStyle name="Separador de milhares 2 5 9 2 2 3" xfId="15100"/>
    <cellStyle name="Separador de milhares 2 5 9 2 2 3 2" xfId="41598"/>
    <cellStyle name="Separador de milhares 2 5 9 2 2 4" xfId="35690"/>
    <cellStyle name="Separador de milhares 2 5 9 2 2 5" xfId="29156"/>
    <cellStyle name="Separador de milhares 2 5 9 2 3" xfId="18063"/>
    <cellStyle name="Separador de milhares 2 5 9 2 3 2" xfId="44552"/>
    <cellStyle name="Separador de milhares 2 5 9 2 4" xfId="12136"/>
    <cellStyle name="Separador de milhares 2 5 9 2 4 2" xfId="38644"/>
    <cellStyle name="Separador de milhares 2 5 9 2 5" xfId="32488"/>
    <cellStyle name="Separador de milhares 2 5 9 2 6" xfId="25954"/>
    <cellStyle name="Separador de milhares 2 5 9 3" xfId="7704"/>
    <cellStyle name="Separador de milhares 2 5 9 3 2" xfId="19558"/>
    <cellStyle name="Separador de milhares 2 5 9 3 2 2" xfId="46038"/>
    <cellStyle name="Separador de milhares 2 5 9 3 3" xfId="13631"/>
    <cellStyle name="Separador de milhares 2 5 9 3 3 2" xfId="40130"/>
    <cellStyle name="Separador de milhares 2 5 9 3 4" xfId="34222"/>
    <cellStyle name="Separador de milhares 2 5 9 3 5" xfId="27688"/>
    <cellStyle name="Separador de milhares 2 5 9 4" xfId="16594"/>
    <cellStyle name="Separador de milhares 2 5 9 4 2" xfId="43084"/>
    <cellStyle name="Separador de milhares 2 5 9 4 3" xfId="24182"/>
    <cellStyle name="Separador de milhares 2 5 9 5" xfId="10667"/>
    <cellStyle name="Separador de milhares 2 5 9 5 2" xfId="37176"/>
    <cellStyle name="Separador de milhares 2 5 9 6" xfId="30716"/>
    <cellStyle name="Separador de milhares 2 5 9 7" xfId="22410"/>
    <cellStyle name="Separador de milhares 2 6" xfId="4920"/>
    <cellStyle name="Separador de milhares 2 6 2" xfId="8144"/>
    <cellStyle name="Separador de milhares 2 6 2 2" xfId="19998"/>
    <cellStyle name="Separador de milhares 2 6 2 2 2" xfId="46477"/>
    <cellStyle name="Separador de milhares 2 6 2 3" xfId="14071"/>
    <cellStyle name="Separador de milhares 2 6 2 3 2" xfId="40569"/>
    <cellStyle name="Separador de milhares 2 6 2 4" xfId="34661"/>
    <cellStyle name="Separador de milhares 2 6 2 5" xfId="28127"/>
    <cellStyle name="Separador de milhares 2 6 3" xfId="17034"/>
    <cellStyle name="Separador de milhares 2 6 3 2" xfId="43523"/>
    <cellStyle name="Separador de milhares 2 6 4" xfId="11107"/>
    <cellStyle name="Separador de milhares 2 6 4 2" xfId="37615"/>
    <cellStyle name="Separador de milhares 2 6 5" xfId="31447"/>
    <cellStyle name="Separador de milhares 2 6 6" xfId="24913"/>
    <cellStyle name="Separador de milhares 2 7" xfId="6668"/>
    <cellStyle name="Separador de milhares 2 7 2" xfId="18522"/>
    <cellStyle name="Separador de milhares 2 7 2 2" xfId="45009"/>
    <cellStyle name="Separador de milhares 2 7 3" xfId="12595"/>
    <cellStyle name="Separador de milhares 2 7 3 2" xfId="39101"/>
    <cellStyle name="Separador de milhares 2 7 4" xfId="33193"/>
    <cellStyle name="Separador de milhares 2 7 5" xfId="26659"/>
    <cellStyle name="Separador de milhares 2 8" xfId="15558"/>
    <cellStyle name="Separador de milhares 2 8 2" xfId="42055"/>
    <cellStyle name="Separador de milhares 2 8 3" xfId="23141"/>
    <cellStyle name="Separador de milhares 2 9" xfId="9631"/>
    <cellStyle name="Separador de milhares 2 9 2" xfId="36147"/>
    <cellStyle name="Separador de milhares 3" xfId="154"/>
    <cellStyle name="Separador de milhares 3 10" xfId="209"/>
    <cellStyle name="Separador de milhares 3 10 10" xfId="2719"/>
    <cellStyle name="Separador de milhares 3 10 10 2" xfId="5658"/>
    <cellStyle name="Separador de milhares 3 10 10 2 2" xfId="8870"/>
    <cellStyle name="Separador de milhares 3 10 10 2 2 2" xfId="20724"/>
    <cellStyle name="Separador de milhares 3 10 10 2 2 2 2" xfId="47203"/>
    <cellStyle name="Separador de milhares 3 10 10 2 2 3" xfId="14797"/>
    <cellStyle name="Separador de milhares 3 10 10 2 2 3 2" xfId="41295"/>
    <cellStyle name="Separador de milhares 3 10 10 2 2 4" xfId="35387"/>
    <cellStyle name="Separador de milhares 3 10 10 2 2 5" xfId="28853"/>
    <cellStyle name="Separador de milhares 3 10 10 2 3" xfId="17760"/>
    <cellStyle name="Separador de milhares 3 10 10 2 3 2" xfId="44249"/>
    <cellStyle name="Separador de milhares 3 10 10 2 4" xfId="11833"/>
    <cellStyle name="Separador de milhares 3 10 10 2 4 2" xfId="38341"/>
    <cellStyle name="Separador de milhares 3 10 10 2 5" xfId="32185"/>
    <cellStyle name="Separador de milhares 3 10 10 2 6" xfId="25651"/>
    <cellStyle name="Separador de milhares 3 10 10 3" xfId="7399"/>
    <cellStyle name="Separador de milhares 3 10 10 3 2" xfId="19253"/>
    <cellStyle name="Separador de milhares 3 10 10 3 2 2" xfId="45735"/>
    <cellStyle name="Separador de milhares 3 10 10 3 3" xfId="13326"/>
    <cellStyle name="Separador de milhares 3 10 10 3 3 2" xfId="39827"/>
    <cellStyle name="Separador de milhares 3 10 10 3 4" xfId="33919"/>
    <cellStyle name="Separador de milhares 3 10 10 3 5" xfId="27385"/>
    <cellStyle name="Separador de milhares 3 10 10 4" xfId="16289"/>
    <cellStyle name="Separador de milhares 3 10 10 4 2" xfId="42781"/>
    <cellStyle name="Separador de milhares 3 10 10 4 3" xfId="23879"/>
    <cellStyle name="Separador de milhares 3 10 10 5" xfId="10362"/>
    <cellStyle name="Separador de milhares 3 10 10 5 2" xfId="36873"/>
    <cellStyle name="Separador de milhares 3 10 10 6" xfId="30413"/>
    <cellStyle name="Separador de milhares 3 10 10 7" xfId="22107"/>
    <cellStyle name="Separador de milhares 3 10 11" xfId="3247"/>
    <cellStyle name="Separador de milhares 3 10 11 2" xfId="5805"/>
    <cellStyle name="Separador de milhares 3 10 11 2 2" xfId="9017"/>
    <cellStyle name="Separador de milhares 3 10 11 2 2 2" xfId="20871"/>
    <cellStyle name="Separador de milhares 3 10 11 2 2 2 2" xfId="47350"/>
    <cellStyle name="Separador de milhares 3 10 11 2 2 3" xfId="14944"/>
    <cellStyle name="Separador de milhares 3 10 11 2 2 3 2" xfId="41442"/>
    <cellStyle name="Separador de milhares 3 10 11 2 2 4" xfId="35534"/>
    <cellStyle name="Separador de milhares 3 10 11 2 2 5" xfId="29000"/>
    <cellStyle name="Separador de milhares 3 10 11 2 3" xfId="17907"/>
    <cellStyle name="Separador de milhares 3 10 11 2 3 2" xfId="44396"/>
    <cellStyle name="Separador de milhares 3 10 11 2 4" xfId="11980"/>
    <cellStyle name="Separador de milhares 3 10 11 2 4 2" xfId="38488"/>
    <cellStyle name="Separador de milhares 3 10 11 2 5" xfId="32332"/>
    <cellStyle name="Separador de milhares 3 10 11 2 6" xfId="25798"/>
    <cellStyle name="Separador de milhares 3 10 11 3" xfId="7547"/>
    <cellStyle name="Separador de milhares 3 10 11 3 2" xfId="19401"/>
    <cellStyle name="Separador de milhares 3 10 11 3 2 2" xfId="45882"/>
    <cellStyle name="Separador de milhares 3 10 11 3 3" xfId="13474"/>
    <cellStyle name="Separador de milhares 3 10 11 3 3 2" xfId="39974"/>
    <cellStyle name="Separador de milhares 3 10 11 3 4" xfId="34066"/>
    <cellStyle name="Separador de milhares 3 10 11 3 5" xfId="27532"/>
    <cellStyle name="Separador de milhares 3 10 11 4" xfId="16437"/>
    <cellStyle name="Separador de milhares 3 10 11 4 2" xfId="42928"/>
    <cellStyle name="Separador de milhares 3 10 11 4 3" xfId="24026"/>
    <cellStyle name="Separador de milhares 3 10 11 5" xfId="10510"/>
    <cellStyle name="Separador de milhares 3 10 11 5 2" xfId="37020"/>
    <cellStyle name="Separador de milhares 3 10 11 6" xfId="30560"/>
    <cellStyle name="Separador de milhares 3 10 11 7" xfId="22254"/>
    <cellStyle name="Separador de milhares 3 10 12" xfId="3775"/>
    <cellStyle name="Separador de milhares 3 10 12 2" xfId="5952"/>
    <cellStyle name="Separador de milhares 3 10 12 2 2" xfId="9164"/>
    <cellStyle name="Separador de milhares 3 10 12 2 2 2" xfId="21018"/>
    <cellStyle name="Separador de milhares 3 10 12 2 2 2 2" xfId="47497"/>
    <cellStyle name="Separador de milhares 3 10 12 2 2 3" xfId="15091"/>
    <cellStyle name="Separador de milhares 3 10 12 2 2 3 2" xfId="41589"/>
    <cellStyle name="Separador de milhares 3 10 12 2 2 4" xfId="35681"/>
    <cellStyle name="Separador de milhares 3 10 12 2 2 5" xfId="29147"/>
    <cellStyle name="Separador de milhares 3 10 12 2 3" xfId="18054"/>
    <cellStyle name="Separador de milhares 3 10 12 2 3 2" xfId="44543"/>
    <cellStyle name="Separador de milhares 3 10 12 2 4" xfId="12127"/>
    <cellStyle name="Separador de milhares 3 10 12 2 4 2" xfId="38635"/>
    <cellStyle name="Separador de milhares 3 10 12 2 5" xfId="32479"/>
    <cellStyle name="Separador de milhares 3 10 12 2 6" xfId="25945"/>
    <cellStyle name="Separador de milhares 3 10 12 3" xfId="7695"/>
    <cellStyle name="Separador de milhares 3 10 12 3 2" xfId="19549"/>
    <cellStyle name="Separador de milhares 3 10 12 3 2 2" xfId="46029"/>
    <cellStyle name="Separador de milhares 3 10 12 3 3" xfId="13622"/>
    <cellStyle name="Separador de milhares 3 10 12 3 3 2" xfId="40121"/>
    <cellStyle name="Separador de milhares 3 10 12 3 4" xfId="34213"/>
    <cellStyle name="Separador de milhares 3 10 12 3 5" xfId="27679"/>
    <cellStyle name="Separador de milhares 3 10 12 4" xfId="16585"/>
    <cellStyle name="Separador de milhares 3 10 12 4 2" xfId="43075"/>
    <cellStyle name="Separador de milhares 3 10 12 4 3" xfId="24173"/>
    <cellStyle name="Separador de milhares 3 10 12 5" xfId="10658"/>
    <cellStyle name="Separador de milhares 3 10 12 5 2" xfId="37167"/>
    <cellStyle name="Separador de milhares 3 10 12 6" xfId="30707"/>
    <cellStyle name="Separador de milhares 3 10 12 7" xfId="22401"/>
    <cellStyle name="Separador de milhares 3 10 13" xfId="4936"/>
    <cellStyle name="Separador de milhares 3 10 13 2" xfId="8160"/>
    <cellStyle name="Separador de milhares 3 10 13 2 2" xfId="20014"/>
    <cellStyle name="Separador de milhares 3 10 13 2 2 2" xfId="46493"/>
    <cellStyle name="Separador de milhares 3 10 13 2 3" xfId="14087"/>
    <cellStyle name="Separador de milhares 3 10 13 2 3 2" xfId="40585"/>
    <cellStyle name="Separador de milhares 3 10 13 2 4" xfId="34677"/>
    <cellStyle name="Separador de milhares 3 10 13 2 5" xfId="28143"/>
    <cellStyle name="Separador de milhares 3 10 13 3" xfId="17050"/>
    <cellStyle name="Separador de milhares 3 10 13 3 2" xfId="43539"/>
    <cellStyle name="Separador de milhares 3 10 13 4" xfId="11123"/>
    <cellStyle name="Separador de milhares 3 10 13 4 2" xfId="37631"/>
    <cellStyle name="Separador de milhares 3 10 13 5" xfId="31463"/>
    <cellStyle name="Separador de milhares 3 10 13 6" xfId="24929"/>
    <cellStyle name="Separador de milhares 3 10 14" xfId="6684"/>
    <cellStyle name="Separador de milhares 3 10 14 2" xfId="18538"/>
    <cellStyle name="Separador de milhares 3 10 14 2 2" xfId="45025"/>
    <cellStyle name="Separador de milhares 3 10 14 3" xfId="12611"/>
    <cellStyle name="Separador de milhares 3 10 14 3 2" xfId="39117"/>
    <cellStyle name="Separador de milhares 3 10 14 4" xfId="33209"/>
    <cellStyle name="Separador de milhares 3 10 14 5" xfId="26675"/>
    <cellStyle name="Separador de milhares 3 10 15" xfId="15574"/>
    <cellStyle name="Separador de milhares 3 10 15 2" xfId="42071"/>
    <cellStyle name="Separador de milhares 3 10 15 3" xfId="23157"/>
    <cellStyle name="Separador de milhares 3 10 16" xfId="9647"/>
    <cellStyle name="Separador de milhares 3 10 16 2" xfId="36163"/>
    <cellStyle name="Separador de milhares 3 10 17" xfId="29691"/>
    <cellStyle name="Separador de milhares 3 10 2" xfId="303"/>
    <cellStyle name="Separador de milhares 3 10 2 10" xfId="4965"/>
    <cellStyle name="Separador de milhares 3 10 2 10 2" xfId="8187"/>
    <cellStyle name="Separador de milhares 3 10 2 10 2 2" xfId="20041"/>
    <cellStyle name="Separador de milhares 3 10 2 10 2 2 2" xfId="46520"/>
    <cellStyle name="Separador de milhares 3 10 2 10 2 3" xfId="14114"/>
    <cellStyle name="Separador de milhares 3 10 2 10 2 3 2" xfId="40612"/>
    <cellStyle name="Separador de milhares 3 10 2 10 2 4" xfId="34704"/>
    <cellStyle name="Separador de milhares 3 10 2 10 2 5" xfId="28170"/>
    <cellStyle name="Separador de milhares 3 10 2 10 3" xfId="17077"/>
    <cellStyle name="Separador de milhares 3 10 2 10 3 2" xfId="43566"/>
    <cellStyle name="Separador de milhares 3 10 2 10 4" xfId="11150"/>
    <cellStyle name="Separador de milhares 3 10 2 10 4 2" xfId="37658"/>
    <cellStyle name="Separador de milhares 3 10 2 10 5" xfId="31492"/>
    <cellStyle name="Separador de milhares 3 10 2 10 6" xfId="24958"/>
    <cellStyle name="Separador de milhares 3 10 2 11" xfId="6711"/>
    <cellStyle name="Separador de milhares 3 10 2 11 2" xfId="18565"/>
    <cellStyle name="Separador de milhares 3 10 2 11 2 2" xfId="45052"/>
    <cellStyle name="Separador de milhares 3 10 2 11 3" xfId="12638"/>
    <cellStyle name="Separador de milhares 3 10 2 11 3 2" xfId="39144"/>
    <cellStyle name="Separador de milhares 3 10 2 11 4" xfId="33236"/>
    <cellStyle name="Separador de milhares 3 10 2 11 5" xfId="26702"/>
    <cellStyle name="Separador de milhares 3 10 2 12" xfId="15601"/>
    <cellStyle name="Separador de milhares 3 10 2 12 2" xfId="42098"/>
    <cellStyle name="Separador de milhares 3 10 2 12 3" xfId="23186"/>
    <cellStyle name="Separador de milhares 3 10 2 13" xfId="9674"/>
    <cellStyle name="Separador de milhares 3 10 2 13 2" xfId="36190"/>
    <cellStyle name="Separador de milhares 3 10 2 14" xfId="29720"/>
    <cellStyle name="Separador de milhares 3 10 2 15" xfId="21438"/>
    <cellStyle name="Separador de milhares 3 10 2 2" xfId="578"/>
    <cellStyle name="Separador de milhares 3 10 2 2 10" xfId="9748"/>
    <cellStyle name="Separador de milhares 3 10 2 2 10 2" xfId="36264"/>
    <cellStyle name="Separador de milhares 3 10 2 2 11" xfId="29801"/>
    <cellStyle name="Separador de milhares 3 10 2 2 12" xfId="21496"/>
    <cellStyle name="Separador de milhares 3 10 2 2 2" xfId="2099"/>
    <cellStyle name="Separador de milhares 3 10 2 2 2 2" xfId="5484"/>
    <cellStyle name="Separador de milhares 3 10 2 2 2 2 2" xfId="8699"/>
    <cellStyle name="Separador de milhares 3 10 2 2 2 2 2 2" xfId="20553"/>
    <cellStyle name="Separador de milhares 3 10 2 2 2 2 2 2 2" xfId="47032"/>
    <cellStyle name="Separador de milhares 3 10 2 2 2 2 2 3" xfId="14626"/>
    <cellStyle name="Separador de milhares 3 10 2 2 2 2 2 3 2" xfId="41124"/>
    <cellStyle name="Separador de milhares 3 10 2 2 2 2 2 4" xfId="35216"/>
    <cellStyle name="Separador de milhares 3 10 2 2 2 2 2 5" xfId="28682"/>
    <cellStyle name="Separador de milhares 3 10 2 2 2 2 3" xfId="17589"/>
    <cellStyle name="Separador de milhares 3 10 2 2 2 2 3 2" xfId="44078"/>
    <cellStyle name="Separador de milhares 3 10 2 2 2 2 4" xfId="11662"/>
    <cellStyle name="Separador de milhares 3 10 2 2 2 2 4 2" xfId="38170"/>
    <cellStyle name="Separador de milhares 3 10 2 2 2 2 5" xfId="32011"/>
    <cellStyle name="Separador de milhares 3 10 2 2 2 2 6" xfId="25477"/>
    <cellStyle name="Separador de milhares 3 10 2 2 2 3" xfId="7227"/>
    <cellStyle name="Separador de milhares 3 10 2 2 2 3 2" xfId="19081"/>
    <cellStyle name="Separador de milhares 3 10 2 2 2 3 2 2" xfId="45564"/>
    <cellStyle name="Separador de milhares 3 10 2 2 2 3 3" xfId="13154"/>
    <cellStyle name="Separador de milhares 3 10 2 2 2 3 3 2" xfId="39656"/>
    <cellStyle name="Separador de milhares 3 10 2 2 2 3 4" xfId="33748"/>
    <cellStyle name="Separador de milhares 3 10 2 2 2 3 5" xfId="27214"/>
    <cellStyle name="Separador de milhares 3 10 2 2 2 4" xfId="16117"/>
    <cellStyle name="Separador de milhares 3 10 2 2 2 4 2" xfId="42610"/>
    <cellStyle name="Separador de milhares 3 10 2 2 2 4 3" xfId="23705"/>
    <cellStyle name="Separador de milhares 3 10 2 2 2 5" xfId="10190"/>
    <cellStyle name="Separador de milhares 3 10 2 2 2 5 2" xfId="36702"/>
    <cellStyle name="Separador de milhares 3 10 2 2 2 6" xfId="30239"/>
    <cellStyle name="Separador de milhares 3 10 2 2 2 7" xfId="21933"/>
    <cellStyle name="Separador de milhares 3 10 2 2 3" xfId="2632"/>
    <cellStyle name="Separador de milhares 3 10 2 2 3 2" xfId="5634"/>
    <cellStyle name="Separador de milhares 3 10 2 2 3 2 2" xfId="8846"/>
    <cellStyle name="Separador de milhares 3 10 2 2 3 2 2 2" xfId="20700"/>
    <cellStyle name="Separador de milhares 3 10 2 2 3 2 2 2 2" xfId="47179"/>
    <cellStyle name="Separador de milhares 3 10 2 2 3 2 2 3" xfId="14773"/>
    <cellStyle name="Separador de milhares 3 10 2 2 3 2 2 3 2" xfId="41271"/>
    <cellStyle name="Separador de milhares 3 10 2 2 3 2 2 4" xfId="35363"/>
    <cellStyle name="Separador de milhares 3 10 2 2 3 2 2 5" xfId="28829"/>
    <cellStyle name="Separador de milhares 3 10 2 2 3 2 3" xfId="17736"/>
    <cellStyle name="Separador de milhares 3 10 2 2 3 2 3 2" xfId="44225"/>
    <cellStyle name="Separador de milhares 3 10 2 2 3 2 4" xfId="11809"/>
    <cellStyle name="Separador de milhares 3 10 2 2 3 2 4 2" xfId="38317"/>
    <cellStyle name="Separador de milhares 3 10 2 2 3 2 5" xfId="32161"/>
    <cellStyle name="Separador de milhares 3 10 2 2 3 2 6" xfId="25627"/>
    <cellStyle name="Separador de milhares 3 10 2 2 3 3" xfId="7375"/>
    <cellStyle name="Separador de milhares 3 10 2 2 3 3 2" xfId="19229"/>
    <cellStyle name="Separador de milhares 3 10 2 2 3 3 2 2" xfId="45711"/>
    <cellStyle name="Separador de milhares 3 10 2 2 3 3 3" xfId="13302"/>
    <cellStyle name="Separador de milhares 3 10 2 2 3 3 3 2" xfId="39803"/>
    <cellStyle name="Separador de milhares 3 10 2 2 3 3 4" xfId="33895"/>
    <cellStyle name="Separador de milhares 3 10 2 2 3 3 5" xfId="27361"/>
    <cellStyle name="Separador de milhares 3 10 2 2 3 4" xfId="16265"/>
    <cellStyle name="Separador de milhares 3 10 2 2 3 4 2" xfId="42757"/>
    <cellStyle name="Separador de milhares 3 10 2 2 3 4 3" xfId="23855"/>
    <cellStyle name="Separador de milhares 3 10 2 2 3 5" xfId="10338"/>
    <cellStyle name="Separador de milhares 3 10 2 2 3 5 2" xfId="36849"/>
    <cellStyle name="Separador de milhares 3 10 2 2 3 6" xfId="30389"/>
    <cellStyle name="Separador de milhares 3 10 2 2 3 7" xfId="22083"/>
    <cellStyle name="Separador de milhares 3 10 2 2 4" xfId="3160"/>
    <cellStyle name="Separador de milhares 3 10 2 2 4 2" xfId="5781"/>
    <cellStyle name="Separador de milhares 3 10 2 2 4 2 2" xfId="8993"/>
    <cellStyle name="Separador de milhares 3 10 2 2 4 2 2 2" xfId="20847"/>
    <cellStyle name="Separador de milhares 3 10 2 2 4 2 2 2 2" xfId="47326"/>
    <cellStyle name="Separador de milhares 3 10 2 2 4 2 2 3" xfId="14920"/>
    <cellStyle name="Separador de milhares 3 10 2 2 4 2 2 3 2" xfId="41418"/>
    <cellStyle name="Separador de milhares 3 10 2 2 4 2 2 4" xfId="35510"/>
    <cellStyle name="Separador de milhares 3 10 2 2 4 2 2 5" xfId="28976"/>
    <cellStyle name="Separador de milhares 3 10 2 2 4 2 3" xfId="17883"/>
    <cellStyle name="Separador de milhares 3 10 2 2 4 2 3 2" xfId="44372"/>
    <cellStyle name="Separador de milhares 3 10 2 2 4 2 4" xfId="11956"/>
    <cellStyle name="Separador de milhares 3 10 2 2 4 2 4 2" xfId="38464"/>
    <cellStyle name="Separador de milhares 3 10 2 2 4 2 5" xfId="32308"/>
    <cellStyle name="Separador de milhares 3 10 2 2 4 2 6" xfId="25774"/>
    <cellStyle name="Separador de milhares 3 10 2 2 4 3" xfId="7523"/>
    <cellStyle name="Separador de milhares 3 10 2 2 4 3 2" xfId="19377"/>
    <cellStyle name="Separador de milhares 3 10 2 2 4 3 2 2" xfId="45858"/>
    <cellStyle name="Separador de milhares 3 10 2 2 4 3 3" xfId="13450"/>
    <cellStyle name="Separador de milhares 3 10 2 2 4 3 3 2" xfId="39950"/>
    <cellStyle name="Separador de milhares 3 10 2 2 4 3 4" xfId="34042"/>
    <cellStyle name="Separador de milhares 3 10 2 2 4 3 5" xfId="27508"/>
    <cellStyle name="Separador de milhares 3 10 2 2 4 4" xfId="16413"/>
    <cellStyle name="Separador de milhares 3 10 2 2 4 4 2" xfId="42904"/>
    <cellStyle name="Separador de milhares 3 10 2 2 4 4 3" xfId="24002"/>
    <cellStyle name="Separador de milhares 3 10 2 2 4 5" xfId="10486"/>
    <cellStyle name="Separador de milhares 3 10 2 2 4 5 2" xfId="36996"/>
    <cellStyle name="Separador de milhares 3 10 2 2 4 6" xfId="30536"/>
    <cellStyle name="Separador de milhares 3 10 2 2 4 7" xfId="22230"/>
    <cellStyle name="Separador de milhares 3 10 2 2 5" xfId="3688"/>
    <cellStyle name="Separador de milhares 3 10 2 2 5 2" xfId="5928"/>
    <cellStyle name="Separador de milhares 3 10 2 2 5 2 2" xfId="9140"/>
    <cellStyle name="Separador de milhares 3 10 2 2 5 2 2 2" xfId="20994"/>
    <cellStyle name="Separador de milhares 3 10 2 2 5 2 2 2 2" xfId="47473"/>
    <cellStyle name="Separador de milhares 3 10 2 2 5 2 2 3" xfId="15067"/>
    <cellStyle name="Separador de milhares 3 10 2 2 5 2 2 3 2" xfId="41565"/>
    <cellStyle name="Separador de milhares 3 10 2 2 5 2 2 4" xfId="35657"/>
    <cellStyle name="Separador de milhares 3 10 2 2 5 2 2 5" xfId="29123"/>
    <cellStyle name="Separador de milhares 3 10 2 2 5 2 3" xfId="18030"/>
    <cellStyle name="Separador de milhares 3 10 2 2 5 2 3 2" xfId="44519"/>
    <cellStyle name="Separador de milhares 3 10 2 2 5 2 4" xfId="12103"/>
    <cellStyle name="Separador de milhares 3 10 2 2 5 2 4 2" xfId="38611"/>
    <cellStyle name="Separador de milhares 3 10 2 2 5 2 5" xfId="32455"/>
    <cellStyle name="Separador de milhares 3 10 2 2 5 2 6" xfId="25921"/>
    <cellStyle name="Separador de milhares 3 10 2 2 5 3" xfId="7671"/>
    <cellStyle name="Separador de milhares 3 10 2 2 5 3 2" xfId="19525"/>
    <cellStyle name="Separador de milhares 3 10 2 2 5 3 2 2" xfId="46005"/>
    <cellStyle name="Separador de milhares 3 10 2 2 5 3 3" xfId="13598"/>
    <cellStyle name="Separador de milhares 3 10 2 2 5 3 3 2" xfId="40097"/>
    <cellStyle name="Separador de milhares 3 10 2 2 5 3 4" xfId="34189"/>
    <cellStyle name="Separador de milhares 3 10 2 2 5 3 5" xfId="27655"/>
    <cellStyle name="Separador de milhares 3 10 2 2 5 4" xfId="16561"/>
    <cellStyle name="Separador de milhares 3 10 2 2 5 4 2" xfId="43051"/>
    <cellStyle name="Separador de milhares 3 10 2 2 5 4 3" xfId="24149"/>
    <cellStyle name="Separador de milhares 3 10 2 2 5 5" xfId="10634"/>
    <cellStyle name="Separador de milhares 3 10 2 2 5 5 2" xfId="37143"/>
    <cellStyle name="Separador de milhares 3 10 2 2 5 6" xfId="30683"/>
    <cellStyle name="Separador de milhares 3 10 2 2 5 7" xfId="22377"/>
    <cellStyle name="Separador de milhares 3 10 2 2 6" xfId="4216"/>
    <cellStyle name="Separador de milhares 3 10 2 2 6 2" xfId="6075"/>
    <cellStyle name="Separador de milhares 3 10 2 2 6 2 2" xfId="9287"/>
    <cellStyle name="Separador de milhares 3 10 2 2 6 2 2 2" xfId="21141"/>
    <cellStyle name="Separador de milhares 3 10 2 2 6 2 2 2 2" xfId="47620"/>
    <cellStyle name="Separador de milhares 3 10 2 2 6 2 2 3" xfId="15214"/>
    <cellStyle name="Separador de milhares 3 10 2 2 6 2 2 3 2" xfId="41712"/>
    <cellStyle name="Separador de milhares 3 10 2 2 6 2 2 4" xfId="35804"/>
    <cellStyle name="Separador de milhares 3 10 2 2 6 2 2 5" xfId="29270"/>
    <cellStyle name="Separador de milhares 3 10 2 2 6 2 3" xfId="18177"/>
    <cellStyle name="Separador de milhares 3 10 2 2 6 2 3 2" xfId="44666"/>
    <cellStyle name="Separador de milhares 3 10 2 2 6 2 4" xfId="12250"/>
    <cellStyle name="Separador de milhares 3 10 2 2 6 2 4 2" xfId="38758"/>
    <cellStyle name="Separador de milhares 3 10 2 2 6 2 5" xfId="32602"/>
    <cellStyle name="Separador de milhares 3 10 2 2 6 2 6" xfId="26068"/>
    <cellStyle name="Separador de milhares 3 10 2 2 6 3" xfId="7819"/>
    <cellStyle name="Separador de milhares 3 10 2 2 6 3 2" xfId="19673"/>
    <cellStyle name="Separador de milhares 3 10 2 2 6 3 2 2" xfId="46152"/>
    <cellStyle name="Separador de milhares 3 10 2 2 6 3 3" xfId="13746"/>
    <cellStyle name="Separador de milhares 3 10 2 2 6 3 3 2" xfId="40244"/>
    <cellStyle name="Separador de milhares 3 10 2 2 6 3 4" xfId="34336"/>
    <cellStyle name="Separador de milhares 3 10 2 2 6 3 5" xfId="27802"/>
    <cellStyle name="Separador de milhares 3 10 2 2 6 4" xfId="16709"/>
    <cellStyle name="Separador de milhares 3 10 2 2 6 4 2" xfId="43198"/>
    <cellStyle name="Separador de milhares 3 10 2 2 6 4 3" xfId="24296"/>
    <cellStyle name="Separador de milhares 3 10 2 2 6 5" xfId="10782"/>
    <cellStyle name="Separador de milhares 3 10 2 2 6 5 2" xfId="37290"/>
    <cellStyle name="Separador de milhares 3 10 2 2 6 6" xfId="30830"/>
    <cellStyle name="Separador de milhares 3 10 2 2 6 7" xfId="22524"/>
    <cellStyle name="Separador de milhares 3 10 2 2 7" xfId="5046"/>
    <cellStyle name="Separador de milhares 3 10 2 2 7 2" xfId="8261"/>
    <cellStyle name="Separador de milhares 3 10 2 2 7 2 2" xfId="20115"/>
    <cellStyle name="Separador de milhares 3 10 2 2 7 2 2 2" xfId="46594"/>
    <cellStyle name="Separador de milhares 3 10 2 2 7 2 3" xfId="14188"/>
    <cellStyle name="Separador de milhares 3 10 2 2 7 2 3 2" xfId="40686"/>
    <cellStyle name="Separador de milhares 3 10 2 2 7 2 4" xfId="34778"/>
    <cellStyle name="Separador de milhares 3 10 2 2 7 2 5" xfId="28244"/>
    <cellStyle name="Separador de milhares 3 10 2 2 7 3" xfId="17151"/>
    <cellStyle name="Separador de milhares 3 10 2 2 7 3 2" xfId="43640"/>
    <cellStyle name="Separador de milhares 3 10 2 2 7 4" xfId="11224"/>
    <cellStyle name="Separador de milhares 3 10 2 2 7 4 2" xfId="37732"/>
    <cellStyle name="Separador de milhares 3 10 2 2 7 5" xfId="31573"/>
    <cellStyle name="Separador de milhares 3 10 2 2 7 6" xfId="25039"/>
    <cellStyle name="Separador de milhares 3 10 2 2 8" xfId="6785"/>
    <cellStyle name="Separador de milhares 3 10 2 2 8 2" xfId="18639"/>
    <cellStyle name="Separador de milhares 3 10 2 2 8 2 2" xfId="45126"/>
    <cellStyle name="Separador de milhares 3 10 2 2 8 3" xfId="12712"/>
    <cellStyle name="Separador de milhares 3 10 2 2 8 3 2" xfId="39218"/>
    <cellStyle name="Separador de milhares 3 10 2 2 8 4" xfId="33310"/>
    <cellStyle name="Separador de milhares 3 10 2 2 8 5" xfId="26776"/>
    <cellStyle name="Separador de milhares 3 10 2 2 9" xfId="15675"/>
    <cellStyle name="Separador de milhares 3 10 2 2 9 2" xfId="42172"/>
    <cellStyle name="Separador de milhares 3 10 2 2 9 3" xfId="23267"/>
    <cellStyle name="Separador de milhares 3 10 2 3" xfId="1052"/>
    <cellStyle name="Separador de milhares 3 10 2 3 2" xfId="5197"/>
    <cellStyle name="Separador de milhares 3 10 2 3 2 2" xfId="8412"/>
    <cellStyle name="Separador de milhares 3 10 2 3 2 2 2" xfId="20266"/>
    <cellStyle name="Separador de milhares 3 10 2 3 2 2 2 2" xfId="46745"/>
    <cellStyle name="Separador de milhares 3 10 2 3 2 2 3" xfId="14339"/>
    <cellStyle name="Separador de milhares 3 10 2 3 2 2 3 2" xfId="40837"/>
    <cellStyle name="Separador de milhares 3 10 2 3 2 2 4" xfId="34929"/>
    <cellStyle name="Separador de milhares 3 10 2 3 2 2 5" xfId="28395"/>
    <cellStyle name="Separador de milhares 3 10 2 3 2 3" xfId="17302"/>
    <cellStyle name="Separador de milhares 3 10 2 3 2 3 2" xfId="43791"/>
    <cellStyle name="Separador de milhares 3 10 2 3 2 4" xfId="11375"/>
    <cellStyle name="Separador de milhares 3 10 2 3 2 4 2" xfId="37883"/>
    <cellStyle name="Separador de milhares 3 10 2 3 2 5" xfId="31724"/>
    <cellStyle name="Separador de milhares 3 10 2 3 2 6" xfId="25190"/>
    <cellStyle name="Separador de milhares 3 10 2 3 3" xfId="6939"/>
    <cellStyle name="Separador de milhares 3 10 2 3 3 2" xfId="18793"/>
    <cellStyle name="Separador de milhares 3 10 2 3 3 2 2" xfId="45277"/>
    <cellStyle name="Separador de milhares 3 10 2 3 3 3" xfId="12866"/>
    <cellStyle name="Separador de milhares 3 10 2 3 3 3 2" xfId="39369"/>
    <cellStyle name="Separador de milhares 3 10 2 3 3 4" xfId="33461"/>
    <cellStyle name="Separador de milhares 3 10 2 3 3 5" xfId="26927"/>
    <cellStyle name="Separador de milhares 3 10 2 3 4" xfId="15829"/>
    <cellStyle name="Separador de milhares 3 10 2 3 4 2" xfId="42323"/>
    <cellStyle name="Separador de milhares 3 10 2 3 4 3" xfId="23418"/>
    <cellStyle name="Separador de milhares 3 10 2 3 5" xfId="9902"/>
    <cellStyle name="Separador de milhares 3 10 2 3 5 2" xfId="36415"/>
    <cellStyle name="Separador de milhares 3 10 2 3 6" xfId="29952"/>
    <cellStyle name="Separador de milhares 3 10 2 3 7" xfId="21646"/>
    <cellStyle name="Separador de milhares 3 10 2 4" xfId="1403"/>
    <cellStyle name="Separador de milhares 3 10 2 4 2" xfId="5295"/>
    <cellStyle name="Separador de milhares 3 10 2 4 2 2" xfId="8510"/>
    <cellStyle name="Separador de milhares 3 10 2 4 2 2 2" xfId="20364"/>
    <cellStyle name="Separador de milhares 3 10 2 4 2 2 2 2" xfId="46843"/>
    <cellStyle name="Separador de milhares 3 10 2 4 2 2 3" xfId="14437"/>
    <cellStyle name="Separador de milhares 3 10 2 4 2 2 3 2" xfId="40935"/>
    <cellStyle name="Separador de milhares 3 10 2 4 2 2 4" xfId="35027"/>
    <cellStyle name="Separador de milhares 3 10 2 4 2 2 5" xfId="28493"/>
    <cellStyle name="Separador de milhares 3 10 2 4 2 3" xfId="17400"/>
    <cellStyle name="Separador de milhares 3 10 2 4 2 3 2" xfId="43889"/>
    <cellStyle name="Separador de milhares 3 10 2 4 2 4" xfId="11473"/>
    <cellStyle name="Separador de milhares 3 10 2 4 2 4 2" xfId="37981"/>
    <cellStyle name="Separador de milhares 3 10 2 4 2 5" xfId="31822"/>
    <cellStyle name="Separador de milhares 3 10 2 4 2 6" xfId="25288"/>
    <cellStyle name="Separador de milhares 3 10 2 4 3" xfId="7037"/>
    <cellStyle name="Separador de milhares 3 10 2 4 3 2" xfId="18891"/>
    <cellStyle name="Separador de milhares 3 10 2 4 3 2 2" xfId="45375"/>
    <cellStyle name="Separador de milhares 3 10 2 4 3 3" xfId="12964"/>
    <cellStyle name="Separador de milhares 3 10 2 4 3 3 2" xfId="39467"/>
    <cellStyle name="Separador de milhares 3 10 2 4 3 4" xfId="33559"/>
    <cellStyle name="Separador de milhares 3 10 2 4 3 5" xfId="27025"/>
    <cellStyle name="Separador de milhares 3 10 2 4 4" xfId="15927"/>
    <cellStyle name="Separador de milhares 3 10 2 4 4 2" xfId="42421"/>
    <cellStyle name="Separador de milhares 3 10 2 4 4 3" xfId="23516"/>
    <cellStyle name="Separador de milhares 3 10 2 4 5" xfId="10000"/>
    <cellStyle name="Separador de milhares 3 10 2 4 5 2" xfId="36513"/>
    <cellStyle name="Separador de milhares 3 10 2 4 6" xfId="30050"/>
    <cellStyle name="Separador de milhares 3 10 2 4 7" xfId="21744"/>
    <cellStyle name="Separador de milhares 3 10 2 5" xfId="1838"/>
    <cellStyle name="Separador de milhares 3 10 2 5 2" xfId="5414"/>
    <cellStyle name="Separador de milhares 3 10 2 5 2 2" xfId="8629"/>
    <cellStyle name="Separador de milhares 3 10 2 5 2 2 2" xfId="20483"/>
    <cellStyle name="Separador de milhares 3 10 2 5 2 2 2 2" xfId="46962"/>
    <cellStyle name="Separador de milhares 3 10 2 5 2 2 3" xfId="14556"/>
    <cellStyle name="Separador de milhares 3 10 2 5 2 2 3 2" xfId="41054"/>
    <cellStyle name="Separador de milhares 3 10 2 5 2 2 4" xfId="35146"/>
    <cellStyle name="Separador de milhares 3 10 2 5 2 2 5" xfId="28612"/>
    <cellStyle name="Separador de milhares 3 10 2 5 2 3" xfId="17519"/>
    <cellStyle name="Separador de milhares 3 10 2 5 2 3 2" xfId="44008"/>
    <cellStyle name="Separador de milhares 3 10 2 5 2 4" xfId="11592"/>
    <cellStyle name="Separador de milhares 3 10 2 5 2 4 2" xfId="38100"/>
    <cellStyle name="Separador de milhares 3 10 2 5 2 5" xfId="31941"/>
    <cellStyle name="Separador de milhares 3 10 2 5 2 6" xfId="25407"/>
    <cellStyle name="Separador de milhares 3 10 2 5 3" xfId="7156"/>
    <cellStyle name="Separador de milhares 3 10 2 5 3 2" xfId="19010"/>
    <cellStyle name="Separador de milhares 3 10 2 5 3 2 2" xfId="45494"/>
    <cellStyle name="Separador de milhares 3 10 2 5 3 3" xfId="13083"/>
    <cellStyle name="Separador de milhares 3 10 2 5 3 3 2" xfId="39586"/>
    <cellStyle name="Separador de milhares 3 10 2 5 3 4" xfId="33678"/>
    <cellStyle name="Separador de milhares 3 10 2 5 3 5" xfId="27144"/>
    <cellStyle name="Separador de milhares 3 10 2 5 4" xfId="16046"/>
    <cellStyle name="Separador de milhares 3 10 2 5 4 2" xfId="42540"/>
    <cellStyle name="Separador de milhares 3 10 2 5 4 3" xfId="23635"/>
    <cellStyle name="Separador de milhares 3 10 2 5 5" xfId="10119"/>
    <cellStyle name="Separador de milhares 3 10 2 5 5 2" xfId="36632"/>
    <cellStyle name="Separador de milhares 3 10 2 5 6" xfId="30169"/>
    <cellStyle name="Separador de milhares 3 10 2 5 7" xfId="21863"/>
    <cellStyle name="Separador de milhares 3 10 2 6" xfId="2371"/>
    <cellStyle name="Separador de milhares 3 10 2 6 2" xfId="5564"/>
    <cellStyle name="Separador de milhares 3 10 2 6 2 2" xfId="8776"/>
    <cellStyle name="Separador de milhares 3 10 2 6 2 2 2" xfId="20630"/>
    <cellStyle name="Separador de milhares 3 10 2 6 2 2 2 2" xfId="47109"/>
    <cellStyle name="Separador de milhares 3 10 2 6 2 2 3" xfId="14703"/>
    <cellStyle name="Separador de milhares 3 10 2 6 2 2 3 2" xfId="41201"/>
    <cellStyle name="Separador de milhares 3 10 2 6 2 2 4" xfId="35293"/>
    <cellStyle name="Separador de milhares 3 10 2 6 2 2 5" xfId="28759"/>
    <cellStyle name="Separador de milhares 3 10 2 6 2 3" xfId="17666"/>
    <cellStyle name="Separador de milhares 3 10 2 6 2 3 2" xfId="44155"/>
    <cellStyle name="Separador de milhares 3 10 2 6 2 4" xfId="11739"/>
    <cellStyle name="Separador de milhares 3 10 2 6 2 4 2" xfId="38247"/>
    <cellStyle name="Separador de milhares 3 10 2 6 2 5" xfId="32091"/>
    <cellStyle name="Separador de milhares 3 10 2 6 2 6" xfId="25557"/>
    <cellStyle name="Separador de milhares 3 10 2 6 3" xfId="7304"/>
    <cellStyle name="Separador de milhares 3 10 2 6 3 2" xfId="19158"/>
    <cellStyle name="Separador de milhares 3 10 2 6 3 2 2" xfId="45641"/>
    <cellStyle name="Separador de milhares 3 10 2 6 3 3" xfId="13231"/>
    <cellStyle name="Separador de milhares 3 10 2 6 3 3 2" xfId="39733"/>
    <cellStyle name="Separador de milhares 3 10 2 6 3 4" xfId="33825"/>
    <cellStyle name="Separador de milhares 3 10 2 6 3 5" xfId="27291"/>
    <cellStyle name="Separador de milhares 3 10 2 6 4" xfId="16194"/>
    <cellStyle name="Separador de milhares 3 10 2 6 4 2" xfId="42687"/>
    <cellStyle name="Separador de milhares 3 10 2 6 4 3" xfId="23785"/>
    <cellStyle name="Separador de milhares 3 10 2 6 5" xfId="10267"/>
    <cellStyle name="Separador de milhares 3 10 2 6 5 2" xfId="36779"/>
    <cellStyle name="Separador de milhares 3 10 2 6 6" xfId="30319"/>
    <cellStyle name="Separador de milhares 3 10 2 6 7" xfId="22013"/>
    <cellStyle name="Separador de milhares 3 10 2 7" xfId="2899"/>
    <cellStyle name="Separador de milhares 3 10 2 7 2" xfId="5711"/>
    <cellStyle name="Separador de milhares 3 10 2 7 2 2" xfId="8923"/>
    <cellStyle name="Separador de milhares 3 10 2 7 2 2 2" xfId="20777"/>
    <cellStyle name="Separador de milhares 3 10 2 7 2 2 2 2" xfId="47256"/>
    <cellStyle name="Separador de milhares 3 10 2 7 2 2 3" xfId="14850"/>
    <cellStyle name="Separador de milhares 3 10 2 7 2 2 3 2" xfId="41348"/>
    <cellStyle name="Separador de milhares 3 10 2 7 2 2 4" xfId="35440"/>
    <cellStyle name="Separador de milhares 3 10 2 7 2 2 5" xfId="28906"/>
    <cellStyle name="Separador de milhares 3 10 2 7 2 3" xfId="17813"/>
    <cellStyle name="Separador de milhares 3 10 2 7 2 3 2" xfId="44302"/>
    <cellStyle name="Separador de milhares 3 10 2 7 2 4" xfId="11886"/>
    <cellStyle name="Separador de milhares 3 10 2 7 2 4 2" xfId="38394"/>
    <cellStyle name="Separador de milhares 3 10 2 7 2 5" xfId="32238"/>
    <cellStyle name="Separador de milhares 3 10 2 7 2 6" xfId="25704"/>
    <cellStyle name="Separador de milhares 3 10 2 7 3" xfId="7452"/>
    <cellStyle name="Separador de milhares 3 10 2 7 3 2" xfId="19306"/>
    <cellStyle name="Separador de milhares 3 10 2 7 3 2 2" xfId="45788"/>
    <cellStyle name="Separador de milhares 3 10 2 7 3 3" xfId="13379"/>
    <cellStyle name="Separador de milhares 3 10 2 7 3 3 2" xfId="39880"/>
    <cellStyle name="Separador de milhares 3 10 2 7 3 4" xfId="33972"/>
    <cellStyle name="Separador de milhares 3 10 2 7 3 5" xfId="27438"/>
    <cellStyle name="Separador de milhares 3 10 2 7 4" xfId="16342"/>
    <cellStyle name="Separador de milhares 3 10 2 7 4 2" xfId="42834"/>
    <cellStyle name="Separador de milhares 3 10 2 7 4 3" xfId="23932"/>
    <cellStyle name="Separador de milhares 3 10 2 7 5" xfId="10415"/>
    <cellStyle name="Separador de milhares 3 10 2 7 5 2" xfId="36926"/>
    <cellStyle name="Separador de milhares 3 10 2 7 6" xfId="30466"/>
    <cellStyle name="Separador de milhares 3 10 2 7 7" xfId="22160"/>
    <cellStyle name="Separador de milhares 3 10 2 8" xfId="3427"/>
    <cellStyle name="Separador de milhares 3 10 2 8 2" xfId="5858"/>
    <cellStyle name="Separador de milhares 3 10 2 8 2 2" xfId="9070"/>
    <cellStyle name="Separador de milhares 3 10 2 8 2 2 2" xfId="20924"/>
    <cellStyle name="Separador de milhares 3 10 2 8 2 2 2 2" xfId="47403"/>
    <cellStyle name="Separador de milhares 3 10 2 8 2 2 3" xfId="14997"/>
    <cellStyle name="Separador de milhares 3 10 2 8 2 2 3 2" xfId="41495"/>
    <cellStyle name="Separador de milhares 3 10 2 8 2 2 4" xfId="35587"/>
    <cellStyle name="Separador de milhares 3 10 2 8 2 2 5" xfId="29053"/>
    <cellStyle name="Separador de milhares 3 10 2 8 2 3" xfId="17960"/>
    <cellStyle name="Separador de milhares 3 10 2 8 2 3 2" xfId="44449"/>
    <cellStyle name="Separador de milhares 3 10 2 8 2 4" xfId="12033"/>
    <cellStyle name="Separador de milhares 3 10 2 8 2 4 2" xfId="38541"/>
    <cellStyle name="Separador de milhares 3 10 2 8 2 5" xfId="32385"/>
    <cellStyle name="Separador de milhares 3 10 2 8 2 6" xfId="25851"/>
    <cellStyle name="Separador de milhares 3 10 2 8 3" xfId="7600"/>
    <cellStyle name="Separador de milhares 3 10 2 8 3 2" xfId="19454"/>
    <cellStyle name="Separador de milhares 3 10 2 8 3 2 2" xfId="45935"/>
    <cellStyle name="Separador de milhares 3 10 2 8 3 3" xfId="13527"/>
    <cellStyle name="Separador de milhares 3 10 2 8 3 3 2" xfId="40027"/>
    <cellStyle name="Separador de milhares 3 10 2 8 3 4" xfId="34119"/>
    <cellStyle name="Separador de milhares 3 10 2 8 3 5" xfId="27585"/>
    <cellStyle name="Separador de milhares 3 10 2 8 4" xfId="16490"/>
    <cellStyle name="Separador de milhares 3 10 2 8 4 2" xfId="42981"/>
    <cellStyle name="Separador de milhares 3 10 2 8 4 3" xfId="24079"/>
    <cellStyle name="Separador de milhares 3 10 2 8 5" xfId="10563"/>
    <cellStyle name="Separador de milhares 3 10 2 8 5 2" xfId="37073"/>
    <cellStyle name="Separador de milhares 3 10 2 8 6" xfId="30613"/>
    <cellStyle name="Separador de milhares 3 10 2 8 7" xfId="22307"/>
    <cellStyle name="Separador de milhares 3 10 2 9" xfId="3955"/>
    <cellStyle name="Separador de milhares 3 10 2 9 2" xfId="6005"/>
    <cellStyle name="Separador de milhares 3 10 2 9 2 2" xfId="9217"/>
    <cellStyle name="Separador de milhares 3 10 2 9 2 2 2" xfId="21071"/>
    <cellStyle name="Separador de milhares 3 10 2 9 2 2 2 2" xfId="47550"/>
    <cellStyle name="Separador de milhares 3 10 2 9 2 2 3" xfId="15144"/>
    <cellStyle name="Separador de milhares 3 10 2 9 2 2 3 2" xfId="41642"/>
    <cellStyle name="Separador de milhares 3 10 2 9 2 2 4" xfId="35734"/>
    <cellStyle name="Separador de milhares 3 10 2 9 2 2 5" xfId="29200"/>
    <cellStyle name="Separador de milhares 3 10 2 9 2 3" xfId="18107"/>
    <cellStyle name="Separador de milhares 3 10 2 9 2 3 2" xfId="44596"/>
    <cellStyle name="Separador de milhares 3 10 2 9 2 4" xfId="12180"/>
    <cellStyle name="Separador de milhares 3 10 2 9 2 4 2" xfId="38688"/>
    <cellStyle name="Separador de milhares 3 10 2 9 2 5" xfId="32532"/>
    <cellStyle name="Separador de milhares 3 10 2 9 2 6" xfId="25998"/>
    <cellStyle name="Separador de milhares 3 10 2 9 3" xfId="7748"/>
    <cellStyle name="Separador de milhares 3 10 2 9 3 2" xfId="19602"/>
    <cellStyle name="Separador de milhares 3 10 2 9 3 2 2" xfId="46082"/>
    <cellStyle name="Separador de milhares 3 10 2 9 3 3" xfId="13675"/>
    <cellStyle name="Separador de milhares 3 10 2 9 3 3 2" xfId="40174"/>
    <cellStyle name="Separador de milhares 3 10 2 9 3 4" xfId="34266"/>
    <cellStyle name="Separador de milhares 3 10 2 9 3 5" xfId="27732"/>
    <cellStyle name="Separador de milhares 3 10 2 9 4" xfId="16638"/>
    <cellStyle name="Separador de milhares 3 10 2 9 4 2" xfId="43128"/>
    <cellStyle name="Separador de milhares 3 10 2 9 4 3" xfId="24226"/>
    <cellStyle name="Separador de milhares 3 10 2 9 5" xfId="10711"/>
    <cellStyle name="Separador de milhares 3 10 2 9 5 2" xfId="37220"/>
    <cellStyle name="Separador de milhares 3 10 2 9 6" xfId="30760"/>
    <cellStyle name="Separador de milhares 3 10 2 9 7" xfId="22454"/>
    <cellStyle name="Separador de milhares 3 10 3" xfId="400"/>
    <cellStyle name="Separador de milhares 3 10 3 10" xfId="4996"/>
    <cellStyle name="Separador de milhares 3 10 3 10 2" xfId="8215"/>
    <cellStyle name="Separador de milhares 3 10 3 10 2 2" xfId="20069"/>
    <cellStyle name="Separador de milhares 3 10 3 10 2 2 2" xfId="46548"/>
    <cellStyle name="Separador de milhares 3 10 3 10 2 3" xfId="14142"/>
    <cellStyle name="Separador de milhares 3 10 3 10 2 3 2" xfId="40640"/>
    <cellStyle name="Separador de milhares 3 10 3 10 2 4" xfId="34732"/>
    <cellStyle name="Separador de milhares 3 10 3 10 2 5" xfId="28198"/>
    <cellStyle name="Separador de milhares 3 10 3 10 3" xfId="17105"/>
    <cellStyle name="Separador de milhares 3 10 3 10 3 2" xfId="43594"/>
    <cellStyle name="Separador de milhares 3 10 3 10 4" xfId="11178"/>
    <cellStyle name="Separador de milhares 3 10 3 10 4 2" xfId="37686"/>
    <cellStyle name="Separador de milhares 3 10 3 10 5" xfId="31523"/>
    <cellStyle name="Separador de milhares 3 10 3 10 6" xfId="24989"/>
    <cellStyle name="Separador de milhares 3 10 3 11" xfId="6739"/>
    <cellStyle name="Separador de milhares 3 10 3 11 2" xfId="18593"/>
    <cellStyle name="Separador de milhares 3 10 3 11 2 2" xfId="45080"/>
    <cellStyle name="Separador de milhares 3 10 3 11 3" xfId="12666"/>
    <cellStyle name="Separador de milhares 3 10 3 11 3 2" xfId="39172"/>
    <cellStyle name="Separador de milhares 3 10 3 11 4" xfId="33264"/>
    <cellStyle name="Separador de milhares 3 10 3 11 5" xfId="26730"/>
    <cellStyle name="Separador de milhares 3 10 3 12" xfId="15629"/>
    <cellStyle name="Separador de milhares 3 10 3 12 2" xfId="42126"/>
    <cellStyle name="Separador de milhares 3 10 3 12 3" xfId="23217"/>
    <cellStyle name="Separador de milhares 3 10 3 13" xfId="9702"/>
    <cellStyle name="Separador de milhares 3 10 3 13 2" xfId="36218"/>
    <cellStyle name="Separador de milhares 3 10 3 14" xfId="29751"/>
    <cellStyle name="Separador de milhares 3 10 3 15" xfId="21469"/>
    <cellStyle name="Separador de milhares 3 10 3 2" xfId="663"/>
    <cellStyle name="Separador de milhares 3 10 3 2 2" xfId="5067"/>
    <cellStyle name="Separador de milhares 3 10 3 2 2 2" xfId="8282"/>
    <cellStyle name="Separador de milhares 3 10 3 2 2 2 2" xfId="20136"/>
    <cellStyle name="Separador de milhares 3 10 3 2 2 2 2 2" xfId="46615"/>
    <cellStyle name="Separador de milhares 3 10 3 2 2 2 3" xfId="14209"/>
    <cellStyle name="Separador de milhares 3 10 3 2 2 2 3 2" xfId="40707"/>
    <cellStyle name="Separador de milhares 3 10 3 2 2 2 4" xfId="34799"/>
    <cellStyle name="Separador de milhares 3 10 3 2 2 2 5" xfId="28265"/>
    <cellStyle name="Separador de milhares 3 10 3 2 2 3" xfId="17172"/>
    <cellStyle name="Separador de milhares 3 10 3 2 2 3 2" xfId="43661"/>
    <cellStyle name="Separador de milhares 3 10 3 2 2 4" xfId="11245"/>
    <cellStyle name="Separador de milhares 3 10 3 2 2 4 2" xfId="37753"/>
    <cellStyle name="Separador de milhares 3 10 3 2 2 5" xfId="31594"/>
    <cellStyle name="Separador de milhares 3 10 3 2 2 6" xfId="25060"/>
    <cellStyle name="Separador de milhares 3 10 3 2 3" xfId="6806"/>
    <cellStyle name="Separador de milhares 3 10 3 2 3 2" xfId="18660"/>
    <cellStyle name="Separador de milhares 3 10 3 2 3 2 2" xfId="45147"/>
    <cellStyle name="Separador de milhares 3 10 3 2 3 3" xfId="12733"/>
    <cellStyle name="Separador de milhares 3 10 3 2 3 3 2" xfId="39239"/>
    <cellStyle name="Separador de milhares 3 10 3 2 3 4" xfId="33331"/>
    <cellStyle name="Separador de milhares 3 10 3 2 3 5" xfId="26797"/>
    <cellStyle name="Separador de milhares 3 10 3 2 4" xfId="15696"/>
    <cellStyle name="Separador de milhares 3 10 3 2 4 2" xfId="42193"/>
    <cellStyle name="Separador de milhares 3 10 3 2 4 3" xfId="23288"/>
    <cellStyle name="Separador de milhares 3 10 3 2 5" xfId="9769"/>
    <cellStyle name="Separador de milhares 3 10 3 2 5 2" xfId="36285"/>
    <cellStyle name="Separador de milhares 3 10 3 2 6" xfId="29822"/>
    <cellStyle name="Separador de milhares 3 10 3 2 7" xfId="21517"/>
    <cellStyle name="Separador de milhares 3 10 3 3" xfId="961"/>
    <cellStyle name="Separador de milhares 3 10 3 3 2" xfId="5169"/>
    <cellStyle name="Separador de milhares 3 10 3 3 2 2" xfId="8384"/>
    <cellStyle name="Separador de milhares 3 10 3 3 2 2 2" xfId="20238"/>
    <cellStyle name="Separador de milhares 3 10 3 3 2 2 2 2" xfId="46717"/>
    <cellStyle name="Separador de milhares 3 10 3 3 2 2 3" xfId="14311"/>
    <cellStyle name="Separador de milhares 3 10 3 3 2 2 3 2" xfId="40809"/>
    <cellStyle name="Separador de milhares 3 10 3 3 2 2 4" xfId="34901"/>
    <cellStyle name="Separador de milhares 3 10 3 3 2 2 5" xfId="28367"/>
    <cellStyle name="Separador de milhares 3 10 3 3 2 3" xfId="17274"/>
    <cellStyle name="Separador de milhares 3 10 3 3 2 3 2" xfId="43763"/>
    <cellStyle name="Separador de milhares 3 10 3 3 2 4" xfId="11347"/>
    <cellStyle name="Separador de milhares 3 10 3 3 2 4 2" xfId="37855"/>
    <cellStyle name="Separador de milhares 3 10 3 3 2 5" xfId="31696"/>
    <cellStyle name="Separador de milhares 3 10 3 3 2 6" xfId="25162"/>
    <cellStyle name="Separador de milhares 3 10 3 3 3" xfId="6911"/>
    <cellStyle name="Separador de milhares 3 10 3 3 3 2" xfId="18765"/>
    <cellStyle name="Separador de milhares 3 10 3 3 3 2 2" xfId="45249"/>
    <cellStyle name="Separador de milhares 3 10 3 3 3 3" xfId="12838"/>
    <cellStyle name="Separador de milhares 3 10 3 3 3 3 2" xfId="39341"/>
    <cellStyle name="Separador de milhares 3 10 3 3 3 4" xfId="33433"/>
    <cellStyle name="Separador de milhares 3 10 3 3 3 5" xfId="26899"/>
    <cellStyle name="Separador de milhares 3 10 3 3 4" xfId="15801"/>
    <cellStyle name="Separador de milhares 3 10 3 3 4 2" xfId="42295"/>
    <cellStyle name="Separador de milhares 3 10 3 3 4 3" xfId="23390"/>
    <cellStyle name="Separador de milhares 3 10 3 3 5" xfId="9874"/>
    <cellStyle name="Separador de milhares 3 10 3 3 5 2" xfId="36387"/>
    <cellStyle name="Separador de milhares 3 10 3 3 6" xfId="29924"/>
    <cellStyle name="Separador de milhares 3 10 3 3 7" xfId="21618"/>
    <cellStyle name="Separador de milhares 3 10 3 4" xfId="1312"/>
    <cellStyle name="Separador de milhares 3 10 3 4 2" xfId="5267"/>
    <cellStyle name="Separador de milhares 3 10 3 4 2 2" xfId="8482"/>
    <cellStyle name="Separador de milhares 3 10 3 4 2 2 2" xfId="20336"/>
    <cellStyle name="Separador de milhares 3 10 3 4 2 2 2 2" xfId="46815"/>
    <cellStyle name="Separador de milhares 3 10 3 4 2 2 3" xfId="14409"/>
    <cellStyle name="Separador de milhares 3 10 3 4 2 2 3 2" xfId="40907"/>
    <cellStyle name="Separador de milhares 3 10 3 4 2 2 4" xfId="34999"/>
    <cellStyle name="Separador de milhares 3 10 3 4 2 2 5" xfId="28465"/>
    <cellStyle name="Separador de milhares 3 10 3 4 2 3" xfId="17372"/>
    <cellStyle name="Separador de milhares 3 10 3 4 2 3 2" xfId="43861"/>
    <cellStyle name="Separador de milhares 3 10 3 4 2 4" xfId="11445"/>
    <cellStyle name="Separador de milhares 3 10 3 4 2 4 2" xfId="37953"/>
    <cellStyle name="Separador de milhares 3 10 3 4 2 5" xfId="31794"/>
    <cellStyle name="Separador de milhares 3 10 3 4 2 6" xfId="25260"/>
    <cellStyle name="Separador de milhares 3 10 3 4 3" xfId="7009"/>
    <cellStyle name="Separador de milhares 3 10 3 4 3 2" xfId="18863"/>
    <cellStyle name="Separador de milhares 3 10 3 4 3 2 2" xfId="45347"/>
    <cellStyle name="Separador de milhares 3 10 3 4 3 3" xfId="12936"/>
    <cellStyle name="Separador de milhares 3 10 3 4 3 3 2" xfId="39439"/>
    <cellStyle name="Separador de milhares 3 10 3 4 3 4" xfId="33531"/>
    <cellStyle name="Separador de milhares 3 10 3 4 3 5" xfId="26997"/>
    <cellStyle name="Separador de milhares 3 10 3 4 4" xfId="15899"/>
    <cellStyle name="Separador de milhares 3 10 3 4 4 2" xfId="42393"/>
    <cellStyle name="Separador de milhares 3 10 3 4 4 3" xfId="23488"/>
    <cellStyle name="Separador de milhares 3 10 3 4 5" xfId="9972"/>
    <cellStyle name="Separador de milhares 3 10 3 4 5 2" xfId="36485"/>
    <cellStyle name="Separador de milhares 3 10 3 4 6" xfId="30022"/>
    <cellStyle name="Separador de milhares 3 10 3 4 7" xfId="21716"/>
    <cellStyle name="Separador de milhares 3 10 3 5" xfId="1747"/>
    <cellStyle name="Separador de milhares 3 10 3 5 2" xfId="5386"/>
    <cellStyle name="Separador de milhares 3 10 3 5 2 2" xfId="8601"/>
    <cellStyle name="Separador de milhares 3 10 3 5 2 2 2" xfId="20455"/>
    <cellStyle name="Separador de milhares 3 10 3 5 2 2 2 2" xfId="46934"/>
    <cellStyle name="Separador de milhares 3 10 3 5 2 2 3" xfId="14528"/>
    <cellStyle name="Separador de milhares 3 10 3 5 2 2 3 2" xfId="41026"/>
    <cellStyle name="Separador de milhares 3 10 3 5 2 2 4" xfId="35118"/>
    <cellStyle name="Separador de milhares 3 10 3 5 2 2 5" xfId="28584"/>
    <cellStyle name="Separador de milhares 3 10 3 5 2 3" xfId="17491"/>
    <cellStyle name="Separador de milhares 3 10 3 5 2 3 2" xfId="43980"/>
    <cellStyle name="Separador de milhares 3 10 3 5 2 4" xfId="11564"/>
    <cellStyle name="Separador de milhares 3 10 3 5 2 4 2" xfId="38072"/>
    <cellStyle name="Separador de milhares 3 10 3 5 2 5" xfId="31913"/>
    <cellStyle name="Separador de milhares 3 10 3 5 2 6" xfId="25379"/>
    <cellStyle name="Separador de milhares 3 10 3 5 3" xfId="7128"/>
    <cellStyle name="Separador de milhares 3 10 3 5 3 2" xfId="18982"/>
    <cellStyle name="Separador de milhares 3 10 3 5 3 2 2" xfId="45466"/>
    <cellStyle name="Separador de milhares 3 10 3 5 3 3" xfId="13055"/>
    <cellStyle name="Separador de milhares 3 10 3 5 3 3 2" xfId="39558"/>
    <cellStyle name="Separador de milhares 3 10 3 5 3 4" xfId="33650"/>
    <cellStyle name="Separador de milhares 3 10 3 5 3 5" xfId="27116"/>
    <cellStyle name="Separador de milhares 3 10 3 5 4" xfId="16018"/>
    <cellStyle name="Separador de milhares 3 10 3 5 4 2" xfId="42512"/>
    <cellStyle name="Separador de milhares 3 10 3 5 4 3" xfId="23607"/>
    <cellStyle name="Separador de milhares 3 10 3 5 5" xfId="10091"/>
    <cellStyle name="Separador de milhares 3 10 3 5 5 2" xfId="36604"/>
    <cellStyle name="Separador de milhares 3 10 3 5 6" xfId="30141"/>
    <cellStyle name="Separador de milhares 3 10 3 5 7" xfId="21835"/>
    <cellStyle name="Separador de milhares 3 10 3 6" xfId="2280"/>
    <cellStyle name="Separador de milhares 3 10 3 6 2" xfId="5536"/>
    <cellStyle name="Separador de milhares 3 10 3 6 2 2" xfId="8748"/>
    <cellStyle name="Separador de milhares 3 10 3 6 2 2 2" xfId="20602"/>
    <cellStyle name="Separador de milhares 3 10 3 6 2 2 2 2" xfId="47081"/>
    <cellStyle name="Separador de milhares 3 10 3 6 2 2 3" xfId="14675"/>
    <cellStyle name="Separador de milhares 3 10 3 6 2 2 3 2" xfId="41173"/>
    <cellStyle name="Separador de milhares 3 10 3 6 2 2 4" xfId="35265"/>
    <cellStyle name="Separador de milhares 3 10 3 6 2 2 5" xfId="28731"/>
    <cellStyle name="Separador de milhares 3 10 3 6 2 3" xfId="17638"/>
    <cellStyle name="Separador de milhares 3 10 3 6 2 3 2" xfId="44127"/>
    <cellStyle name="Separador de milhares 3 10 3 6 2 4" xfId="11711"/>
    <cellStyle name="Separador de milhares 3 10 3 6 2 4 2" xfId="38219"/>
    <cellStyle name="Separador de milhares 3 10 3 6 2 5" xfId="32063"/>
    <cellStyle name="Separador de milhares 3 10 3 6 2 6" xfId="25529"/>
    <cellStyle name="Separador de milhares 3 10 3 6 3" xfId="7276"/>
    <cellStyle name="Separador de milhares 3 10 3 6 3 2" xfId="19130"/>
    <cellStyle name="Separador de milhares 3 10 3 6 3 2 2" xfId="45613"/>
    <cellStyle name="Separador de milhares 3 10 3 6 3 3" xfId="13203"/>
    <cellStyle name="Separador de milhares 3 10 3 6 3 3 2" xfId="39705"/>
    <cellStyle name="Separador de milhares 3 10 3 6 3 4" xfId="33797"/>
    <cellStyle name="Separador de milhares 3 10 3 6 3 5" xfId="27263"/>
    <cellStyle name="Separador de milhares 3 10 3 6 4" xfId="16166"/>
    <cellStyle name="Separador de milhares 3 10 3 6 4 2" xfId="42659"/>
    <cellStyle name="Separador de milhares 3 10 3 6 4 3" xfId="23757"/>
    <cellStyle name="Separador de milhares 3 10 3 6 5" xfId="10239"/>
    <cellStyle name="Separador de milhares 3 10 3 6 5 2" xfId="36751"/>
    <cellStyle name="Separador de milhares 3 10 3 6 6" xfId="30291"/>
    <cellStyle name="Separador de milhares 3 10 3 6 7" xfId="21985"/>
    <cellStyle name="Separador de milhares 3 10 3 7" xfId="2808"/>
    <cellStyle name="Separador de milhares 3 10 3 7 2" xfId="5683"/>
    <cellStyle name="Separador de milhares 3 10 3 7 2 2" xfId="8895"/>
    <cellStyle name="Separador de milhares 3 10 3 7 2 2 2" xfId="20749"/>
    <cellStyle name="Separador de milhares 3 10 3 7 2 2 2 2" xfId="47228"/>
    <cellStyle name="Separador de milhares 3 10 3 7 2 2 3" xfId="14822"/>
    <cellStyle name="Separador de milhares 3 10 3 7 2 2 3 2" xfId="41320"/>
    <cellStyle name="Separador de milhares 3 10 3 7 2 2 4" xfId="35412"/>
    <cellStyle name="Separador de milhares 3 10 3 7 2 2 5" xfId="28878"/>
    <cellStyle name="Separador de milhares 3 10 3 7 2 3" xfId="17785"/>
    <cellStyle name="Separador de milhares 3 10 3 7 2 3 2" xfId="44274"/>
    <cellStyle name="Separador de milhares 3 10 3 7 2 4" xfId="11858"/>
    <cellStyle name="Separador de milhares 3 10 3 7 2 4 2" xfId="38366"/>
    <cellStyle name="Separador de milhares 3 10 3 7 2 5" xfId="32210"/>
    <cellStyle name="Separador de milhares 3 10 3 7 2 6" xfId="25676"/>
    <cellStyle name="Separador de milhares 3 10 3 7 3" xfId="7424"/>
    <cellStyle name="Separador de milhares 3 10 3 7 3 2" xfId="19278"/>
    <cellStyle name="Separador de milhares 3 10 3 7 3 2 2" xfId="45760"/>
    <cellStyle name="Separador de milhares 3 10 3 7 3 3" xfId="13351"/>
    <cellStyle name="Separador de milhares 3 10 3 7 3 3 2" xfId="39852"/>
    <cellStyle name="Separador de milhares 3 10 3 7 3 4" xfId="33944"/>
    <cellStyle name="Separador de milhares 3 10 3 7 3 5" xfId="27410"/>
    <cellStyle name="Separador de milhares 3 10 3 7 4" xfId="16314"/>
    <cellStyle name="Separador de milhares 3 10 3 7 4 2" xfId="42806"/>
    <cellStyle name="Separador de milhares 3 10 3 7 4 3" xfId="23904"/>
    <cellStyle name="Separador de milhares 3 10 3 7 5" xfId="10387"/>
    <cellStyle name="Separador de milhares 3 10 3 7 5 2" xfId="36898"/>
    <cellStyle name="Separador de milhares 3 10 3 7 6" xfId="30438"/>
    <cellStyle name="Separador de milhares 3 10 3 7 7" xfId="22132"/>
    <cellStyle name="Separador de milhares 3 10 3 8" xfId="3336"/>
    <cellStyle name="Separador de milhares 3 10 3 8 2" xfId="5830"/>
    <cellStyle name="Separador de milhares 3 10 3 8 2 2" xfId="9042"/>
    <cellStyle name="Separador de milhares 3 10 3 8 2 2 2" xfId="20896"/>
    <cellStyle name="Separador de milhares 3 10 3 8 2 2 2 2" xfId="47375"/>
    <cellStyle name="Separador de milhares 3 10 3 8 2 2 3" xfId="14969"/>
    <cellStyle name="Separador de milhares 3 10 3 8 2 2 3 2" xfId="41467"/>
    <cellStyle name="Separador de milhares 3 10 3 8 2 2 4" xfId="35559"/>
    <cellStyle name="Separador de milhares 3 10 3 8 2 2 5" xfId="29025"/>
    <cellStyle name="Separador de milhares 3 10 3 8 2 3" xfId="17932"/>
    <cellStyle name="Separador de milhares 3 10 3 8 2 3 2" xfId="44421"/>
    <cellStyle name="Separador de milhares 3 10 3 8 2 4" xfId="12005"/>
    <cellStyle name="Separador de milhares 3 10 3 8 2 4 2" xfId="38513"/>
    <cellStyle name="Separador de milhares 3 10 3 8 2 5" xfId="32357"/>
    <cellStyle name="Separador de milhares 3 10 3 8 2 6" xfId="25823"/>
    <cellStyle name="Separador de milhares 3 10 3 8 3" xfId="7572"/>
    <cellStyle name="Separador de milhares 3 10 3 8 3 2" xfId="19426"/>
    <cellStyle name="Separador de milhares 3 10 3 8 3 2 2" xfId="45907"/>
    <cellStyle name="Separador de milhares 3 10 3 8 3 3" xfId="13499"/>
    <cellStyle name="Separador de milhares 3 10 3 8 3 3 2" xfId="39999"/>
    <cellStyle name="Separador de milhares 3 10 3 8 3 4" xfId="34091"/>
    <cellStyle name="Separador de milhares 3 10 3 8 3 5" xfId="27557"/>
    <cellStyle name="Separador de milhares 3 10 3 8 4" xfId="16462"/>
    <cellStyle name="Separador de milhares 3 10 3 8 4 2" xfId="42953"/>
    <cellStyle name="Separador de milhares 3 10 3 8 4 3" xfId="24051"/>
    <cellStyle name="Separador de milhares 3 10 3 8 5" xfId="10535"/>
    <cellStyle name="Separador de milhares 3 10 3 8 5 2" xfId="37045"/>
    <cellStyle name="Separador de milhares 3 10 3 8 6" xfId="30585"/>
    <cellStyle name="Separador de milhares 3 10 3 8 7" xfId="22279"/>
    <cellStyle name="Separador de milhares 3 10 3 9" xfId="3864"/>
    <cellStyle name="Separador de milhares 3 10 3 9 2" xfId="5977"/>
    <cellStyle name="Separador de milhares 3 10 3 9 2 2" xfId="9189"/>
    <cellStyle name="Separador de milhares 3 10 3 9 2 2 2" xfId="21043"/>
    <cellStyle name="Separador de milhares 3 10 3 9 2 2 2 2" xfId="47522"/>
    <cellStyle name="Separador de milhares 3 10 3 9 2 2 3" xfId="15116"/>
    <cellStyle name="Separador de milhares 3 10 3 9 2 2 3 2" xfId="41614"/>
    <cellStyle name="Separador de milhares 3 10 3 9 2 2 4" xfId="35706"/>
    <cellStyle name="Separador de milhares 3 10 3 9 2 2 5" xfId="29172"/>
    <cellStyle name="Separador de milhares 3 10 3 9 2 3" xfId="18079"/>
    <cellStyle name="Separador de milhares 3 10 3 9 2 3 2" xfId="44568"/>
    <cellStyle name="Separador de milhares 3 10 3 9 2 4" xfId="12152"/>
    <cellStyle name="Separador de milhares 3 10 3 9 2 4 2" xfId="38660"/>
    <cellStyle name="Separador de milhares 3 10 3 9 2 5" xfId="32504"/>
    <cellStyle name="Separador de milhares 3 10 3 9 2 6" xfId="25970"/>
    <cellStyle name="Separador de milhares 3 10 3 9 3" xfId="7720"/>
    <cellStyle name="Separador de milhares 3 10 3 9 3 2" xfId="19574"/>
    <cellStyle name="Separador de milhares 3 10 3 9 3 2 2" xfId="46054"/>
    <cellStyle name="Separador de milhares 3 10 3 9 3 3" xfId="13647"/>
    <cellStyle name="Separador de milhares 3 10 3 9 3 3 2" xfId="40146"/>
    <cellStyle name="Separador de milhares 3 10 3 9 3 4" xfId="34238"/>
    <cellStyle name="Separador de milhares 3 10 3 9 3 5" xfId="27704"/>
    <cellStyle name="Separador de milhares 3 10 3 9 4" xfId="16610"/>
    <cellStyle name="Separador de milhares 3 10 3 9 4 2" xfId="43100"/>
    <cellStyle name="Separador de milhares 3 10 3 9 4 3" xfId="24198"/>
    <cellStyle name="Separador de milhares 3 10 3 9 5" xfId="10683"/>
    <cellStyle name="Separador de milhares 3 10 3 9 5 2" xfId="37192"/>
    <cellStyle name="Separador de milhares 3 10 3 9 6" xfId="30732"/>
    <cellStyle name="Separador de milhares 3 10 3 9 7" xfId="22426"/>
    <cellStyle name="Separador de milhares 3 10 4" xfId="493"/>
    <cellStyle name="Separador de milhares 3 10 4 10" xfId="5024"/>
    <cellStyle name="Separador de milhares 3 10 4 10 2" xfId="8240"/>
    <cellStyle name="Separador de milhares 3 10 4 10 2 2" xfId="20094"/>
    <cellStyle name="Separador de milhares 3 10 4 10 2 2 2" xfId="46573"/>
    <cellStyle name="Separador de milhares 3 10 4 10 2 3" xfId="14167"/>
    <cellStyle name="Separador de milhares 3 10 4 10 2 3 2" xfId="40665"/>
    <cellStyle name="Separador de milhares 3 10 4 10 2 4" xfId="34757"/>
    <cellStyle name="Separador de milhares 3 10 4 10 2 5" xfId="28223"/>
    <cellStyle name="Separador de milhares 3 10 4 10 3" xfId="17130"/>
    <cellStyle name="Separador de milhares 3 10 4 10 3 2" xfId="43619"/>
    <cellStyle name="Separador de milhares 3 10 4 10 4" xfId="11203"/>
    <cellStyle name="Separador de milhares 3 10 4 10 4 2" xfId="37711"/>
    <cellStyle name="Separador de milhares 3 10 4 10 5" xfId="31551"/>
    <cellStyle name="Separador de milhares 3 10 4 10 6" xfId="25017"/>
    <cellStyle name="Separador de milhares 3 10 4 11" xfId="6764"/>
    <cellStyle name="Separador de milhares 3 10 4 11 2" xfId="18618"/>
    <cellStyle name="Separador de milhares 3 10 4 11 2 2" xfId="45105"/>
    <cellStyle name="Separador de milhares 3 10 4 11 3" xfId="12691"/>
    <cellStyle name="Separador de milhares 3 10 4 11 3 2" xfId="39197"/>
    <cellStyle name="Separador de milhares 3 10 4 11 4" xfId="33289"/>
    <cellStyle name="Separador de milhares 3 10 4 11 5" xfId="26755"/>
    <cellStyle name="Separador de milhares 3 10 4 12" xfId="15654"/>
    <cellStyle name="Separador de milhares 3 10 4 12 2" xfId="42151"/>
    <cellStyle name="Separador de milhares 3 10 4 12 3" xfId="23245"/>
    <cellStyle name="Separador de milhares 3 10 4 13" xfId="9727"/>
    <cellStyle name="Separador de milhares 3 10 4 13 2" xfId="36243"/>
    <cellStyle name="Separador de milhares 3 10 4 14" xfId="29779"/>
    <cellStyle name="Separador de milhares 3 10 4 2" xfId="1139"/>
    <cellStyle name="Separador de milhares 3 10 4 2 2" xfId="5221"/>
    <cellStyle name="Separador de milhares 3 10 4 2 2 2" xfId="8436"/>
    <cellStyle name="Separador de milhares 3 10 4 2 2 2 2" xfId="20290"/>
    <cellStyle name="Separador de milhares 3 10 4 2 2 2 2 2" xfId="46769"/>
    <cellStyle name="Separador de milhares 3 10 4 2 2 2 3" xfId="14363"/>
    <cellStyle name="Separador de milhares 3 10 4 2 2 2 3 2" xfId="40861"/>
    <cellStyle name="Separador de milhares 3 10 4 2 2 2 4" xfId="34953"/>
    <cellStyle name="Separador de milhares 3 10 4 2 2 2 5" xfId="28419"/>
    <cellStyle name="Separador de milhares 3 10 4 2 2 3" xfId="17326"/>
    <cellStyle name="Separador de milhares 3 10 4 2 2 3 2" xfId="43815"/>
    <cellStyle name="Separador de milhares 3 10 4 2 2 4" xfId="11399"/>
    <cellStyle name="Separador de milhares 3 10 4 2 2 4 2" xfId="37907"/>
    <cellStyle name="Separador de milhares 3 10 4 2 2 5" xfId="31748"/>
    <cellStyle name="Separador de milhares 3 10 4 2 2 6" xfId="25214"/>
    <cellStyle name="Separador de milhares 3 10 4 2 3" xfId="6963"/>
    <cellStyle name="Separador de milhares 3 10 4 2 3 2" xfId="18817"/>
    <cellStyle name="Separador de milhares 3 10 4 2 3 2 2" xfId="45301"/>
    <cellStyle name="Separador de milhares 3 10 4 2 3 3" xfId="12890"/>
    <cellStyle name="Separador de milhares 3 10 4 2 3 3 2" xfId="39393"/>
    <cellStyle name="Separador de milhares 3 10 4 2 3 4" xfId="33485"/>
    <cellStyle name="Separador de milhares 3 10 4 2 3 5" xfId="26951"/>
    <cellStyle name="Separador de milhares 3 10 4 2 4" xfId="15853"/>
    <cellStyle name="Separador de milhares 3 10 4 2 4 2" xfId="42347"/>
    <cellStyle name="Separador de milhares 3 10 4 2 4 3" xfId="23442"/>
    <cellStyle name="Separador de milhares 3 10 4 2 5" xfId="9926"/>
    <cellStyle name="Separador de milhares 3 10 4 2 5 2" xfId="36439"/>
    <cellStyle name="Separador de milhares 3 10 4 2 6" xfId="29976"/>
    <cellStyle name="Separador de milhares 3 10 4 2 7" xfId="21670"/>
    <cellStyle name="Separador de milhares 3 10 4 3" xfId="1490"/>
    <cellStyle name="Separador de milhares 3 10 4 3 2" xfId="5319"/>
    <cellStyle name="Separador de milhares 3 10 4 3 2 2" xfId="8534"/>
    <cellStyle name="Separador de milhares 3 10 4 3 2 2 2" xfId="20388"/>
    <cellStyle name="Separador de milhares 3 10 4 3 2 2 2 2" xfId="46867"/>
    <cellStyle name="Separador de milhares 3 10 4 3 2 2 3" xfId="14461"/>
    <cellStyle name="Separador de milhares 3 10 4 3 2 2 3 2" xfId="40959"/>
    <cellStyle name="Separador de milhares 3 10 4 3 2 2 4" xfId="35051"/>
    <cellStyle name="Separador de milhares 3 10 4 3 2 2 5" xfId="28517"/>
    <cellStyle name="Separador de milhares 3 10 4 3 2 3" xfId="17424"/>
    <cellStyle name="Separador de milhares 3 10 4 3 2 3 2" xfId="43913"/>
    <cellStyle name="Separador de milhares 3 10 4 3 2 4" xfId="11497"/>
    <cellStyle name="Separador de milhares 3 10 4 3 2 4 2" xfId="38005"/>
    <cellStyle name="Separador de milhares 3 10 4 3 2 5" xfId="31846"/>
    <cellStyle name="Separador de milhares 3 10 4 3 2 6" xfId="25312"/>
    <cellStyle name="Separador de milhares 3 10 4 3 3" xfId="7061"/>
    <cellStyle name="Separador de milhares 3 10 4 3 3 2" xfId="18915"/>
    <cellStyle name="Separador de milhares 3 10 4 3 3 2 2" xfId="45399"/>
    <cellStyle name="Separador de milhares 3 10 4 3 3 3" xfId="12988"/>
    <cellStyle name="Separador de milhares 3 10 4 3 3 3 2" xfId="39491"/>
    <cellStyle name="Separador de milhares 3 10 4 3 3 4" xfId="33583"/>
    <cellStyle name="Separador de milhares 3 10 4 3 3 5" xfId="27049"/>
    <cellStyle name="Separador de milhares 3 10 4 3 4" xfId="15951"/>
    <cellStyle name="Separador de milhares 3 10 4 3 4 2" xfId="42445"/>
    <cellStyle name="Separador de milhares 3 10 4 3 4 3" xfId="23540"/>
    <cellStyle name="Separador de milhares 3 10 4 3 5" xfId="10024"/>
    <cellStyle name="Separador de milhares 3 10 4 3 5 2" xfId="36537"/>
    <cellStyle name="Separador de milhares 3 10 4 3 6" xfId="30074"/>
    <cellStyle name="Separador de milhares 3 10 4 3 7" xfId="21768"/>
    <cellStyle name="Separador de milhares 3 10 4 4" xfId="1925"/>
    <cellStyle name="Separador de milhares 3 10 4 4 2" xfId="5438"/>
    <cellStyle name="Separador de milhares 3 10 4 4 2 2" xfId="8653"/>
    <cellStyle name="Separador de milhares 3 10 4 4 2 2 2" xfId="20507"/>
    <cellStyle name="Separador de milhares 3 10 4 4 2 2 2 2" xfId="46986"/>
    <cellStyle name="Separador de milhares 3 10 4 4 2 2 3" xfId="14580"/>
    <cellStyle name="Separador de milhares 3 10 4 4 2 2 3 2" xfId="41078"/>
    <cellStyle name="Separador de milhares 3 10 4 4 2 2 4" xfId="35170"/>
    <cellStyle name="Separador de milhares 3 10 4 4 2 2 5" xfId="28636"/>
    <cellStyle name="Separador de milhares 3 10 4 4 2 3" xfId="17543"/>
    <cellStyle name="Separador de milhares 3 10 4 4 2 3 2" xfId="44032"/>
    <cellStyle name="Separador de milhares 3 10 4 4 2 4" xfId="11616"/>
    <cellStyle name="Separador de milhares 3 10 4 4 2 4 2" xfId="38124"/>
    <cellStyle name="Separador de milhares 3 10 4 4 2 5" xfId="31965"/>
    <cellStyle name="Separador de milhares 3 10 4 4 2 6" xfId="25431"/>
    <cellStyle name="Separador de milhares 3 10 4 4 3" xfId="7180"/>
    <cellStyle name="Separador de milhares 3 10 4 4 3 2" xfId="19034"/>
    <cellStyle name="Separador de milhares 3 10 4 4 3 2 2" xfId="45518"/>
    <cellStyle name="Separador de milhares 3 10 4 4 3 3" xfId="13107"/>
    <cellStyle name="Separador de milhares 3 10 4 4 3 3 2" xfId="39610"/>
    <cellStyle name="Separador de milhares 3 10 4 4 3 4" xfId="33702"/>
    <cellStyle name="Separador de milhares 3 10 4 4 3 5" xfId="27168"/>
    <cellStyle name="Separador de milhares 3 10 4 4 4" xfId="16070"/>
    <cellStyle name="Separador de milhares 3 10 4 4 4 2" xfId="42564"/>
    <cellStyle name="Separador de milhares 3 10 4 4 4 3" xfId="23659"/>
    <cellStyle name="Separador de milhares 3 10 4 4 5" xfId="10143"/>
    <cellStyle name="Separador de milhares 3 10 4 4 5 2" xfId="36656"/>
    <cellStyle name="Separador de milhares 3 10 4 4 6" xfId="30193"/>
    <cellStyle name="Separador de milhares 3 10 4 4 7" xfId="21887"/>
    <cellStyle name="Separador de milhares 3 10 4 5" xfId="2458"/>
    <cellStyle name="Separador de milhares 3 10 4 5 2" xfId="5588"/>
    <cellStyle name="Separador de milhares 3 10 4 5 2 2" xfId="8800"/>
    <cellStyle name="Separador de milhares 3 10 4 5 2 2 2" xfId="20654"/>
    <cellStyle name="Separador de milhares 3 10 4 5 2 2 2 2" xfId="47133"/>
    <cellStyle name="Separador de milhares 3 10 4 5 2 2 3" xfId="14727"/>
    <cellStyle name="Separador de milhares 3 10 4 5 2 2 3 2" xfId="41225"/>
    <cellStyle name="Separador de milhares 3 10 4 5 2 2 4" xfId="35317"/>
    <cellStyle name="Separador de milhares 3 10 4 5 2 2 5" xfId="28783"/>
    <cellStyle name="Separador de milhares 3 10 4 5 2 3" xfId="17690"/>
    <cellStyle name="Separador de milhares 3 10 4 5 2 3 2" xfId="44179"/>
    <cellStyle name="Separador de milhares 3 10 4 5 2 4" xfId="11763"/>
    <cellStyle name="Separador de milhares 3 10 4 5 2 4 2" xfId="38271"/>
    <cellStyle name="Separador de milhares 3 10 4 5 2 5" xfId="32115"/>
    <cellStyle name="Separador de milhares 3 10 4 5 2 6" xfId="25581"/>
    <cellStyle name="Separador de milhares 3 10 4 5 3" xfId="7328"/>
    <cellStyle name="Separador de milhares 3 10 4 5 3 2" xfId="19182"/>
    <cellStyle name="Separador de milhares 3 10 4 5 3 2 2" xfId="45665"/>
    <cellStyle name="Separador de milhares 3 10 4 5 3 3" xfId="13255"/>
    <cellStyle name="Separador de milhares 3 10 4 5 3 3 2" xfId="39757"/>
    <cellStyle name="Separador de milhares 3 10 4 5 3 4" xfId="33849"/>
    <cellStyle name="Separador de milhares 3 10 4 5 3 5" xfId="27315"/>
    <cellStyle name="Separador de milhares 3 10 4 5 4" xfId="16218"/>
    <cellStyle name="Separador de milhares 3 10 4 5 4 2" xfId="42711"/>
    <cellStyle name="Separador de milhares 3 10 4 5 4 3" xfId="23809"/>
    <cellStyle name="Separador de milhares 3 10 4 5 5" xfId="10291"/>
    <cellStyle name="Separador de milhares 3 10 4 5 5 2" xfId="36803"/>
    <cellStyle name="Separador de milhares 3 10 4 5 6" xfId="30343"/>
    <cellStyle name="Separador de milhares 3 10 4 5 7" xfId="22037"/>
    <cellStyle name="Separador de milhares 3 10 4 6" xfId="2986"/>
    <cellStyle name="Separador de milhares 3 10 4 6 2" xfId="5735"/>
    <cellStyle name="Separador de milhares 3 10 4 6 2 2" xfId="8947"/>
    <cellStyle name="Separador de milhares 3 10 4 6 2 2 2" xfId="20801"/>
    <cellStyle name="Separador de milhares 3 10 4 6 2 2 2 2" xfId="47280"/>
    <cellStyle name="Separador de milhares 3 10 4 6 2 2 3" xfId="14874"/>
    <cellStyle name="Separador de milhares 3 10 4 6 2 2 3 2" xfId="41372"/>
    <cellStyle name="Separador de milhares 3 10 4 6 2 2 4" xfId="35464"/>
    <cellStyle name="Separador de milhares 3 10 4 6 2 2 5" xfId="28930"/>
    <cellStyle name="Separador de milhares 3 10 4 6 2 3" xfId="17837"/>
    <cellStyle name="Separador de milhares 3 10 4 6 2 3 2" xfId="44326"/>
    <cellStyle name="Separador de milhares 3 10 4 6 2 4" xfId="11910"/>
    <cellStyle name="Separador de milhares 3 10 4 6 2 4 2" xfId="38418"/>
    <cellStyle name="Separador de milhares 3 10 4 6 2 5" xfId="32262"/>
    <cellStyle name="Separador de milhares 3 10 4 6 2 6" xfId="25728"/>
    <cellStyle name="Separador de milhares 3 10 4 6 3" xfId="7476"/>
    <cellStyle name="Separador de milhares 3 10 4 6 3 2" xfId="19330"/>
    <cellStyle name="Separador de milhares 3 10 4 6 3 2 2" xfId="45812"/>
    <cellStyle name="Separador de milhares 3 10 4 6 3 3" xfId="13403"/>
    <cellStyle name="Separador de milhares 3 10 4 6 3 3 2" xfId="39904"/>
    <cellStyle name="Separador de milhares 3 10 4 6 3 4" xfId="33996"/>
    <cellStyle name="Separador de milhares 3 10 4 6 3 5" xfId="27462"/>
    <cellStyle name="Separador de milhares 3 10 4 6 4" xfId="16366"/>
    <cellStyle name="Separador de milhares 3 10 4 6 4 2" xfId="42858"/>
    <cellStyle name="Separador de milhares 3 10 4 6 4 3" xfId="23956"/>
    <cellStyle name="Separador de milhares 3 10 4 6 5" xfId="10439"/>
    <cellStyle name="Separador de milhares 3 10 4 6 5 2" xfId="36950"/>
    <cellStyle name="Separador de milhares 3 10 4 6 6" xfId="30490"/>
    <cellStyle name="Separador de milhares 3 10 4 6 7" xfId="22184"/>
    <cellStyle name="Separador de milhares 3 10 4 7" xfId="3514"/>
    <cellStyle name="Separador de milhares 3 10 4 7 2" xfId="5882"/>
    <cellStyle name="Separador de milhares 3 10 4 7 2 2" xfId="9094"/>
    <cellStyle name="Separador de milhares 3 10 4 7 2 2 2" xfId="20948"/>
    <cellStyle name="Separador de milhares 3 10 4 7 2 2 2 2" xfId="47427"/>
    <cellStyle name="Separador de milhares 3 10 4 7 2 2 3" xfId="15021"/>
    <cellStyle name="Separador de milhares 3 10 4 7 2 2 3 2" xfId="41519"/>
    <cellStyle name="Separador de milhares 3 10 4 7 2 2 4" xfId="35611"/>
    <cellStyle name="Separador de milhares 3 10 4 7 2 2 5" xfId="29077"/>
    <cellStyle name="Separador de milhares 3 10 4 7 2 3" xfId="17984"/>
    <cellStyle name="Separador de milhares 3 10 4 7 2 3 2" xfId="44473"/>
    <cellStyle name="Separador de milhares 3 10 4 7 2 4" xfId="12057"/>
    <cellStyle name="Separador de milhares 3 10 4 7 2 4 2" xfId="38565"/>
    <cellStyle name="Separador de milhares 3 10 4 7 2 5" xfId="32409"/>
    <cellStyle name="Separador de milhares 3 10 4 7 2 6" xfId="25875"/>
    <cellStyle name="Separador de milhares 3 10 4 7 3" xfId="7624"/>
    <cellStyle name="Separador de milhares 3 10 4 7 3 2" xfId="19478"/>
    <cellStyle name="Separador de milhares 3 10 4 7 3 2 2" xfId="45959"/>
    <cellStyle name="Separador de milhares 3 10 4 7 3 3" xfId="13551"/>
    <cellStyle name="Separador de milhares 3 10 4 7 3 3 2" xfId="40051"/>
    <cellStyle name="Separador de milhares 3 10 4 7 3 4" xfId="34143"/>
    <cellStyle name="Separador de milhares 3 10 4 7 3 5" xfId="27609"/>
    <cellStyle name="Separador de milhares 3 10 4 7 4" xfId="16514"/>
    <cellStyle name="Separador de milhares 3 10 4 7 4 2" xfId="43005"/>
    <cellStyle name="Separador de milhares 3 10 4 7 4 3" xfId="24103"/>
    <cellStyle name="Separador de milhares 3 10 4 7 5" xfId="10587"/>
    <cellStyle name="Separador de milhares 3 10 4 7 5 2" xfId="37097"/>
    <cellStyle name="Separador de milhares 3 10 4 7 6" xfId="30637"/>
    <cellStyle name="Separador de milhares 3 10 4 7 7" xfId="22331"/>
    <cellStyle name="Separador de milhares 3 10 4 8" xfId="4042"/>
    <cellStyle name="Separador de milhares 3 10 4 8 2" xfId="6029"/>
    <cellStyle name="Separador de milhares 3 10 4 8 2 2" xfId="9241"/>
    <cellStyle name="Separador de milhares 3 10 4 8 2 2 2" xfId="21095"/>
    <cellStyle name="Separador de milhares 3 10 4 8 2 2 2 2" xfId="47574"/>
    <cellStyle name="Separador de milhares 3 10 4 8 2 2 3" xfId="15168"/>
    <cellStyle name="Separador de milhares 3 10 4 8 2 2 3 2" xfId="41666"/>
    <cellStyle name="Separador de milhares 3 10 4 8 2 2 4" xfId="35758"/>
    <cellStyle name="Separador de milhares 3 10 4 8 2 2 5" xfId="29224"/>
    <cellStyle name="Separador de milhares 3 10 4 8 2 3" xfId="18131"/>
    <cellStyle name="Separador de milhares 3 10 4 8 2 3 2" xfId="44620"/>
    <cellStyle name="Separador de milhares 3 10 4 8 2 4" xfId="12204"/>
    <cellStyle name="Separador de milhares 3 10 4 8 2 4 2" xfId="38712"/>
    <cellStyle name="Separador de milhares 3 10 4 8 2 5" xfId="32556"/>
    <cellStyle name="Separador de milhares 3 10 4 8 2 6" xfId="26022"/>
    <cellStyle name="Separador de milhares 3 10 4 8 3" xfId="7772"/>
    <cellStyle name="Separador de milhares 3 10 4 8 3 2" xfId="19626"/>
    <cellStyle name="Separador de milhares 3 10 4 8 3 2 2" xfId="46106"/>
    <cellStyle name="Separador de milhares 3 10 4 8 3 3" xfId="13699"/>
    <cellStyle name="Separador de milhares 3 10 4 8 3 3 2" xfId="40198"/>
    <cellStyle name="Separador de milhares 3 10 4 8 3 4" xfId="34290"/>
    <cellStyle name="Separador de milhares 3 10 4 8 3 5" xfId="27756"/>
    <cellStyle name="Separador de milhares 3 10 4 8 4" xfId="16662"/>
    <cellStyle name="Separador de milhares 3 10 4 8 4 2" xfId="43152"/>
    <cellStyle name="Separador de milhares 3 10 4 8 4 3" xfId="24250"/>
    <cellStyle name="Separador de milhares 3 10 4 8 5" xfId="10735"/>
    <cellStyle name="Separador de milhares 3 10 4 8 5 2" xfId="37244"/>
    <cellStyle name="Separador de milhares 3 10 4 8 6" xfId="30784"/>
    <cellStyle name="Separador de milhares 3 10 4 8 7" xfId="22478"/>
    <cellStyle name="Separador de milhares 3 10 4 9" xfId="810"/>
    <cellStyle name="Separador de milhares 3 10 4 9 2" xfId="5123"/>
    <cellStyle name="Separador de milhares 3 10 4 9 2 2" xfId="8338"/>
    <cellStyle name="Separador de milhares 3 10 4 9 2 2 2" xfId="20192"/>
    <cellStyle name="Separador de milhares 3 10 4 9 2 2 2 2" xfId="46671"/>
    <cellStyle name="Separador de milhares 3 10 4 9 2 2 3" xfId="14265"/>
    <cellStyle name="Separador de milhares 3 10 4 9 2 2 3 2" xfId="40763"/>
    <cellStyle name="Separador de milhares 3 10 4 9 2 2 4" xfId="34855"/>
    <cellStyle name="Separador de milhares 3 10 4 9 2 2 5" xfId="28321"/>
    <cellStyle name="Separador de milhares 3 10 4 9 2 3" xfId="17228"/>
    <cellStyle name="Separador de milhares 3 10 4 9 2 3 2" xfId="43717"/>
    <cellStyle name="Separador de milhares 3 10 4 9 2 4" xfId="11301"/>
    <cellStyle name="Separador de milhares 3 10 4 9 2 4 2" xfId="37809"/>
    <cellStyle name="Separador de milhares 3 10 4 9 2 5" xfId="31650"/>
    <cellStyle name="Separador de milhares 3 10 4 9 2 6" xfId="25116"/>
    <cellStyle name="Separador de milhares 3 10 4 9 3" xfId="6865"/>
    <cellStyle name="Separador de milhares 3 10 4 9 3 2" xfId="18719"/>
    <cellStyle name="Separador de milhares 3 10 4 9 3 2 2" xfId="45203"/>
    <cellStyle name="Separador de milhares 3 10 4 9 3 3" xfId="12792"/>
    <cellStyle name="Separador de milhares 3 10 4 9 3 3 2" xfId="39295"/>
    <cellStyle name="Separador de milhares 3 10 4 9 3 4" xfId="33387"/>
    <cellStyle name="Separador de milhares 3 10 4 9 3 5" xfId="26853"/>
    <cellStyle name="Separador de milhares 3 10 4 9 4" xfId="15755"/>
    <cellStyle name="Separador de milhares 3 10 4 9 4 2" xfId="42249"/>
    <cellStyle name="Separador de milhares 3 10 4 9 4 3" xfId="23344"/>
    <cellStyle name="Separador de milhares 3 10 4 9 5" xfId="9828"/>
    <cellStyle name="Separador de milhares 3 10 4 9 5 2" xfId="36341"/>
    <cellStyle name="Separador de milhares 3 10 4 9 6" xfId="29878"/>
    <cellStyle name="Separador de milhares 3 10 4 9 7" xfId="21572"/>
    <cellStyle name="Separador de milhares 3 10 5" xfId="751"/>
    <cellStyle name="Separador de milhares 3 10 5 10" xfId="15718"/>
    <cellStyle name="Separador de milhares 3 10 5 10 2" xfId="42215"/>
    <cellStyle name="Separador de milhares 3 10 5 10 3" xfId="23310"/>
    <cellStyle name="Separador de milhares 3 10 5 11" xfId="9791"/>
    <cellStyle name="Separador de milhares 3 10 5 11 2" xfId="36307"/>
    <cellStyle name="Separador de milhares 3 10 5 12" xfId="29844"/>
    <cellStyle name="Separador de milhares 3 10 5 13" xfId="21538"/>
    <cellStyle name="Separador de milhares 3 10 5 2" xfId="1574"/>
    <cellStyle name="Separador de milhares 3 10 5 2 2" xfId="5340"/>
    <cellStyle name="Separador de milhares 3 10 5 2 2 2" xfId="8555"/>
    <cellStyle name="Separador de milhares 3 10 5 2 2 2 2" xfId="20409"/>
    <cellStyle name="Separador de milhares 3 10 5 2 2 2 2 2" xfId="46888"/>
    <cellStyle name="Separador de milhares 3 10 5 2 2 2 3" xfId="14482"/>
    <cellStyle name="Separador de milhares 3 10 5 2 2 2 3 2" xfId="40980"/>
    <cellStyle name="Separador de milhares 3 10 5 2 2 2 4" xfId="35072"/>
    <cellStyle name="Separador de milhares 3 10 5 2 2 2 5" xfId="28538"/>
    <cellStyle name="Separador de milhares 3 10 5 2 2 3" xfId="17445"/>
    <cellStyle name="Separador de milhares 3 10 5 2 2 3 2" xfId="43934"/>
    <cellStyle name="Separador de milhares 3 10 5 2 2 4" xfId="11518"/>
    <cellStyle name="Separador de milhares 3 10 5 2 2 4 2" xfId="38026"/>
    <cellStyle name="Separador de milhares 3 10 5 2 2 5" xfId="31867"/>
    <cellStyle name="Separador de milhares 3 10 5 2 2 6" xfId="25333"/>
    <cellStyle name="Separador de milhares 3 10 5 2 3" xfId="7082"/>
    <cellStyle name="Separador de milhares 3 10 5 2 3 2" xfId="18936"/>
    <cellStyle name="Separador de milhares 3 10 5 2 3 2 2" xfId="45420"/>
    <cellStyle name="Separador de milhares 3 10 5 2 3 3" xfId="13009"/>
    <cellStyle name="Separador de milhares 3 10 5 2 3 3 2" xfId="39512"/>
    <cellStyle name="Separador de milhares 3 10 5 2 3 4" xfId="33604"/>
    <cellStyle name="Separador de milhares 3 10 5 2 3 5" xfId="27070"/>
    <cellStyle name="Separador de milhares 3 10 5 2 4" xfId="15972"/>
    <cellStyle name="Separador de milhares 3 10 5 2 4 2" xfId="42466"/>
    <cellStyle name="Separador de milhares 3 10 5 2 4 3" xfId="23561"/>
    <cellStyle name="Separador de milhares 3 10 5 2 5" xfId="10045"/>
    <cellStyle name="Separador de milhares 3 10 5 2 5 2" xfId="36558"/>
    <cellStyle name="Separador de milhares 3 10 5 2 6" xfId="30095"/>
    <cellStyle name="Separador de milhares 3 10 5 2 7" xfId="21789"/>
    <cellStyle name="Separador de milhares 3 10 5 3" xfId="2009"/>
    <cellStyle name="Separador de milhares 3 10 5 3 2" xfId="5459"/>
    <cellStyle name="Separador de milhares 3 10 5 3 2 2" xfId="8674"/>
    <cellStyle name="Separador de milhares 3 10 5 3 2 2 2" xfId="20528"/>
    <cellStyle name="Separador de milhares 3 10 5 3 2 2 2 2" xfId="47007"/>
    <cellStyle name="Separador de milhares 3 10 5 3 2 2 3" xfId="14601"/>
    <cellStyle name="Separador de milhares 3 10 5 3 2 2 3 2" xfId="41099"/>
    <cellStyle name="Separador de milhares 3 10 5 3 2 2 4" xfId="35191"/>
    <cellStyle name="Separador de milhares 3 10 5 3 2 2 5" xfId="28657"/>
    <cellStyle name="Separador de milhares 3 10 5 3 2 3" xfId="17564"/>
    <cellStyle name="Separador de milhares 3 10 5 3 2 3 2" xfId="44053"/>
    <cellStyle name="Separador de milhares 3 10 5 3 2 4" xfId="11637"/>
    <cellStyle name="Separador de milhares 3 10 5 3 2 4 2" xfId="38145"/>
    <cellStyle name="Separador de milhares 3 10 5 3 2 5" xfId="31986"/>
    <cellStyle name="Separador de milhares 3 10 5 3 2 6" xfId="25452"/>
    <cellStyle name="Separador de milhares 3 10 5 3 3" xfId="7201"/>
    <cellStyle name="Separador de milhares 3 10 5 3 3 2" xfId="19055"/>
    <cellStyle name="Separador de milhares 3 10 5 3 3 2 2" xfId="45539"/>
    <cellStyle name="Separador de milhares 3 10 5 3 3 3" xfId="13128"/>
    <cellStyle name="Separador de milhares 3 10 5 3 3 3 2" xfId="39631"/>
    <cellStyle name="Separador de milhares 3 10 5 3 3 4" xfId="33723"/>
    <cellStyle name="Separador de milhares 3 10 5 3 3 5" xfId="27189"/>
    <cellStyle name="Separador de milhares 3 10 5 3 4" xfId="16091"/>
    <cellStyle name="Separador de milhares 3 10 5 3 4 2" xfId="42585"/>
    <cellStyle name="Separador de milhares 3 10 5 3 4 3" xfId="23680"/>
    <cellStyle name="Separador de milhares 3 10 5 3 5" xfId="10164"/>
    <cellStyle name="Separador de milhares 3 10 5 3 5 2" xfId="36677"/>
    <cellStyle name="Separador de milhares 3 10 5 3 6" xfId="30214"/>
    <cellStyle name="Separador de milhares 3 10 5 3 7" xfId="21908"/>
    <cellStyle name="Separador de milhares 3 10 5 4" xfId="2542"/>
    <cellStyle name="Separador de milhares 3 10 5 4 2" xfId="5609"/>
    <cellStyle name="Separador de milhares 3 10 5 4 2 2" xfId="8821"/>
    <cellStyle name="Separador de milhares 3 10 5 4 2 2 2" xfId="20675"/>
    <cellStyle name="Separador de milhares 3 10 5 4 2 2 2 2" xfId="47154"/>
    <cellStyle name="Separador de milhares 3 10 5 4 2 2 3" xfId="14748"/>
    <cellStyle name="Separador de milhares 3 10 5 4 2 2 3 2" xfId="41246"/>
    <cellStyle name="Separador de milhares 3 10 5 4 2 2 4" xfId="35338"/>
    <cellStyle name="Separador de milhares 3 10 5 4 2 2 5" xfId="28804"/>
    <cellStyle name="Separador de milhares 3 10 5 4 2 3" xfId="17711"/>
    <cellStyle name="Separador de milhares 3 10 5 4 2 3 2" xfId="44200"/>
    <cellStyle name="Separador de milhares 3 10 5 4 2 4" xfId="11784"/>
    <cellStyle name="Separador de milhares 3 10 5 4 2 4 2" xfId="38292"/>
    <cellStyle name="Separador de milhares 3 10 5 4 2 5" xfId="32136"/>
    <cellStyle name="Separador de milhares 3 10 5 4 2 6" xfId="25602"/>
    <cellStyle name="Separador de milhares 3 10 5 4 3" xfId="7349"/>
    <cellStyle name="Separador de milhares 3 10 5 4 3 2" xfId="19203"/>
    <cellStyle name="Separador de milhares 3 10 5 4 3 2 2" xfId="45686"/>
    <cellStyle name="Separador de milhares 3 10 5 4 3 3" xfId="13276"/>
    <cellStyle name="Separador de milhares 3 10 5 4 3 3 2" xfId="39778"/>
    <cellStyle name="Separador de milhares 3 10 5 4 3 4" xfId="33870"/>
    <cellStyle name="Separador de milhares 3 10 5 4 3 5" xfId="27336"/>
    <cellStyle name="Separador de milhares 3 10 5 4 4" xfId="16239"/>
    <cellStyle name="Separador de milhares 3 10 5 4 4 2" xfId="42732"/>
    <cellStyle name="Separador de milhares 3 10 5 4 4 3" xfId="23830"/>
    <cellStyle name="Separador de milhares 3 10 5 4 5" xfId="10312"/>
    <cellStyle name="Separador de milhares 3 10 5 4 5 2" xfId="36824"/>
    <cellStyle name="Separador de milhares 3 10 5 4 6" xfId="30364"/>
    <cellStyle name="Separador de milhares 3 10 5 4 7" xfId="22058"/>
    <cellStyle name="Separador de milhares 3 10 5 5" xfId="3070"/>
    <cellStyle name="Separador de milhares 3 10 5 5 2" xfId="5756"/>
    <cellStyle name="Separador de milhares 3 10 5 5 2 2" xfId="8968"/>
    <cellStyle name="Separador de milhares 3 10 5 5 2 2 2" xfId="20822"/>
    <cellStyle name="Separador de milhares 3 10 5 5 2 2 2 2" xfId="47301"/>
    <cellStyle name="Separador de milhares 3 10 5 5 2 2 3" xfId="14895"/>
    <cellStyle name="Separador de milhares 3 10 5 5 2 2 3 2" xfId="41393"/>
    <cellStyle name="Separador de milhares 3 10 5 5 2 2 4" xfId="35485"/>
    <cellStyle name="Separador de milhares 3 10 5 5 2 2 5" xfId="28951"/>
    <cellStyle name="Separador de milhares 3 10 5 5 2 3" xfId="17858"/>
    <cellStyle name="Separador de milhares 3 10 5 5 2 3 2" xfId="44347"/>
    <cellStyle name="Separador de milhares 3 10 5 5 2 4" xfId="11931"/>
    <cellStyle name="Separador de milhares 3 10 5 5 2 4 2" xfId="38439"/>
    <cellStyle name="Separador de milhares 3 10 5 5 2 5" xfId="32283"/>
    <cellStyle name="Separador de milhares 3 10 5 5 2 6" xfId="25749"/>
    <cellStyle name="Separador de milhares 3 10 5 5 3" xfId="7497"/>
    <cellStyle name="Separador de milhares 3 10 5 5 3 2" xfId="19351"/>
    <cellStyle name="Separador de milhares 3 10 5 5 3 2 2" xfId="45833"/>
    <cellStyle name="Separador de milhares 3 10 5 5 3 3" xfId="13424"/>
    <cellStyle name="Separador de milhares 3 10 5 5 3 3 2" xfId="39925"/>
    <cellStyle name="Separador de milhares 3 10 5 5 3 4" xfId="34017"/>
    <cellStyle name="Separador de milhares 3 10 5 5 3 5" xfId="27483"/>
    <cellStyle name="Separador de milhares 3 10 5 5 4" xfId="16387"/>
    <cellStyle name="Separador de milhares 3 10 5 5 4 2" xfId="42879"/>
    <cellStyle name="Separador de milhares 3 10 5 5 4 3" xfId="23977"/>
    <cellStyle name="Separador de milhares 3 10 5 5 5" xfId="10460"/>
    <cellStyle name="Separador de milhares 3 10 5 5 5 2" xfId="36971"/>
    <cellStyle name="Separador de milhares 3 10 5 5 6" xfId="30511"/>
    <cellStyle name="Separador de milhares 3 10 5 5 7" xfId="22205"/>
    <cellStyle name="Separador de milhares 3 10 5 6" xfId="3598"/>
    <cellStyle name="Separador de milhares 3 10 5 6 2" xfId="5903"/>
    <cellStyle name="Separador de milhares 3 10 5 6 2 2" xfId="9115"/>
    <cellStyle name="Separador de milhares 3 10 5 6 2 2 2" xfId="20969"/>
    <cellStyle name="Separador de milhares 3 10 5 6 2 2 2 2" xfId="47448"/>
    <cellStyle name="Separador de milhares 3 10 5 6 2 2 3" xfId="15042"/>
    <cellStyle name="Separador de milhares 3 10 5 6 2 2 3 2" xfId="41540"/>
    <cellStyle name="Separador de milhares 3 10 5 6 2 2 4" xfId="35632"/>
    <cellStyle name="Separador de milhares 3 10 5 6 2 2 5" xfId="29098"/>
    <cellStyle name="Separador de milhares 3 10 5 6 2 3" xfId="18005"/>
    <cellStyle name="Separador de milhares 3 10 5 6 2 3 2" xfId="44494"/>
    <cellStyle name="Separador de milhares 3 10 5 6 2 4" xfId="12078"/>
    <cellStyle name="Separador de milhares 3 10 5 6 2 4 2" xfId="38586"/>
    <cellStyle name="Separador de milhares 3 10 5 6 2 5" xfId="32430"/>
    <cellStyle name="Separador de milhares 3 10 5 6 2 6" xfId="25896"/>
    <cellStyle name="Separador de milhares 3 10 5 6 3" xfId="7645"/>
    <cellStyle name="Separador de milhares 3 10 5 6 3 2" xfId="19499"/>
    <cellStyle name="Separador de milhares 3 10 5 6 3 2 2" xfId="45980"/>
    <cellStyle name="Separador de milhares 3 10 5 6 3 3" xfId="13572"/>
    <cellStyle name="Separador de milhares 3 10 5 6 3 3 2" xfId="40072"/>
    <cellStyle name="Separador de milhares 3 10 5 6 3 4" xfId="34164"/>
    <cellStyle name="Separador de milhares 3 10 5 6 3 5" xfId="27630"/>
    <cellStyle name="Separador de milhares 3 10 5 6 4" xfId="16535"/>
    <cellStyle name="Separador de milhares 3 10 5 6 4 2" xfId="43026"/>
    <cellStyle name="Separador de milhares 3 10 5 6 4 3" xfId="24124"/>
    <cellStyle name="Separador de milhares 3 10 5 6 5" xfId="10608"/>
    <cellStyle name="Separador de milhares 3 10 5 6 5 2" xfId="37118"/>
    <cellStyle name="Separador de milhares 3 10 5 6 6" xfId="30658"/>
    <cellStyle name="Separador de milhares 3 10 5 6 7" xfId="22352"/>
    <cellStyle name="Separador de milhares 3 10 5 7" xfId="4126"/>
    <cellStyle name="Separador de milhares 3 10 5 7 2" xfId="6050"/>
    <cellStyle name="Separador de milhares 3 10 5 7 2 2" xfId="9262"/>
    <cellStyle name="Separador de milhares 3 10 5 7 2 2 2" xfId="21116"/>
    <cellStyle name="Separador de milhares 3 10 5 7 2 2 2 2" xfId="47595"/>
    <cellStyle name="Separador de milhares 3 10 5 7 2 2 3" xfId="15189"/>
    <cellStyle name="Separador de milhares 3 10 5 7 2 2 3 2" xfId="41687"/>
    <cellStyle name="Separador de milhares 3 10 5 7 2 2 4" xfId="35779"/>
    <cellStyle name="Separador de milhares 3 10 5 7 2 2 5" xfId="29245"/>
    <cellStyle name="Separador de milhares 3 10 5 7 2 3" xfId="18152"/>
    <cellStyle name="Separador de milhares 3 10 5 7 2 3 2" xfId="44641"/>
    <cellStyle name="Separador de milhares 3 10 5 7 2 4" xfId="12225"/>
    <cellStyle name="Separador de milhares 3 10 5 7 2 4 2" xfId="38733"/>
    <cellStyle name="Separador de milhares 3 10 5 7 2 5" xfId="32577"/>
    <cellStyle name="Separador de milhares 3 10 5 7 2 6" xfId="26043"/>
    <cellStyle name="Separador de milhares 3 10 5 7 3" xfId="7793"/>
    <cellStyle name="Separador de milhares 3 10 5 7 3 2" xfId="19647"/>
    <cellStyle name="Separador de milhares 3 10 5 7 3 2 2" xfId="46127"/>
    <cellStyle name="Separador de milhares 3 10 5 7 3 3" xfId="13720"/>
    <cellStyle name="Separador de milhares 3 10 5 7 3 3 2" xfId="40219"/>
    <cellStyle name="Separador de milhares 3 10 5 7 3 4" xfId="34311"/>
    <cellStyle name="Separador de milhares 3 10 5 7 3 5" xfId="27777"/>
    <cellStyle name="Separador de milhares 3 10 5 7 4" xfId="16683"/>
    <cellStyle name="Separador de milhares 3 10 5 7 4 2" xfId="43173"/>
    <cellStyle name="Separador de milhares 3 10 5 7 4 3" xfId="24271"/>
    <cellStyle name="Separador de milhares 3 10 5 7 5" xfId="10756"/>
    <cellStyle name="Separador de milhares 3 10 5 7 5 2" xfId="37265"/>
    <cellStyle name="Separador de milhares 3 10 5 7 6" xfId="30805"/>
    <cellStyle name="Separador de milhares 3 10 5 7 7" xfId="22499"/>
    <cellStyle name="Separador de milhares 3 10 5 8" xfId="5089"/>
    <cellStyle name="Separador de milhares 3 10 5 8 2" xfId="8304"/>
    <cellStyle name="Separador de milhares 3 10 5 8 2 2" xfId="20158"/>
    <cellStyle name="Separador de milhares 3 10 5 8 2 2 2" xfId="46637"/>
    <cellStyle name="Separador de milhares 3 10 5 8 2 3" xfId="14231"/>
    <cellStyle name="Separador de milhares 3 10 5 8 2 3 2" xfId="40729"/>
    <cellStyle name="Separador de milhares 3 10 5 8 2 4" xfId="34821"/>
    <cellStyle name="Separador de milhares 3 10 5 8 2 5" xfId="28287"/>
    <cellStyle name="Separador de milhares 3 10 5 8 3" xfId="17194"/>
    <cellStyle name="Separador de milhares 3 10 5 8 3 2" xfId="43683"/>
    <cellStyle name="Separador de milhares 3 10 5 8 4" xfId="11267"/>
    <cellStyle name="Separador de milhares 3 10 5 8 4 2" xfId="37775"/>
    <cellStyle name="Separador de milhares 3 10 5 8 5" xfId="31616"/>
    <cellStyle name="Separador de milhares 3 10 5 8 6" xfId="25082"/>
    <cellStyle name="Separador de milhares 3 10 5 9" xfId="6828"/>
    <cellStyle name="Separador de milhares 3 10 5 9 2" xfId="18682"/>
    <cellStyle name="Separador de milhares 3 10 5 9 2 2" xfId="45169"/>
    <cellStyle name="Separador de milhares 3 10 5 9 3" xfId="12755"/>
    <cellStyle name="Separador de milhares 3 10 5 9 3 2" xfId="39261"/>
    <cellStyle name="Separador de milhares 3 10 5 9 4" xfId="33353"/>
    <cellStyle name="Separador de milhares 3 10 5 9 5" xfId="26819"/>
    <cellStyle name="Separador de milhares 3 10 6" xfId="872"/>
    <cellStyle name="Separador de milhares 3 10 6 2" xfId="4303"/>
    <cellStyle name="Separador de milhares 3 10 6 2 2" xfId="6099"/>
    <cellStyle name="Separador de milhares 3 10 6 2 2 2" xfId="9311"/>
    <cellStyle name="Separador de milhares 3 10 6 2 2 2 2" xfId="21165"/>
    <cellStyle name="Separador de milhares 3 10 6 2 2 2 2 2" xfId="47644"/>
    <cellStyle name="Separador de milhares 3 10 6 2 2 2 3" xfId="15238"/>
    <cellStyle name="Separador de milhares 3 10 6 2 2 2 3 2" xfId="41736"/>
    <cellStyle name="Separador de milhares 3 10 6 2 2 2 4" xfId="35828"/>
    <cellStyle name="Separador de milhares 3 10 6 2 2 2 5" xfId="29294"/>
    <cellStyle name="Separador de milhares 3 10 6 2 2 3" xfId="18201"/>
    <cellStyle name="Separador de milhares 3 10 6 2 2 3 2" xfId="44690"/>
    <cellStyle name="Separador de milhares 3 10 6 2 2 4" xfId="12274"/>
    <cellStyle name="Separador de milhares 3 10 6 2 2 4 2" xfId="38782"/>
    <cellStyle name="Separador de milhares 3 10 6 2 2 5" xfId="32626"/>
    <cellStyle name="Separador de milhares 3 10 6 2 2 6" xfId="26092"/>
    <cellStyle name="Separador de milhares 3 10 6 2 3" xfId="7843"/>
    <cellStyle name="Separador de milhares 3 10 6 2 3 2" xfId="19697"/>
    <cellStyle name="Separador de milhares 3 10 6 2 3 2 2" xfId="46176"/>
    <cellStyle name="Separador de milhares 3 10 6 2 3 3" xfId="13770"/>
    <cellStyle name="Separador de milhares 3 10 6 2 3 3 2" xfId="40268"/>
    <cellStyle name="Separador de milhares 3 10 6 2 3 4" xfId="34360"/>
    <cellStyle name="Separador de milhares 3 10 6 2 3 5" xfId="27826"/>
    <cellStyle name="Separador de milhares 3 10 6 2 4" xfId="16733"/>
    <cellStyle name="Separador de milhares 3 10 6 2 4 2" xfId="43222"/>
    <cellStyle name="Separador de milhares 3 10 6 2 4 3" xfId="24320"/>
    <cellStyle name="Separador de milhares 3 10 6 2 5" xfId="10806"/>
    <cellStyle name="Separador de milhares 3 10 6 2 5 2" xfId="37314"/>
    <cellStyle name="Separador de milhares 3 10 6 2 6" xfId="30854"/>
    <cellStyle name="Separador de milhares 3 10 6 2 7" xfId="22548"/>
    <cellStyle name="Separador de milhares 3 10 6 3" xfId="5144"/>
    <cellStyle name="Separador de milhares 3 10 6 3 2" xfId="8359"/>
    <cellStyle name="Separador de milhares 3 10 6 3 2 2" xfId="20213"/>
    <cellStyle name="Separador de milhares 3 10 6 3 2 2 2" xfId="46692"/>
    <cellStyle name="Separador de milhares 3 10 6 3 2 3" xfId="14286"/>
    <cellStyle name="Separador de milhares 3 10 6 3 2 3 2" xfId="40784"/>
    <cellStyle name="Separador de milhares 3 10 6 3 2 4" xfId="34876"/>
    <cellStyle name="Separador de milhares 3 10 6 3 2 5" xfId="28342"/>
    <cellStyle name="Separador de milhares 3 10 6 3 3" xfId="17249"/>
    <cellStyle name="Separador de milhares 3 10 6 3 3 2" xfId="43738"/>
    <cellStyle name="Separador de milhares 3 10 6 3 4" xfId="11322"/>
    <cellStyle name="Separador de milhares 3 10 6 3 4 2" xfId="37830"/>
    <cellStyle name="Separador de milhares 3 10 6 3 5" xfId="31671"/>
    <cellStyle name="Separador de milhares 3 10 6 3 6" xfId="25137"/>
    <cellStyle name="Separador de milhares 3 10 6 4" xfId="6886"/>
    <cellStyle name="Separador de milhares 3 10 6 4 2" xfId="18740"/>
    <cellStyle name="Separador de milhares 3 10 6 4 2 2" xfId="45224"/>
    <cellStyle name="Separador de milhares 3 10 6 4 3" xfId="12813"/>
    <cellStyle name="Separador de milhares 3 10 6 4 3 2" xfId="39316"/>
    <cellStyle name="Separador de milhares 3 10 6 4 4" xfId="33408"/>
    <cellStyle name="Separador de milhares 3 10 6 4 5" xfId="26874"/>
    <cellStyle name="Separador de milhares 3 10 6 5" xfId="15776"/>
    <cellStyle name="Separador de milhares 3 10 6 5 2" xfId="42270"/>
    <cellStyle name="Separador de milhares 3 10 6 5 3" xfId="23365"/>
    <cellStyle name="Separador de milhares 3 10 6 6" xfId="9849"/>
    <cellStyle name="Separador de milhares 3 10 6 6 2" xfId="36362"/>
    <cellStyle name="Separador de milhares 3 10 6 7" xfId="29899"/>
    <cellStyle name="Separador de milhares 3 10 6 8" xfId="21593"/>
    <cellStyle name="Separador de milhares 3 10 7" xfId="1223"/>
    <cellStyle name="Separador de milhares 3 10 7 2" xfId="5242"/>
    <cellStyle name="Separador de milhares 3 10 7 2 2" xfId="8457"/>
    <cellStyle name="Separador de milhares 3 10 7 2 2 2" xfId="20311"/>
    <cellStyle name="Separador de milhares 3 10 7 2 2 2 2" xfId="46790"/>
    <cellStyle name="Separador de milhares 3 10 7 2 2 3" xfId="14384"/>
    <cellStyle name="Separador de milhares 3 10 7 2 2 3 2" xfId="40882"/>
    <cellStyle name="Separador de milhares 3 10 7 2 2 4" xfId="34974"/>
    <cellStyle name="Separador de milhares 3 10 7 2 2 5" xfId="28440"/>
    <cellStyle name="Separador de milhares 3 10 7 2 3" xfId="17347"/>
    <cellStyle name="Separador de milhares 3 10 7 2 3 2" xfId="43836"/>
    <cellStyle name="Separador de milhares 3 10 7 2 4" xfId="11420"/>
    <cellStyle name="Separador de milhares 3 10 7 2 4 2" xfId="37928"/>
    <cellStyle name="Separador de milhares 3 10 7 2 5" xfId="31769"/>
    <cellStyle name="Separador de milhares 3 10 7 2 6" xfId="25235"/>
    <cellStyle name="Separador de milhares 3 10 7 3" xfId="6984"/>
    <cellStyle name="Separador de milhares 3 10 7 3 2" xfId="18838"/>
    <cellStyle name="Separador de milhares 3 10 7 3 2 2" xfId="45322"/>
    <cellStyle name="Separador de milhares 3 10 7 3 3" xfId="12911"/>
    <cellStyle name="Separador de milhares 3 10 7 3 3 2" xfId="39414"/>
    <cellStyle name="Separador de milhares 3 10 7 3 4" xfId="33506"/>
    <cellStyle name="Separador de milhares 3 10 7 3 5" xfId="26972"/>
    <cellStyle name="Separador de milhares 3 10 7 4" xfId="15874"/>
    <cellStyle name="Separador de milhares 3 10 7 4 2" xfId="42368"/>
    <cellStyle name="Separador de milhares 3 10 7 4 3" xfId="23463"/>
    <cellStyle name="Separador de milhares 3 10 7 5" xfId="9947"/>
    <cellStyle name="Separador de milhares 3 10 7 5 2" xfId="36460"/>
    <cellStyle name="Separador de milhares 3 10 7 6" xfId="29997"/>
    <cellStyle name="Separador de milhares 3 10 7 7" xfId="21691"/>
    <cellStyle name="Separador de milhares 3 10 8" xfId="1658"/>
    <cellStyle name="Separador de milhares 3 10 8 2" xfId="5361"/>
    <cellStyle name="Separador de milhares 3 10 8 2 2" xfId="8576"/>
    <cellStyle name="Separador de milhares 3 10 8 2 2 2" xfId="20430"/>
    <cellStyle name="Separador de milhares 3 10 8 2 2 2 2" xfId="46909"/>
    <cellStyle name="Separador de milhares 3 10 8 2 2 3" xfId="14503"/>
    <cellStyle name="Separador de milhares 3 10 8 2 2 3 2" xfId="41001"/>
    <cellStyle name="Separador de milhares 3 10 8 2 2 4" xfId="35093"/>
    <cellStyle name="Separador de milhares 3 10 8 2 2 5" xfId="28559"/>
    <cellStyle name="Separador de milhares 3 10 8 2 3" xfId="17466"/>
    <cellStyle name="Separador de milhares 3 10 8 2 3 2" xfId="43955"/>
    <cellStyle name="Separador de milhares 3 10 8 2 4" xfId="11539"/>
    <cellStyle name="Separador de milhares 3 10 8 2 4 2" xfId="38047"/>
    <cellStyle name="Separador de milhares 3 10 8 2 5" xfId="31888"/>
    <cellStyle name="Separador de milhares 3 10 8 2 6" xfId="25354"/>
    <cellStyle name="Separador de milhares 3 10 8 3" xfId="7103"/>
    <cellStyle name="Separador de milhares 3 10 8 3 2" xfId="18957"/>
    <cellStyle name="Separador de milhares 3 10 8 3 2 2" xfId="45441"/>
    <cellStyle name="Separador de milhares 3 10 8 3 3" xfId="13030"/>
    <cellStyle name="Separador de milhares 3 10 8 3 3 2" xfId="39533"/>
    <cellStyle name="Separador de milhares 3 10 8 3 4" xfId="33625"/>
    <cellStyle name="Separador de milhares 3 10 8 3 5" xfId="27091"/>
    <cellStyle name="Separador de milhares 3 10 8 4" xfId="15993"/>
    <cellStyle name="Separador de milhares 3 10 8 4 2" xfId="42487"/>
    <cellStyle name="Separador de milhares 3 10 8 4 3" xfId="23582"/>
    <cellStyle name="Separador de milhares 3 10 8 5" xfId="10066"/>
    <cellStyle name="Separador de milhares 3 10 8 5 2" xfId="36579"/>
    <cellStyle name="Separador de milhares 3 10 8 6" xfId="30116"/>
    <cellStyle name="Separador de milhares 3 10 8 7" xfId="21810"/>
    <cellStyle name="Separador de milhares 3 10 9" xfId="2191"/>
    <cellStyle name="Separador de milhares 3 10 9 2" xfId="5511"/>
    <cellStyle name="Separador de milhares 3 10 9 2 2" xfId="8723"/>
    <cellStyle name="Separador de milhares 3 10 9 2 2 2" xfId="20577"/>
    <cellStyle name="Separador de milhares 3 10 9 2 2 2 2" xfId="47056"/>
    <cellStyle name="Separador de milhares 3 10 9 2 2 3" xfId="14650"/>
    <cellStyle name="Separador de milhares 3 10 9 2 2 3 2" xfId="41148"/>
    <cellStyle name="Separador de milhares 3 10 9 2 2 4" xfId="35240"/>
    <cellStyle name="Separador de milhares 3 10 9 2 2 5" xfId="28706"/>
    <cellStyle name="Separador de milhares 3 10 9 2 3" xfId="17613"/>
    <cellStyle name="Separador de milhares 3 10 9 2 3 2" xfId="44102"/>
    <cellStyle name="Separador de milhares 3 10 9 2 4" xfId="11686"/>
    <cellStyle name="Separador de milhares 3 10 9 2 4 2" xfId="38194"/>
    <cellStyle name="Separador de milhares 3 10 9 2 5" xfId="32038"/>
    <cellStyle name="Separador de milhares 3 10 9 2 6" xfId="25504"/>
    <cellStyle name="Separador de milhares 3 10 9 3" xfId="7251"/>
    <cellStyle name="Separador de milhares 3 10 9 3 2" xfId="19105"/>
    <cellStyle name="Separador de milhares 3 10 9 3 2 2" xfId="45588"/>
    <cellStyle name="Separador de milhares 3 10 9 3 3" xfId="13178"/>
    <cellStyle name="Separador de milhares 3 10 9 3 3 2" xfId="39680"/>
    <cellStyle name="Separador de milhares 3 10 9 3 4" xfId="33772"/>
    <cellStyle name="Separador de milhares 3 10 9 3 5" xfId="27238"/>
    <cellStyle name="Separador de milhares 3 10 9 4" xfId="16141"/>
    <cellStyle name="Separador de milhares 3 10 9 4 2" xfId="42634"/>
    <cellStyle name="Separador de milhares 3 10 9 4 3" xfId="23732"/>
    <cellStyle name="Separador de milhares 3 10 9 5" xfId="10214"/>
    <cellStyle name="Separador de milhares 3 10 9 5 2" xfId="36726"/>
    <cellStyle name="Separador de milhares 3 10 9 6" xfId="30266"/>
    <cellStyle name="Separador de milhares 3 10 9 7" xfId="21960"/>
    <cellStyle name="Separador de milhares 3 11" xfId="217"/>
    <cellStyle name="Separador de milhares 3 11 10" xfId="2727"/>
    <cellStyle name="Separador de milhares 3 11 10 2" xfId="5660"/>
    <cellStyle name="Separador de milhares 3 11 10 2 2" xfId="8872"/>
    <cellStyle name="Separador de milhares 3 11 10 2 2 2" xfId="20726"/>
    <cellStyle name="Separador de milhares 3 11 10 2 2 2 2" xfId="47205"/>
    <cellStyle name="Separador de milhares 3 11 10 2 2 3" xfId="14799"/>
    <cellStyle name="Separador de milhares 3 11 10 2 2 3 2" xfId="41297"/>
    <cellStyle name="Separador de milhares 3 11 10 2 2 4" xfId="35389"/>
    <cellStyle name="Separador de milhares 3 11 10 2 2 5" xfId="28855"/>
    <cellStyle name="Separador de milhares 3 11 10 2 3" xfId="17762"/>
    <cellStyle name="Separador de milhares 3 11 10 2 3 2" xfId="44251"/>
    <cellStyle name="Separador de milhares 3 11 10 2 4" xfId="11835"/>
    <cellStyle name="Separador de milhares 3 11 10 2 4 2" xfId="38343"/>
    <cellStyle name="Separador de milhares 3 11 10 2 5" xfId="32187"/>
    <cellStyle name="Separador de milhares 3 11 10 2 6" xfId="25653"/>
    <cellStyle name="Separador de milhares 3 11 10 3" xfId="7401"/>
    <cellStyle name="Separador de milhares 3 11 10 3 2" xfId="19255"/>
    <cellStyle name="Separador de milhares 3 11 10 3 2 2" xfId="45737"/>
    <cellStyle name="Separador de milhares 3 11 10 3 3" xfId="13328"/>
    <cellStyle name="Separador de milhares 3 11 10 3 3 2" xfId="39829"/>
    <cellStyle name="Separador de milhares 3 11 10 3 4" xfId="33921"/>
    <cellStyle name="Separador de milhares 3 11 10 3 5" xfId="27387"/>
    <cellStyle name="Separador de milhares 3 11 10 4" xfId="16291"/>
    <cellStyle name="Separador de milhares 3 11 10 4 2" xfId="42783"/>
    <cellStyle name="Separador de milhares 3 11 10 4 3" xfId="23881"/>
    <cellStyle name="Separador de milhares 3 11 10 5" xfId="10364"/>
    <cellStyle name="Separador de milhares 3 11 10 5 2" xfId="36875"/>
    <cellStyle name="Separador de milhares 3 11 10 6" xfId="30415"/>
    <cellStyle name="Separador de milhares 3 11 10 7" xfId="22109"/>
    <cellStyle name="Separador de milhares 3 11 11" xfId="3255"/>
    <cellStyle name="Separador de milhares 3 11 11 2" xfId="5807"/>
    <cellStyle name="Separador de milhares 3 11 11 2 2" xfId="9019"/>
    <cellStyle name="Separador de milhares 3 11 11 2 2 2" xfId="20873"/>
    <cellStyle name="Separador de milhares 3 11 11 2 2 2 2" xfId="47352"/>
    <cellStyle name="Separador de milhares 3 11 11 2 2 3" xfId="14946"/>
    <cellStyle name="Separador de milhares 3 11 11 2 2 3 2" xfId="41444"/>
    <cellStyle name="Separador de milhares 3 11 11 2 2 4" xfId="35536"/>
    <cellStyle name="Separador de milhares 3 11 11 2 2 5" xfId="29002"/>
    <cellStyle name="Separador de milhares 3 11 11 2 3" xfId="17909"/>
    <cellStyle name="Separador de milhares 3 11 11 2 3 2" xfId="44398"/>
    <cellStyle name="Separador de milhares 3 11 11 2 4" xfId="11982"/>
    <cellStyle name="Separador de milhares 3 11 11 2 4 2" xfId="38490"/>
    <cellStyle name="Separador de milhares 3 11 11 2 5" xfId="32334"/>
    <cellStyle name="Separador de milhares 3 11 11 2 6" xfId="25800"/>
    <cellStyle name="Separador de milhares 3 11 11 3" xfId="7549"/>
    <cellStyle name="Separador de milhares 3 11 11 3 2" xfId="19403"/>
    <cellStyle name="Separador de milhares 3 11 11 3 2 2" xfId="45884"/>
    <cellStyle name="Separador de milhares 3 11 11 3 3" xfId="13476"/>
    <cellStyle name="Separador de milhares 3 11 11 3 3 2" xfId="39976"/>
    <cellStyle name="Separador de milhares 3 11 11 3 4" xfId="34068"/>
    <cellStyle name="Separador de milhares 3 11 11 3 5" xfId="27534"/>
    <cellStyle name="Separador de milhares 3 11 11 4" xfId="16439"/>
    <cellStyle name="Separador de milhares 3 11 11 4 2" xfId="42930"/>
    <cellStyle name="Separador de milhares 3 11 11 4 3" xfId="24028"/>
    <cellStyle name="Separador de milhares 3 11 11 5" xfId="10512"/>
    <cellStyle name="Separador de milhares 3 11 11 5 2" xfId="37022"/>
    <cellStyle name="Separador de milhares 3 11 11 6" xfId="30562"/>
    <cellStyle name="Separador de milhares 3 11 11 7" xfId="22256"/>
    <cellStyle name="Separador de milhares 3 11 12" xfId="3783"/>
    <cellStyle name="Separador de milhares 3 11 12 2" xfId="5954"/>
    <cellStyle name="Separador de milhares 3 11 12 2 2" xfId="9166"/>
    <cellStyle name="Separador de milhares 3 11 12 2 2 2" xfId="21020"/>
    <cellStyle name="Separador de milhares 3 11 12 2 2 2 2" xfId="47499"/>
    <cellStyle name="Separador de milhares 3 11 12 2 2 3" xfId="15093"/>
    <cellStyle name="Separador de milhares 3 11 12 2 2 3 2" xfId="41591"/>
    <cellStyle name="Separador de milhares 3 11 12 2 2 4" xfId="35683"/>
    <cellStyle name="Separador de milhares 3 11 12 2 2 5" xfId="29149"/>
    <cellStyle name="Separador de milhares 3 11 12 2 3" xfId="18056"/>
    <cellStyle name="Separador de milhares 3 11 12 2 3 2" xfId="44545"/>
    <cellStyle name="Separador de milhares 3 11 12 2 4" xfId="12129"/>
    <cellStyle name="Separador de milhares 3 11 12 2 4 2" xfId="38637"/>
    <cellStyle name="Separador de milhares 3 11 12 2 5" xfId="32481"/>
    <cellStyle name="Separador de milhares 3 11 12 2 6" xfId="25947"/>
    <cellStyle name="Separador de milhares 3 11 12 3" xfId="7697"/>
    <cellStyle name="Separador de milhares 3 11 12 3 2" xfId="19551"/>
    <cellStyle name="Separador de milhares 3 11 12 3 2 2" xfId="46031"/>
    <cellStyle name="Separador de milhares 3 11 12 3 3" xfId="13624"/>
    <cellStyle name="Separador de milhares 3 11 12 3 3 2" xfId="40123"/>
    <cellStyle name="Separador de milhares 3 11 12 3 4" xfId="34215"/>
    <cellStyle name="Separador de milhares 3 11 12 3 5" xfId="27681"/>
    <cellStyle name="Separador de milhares 3 11 12 4" xfId="16587"/>
    <cellStyle name="Separador de milhares 3 11 12 4 2" xfId="43077"/>
    <cellStyle name="Separador de milhares 3 11 12 4 3" xfId="24175"/>
    <cellStyle name="Separador de milhares 3 11 12 5" xfId="10660"/>
    <cellStyle name="Separador de milhares 3 11 12 5 2" xfId="37169"/>
    <cellStyle name="Separador de milhares 3 11 12 6" xfId="30709"/>
    <cellStyle name="Separador de milhares 3 11 12 7" xfId="22403"/>
    <cellStyle name="Separador de milhares 3 11 13" xfId="4938"/>
    <cellStyle name="Separador de milhares 3 11 13 2" xfId="8162"/>
    <cellStyle name="Separador de milhares 3 11 13 2 2" xfId="20016"/>
    <cellStyle name="Separador de milhares 3 11 13 2 2 2" xfId="46495"/>
    <cellStyle name="Separador de milhares 3 11 13 2 3" xfId="14089"/>
    <cellStyle name="Separador de milhares 3 11 13 2 3 2" xfId="40587"/>
    <cellStyle name="Separador de milhares 3 11 13 2 4" xfId="34679"/>
    <cellStyle name="Separador de milhares 3 11 13 2 5" xfId="28145"/>
    <cellStyle name="Separador de milhares 3 11 13 3" xfId="17052"/>
    <cellStyle name="Separador de milhares 3 11 13 3 2" xfId="43541"/>
    <cellStyle name="Separador de milhares 3 11 13 4" xfId="11125"/>
    <cellStyle name="Separador de milhares 3 11 13 4 2" xfId="37633"/>
    <cellStyle name="Separador de milhares 3 11 13 5" xfId="31465"/>
    <cellStyle name="Separador de milhares 3 11 13 6" xfId="24931"/>
    <cellStyle name="Separador de milhares 3 11 14" xfId="6686"/>
    <cellStyle name="Separador de milhares 3 11 14 2" xfId="18540"/>
    <cellStyle name="Separador de milhares 3 11 14 2 2" xfId="45027"/>
    <cellStyle name="Separador de milhares 3 11 14 3" xfId="12613"/>
    <cellStyle name="Separador de milhares 3 11 14 3 2" xfId="39119"/>
    <cellStyle name="Separador de milhares 3 11 14 4" xfId="33211"/>
    <cellStyle name="Separador de milhares 3 11 14 5" xfId="26677"/>
    <cellStyle name="Separador de milhares 3 11 15" xfId="15576"/>
    <cellStyle name="Separador de milhares 3 11 15 2" xfId="42073"/>
    <cellStyle name="Separador de milhares 3 11 15 3" xfId="23159"/>
    <cellStyle name="Separador de milhares 3 11 16" xfId="9649"/>
    <cellStyle name="Separador de milhares 3 11 16 2" xfId="36165"/>
    <cellStyle name="Separador de milhares 3 11 17" xfId="29693"/>
    <cellStyle name="Separador de milhares 3 11 2" xfId="311"/>
    <cellStyle name="Separador de milhares 3 11 2 10" xfId="4967"/>
    <cellStyle name="Separador de milhares 3 11 2 10 2" xfId="8189"/>
    <cellStyle name="Separador de milhares 3 11 2 10 2 2" xfId="20043"/>
    <cellStyle name="Separador de milhares 3 11 2 10 2 2 2" xfId="46522"/>
    <cellStyle name="Separador de milhares 3 11 2 10 2 3" xfId="14116"/>
    <cellStyle name="Separador de milhares 3 11 2 10 2 3 2" xfId="40614"/>
    <cellStyle name="Separador de milhares 3 11 2 10 2 4" xfId="34706"/>
    <cellStyle name="Separador de milhares 3 11 2 10 2 5" xfId="28172"/>
    <cellStyle name="Separador de milhares 3 11 2 10 3" xfId="17079"/>
    <cellStyle name="Separador de milhares 3 11 2 10 3 2" xfId="43568"/>
    <cellStyle name="Separador de milhares 3 11 2 10 4" xfId="11152"/>
    <cellStyle name="Separador de milhares 3 11 2 10 4 2" xfId="37660"/>
    <cellStyle name="Separador de milhares 3 11 2 10 5" xfId="31494"/>
    <cellStyle name="Separador de milhares 3 11 2 10 6" xfId="24960"/>
    <cellStyle name="Separador de milhares 3 11 2 11" xfId="6713"/>
    <cellStyle name="Separador de milhares 3 11 2 11 2" xfId="18567"/>
    <cellStyle name="Separador de milhares 3 11 2 11 2 2" xfId="45054"/>
    <cellStyle name="Separador de milhares 3 11 2 11 3" xfId="12640"/>
    <cellStyle name="Separador de milhares 3 11 2 11 3 2" xfId="39146"/>
    <cellStyle name="Separador de milhares 3 11 2 11 4" xfId="33238"/>
    <cellStyle name="Separador de milhares 3 11 2 11 5" xfId="26704"/>
    <cellStyle name="Separador de milhares 3 11 2 12" xfId="15603"/>
    <cellStyle name="Separador de milhares 3 11 2 12 2" xfId="42100"/>
    <cellStyle name="Separador de milhares 3 11 2 12 3" xfId="23188"/>
    <cellStyle name="Separador de milhares 3 11 2 13" xfId="9676"/>
    <cellStyle name="Separador de milhares 3 11 2 13 2" xfId="36192"/>
    <cellStyle name="Separador de milhares 3 11 2 14" xfId="29722"/>
    <cellStyle name="Separador de milhares 3 11 2 15" xfId="21440"/>
    <cellStyle name="Separador de milhares 3 11 2 2" xfId="586"/>
    <cellStyle name="Separador de milhares 3 11 2 2 10" xfId="9750"/>
    <cellStyle name="Separador de milhares 3 11 2 2 10 2" xfId="36266"/>
    <cellStyle name="Separador de milhares 3 11 2 2 11" xfId="29803"/>
    <cellStyle name="Separador de milhares 3 11 2 2 12" xfId="21498"/>
    <cellStyle name="Separador de milhares 3 11 2 2 2" xfId="2107"/>
    <cellStyle name="Separador de milhares 3 11 2 2 2 2" xfId="5486"/>
    <cellStyle name="Separador de milhares 3 11 2 2 2 2 2" xfId="8701"/>
    <cellStyle name="Separador de milhares 3 11 2 2 2 2 2 2" xfId="20555"/>
    <cellStyle name="Separador de milhares 3 11 2 2 2 2 2 2 2" xfId="47034"/>
    <cellStyle name="Separador de milhares 3 11 2 2 2 2 2 3" xfId="14628"/>
    <cellStyle name="Separador de milhares 3 11 2 2 2 2 2 3 2" xfId="41126"/>
    <cellStyle name="Separador de milhares 3 11 2 2 2 2 2 4" xfId="35218"/>
    <cellStyle name="Separador de milhares 3 11 2 2 2 2 2 5" xfId="28684"/>
    <cellStyle name="Separador de milhares 3 11 2 2 2 2 3" xfId="17591"/>
    <cellStyle name="Separador de milhares 3 11 2 2 2 2 3 2" xfId="44080"/>
    <cellStyle name="Separador de milhares 3 11 2 2 2 2 4" xfId="11664"/>
    <cellStyle name="Separador de milhares 3 11 2 2 2 2 4 2" xfId="38172"/>
    <cellStyle name="Separador de milhares 3 11 2 2 2 2 5" xfId="32013"/>
    <cellStyle name="Separador de milhares 3 11 2 2 2 2 6" xfId="25479"/>
    <cellStyle name="Separador de milhares 3 11 2 2 2 3" xfId="7229"/>
    <cellStyle name="Separador de milhares 3 11 2 2 2 3 2" xfId="19083"/>
    <cellStyle name="Separador de milhares 3 11 2 2 2 3 2 2" xfId="45566"/>
    <cellStyle name="Separador de milhares 3 11 2 2 2 3 3" xfId="13156"/>
    <cellStyle name="Separador de milhares 3 11 2 2 2 3 3 2" xfId="39658"/>
    <cellStyle name="Separador de milhares 3 11 2 2 2 3 4" xfId="33750"/>
    <cellStyle name="Separador de milhares 3 11 2 2 2 3 5" xfId="27216"/>
    <cellStyle name="Separador de milhares 3 11 2 2 2 4" xfId="16119"/>
    <cellStyle name="Separador de milhares 3 11 2 2 2 4 2" xfId="42612"/>
    <cellStyle name="Separador de milhares 3 11 2 2 2 4 3" xfId="23707"/>
    <cellStyle name="Separador de milhares 3 11 2 2 2 5" xfId="10192"/>
    <cellStyle name="Separador de milhares 3 11 2 2 2 5 2" xfId="36704"/>
    <cellStyle name="Separador de milhares 3 11 2 2 2 6" xfId="30241"/>
    <cellStyle name="Separador de milhares 3 11 2 2 2 7" xfId="21935"/>
    <cellStyle name="Separador de milhares 3 11 2 2 3" xfId="2640"/>
    <cellStyle name="Separador de milhares 3 11 2 2 3 2" xfId="5636"/>
    <cellStyle name="Separador de milhares 3 11 2 2 3 2 2" xfId="8848"/>
    <cellStyle name="Separador de milhares 3 11 2 2 3 2 2 2" xfId="20702"/>
    <cellStyle name="Separador de milhares 3 11 2 2 3 2 2 2 2" xfId="47181"/>
    <cellStyle name="Separador de milhares 3 11 2 2 3 2 2 3" xfId="14775"/>
    <cellStyle name="Separador de milhares 3 11 2 2 3 2 2 3 2" xfId="41273"/>
    <cellStyle name="Separador de milhares 3 11 2 2 3 2 2 4" xfId="35365"/>
    <cellStyle name="Separador de milhares 3 11 2 2 3 2 2 5" xfId="28831"/>
    <cellStyle name="Separador de milhares 3 11 2 2 3 2 3" xfId="17738"/>
    <cellStyle name="Separador de milhares 3 11 2 2 3 2 3 2" xfId="44227"/>
    <cellStyle name="Separador de milhares 3 11 2 2 3 2 4" xfId="11811"/>
    <cellStyle name="Separador de milhares 3 11 2 2 3 2 4 2" xfId="38319"/>
    <cellStyle name="Separador de milhares 3 11 2 2 3 2 5" xfId="32163"/>
    <cellStyle name="Separador de milhares 3 11 2 2 3 2 6" xfId="25629"/>
    <cellStyle name="Separador de milhares 3 11 2 2 3 3" xfId="7377"/>
    <cellStyle name="Separador de milhares 3 11 2 2 3 3 2" xfId="19231"/>
    <cellStyle name="Separador de milhares 3 11 2 2 3 3 2 2" xfId="45713"/>
    <cellStyle name="Separador de milhares 3 11 2 2 3 3 3" xfId="13304"/>
    <cellStyle name="Separador de milhares 3 11 2 2 3 3 3 2" xfId="39805"/>
    <cellStyle name="Separador de milhares 3 11 2 2 3 3 4" xfId="33897"/>
    <cellStyle name="Separador de milhares 3 11 2 2 3 3 5" xfId="27363"/>
    <cellStyle name="Separador de milhares 3 11 2 2 3 4" xfId="16267"/>
    <cellStyle name="Separador de milhares 3 11 2 2 3 4 2" xfId="42759"/>
    <cellStyle name="Separador de milhares 3 11 2 2 3 4 3" xfId="23857"/>
    <cellStyle name="Separador de milhares 3 11 2 2 3 5" xfId="10340"/>
    <cellStyle name="Separador de milhares 3 11 2 2 3 5 2" xfId="36851"/>
    <cellStyle name="Separador de milhares 3 11 2 2 3 6" xfId="30391"/>
    <cellStyle name="Separador de milhares 3 11 2 2 3 7" xfId="22085"/>
    <cellStyle name="Separador de milhares 3 11 2 2 4" xfId="3168"/>
    <cellStyle name="Separador de milhares 3 11 2 2 4 2" xfId="5783"/>
    <cellStyle name="Separador de milhares 3 11 2 2 4 2 2" xfId="8995"/>
    <cellStyle name="Separador de milhares 3 11 2 2 4 2 2 2" xfId="20849"/>
    <cellStyle name="Separador de milhares 3 11 2 2 4 2 2 2 2" xfId="47328"/>
    <cellStyle name="Separador de milhares 3 11 2 2 4 2 2 3" xfId="14922"/>
    <cellStyle name="Separador de milhares 3 11 2 2 4 2 2 3 2" xfId="41420"/>
    <cellStyle name="Separador de milhares 3 11 2 2 4 2 2 4" xfId="35512"/>
    <cellStyle name="Separador de milhares 3 11 2 2 4 2 2 5" xfId="28978"/>
    <cellStyle name="Separador de milhares 3 11 2 2 4 2 3" xfId="17885"/>
    <cellStyle name="Separador de milhares 3 11 2 2 4 2 3 2" xfId="44374"/>
    <cellStyle name="Separador de milhares 3 11 2 2 4 2 4" xfId="11958"/>
    <cellStyle name="Separador de milhares 3 11 2 2 4 2 4 2" xfId="38466"/>
    <cellStyle name="Separador de milhares 3 11 2 2 4 2 5" xfId="32310"/>
    <cellStyle name="Separador de milhares 3 11 2 2 4 2 6" xfId="25776"/>
    <cellStyle name="Separador de milhares 3 11 2 2 4 3" xfId="7525"/>
    <cellStyle name="Separador de milhares 3 11 2 2 4 3 2" xfId="19379"/>
    <cellStyle name="Separador de milhares 3 11 2 2 4 3 2 2" xfId="45860"/>
    <cellStyle name="Separador de milhares 3 11 2 2 4 3 3" xfId="13452"/>
    <cellStyle name="Separador de milhares 3 11 2 2 4 3 3 2" xfId="39952"/>
    <cellStyle name="Separador de milhares 3 11 2 2 4 3 4" xfId="34044"/>
    <cellStyle name="Separador de milhares 3 11 2 2 4 3 5" xfId="27510"/>
    <cellStyle name="Separador de milhares 3 11 2 2 4 4" xfId="16415"/>
    <cellStyle name="Separador de milhares 3 11 2 2 4 4 2" xfId="42906"/>
    <cellStyle name="Separador de milhares 3 11 2 2 4 4 3" xfId="24004"/>
    <cellStyle name="Separador de milhares 3 11 2 2 4 5" xfId="10488"/>
    <cellStyle name="Separador de milhares 3 11 2 2 4 5 2" xfId="36998"/>
    <cellStyle name="Separador de milhares 3 11 2 2 4 6" xfId="30538"/>
    <cellStyle name="Separador de milhares 3 11 2 2 4 7" xfId="22232"/>
    <cellStyle name="Separador de milhares 3 11 2 2 5" xfId="3696"/>
    <cellStyle name="Separador de milhares 3 11 2 2 5 2" xfId="5930"/>
    <cellStyle name="Separador de milhares 3 11 2 2 5 2 2" xfId="9142"/>
    <cellStyle name="Separador de milhares 3 11 2 2 5 2 2 2" xfId="20996"/>
    <cellStyle name="Separador de milhares 3 11 2 2 5 2 2 2 2" xfId="47475"/>
    <cellStyle name="Separador de milhares 3 11 2 2 5 2 2 3" xfId="15069"/>
    <cellStyle name="Separador de milhares 3 11 2 2 5 2 2 3 2" xfId="41567"/>
    <cellStyle name="Separador de milhares 3 11 2 2 5 2 2 4" xfId="35659"/>
    <cellStyle name="Separador de milhares 3 11 2 2 5 2 2 5" xfId="29125"/>
    <cellStyle name="Separador de milhares 3 11 2 2 5 2 3" xfId="18032"/>
    <cellStyle name="Separador de milhares 3 11 2 2 5 2 3 2" xfId="44521"/>
    <cellStyle name="Separador de milhares 3 11 2 2 5 2 4" xfId="12105"/>
    <cellStyle name="Separador de milhares 3 11 2 2 5 2 4 2" xfId="38613"/>
    <cellStyle name="Separador de milhares 3 11 2 2 5 2 5" xfId="32457"/>
    <cellStyle name="Separador de milhares 3 11 2 2 5 2 6" xfId="25923"/>
    <cellStyle name="Separador de milhares 3 11 2 2 5 3" xfId="7673"/>
    <cellStyle name="Separador de milhares 3 11 2 2 5 3 2" xfId="19527"/>
    <cellStyle name="Separador de milhares 3 11 2 2 5 3 2 2" xfId="46007"/>
    <cellStyle name="Separador de milhares 3 11 2 2 5 3 3" xfId="13600"/>
    <cellStyle name="Separador de milhares 3 11 2 2 5 3 3 2" xfId="40099"/>
    <cellStyle name="Separador de milhares 3 11 2 2 5 3 4" xfId="34191"/>
    <cellStyle name="Separador de milhares 3 11 2 2 5 3 5" xfId="27657"/>
    <cellStyle name="Separador de milhares 3 11 2 2 5 4" xfId="16563"/>
    <cellStyle name="Separador de milhares 3 11 2 2 5 4 2" xfId="43053"/>
    <cellStyle name="Separador de milhares 3 11 2 2 5 4 3" xfId="24151"/>
    <cellStyle name="Separador de milhares 3 11 2 2 5 5" xfId="10636"/>
    <cellStyle name="Separador de milhares 3 11 2 2 5 5 2" xfId="37145"/>
    <cellStyle name="Separador de milhares 3 11 2 2 5 6" xfId="30685"/>
    <cellStyle name="Separador de milhares 3 11 2 2 5 7" xfId="22379"/>
    <cellStyle name="Separador de milhares 3 11 2 2 6" xfId="4224"/>
    <cellStyle name="Separador de milhares 3 11 2 2 6 2" xfId="6077"/>
    <cellStyle name="Separador de milhares 3 11 2 2 6 2 2" xfId="9289"/>
    <cellStyle name="Separador de milhares 3 11 2 2 6 2 2 2" xfId="21143"/>
    <cellStyle name="Separador de milhares 3 11 2 2 6 2 2 2 2" xfId="47622"/>
    <cellStyle name="Separador de milhares 3 11 2 2 6 2 2 3" xfId="15216"/>
    <cellStyle name="Separador de milhares 3 11 2 2 6 2 2 3 2" xfId="41714"/>
    <cellStyle name="Separador de milhares 3 11 2 2 6 2 2 4" xfId="35806"/>
    <cellStyle name="Separador de milhares 3 11 2 2 6 2 2 5" xfId="29272"/>
    <cellStyle name="Separador de milhares 3 11 2 2 6 2 3" xfId="18179"/>
    <cellStyle name="Separador de milhares 3 11 2 2 6 2 3 2" xfId="44668"/>
    <cellStyle name="Separador de milhares 3 11 2 2 6 2 4" xfId="12252"/>
    <cellStyle name="Separador de milhares 3 11 2 2 6 2 4 2" xfId="38760"/>
    <cellStyle name="Separador de milhares 3 11 2 2 6 2 5" xfId="32604"/>
    <cellStyle name="Separador de milhares 3 11 2 2 6 2 6" xfId="26070"/>
    <cellStyle name="Separador de milhares 3 11 2 2 6 3" xfId="7821"/>
    <cellStyle name="Separador de milhares 3 11 2 2 6 3 2" xfId="19675"/>
    <cellStyle name="Separador de milhares 3 11 2 2 6 3 2 2" xfId="46154"/>
    <cellStyle name="Separador de milhares 3 11 2 2 6 3 3" xfId="13748"/>
    <cellStyle name="Separador de milhares 3 11 2 2 6 3 3 2" xfId="40246"/>
    <cellStyle name="Separador de milhares 3 11 2 2 6 3 4" xfId="34338"/>
    <cellStyle name="Separador de milhares 3 11 2 2 6 3 5" xfId="27804"/>
    <cellStyle name="Separador de milhares 3 11 2 2 6 4" xfId="16711"/>
    <cellStyle name="Separador de milhares 3 11 2 2 6 4 2" xfId="43200"/>
    <cellStyle name="Separador de milhares 3 11 2 2 6 4 3" xfId="24298"/>
    <cellStyle name="Separador de milhares 3 11 2 2 6 5" xfId="10784"/>
    <cellStyle name="Separador de milhares 3 11 2 2 6 5 2" xfId="37292"/>
    <cellStyle name="Separador de milhares 3 11 2 2 6 6" xfId="30832"/>
    <cellStyle name="Separador de milhares 3 11 2 2 6 7" xfId="22526"/>
    <cellStyle name="Separador de milhares 3 11 2 2 7" xfId="5048"/>
    <cellStyle name="Separador de milhares 3 11 2 2 7 2" xfId="8263"/>
    <cellStyle name="Separador de milhares 3 11 2 2 7 2 2" xfId="20117"/>
    <cellStyle name="Separador de milhares 3 11 2 2 7 2 2 2" xfId="46596"/>
    <cellStyle name="Separador de milhares 3 11 2 2 7 2 3" xfId="14190"/>
    <cellStyle name="Separador de milhares 3 11 2 2 7 2 3 2" xfId="40688"/>
    <cellStyle name="Separador de milhares 3 11 2 2 7 2 4" xfId="34780"/>
    <cellStyle name="Separador de milhares 3 11 2 2 7 2 5" xfId="28246"/>
    <cellStyle name="Separador de milhares 3 11 2 2 7 3" xfId="17153"/>
    <cellStyle name="Separador de milhares 3 11 2 2 7 3 2" xfId="43642"/>
    <cellStyle name="Separador de milhares 3 11 2 2 7 4" xfId="11226"/>
    <cellStyle name="Separador de milhares 3 11 2 2 7 4 2" xfId="37734"/>
    <cellStyle name="Separador de milhares 3 11 2 2 7 5" xfId="31575"/>
    <cellStyle name="Separador de milhares 3 11 2 2 7 6" xfId="25041"/>
    <cellStyle name="Separador de milhares 3 11 2 2 8" xfId="6787"/>
    <cellStyle name="Separador de milhares 3 11 2 2 8 2" xfId="18641"/>
    <cellStyle name="Separador de milhares 3 11 2 2 8 2 2" xfId="45128"/>
    <cellStyle name="Separador de milhares 3 11 2 2 8 3" xfId="12714"/>
    <cellStyle name="Separador de milhares 3 11 2 2 8 3 2" xfId="39220"/>
    <cellStyle name="Separador de milhares 3 11 2 2 8 4" xfId="33312"/>
    <cellStyle name="Separador de milhares 3 11 2 2 8 5" xfId="26778"/>
    <cellStyle name="Separador de milhares 3 11 2 2 9" xfId="15677"/>
    <cellStyle name="Separador de milhares 3 11 2 2 9 2" xfId="42174"/>
    <cellStyle name="Separador de milhares 3 11 2 2 9 3" xfId="23269"/>
    <cellStyle name="Separador de milhares 3 11 2 3" xfId="1060"/>
    <cellStyle name="Separador de milhares 3 11 2 3 2" xfId="5199"/>
    <cellStyle name="Separador de milhares 3 11 2 3 2 2" xfId="8414"/>
    <cellStyle name="Separador de milhares 3 11 2 3 2 2 2" xfId="20268"/>
    <cellStyle name="Separador de milhares 3 11 2 3 2 2 2 2" xfId="46747"/>
    <cellStyle name="Separador de milhares 3 11 2 3 2 2 3" xfId="14341"/>
    <cellStyle name="Separador de milhares 3 11 2 3 2 2 3 2" xfId="40839"/>
    <cellStyle name="Separador de milhares 3 11 2 3 2 2 4" xfId="34931"/>
    <cellStyle name="Separador de milhares 3 11 2 3 2 2 5" xfId="28397"/>
    <cellStyle name="Separador de milhares 3 11 2 3 2 3" xfId="17304"/>
    <cellStyle name="Separador de milhares 3 11 2 3 2 3 2" xfId="43793"/>
    <cellStyle name="Separador de milhares 3 11 2 3 2 4" xfId="11377"/>
    <cellStyle name="Separador de milhares 3 11 2 3 2 4 2" xfId="37885"/>
    <cellStyle name="Separador de milhares 3 11 2 3 2 5" xfId="31726"/>
    <cellStyle name="Separador de milhares 3 11 2 3 2 6" xfId="25192"/>
    <cellStyle name="Separador de milhares 3 11 2 3 3" xfId="6941"/>
    <cellStyle name="Separador de milhares 3 11 2 3 3 2" xfId="18795"/>
    <cellStyle name="Separador de milhares 3 11 2 3 3 2 2" xfId="45279"/>
    <cellStyle name="Separador de milhares 3 11 2 3 3 3" xfId="12868"/>
    <cellStyle name="Separador de milhares 3 11 2 3 3 3 2" xfId="39371"/>
    <cellStyle name="Separador de milhares 3 11 2 3 3 4" xfId="33463"/>
    <cellStyle name="Separador de milhares 3 11 2 3 3 5" xfId="26929"/>
    <cellStyle name="Separador de milhares 3 11 2 3 4" xfId="15831"/>
    <cellStyle name="Separador de milhares 3 11 2 3 4 2" xfId="42325"/>
    <cellStyle name="Separador de milhares 3 11 2 3 4 3" xfId="23420"/>
    <cellStyle name="Separador de milhares 3 11 2 3 5" xfId="9904"/>
    <cellStyle name="Separador de milhares 3 11 2 3 5 2" xfId="36417"/>
    <cellStyle name="Separador de milhares 3 11 2 3 6" xfId="29954"/>
    <cellStyle name="Separador de milhares 3 11 2 3 7" xfId="21648"/>
    <cellStyle name="Separador de milhares 3 11 2 4" xfId="1411"/>
    <cellStyle name="Separador de milhares 3 11 2 4 2" xfId="5297"/>
    <cellStyle name="Separador de milhares 3 11 2 4 2 2" xfId="8512"/>
    <cellStyle name="Separador de milhares 3 11 2 4 2 2 2" xfId="20366"/>
    <cellStyle name="Separador de milhares 3 11 2 4 2 2 2 2" xfId="46845"/>
    <cellStyle name="Separador de milhares 3 11 2 4 2 2 3" xfId="14439"/>
    <cellStyle name="Separador de milhares 3 11 2 4 2 2 3 2" xfId="40937"/>
    <cellStyle name="Separador de milhares 3 11 2 4 2 2 4" xfId="35029"/>
    <cellStyle name="Separador de milhares 3 11 2 4 2 2 5" xfId="28495"/>
    <cellStyle name="Separador de milhares 3 11 2 4 2 3" xfId="17402"/>
    <cellStyle name="Separador de milhares 3 11 2 4 2 3 2" xfId="43891"/>
    <cellStyle name="Separador de milhares 3 11 2 4 2 4" xfId="11475"/>
    <cellStyle name="Separador de milhares 3 11 2 4 2 4 2" xfId="37983"/>
    <cellStyle name="Separador de milhares 3 11 2 4 2 5" xfId="31824"/>
    <cellStyle name="Separador de milhares 3 11 2 4 2 6" xfId="25290"/>
    <cellStyle name="Separador de milhares 3 11 2 4 3" xfId="7039"/>
    <cellStyle name="Separador de milhares 3 11 2 4 3 2" xfId="18893"/>
    <cellStyle name="Separador de milhares 3 11 2 4 3 2 2" xfId="45377"/>
    <cellStyle name="Separador de milhares 3 11 2 4 3 3" xfId="12966"/>
    <cellStyle name="Separador de milhares 3 11 2 4 3 3 2" xfId="39469"/>
    <cellStyle name="Separador de milhares 3 11 2 4 3 4" xfId="33561"/>
    <cellStyle name="Separador de milhares 3 11 2 4 3 5" xfId="27027"/>
    <cellStyle name="Separador de milhares 3 11 2 4 4" xfId="15929"/>
    <cellStyle name="Separador de milhares 3 11 2 4 4 2" xfId="42423"/>
    <cellStyle name="Separador de milhares 3 11 2 4 4 3" xfId="23518"/>
    <cellStyle name="Separador de milhares 3 11 2 4 5" xfId="10002"/>
    <cellStyle name="Separador de milhares 3 11 2 4 5 2" xfId="36515"/>
    <cellStyle name="Separador de milhares 3 11 2 4 6" xfId="30052"/>
    <cellStyle name="Separador de milhares 3 11 2 4 7" xfId="21746"/>
    <cellStyle name="Separador de milhares 3 11 2 5" xfId="1846"/>
    <cellStyle name="Separador de milhares 3 11 2 5 2" xfId="5416"/>
    <cellStyle name="Separador de milhares 3 11 2 5 2 2" xfId="8631"/>
    <cellStyle name="Separador de milhares 3 11 2 5 2 2 2" xfId="20485"/>
    <cellStyle name="Separador de milhares 3 11 2 5 2 2 2 2" xfId="46964"/>
    <cellStyle name="Separador de milhares 3 11 2 5 2 2 3" xfId="14558"/>
    <cellStyle name="Separador de milhares 3 11 2 5 2 2 3 2" xfId="41056"/>
    <cellStyle name="Separador de milhares 3 11 2 5 2 2 4" xfId="35148"/>
    <cellStyle name="Separador de milhares 3 11 2 5 2 2 5" xfId="28614"/>
    <cellStyle name="Separador de milhares 3 11 2 5 2 3" xfId="17521"/>
    <cellStyle name="Separador de milhares 3 11 2 5 2 3 2" xfId="44010"/>
    <cellStyle name="Separador de milhares 3 11 2 5 2 4" xfId="11594"/>
    <cellStyle name="Separador de milhares 3 11 2 5 2 4 2" xfId="38102"/>
    <cellStyle name="Separador de milhares 3 11 2 5 2 5" xfId="31943"/>
    <cellStyle name="Separador de milhares 3 11 2 5 2 6" xfId="25409"/>
    <cellStyle name="Separador de milhares 3 11 2 5 3" xfId="7158"/>
    <cellStyle name="Separador de milhares 3 11 2 5 3 2" xfId="19012"/>
    <cellStyle name="Separador de milhares 3 11 2 5 3 2 2" xfId="45496"/>
    <cellStyle name="Separador de milhares 3 11 2 5 3 3" xfId="13085"/>
    <cellStyle name="Separador de milhares 3 11 2 5 3 3 2" xfId="39588"/>
    <cellStyle name="Separador de milhares 3 11 2 5 3 4" xfId="33680"/>
    <cellStyle name="Separador de milhares 3 11 2 5 3 5" xfId="27146"/>
    <cellStyle name="Separador de milhares 3 11 2 5 4" xfId="16048"/>
    <cellStyle name="Separador de milhares 3 11 2 5 4 2" xfId="42542"/>
    <cellStyle name="Separador de milhares 3 11 2 5 4 3" xfId="23637"/>
    <cellStyle name="Separador de milhares 3 11 2 5 5" xfId="10121"/>
    <cellStyle name="Separador de milhares 3 11 2 5 5 2" xfId="36634"/>
    <cellStyle name="Separador de milhares 3 11 2 5 6" xfId="30171"/>
    <cellStyle name="Separador de milhares 3 11 2 5 7" xfId="21865"/>
    <cellStyle name="Separador de milhares 3 11 2 6" xfId="2379"/>
    <cellStyle name="Separador de milhares 3 11 2 6 2" xfId="5566"/>
    <cellStyle name="Separador de milhares 3 11 2 6 2 2" xfId="8778"/>
    <cellStyle name="Separador de milhares 3 11 2 6 2 2 2" xfId="20632"/>
    <cellStyle name="Separador de milhares 3 11 2 6 2 2 2 2" xfId="47111"/>
    <cellStyle name="Separador de milhares 3 11 2 6 2 2 3" xfId="14705"/>
    <cellStyle name="Separador de milhares 3 11 2 6 2 2 3 2" xfId="41203"/>
    <cellStyle name="Separador de milhares 3 11 2 6 2 2 4" xfId="35295"/>
    <cellStyle name="Separador de milhares 3 11 2 6 2 2 5" xfId="28761"/>
    <cellStyle name="Separador de milhares 3 11 2 6 2 3" xfId="17668"/>
    <cellStyle name="Separador de milhares 3 11 2 6 2 3 2" xfId="44157"/>
    <cellStyle name="Separador de milhares 3 11 2 6 2 4" xfId="11741"/>
    <cellStyle name="Separador de milhares 3 11 2 6 2 4 2" xfId="38249"/>
    <cellStyle name="Separador de milhares 3 11 2 6 2 5" xfId="32093"/>
    <cellStyle name="Separador de milhares 3 11 2 6 2 6" xfId="25559"/>
    <cellStyle name="Separador de milhares 3 11 2 6 3" xfId="7306"/>
    <cellStyle name="Separador de milhares 3 11 2 6 3 2" xfId="19160"/>
    <cellStyle name="Separador de milhares 3 11 2 6 3 2 2" xfId="45643"/>
    <cellStyle name="Separador de milhares 3 11 2 6 3 3" xfId="13233"/>
    <cellStyle name="Separador de milhares 3 11 2 6 3 3 2" xfId="39735"/>
    <cellStyle name="Separador de milhares 3 11 2 6 3 4" xfId="33827"/>
    <cellStyle name="Separador de milhares 3 11 2 6 3 5" xfId="27293"/>
    <cellStyle name="Separador de milhares 3 11 2 6 4" xfId="16196"/>
    <cellStyle name="Separador de milhares 3 11 2 6 4 2" xfId="42689"/>
    <cellStyle name="Separador de milhares 3 11 2 6 4 3" xfId="23787"/>
    <cellStyle name="Separador de milhares 3 11 2 6 5" xfId="10269"/>
    <cellStyle name="Separador de milhares 3 11 2 6 5 2" xfId="36781"/>
    <cellStyle name="Separador de milhares 3 11 2 6 6" xfId="30321"/>
    <cellStyle name="Separador de milhares 3 11 2 6 7" xfId="22015"/>
    <cellStyle name="Separador de milhares 3 11 2 7" xfId="2907"/>
    <cellStyle name="Separador de milhares 3 11 2 7 2" xfId="5713"/>
    <cellStyle name="Separador de milhares 3 11 2 7 2 2" xfId="8925"/>
    <cellStyle name="Separador de milhares 3 11 2 7 2 2 2" xfId="20779"/>
    <cellStyle name="Separador de milhares 3 11 2 7 2 2 2 2" xfId="47258"/>
    <cellStyle name="Separador de milhares 3 11 2 7 2 2 3" xfId="14852"/>
    <cellStyle name="Separador de milhares 3 11 2 7 2 2 3 2" xfId="41350"/>
    <cellStyle name="Separador de milhares 3 11 2 7 2 2 4" xfId="35442"/>
    <cellStyle name="Separador de milhares 3 11 2 7 2 2 5" xfId="28908"/>
    <cellStyle name="Separador de milhares 3 11 2 7 2 3" xfId="17815"/>
    <cellStyle name="Separador de milhares 3 11 2 7 2 3 2" xfId="44304"/>
    <cellStyle name="Separador de milhares 3 11 2 7 2 4" xfId="11888"/>
    <cellStyle name="Separador de milhares 3 11 2 7 2 4 2" xfId="38396"/>
    <cellStyle name="Separador de milhares 3 11 2 7 2 5" xfId="32240"/>
    <cellStyle name="Separador de milhares 3 11 2 7 2 6" xfId="25706"/>
    <cellStyle name="Separador de milhares 3 11 2 7 3" xfId="7454"/>
    <cellStyle name="Separador de milhares 3 11 2 7 3 2" xfId="19308"/>
    <cellStyle name="Separador de milhares 3 11 2 7 3 2 2" xfId="45790"/>
    <cellStyle name="Separador de milhares 3 11 2 7 3 3" xfId="13381"/>
    <cellStyle name="Separador de milhares 3 11 2 7 3 3 2" xfId="39882"/>
    <cellStyle name="Separador de milhares 3 11 2 7 3 4" xfId="33974"/>
    <cellStyle name="Separador de milhares 3 11 2 7 3 5" xfId="27440"/>
    <cellStyle name="Separador de milhares 3 11 2 7 4" xfId="16344"/>
    <cellStyle name="Separador de milhares 3 11 2 7 4 2" xfId="42836"/>
    <cellStyle name="Separador de milhares 3 11 2 7 4 3" xfId="23934"/>
    <cellStyle name="Separador de milhares 3 11 2 7 5" xfId="10417"/>
    <cellStyle name="Separador de milhares 3 11 2 7 5 2" xfId="36928"/>
    <cellStyle name="Separador de milhares 3 11 2 7 6" xfId="30468"/>
    <cellStyle name="Separador de milhares 3 11 2 7 7" xfId="22162"/>
    <cellStyle name="Separador de milhares 3 11 2 8" xfId="3435"/>
    <cellStyle name="Separador de milhares 3 11 2 8 2" xfId="5860"/>
    <cellStyle name="Separador de milhares 3 11 2 8 2 2" xfId="9072"/>
    <cellStyle name="Separador de milhares 3 11 2 8 2 2 2" xfId="20926"/>
    <cellStyle name="Separador de milhares 3 11 2 8 2 2 2 2" xfId="47405"/>
    <cellStyle name="Separador de milhares 3 11 2 8 2 2 3" xfId="14999"/>
    <cellStyle name="Separador de milhares 3 11 2 8 2 2 3 2" xfId="41497"/>
    <cellStyle name="Separador de milhares 3 11 2 8 2 2 4" xfId="35589"/>
    <cellStyle name="Separador de milhares 3 11 2 8 2 2 5" xfId="29055"/>
    <cellStyle name="Separador de milhares 3 11 2 8 2 3" xfId="17962"/>
    <cellStyle name="Separador de milhares 3 11 2 8 2 3 2" xfId="44451"/>
    <cellStyle name="Separador de milhares 3 11 2 8 2 4" xfId="12035"/>
    <cellStyle name="Separador de milhares 3 11 2 8 2 4 2" xfId="38543"/>
    <cellStyle name="Separador de milhares 3 11 2 8 2 5" xfId="32387"/>
    <cellStyle name="Separador de milhares 3 11 2 8 2 6" xfId="25853"/>
    <cellStyle name="Separador de milhares 3 11 2 8 3" xfId="7602"/>
    <cellStyle name="Separador de milhares 3 11 2 8 3 2" xfId="19456"/>
    <cellStyle name="Separador de milhares 3 11 2 8 3 2 2" xfId="45937"/>
    <cellStyle name="Separador de milhares 3 11 2 8 3 3" xfId="13529"/>
    <cellStyle name="Separador de milhares 3 11 2 8 3 3 2" xfId="40029"/>
    <cellStyle name="Separador de milhares 3 11 2 8 3 4" xfId="34121"/>
    <cellStyle name="Separador de milhares 3 11 2 8 3 5" xfId="27587"/>
    <cellStyle name="Separador de milhares 3 11 2 8 4" xfId="16492"/>
    <cellStyle name="Separador de milhares 3 11 2 8 4 2" xfId="42983"/>
    <cellStyle name="Separador de milhares 3 11 2 8 4 3" xfId="24081"/>
    <cellStyle name="Separador de milhares 3 11 2 8 5" xfId="10565"/>
    <cellStyle name="Separador de milhares 3 11 2 8 5 2" xfId="37075"/>
    <cellStyle name="Separador de milhares 3 11 2 8 6" xfId="30615"/>
    <cellStyle name="Separador de milhares 3 11 2 8 7" xfId="22309"/>
    <cellStyle name="Separador de milhares 3 11 2 9" xfId="3963"/>
    <cellStyle name="Separador de milhares 3 11 2 9 2" xfId="6007"/>
    <cellStyle name="Separador de milhares 3 11 2 9 2 2" xfId="9219"/>
    <cellStyle name="Separador de milhares 3 11 2 9 2 2 2" xfId="21073"/>
    <cellStyle name="Separador de milhares 3 11 2 9 2 2 2 2" xfId="47552"/>
    <cellStyle name="Separador de milhares 3 11 2 9 2 2 3" xfId="15146"/>
    <cellStyle name="Separador de milhares 3 11 2 9 2 2 3 2" xfId="41644"/>
    <cellStyle name="Separador de milhares 3 11 2 9 2 2 4" xfId="35736"/>
    <cellStyle name="Separador de milhares 3 11 2 9 2 2 5" xfId="29202"/>
    <cellStyle name="Separador de milhares 3 11 2 9 2 3" xfId="18109"/>
    <cellStyle name="Separador de milhares 3 11 2 9 2 3 2" xfId="44598"/>
    <cellStyle name="Separador de milhares 3 11 2 9 2 4" xfId="12182"/>
    <cellStyle name="Separador de milhares 3 11 2 9 2 4 2" xfId="38690"/>
    <cellStyle name="Separador de milhares 3 11 2 9 2 5" xfId="32534"/>
    <cellStyle name="Separador de milhares 3 11 2 9 2 6" xfId="26000"/>
    <cellStyle name="Separador de milhares 3 11 2 9 3" xfId="7750"/>
    <cellStyle name="Separador de milhares 3 11 2 9 3 2" xfId="19604"/>
    <cellStyle name="Separador de milhares 3 11 2 9 3 2 2" xfId="46084"/>
    <cellStyle name="Separador de milhares 3 11 2 9 3 3" xfId="13677"/>
    <cellStyle name="Separador de milhares 3 11 2 9 3 3 2" xfId="40176"/>
    <cellStyle name="Separador de milhares 3 11 2 9 3 4" xfId="34268"/>
    <cellStyle name="Separador de milhares 3 11 2 9 3 5" xfId="27734"/>
    <cellStyle name="Separador de milhares 3 11 2 9 4" xfId="16640"/>
    <cellStyle name="Separador de milhares 3 11 2 9 4 2" xfId="43130"/>
    <cellStyle name="Separador de milhares 3 11 2 9 4 3" xfId="24228"/>
    <cellStyle name="Separador de milhares 3 11 2 9 5" xfId="10713"/>
    <cellStyle name="Separador de milhares 3 11 2 9 5 2" xfId="37222"/>
    <cellStyle name="Separador de milhares 3 11 2 9 6" xfId="30762"/>
    <cellStyle name="Separador de milhares 3 11 2 9 7" xfId="22456"/>
    <cellStyle name="Separador de milhares 3 11 3" xfId="408"/>
    <cellStyle name="Separador de milhares 3 11 3 10" xfId="4998"/>
    <cellStyle name="Separador de milhares 3 11 3 10 2" xfId="8217"/>
    <cellStyle name="Separador de milhares 3 11 3 10 2 2" xfId="20071"/>
    <cellStyle name="Separador de milhares 3 11 3 10 2 2 2" xfId="46550"/>
    <cellStyle name="Separador de milhares 3 11 3 10 2 3" xfId="14144"/>
    <cellStyle name="Separador de milhares 3 11 3 10 2 3 2" xfId="40642"/>
    <cellStyle name="Separador de milhares 3 11 3 10 2 4" xfId="34734"/>
    <cellStyle name="Separador de milhares 3 11 3 10 2 5" xfId="28200"/>
    <cellStyle name="Separador de milhares 3 11 3 10 3" xfId="17107"/>
    <cellStyle name="Separador de milhares 3 11 3 10 3 2" xfId="43596"/>
    <cellStyle name="Separador de milhares 3 11 3 10 4" xfId="11180"/>
    <cellStyle name="Separador de milhares 3 11 3 10 4 2" xfId="37688"/>
    <cellStyle name="Separador de milhares 3 11 3 10 5" xfId="31525"/>
    <cellStyle name="Separador de milhares 3 11 3 10 6" xfId="24991"/>
    <cellStyle name="Separador de milhares 3 11 3 11" xfId="6741"/>
    <cellStyle name="Separador de milhares 3 11 3 11 2" xfId="18595"/>
    <cellStyle name="Separador de milhares 3 11 3 11 2 2" xfId="45082"/>
    <cellStyle name="Separador de milhares 3 11 3 11 3" xfId="12668"/>
    <cellStyle name="Separador de milhares 3 11 3 11 3 2" xfId="39174"/>
    <cellStyle name="Separador de milhares 3 11 3 11 4" xfId="33266"/>
    <cellStyle name="Separador de milhares 3 11 3 11 5" xfId="26732"/>
    <cellStyle name="Separador de milhares 3 11 3 12" xfId="15631"/>
    <cellStyle name="Separador de milhares 3 11 3 12 2" xfId="42128"/>
    <cellStyle name="Separador de milhares 3 11 3 12 3" xfId="23219"/>
    <cellStyle name="Separador de milhares 3 11 3 13" xfId="9704"/>
    <cellStyle name="Separador de milhares 3 11 3 13 2" xfId="36220"/>
    <cellStyle name="Separador de milhares 3 11 3 14" xfId="29753"/>
    <cellStyle name="Separador de milhares 3 11 3 15" xfId="21471"/>
    <cellStyle name="Separador de milhares 3 11 3 2" xfId="671"/>
    <cellStyle name="Separador de milhares 3 11 3 2 2" xfId="5069"/>
    <cellStyle name="Separador de milhares 3 11 3 2 2 2" xfId="8284"/>
    <cellStyle name="Separador de milhares 3 11 3 2 2 2 2" xfId="20138"/>
    <cellStyle name="Separador de milhares 3 11 3 2 2 2 2 2" xfId="46617"/>
    <cellStyle name="Separador de milhares 3 11 3 2 2 2 3" xfId="14211"/>
    <cellStyle name="Separador de milhares 3 11 3 2 2 2 3 2" xfId="40709"/>
    <cellStyle name="Separador de milhares 3 11 3 2 2 2 4" xfId="34801"/>
    <cellStyle name="Separador de milhares 3 11 3 2 2 2 5" xfId="28267"/>
    <cellStyle name="Separador de milhares 3 11 3 2 2 3" xfId="17174"/>
    <cellStyle name="Separador de milhares 3 11 3 2 2 3 2" xfId="43663"/>
    <cellStyle name="Separador de milhares 3 11 3 2 2 4" xfId="11247"/>
    <cellStyle name="Separador de milhares 3 11 3 2 2 4 2" xfId="37755"/>
    <cellStyle name="Separador de milhares 3 11 3 2 2 5" xfId="31596"/>
    <cellStyle name="Separador de milhares 3 11 3 2 2 6" xfId="25062"/>
    <cellStyle name="Separador de milhares 3 11 3 2 3" xfId="6808"/>
    <cellStyle name="Separador de milhares 3 11 3 2 3 2" xfId="18662"/>
    <cellStyle name="Separador de milhares 3 11 3 2 3 2 2" xfId="45149"/>
    <cellStyle name="Separador de milhares 3 11 3 2 3 3" xfId="12735"/>
    <cellStyle name="Separador de milhares 3 11 3 2 3 3 2" xfId="39241"/>
    <cellStyle name="Separador de milhares 3 11 3 2 3 4" xfId="33333"/>
    <cellStyle name="Separador de milhares 3 11 3 2 3 5" xfId="26799"/>
    <cellStyle name="Separador de milhares 3 11 3 2 4" xfId="15698"/>
    <cellStyle name="Separador de milhares 3 11 3 2 4 2" xfId="42195"/>
    <cellStyle name="Separador de milhares 3 11 3 2 4 3" xfId="23290"/>
    <cellStyle name="Separador de milhares 3 11 3 2 5" xfId="9771"/>
    <cellStyle name="Separador de milhares 3 11 3 2 5 2" xfId="36287"/>
    <cellStyle name="Separador de milhares 3 11 3 2 6" xfId="29824"/>
    <cellStyle name="Separador de milhares 3 11 3 2 7" xfId="21519"/>
    <cellStyle name="Separador de milhares 3 11 3 3" xfId="969"/>
    <cellStyle name="Separador de milhares 3 11 3 3 2" xfId="5171"/>
    <cellStyle name="Separador de milhares 3 11 3 3 2 2" xfId="8386"/>
    <cellStyle name="Separador de milhares 3 11 3 3 2 2 2" xfId="20240"/>
    <cellStyle name="Separador de milhares 3 11 3 3 2 2 2 2" xfId="46719"/>
    <cellStyle name="Separador de milhares 3 11 3 3 2 2 3" xfId="14313"/>
    <cellStyle name="Separador de milhares 3 11 3 3 2 2 3 2" xfId="40811"/>
    <cellStyle name="Separador de milhares 3 11 3 3 2 2 4" xfId="34903"/>
    <cellStyle name="Separador de milhares 3 11 3 3 2 2 5" xfId="28369"/>
    <cellStyle name="Separador de milhares 3 11 3 3 2 3" xfId="17276"/>
    <cellStyle name="Separador de milhares 3 11 3 3 2 3 2" xfId="43765"/>
    <cellStyle name="Separador de milhares 3 11 3 3 2 4" xfId="11349"/>
    <cellStyle name="Separador de milhares 3 11 3 3 2 4 2" xfId="37857"/>
    <cellStyle name="Separador de milhares 3 11 3 3 2 5" xfId="31698"/>
    <cellStyle name="Separador de milhares 3 11 3 3 2 6" xfId="25164"/>
    <cellStyle name="Separador de milhares 3 11 3 3 3" xfId="6913"/>
    <cellStyle name="Separador de milhares 3 11 3 3 3 2" xfId="18767"/>
    <cellStyle name="Separador de milhares 3 11 3 3 3 2 2" xfId="45251"/>
    <cellStyle name="Separador de milhares 3 11 3 3 3 3" xfId="12840"/>
    <cellStyle name="Separador de milhares 3 11 3 3 3 3 2" xfId="39343"/>
    <cellStyle name="Separador de milhares 3 11 3 3 3 4" xfId="33435"/>
    <cellStyle name="Separador de milhares 3 11 3 3 3 5" xfId="26901"/>
    <cellStyle name="Separador de milhares 3 11 3 3 4" xfId="15803"/>
    <cellStyle name="Separador de milhares 3 11 3 3 4 2" xfId="42297"/>
    <cellStyle name="Separador de milhares 3 11 3 3 4 3" xfId="23392"/>
    <cellStyle name="Separador de milhares 3 11 3 3 5" xfId="9876"/>
    <cellStyle name="Separador de milhares 3 11 3 3 5 2" xfId="36389"/>
    <cellStyle name="Separador de milhares 3 11 3 3 6" xfId="29926"/>
    <cellStyle name="Separador de milhares 3 11 3 3 7" xfId="21620"/>
    <cellStyle name="Separador de milhares 3 11 3 4" xfId="1320"/>
    <cellStyle name="Separador de milhares 3 11 3 4 2" xfId="5269"/>
    <cellStyle name="Separador de milhares 3 11 3 4 2 2" xfId="8484"/>
    <cellStyle name="Separador de milhares 3 11 3 4 2 2 2" xfId="20338"/>
    <cellStyle name="Separador de milhares 3 11 3 4 2 2 2 2" xfId="46817"/>
    <cellStyle name="Separador de milhares 3 11 3 4 2 2 3" xfId="14411"/>
    <cellStyle name="Separador de milhares 3 11 3 4 2 2 3 2" xfId="40909"/>
    <cellStyle name="Separador de milhares 3 11 3 4 2 2 4" xfId="35001"/>
    <cellStyle name="Separador de milhares 3 11 3 4 2 2 5" xfId="28467"/>
    <cellStyle name="Separador de milhares 3 11 3 4 2 3" xfId="17374"/>
    <cellStyle name="Separador de milhares 3 11 3 4 2 3 2" xfId="43863"/>
    <cellStyle name="Separador de milhares 3 11 3 4 2 4" xfId="11447"/>
    <cellStyle name="Separador de milhares 3 11 3 4 2 4 2" xfId="37955"/>
    <cellStyle name="Separador de milhares 3 11 3 4 2 5" xfId="31796"/>
    <cellStyle name="Separador de milhares 3 11 3 4 2 6" xfId="25262"/>
    <cellStyle name="Separador de milhares 3 11 3 4 3" xfId="7011"/>
    <cellStyle name="Separador de milhares 3 11 3 4 3 2" xfId="18865"/>
    <cellStyle name="Separador de milhares 3 11 3 4 3 2 2" xfId="45349"/>
    <cellStyle name="Separador de milhares 3 11 3 4 3 3" xfId="12938"/>
    <cellStyle name="Separador de milhares 3 11 3 4 3 3 2" xfId="39441"/>
    <cellStyle name="Separador de milhares 3 11 3 4 3 4" xfId="33533"/>
    <cellStyle name="Separador de milhares 3 11 3 4 3 5" xfId="26999"/>
    <cellStyle name="Separador de milhares 3 11 3 4 4" xfId="15901"/>
    <cellStyle name="Separador de milhares 3 11 3 4 4 2" xfId="42395"/>
    <cellStyle name="Separador de milhares 3 11 3 4 4 3" xfId="23490"/>
    <cellStyle name="Separador de milhares 3 11 3 4 5" xfId="9974"/>
    <cellStyle name="Separador de milhares 3 11 3 4 5 2" xfId="36487"/>
    <cellStyle name="Separador de milhares 3 11 3 4 6" xfId="30024"/>
    <cellStyle name="Separador de milhares 3 11 3 4 7" xfId="21718"/>
    <cellStyle name="Separador de milhares 3 11 3 5" xfId="1755"/>
    <cellStyle name="Separador de milhares 3 11 3 5 2" xfId="5388"/>
    <cellStyle name="Separador de milhares 3 11 3 5 2 2" xfId="8603"/>
    <cellStyle name="Separador de milhares 3 11 3 5 2 2 2" xfId="20457"/>
    <cellStyle name="Separador de milhares 3 11 3 5 2 2 2 2" xfId="46936"/>
    <cellStyle name="Separador de milhares 3 11 3 5 2 2 3" xfId="14530"/>
    <cellStyle name="Separador de milhares 3 11 3 5 2 2 3 2" xfId="41028"/>
    <cellStyle name="Separador de milhares 3 11 3 5 2 2 4" xfId="35120"/>
    <cellStyle name="Separador de milhares 3 11 3 5 2 2 5" xfId="28586"/>
    <cellStyle name="Separador de milhares 3 11 3 5 2 3" xfId="17493"/>
    <cellStyle name="Separador de milhares 3 11 3 5 2 3 2" xfId="43982"/>
    <cellStyle name="Separador de milhares 3 11 3 5 2 4" xfId="11566"/>
    <cellStyle name="Separador de milhares 3 11 3 5 2 4 2" xfId="38074"/>
    <cellStyle name="Separador de milhares 3 11 3 5 2 5" xfId="31915"/>
    <cellStyle name="Separador de milhares 3 11 3 5 2 6" xfId="25381"/>
    <cellStyle name="Separador de milhares 3 11 3 5 3" xfId="7130"/>
    <cellStyle name="Separador de milhares 3 11 3 5 3 2" xfId="18984"/>
    <cellStyle name="Separador de milhares 3 11 3 5 3 2 2" xfId="45468"/>
    <cellStyle name="Separador de milhares 3 11 3 5 3 3" xfId="13057"/>
    <cellStyle name="Separador de milhares 3 11 3 5 3 3 2" xfId="39560"/>
    <cellStyle name="Separador de milhares 3 11 3 5 3 4" xfId="33652"/>
    <cellStyle name="Separador de milhares 3 11 3 5 3 5" xfId="27118"/>
    <cellStyle name="Separador de milhares 3 11 3 5 4" xfId="16020"/>
    <cellStyle name="Separador de milhares 3 11 3 5 4 2" xfId="42514"/>
    <cellStyle name="Separador de milhares 3 11 3 5 4 3" xfId="23609"/>
    <cellStyle name="Separador de milhares 3 11 3 5 5" xfId="10093"/>
    <cellStyle name="Separador de milhares 3 11 3 5 5 2" xfId="36606"/>
    <cellStyle name="Separador de milhares 3 11 3 5 6" xfId="30143"/>
    <cellStyle name="Separador de milhares 3 11 3 5 7" xfId="21837"/>
    <cellStyle name="Separador de milhares 3 11 3 6" xfId="2288"/>
    <cellStyle name="Separador de milhares 3 11 3 6 2" xfId="5538"/>
    <cellStyle name="Separador de milhares 3 11 3 6 2 2" xfId="8750"/>
    <cellStyle name="Separador de milhares 3 11 3 6 2 2 2" xfId="20604"/>
    <cellStyle name="Separador de milhares 3 11 3 6 2 2 2 2" xfId="47083"/>
    <cellStyle name="Separador de milhares 3 11 3 6 2 2 3" xfId="14677"/>
    <cellStyle name="Separador de milhares 3 11 3 6 2 2 3 2" xfId="41175"/>
    <cellStyle name="Separador de milhares 3 11 3 6 2 2 4" xfId="35267"/>
    <cellStyle name="Separador de milhares 3 11 3 6 2 2 5" xfId="28733"/>
    <cellStyle name="Separador de milhares 3 11 3 6 2 3" xfId="17640"/>
    <cellStyle name="Separador de milhares 3 11 3 6 2 3 2" xfId="44129"/>
    <cellStyle name="Separador de milhares 3 11 3 6 2 4" xfId="11713"/>
    <cellStyle name="Separador de milhares 3 11 3 6 2 4 2" xfId="38221"/>
    <cellStyle name="Separador de milhares 3 11 3 6 2 5" xfId="32065"/>
    <cellStyle name="Separador de milhares 3 11 3 6 2 6" xfId="25531"/>
    <cellStyle name="Separador de milhares 3 11 3 6 3" xfId="7278"/>
    <cellStyle name="Separador de milhares 3 11 3 6 3 2" xfId="19132"/>
    <cellStyle name="Separador de milhares 3 11 3 6 3 2 2" xfId="45615"/>
    <cellStyle name="Separador de milhares 3 11 3 6 3 3" xfId="13205"/>
    <cellStyle name="Separador de milhares 3 11 3 6 3 3 2" xfId="39707"/>
    <cellStyle name="Separador de milhares 3 11 3 6 3 4" xfId="33799"/>
    <cellStyle name="Separador de milhares 3 11 3 6 3 5" xfId="27265"/>
    <cellStyle name="Separador de milhares 3 11 3 6 4" xfId="16168"/>
    <cellStyle name="Separador de milhares 3 11 3 6 4 2" xfId="42661"/>
    <cellStyle name="Separador de milhares 3 11 3 6 4 3" xfId="23759"/>
    <cellStyle name="Separador de milhares 3 11 3 6 5" xfId="10241"/>
    <cellStyle name="Separador de milhares 3 11 3 6 5 2" xfId="36753"/>
    <cellStyle name="Separador de milhares 3 11 3 6 6" xfId="30293"/>
    <cellStyle name="Separador de milhares 3 11 3 6 7" xfId="21987"/>
    <cellStyle name="Separador de milhares 3 11 3 7" xfId="2816"/>
    <cellStyle name="Separador de milhares 3 11 3 7 2" xfId="5685"/>
    <cellStyle name="Separador de milhares 3 11 3 7 2 2" xfId="8897"/>
    <cellStyle name="Separador de milhares 3 11 3 7 2 2 2" xfId="20751"/>
    <cellStyle name="Separador de milhares 3 11 3 7 2 2 2 2" xfId="47230"/>
    <cellStyle name="Separador de milhares 3 11 3 7 2 2 3" xfId="14824"/>
    <cellStyle name="Separador de milhares 3 11 3 7 2 2 3 2" xfId="41322"/>
    <cellStyle name="Separador de milhares 3 11 3 7 2 2 4" xfId="35414"/>
    <cellStyle name="Separador de milhares 3 11 3 7 2 2 5" xfId="28880"/>
    <cellStyle name="Separador de milhares 3 11 3 7 2 3" xfId="17787"/>
    <cellStyle name="Separador de milhares 3 11 3 7 2 3 2" xfId="44276"/>
    <cellStyle name="Separador de milhares 3 11 3 7 2 4" xfId="11860"/>
    <cellStyle name="Separador de milhares 3 11 3 7 2 4 2" xfId="38368"/>
    <cellStyle name="Separador de milhares 3 11 3 7 2 5" xfId="32212"/>
    <cellStyle name="Separador de milhares 3 11 3 7 2 6" xfId="25678"/>
    <cellStyle name="Separador de milhares 3 11 3 7 3" xfId="7426"/>
    <cellStyle name="Separador de milhares 3 11 3 7 3 2" xfId="19280"/>
    <cellStyle name="Separador de milhares 3 11 3 7 3 2 2" xfId="45762"/>
    <cellStyle name="Separador de milhares 3 11 3 7 3 3" xfId="13353"/>
    <cellStyle name="Separador de milhares 3 11 3 7 3 3 2" xfId="39854"/>
    <cellStyle name="Separador de milhares 3 11 3 7 3 4" xfId="33946"/>
    <cellStyle name="Separador de milhares 3 11 3 7 3 5" xfId="27412"/>
    <cellStyle name="Separador de milhares 3 11 3 7 4" xfId="16316"/>
    <cellStyle name="Separador de milhares 3 11 3 7 4 2" xfId="42808"/>
    <cellStyle name="Separador de milhares 3 11 3 7 4 3" xfId="23906"/>
    <cellStyle name="Separador de milhares 3 11 3 7 5" xfId="10389"/>
    <cellStyle name="Separador de milhares 3 11 3 7 5 2" xfId="36900"/>
    <cellStyle name="Separador de milhares 3 11 3 7 6" xfId="30440"/>
    <cellStyle name="Separador de milhares 3 11 3 7 7" xfId="22134"/>
    <cellStyle name="Separador de milhares 3 11 3 8" xfId="3344"/>
    <cellStyle name="Separador de milhares 3 11 3 8 2" xfId="5832"/>
    <cellStyle name="Separador de milhares 3 11 3 8 2 2" xfId="9044"/>
    <cellStyle name="Separador de milhares 3 11 3 8 2 2 2" xfId="20898"/>
    <cellStyle name="Separador de milhares 3 11 3 8 2 2 2 2" xfId="47377"/>
    <cellStyle name="Separador de milhares 3 11 3 8 2 2 3" xfId="14971"/>
    <cellStyle name="Separador de milhares 3 11 3 8 2 2 3 2" xfId="41469"/>
    <cellStyle name="Separador de milhares 3 11 3 8 2 2 4" xfId="35561"/>
    <cellStyle name="Separador de milhares 3 11 3 8 2 2 5" xfId="29027"/>
    <cellStyle name="Separador de milhares 3 11 3 8 2 3" xfId="17934"/>
    <cellStyle name="Separador de milhares 3 11 3 8 2 3 2" xfId="44423"/>
    <cellStyle name="Separador de milhares 3 11 3 8 2 4" xfId="12007"/>
    <cellStyle name="Separador de milhares 3 11 3 8 2 4 2" xfId="38515"/>
    <cellStyle name="Separador de milhares 3 11 3 8 2 5" xfId="32359"/>
    <cellStyle name="Separador de milhares 3 11 3 8 2 6" xfId="25825"/>
    <cellStyle name="Separador de milhares 3 11 3 8 3" xfId="7574"/>
    <cellStyle name="Separador de milhares 3 11 3 8 3 2" xfId="19428"/>
    <cellStyle name="Separador de milhares 3 11 3 8 3 2 2" xfId="45909"/>
    <cellStyle name="Separador de milhares 3 11 3 8 3 3" xfId="13501"/>
    <cellStyle name="Separador de milhares 3 11 3 8 3 3 2" xfId="40001"/>
    <cellStyle name="Separador de milhares 3 11 3 8 3 4" xfId="34093"/>
    <cellStyle name="Separador de milhares 3 11 3 8 3 5" xfId="27559"/>
    <cellStyle name="Separador de milhares 3 11 3 8 4" xfId="16464"/>
    <cellStyle name="Separador de milhares 3 11 3 8 4 2" xfId="42955"/>
    <cellStyle name="Separador de milhares 3 11 3 8 4 3" xfId="24053"/>
    <cellStyle name="Separador de milhares 3 11 3 8 5" xfId="10537"/>
    <cellStyle name="Separador de milhares 3 11 3 8 5 2" xfId="37047"/>
    <cellStyle name="Separador de milhares 3 11 3 8 6" xfId="30587"/>
    <cellStyle name="Separador de milhares 3 11 3 8 7" xfId="22281"/>
    <cellStyle name="Separador de milhares 3 11 3 9" xfId="3872"/>
    <cellStyle name="Separador de milhares 3 11 3 9 2" xfId="5979"/>
    <cellStyle name="Separador de milhares 3 11 3 9 2 2" xfId="9191"/>
    <cellStyle name="Separador de milhares 3 11 3 9 2 2 2" xfId="21045"/>
    <cellStyle name="Separador de milhares 3 11 3 9 2 2 2 2" xfId="47524"/>
    <cellStyle name="Separador de milhares 3 11 3 9 2 2 3" xfId="15118"/>
    <cellStyle name="Separador de milhares 3 11 3 9 2 2 3 2" xfId="41616"/>
    <cellStyle name="Separador de milhares 3 11 3 9 2 2 4" xfId="35708"/>
    <cellStyle name="Separador de milhares 3 11 3 9 2 2 5" xfId="29174"/>
    <cellStyle name="Separador de milhares 3 11 3 9 2 3" xfId="18081"/>
    <cellStyle name="Separador de milhares 3 11 3 9 2 3 2" xfId="44570"/>
    <cellStyle name="Separador de milhares 3 11 3 9 2 4" xfId="12154"/>
    <cellStyle name="Separador de milhares 3 11 3 9 2 4 2" xfId="38662"/>
    <cellStyle name="Separador de milhares 3 11 3 9 2 5" xfId="32506"/>
    <cellStyle name="Separador de milhares 3 11 3 9 2 6" xfId="25972"/>
    <cellStyle name="Separador de milhares 3 11 3 9 3" xfId="7722"/>
    <cellStyle name="Separador de milhares 3 11 3 9 3 2" xfId="19576"/>
    <cellStyle name="Separador de milhares 3 11 3 9 3 2 2" xfId="46056"/>
    <cellStyle name="Separador de milhares 3 11 3 9 3 3" xfId="13649"/>
    <cellStyle name="Separador de milhares 3 11 3 9 3 3 2" xfId="40148"/>
    <cellStyle name="Separador de milhares 3 11 3 9 3 4" xfId="34240"/>
    <cellStyle name="Separador de milhares 3 11 3 9 3 5" xfId="27706"/>
    <cellStyle name="Separador de milhares 3 11 3 9 4" xfId="16612"/>
    <cellStyle name="Separador de milhares 3 11 3 9 4 2" xfId="43102"/>
    <cellStyle name="Separador de milhares 3 11 3 9 4 3" xfId="24200"/>
    <cellStyle name="Separador de milhares 3 11 3 9 5" xfId="10685"/>
    <cellStyle name="Separador de milhares 3 11 3 9 5 2" xfId="37194"/>
    <cellStyle name="Separador de milhares 3 11 3 9 6" xfId="30734"/>
    <cellStyle name="Separador de milhares 3 11 3 9 7" xfId="22428"/>
    <cellStyle name="Separador de milhares 3 11 4" xfId="501"/>
    <cellStyle name="Separador de milhares 3 11 4 10" xfId="5026"/>
    <cellStyle name="Separador de milhares 3 11 4 10 2" xfId="8242"/>
    <cellStyle name="Separador de milhares 3 11 4 10 2 2" xfId="20096"/>
    <cellStyle name="Separador de milhares 3 11 4 10 2 2 2" xfId="46575"/>
    <cellStyle name="Separador de milhares 3 11 4 10 2 3" xfId="14169"/>
    <cellStyle name="Separador de milhares 3 11 4 10 2 3 2" xfId="40667"/>
    <cellStyle name="Separador de milhares 3 11 4 10 2 4" xfId="34759"/>
    <cellStyle name="Separador de milhares 3 11 4 10 2 5" xfId="28225"/>
    <cellStyle name="Separador de milhares 3 11 4 10 3" xfId="17132"/>
    <cellStyle name="Separador de milhares 3 11 4 10 3 2" xfId="43621"/>
    <cellStyle name="Separador de milhares 3 11 4 10 4" xfId="11205"/>
    <cellStyle name="Separador de milhares 3 11 4 10 4 2" xfId="37713"/>
    <cellStyle name="Separador de milhares 3 11 4 10 5" xfId="31553"/>
    <cellStyle name="Separador de milhares 3 11 4 10 6" xfId="25019"/>
    <cellStyle name="Separador de milhares 3 11 4 11" xfId="6766"/>
    <cellStyle name="Separador de milhares 3 11 4 11 2" xfId="18620"/>
    <cellStyle name="Separador de milhares 3 11 4 11 2 2" xfId="45107"/>
    <cellStyle name="Separador de milhares 3 11 4 11 3" xfId="12693"/>
    <cellStyle name="Separador de milhares 3 11 4 11 3 2" xfId="39199"/>
    <cellStyle name="Separador de milhares 3 11 4 11 4" xfId="33291"/>
    <cellStyle name="Separador de milhares 3 11 4 11 5" xfId="26757"/>
    <cellStyle name="Separador de milhares 3 11 4 12" xfId="15656"/>
    <cellStyle name="Separador de milhares 3 11 4 12 2" xfId="42153"/>
    <cellStyle name="Separador de milhares 3 11 4 12 3" xfId="23247"/>
    <cellStyle name="Separador de milhares 3 11 4 13" xfId="9729"/>
    <cellStyle name="Separador de milhares 3 11 4 13 2" xfId="36245"/>
    <cellStyle name="Separador de milhares 3 11 4 14" xfId="29781"/>
    <cellStyle name="Separador de milhares 3 11 4 2" xfId="1147"/>
    <cellStyle name="Separador de milhares 3 11 4 2 2" xfId="5223"/>
    <cellStyle name="Separador de milhares 3 11 4 2 2 2" xfId="8438"/>
    <cellStyle name="Separador de milhares 3 11 4 2 2 2 2" xfId="20292"/>
    <cellStyle name="Separador de milhares 3 11 4 2 2 2 2 2" xfId="46771"/>
    <cellStyle name="Separador de milhares 3 11 4 2 2 2 3" xfId="14365"/>
    <cellStyle name="Separador de milhares 3 11 4 2 2 2 3 2" xfId="40863"/>
    <cellStyle name="Separador de milhares 3 11 4 2 2 2 4" xfId="34955"/>
    <cellStyle name="Separador de milhares 3 11 4 2 2 2 5" xfId="28421"/>
    <cellStyle name="Separador de milhares 3 11 4 2 2 3" xfId="17328"/>
    <cellStyle name="Separador de milhares 3 11 4 2 2 3 2" xfId="43817"/>
    <cellStyle name="Separador de milhares 3 11 4 2 2 4" xfId="11401"/>
    <cellStyle name="Separador de milhares 3 11 4 2 2 4 2" xfId="37909"/>
    <cellStyle name="Separador de milhares 3 11 4 2 2 5" xfId="31750"/>
    <cellStyle name="Separador de milhares 3 11 4 2 2 6" xfId="25216"/>
    <cellStyle name="Separador de milhares 3 11 4 2 3" xfId="6965"/>
    <cellStyle name="Separador de milhares 3 11 4 2 3 2" xfId="18819"/>
    <cellStyle name="Separador de milhares 3 11 4 2 3 2 2" xfId="45303"/>
    <cellStyle name="Separador de milhares 3 11 4 2 3 3" xfId="12892"/>
    <cellStyle name="Separador de milhares 3 11 4 2 3 3 2" xfId="39395"/>
    <cellStyle name="Separador de milhares 3 11 4 2 3 4" xfId="33487"/>
    <cellStyle name="Separador de milhares 3 11 4 2 3 5" xfId="26953"/>
    <cellStyle name="Separador de milhares 3 11 4 2 4" xfId="15855"/>
    <cellStyle name="Separador de milhares 3 11 4 2 4 2" xfId="42349"/>
    <cellStyle name="Separador de milhares 3 11 4 2 4 3" xfId="23444"/>
    <cellStyle name="Separador de milhares 3 11 4 2 5" xfId="9928"/>
    <cellStyle name="Separador de milhares 3 11 4 2 5 2" xfId="36441"/>
    <cellStyle name="Separador de milhares 3 11 4 2 6" xfId="29978"/>
    <cellStyle name="Separador de milhares 3 11 4 2 7" xfId="21672"/>
    <cellStyle name="Separador de milhares 3 11 4 3" xfId="1498"/>
    <cellStyle name="Separador de milhares 3 11 4 3 2" xfId="5321"/>
    <cellStyle name="Separador de milhares 3 11 4 3 2 2" xfId="8536"/>
    <cellStyle name="Separador de milhares 3 11 4 3 2 2 2" xfId="20390"/>
    <cellStyle name="Separador de milhares 3 11 4 3 2 2 2 2" xfId="46869"/>
    <cellStyle name="Separador de milhares 3 11 4 3 2 2 3" xfId="14463"/>
    <cellStyle name="Separador de milhares 3 11 4 3 2 2 3 2" xfId="40961"/>
    <cellStyle name="Separador de milhares 3 11 4 3 2 2 4" xfId="35053"/>
    <cellStyle name="Separador de milhares 3 11 4 3 2 2 5" xfId="28519"/>
    <cellStyle name="Separador de milhares 3 11 4 3 2 3" xfId="17426"/>
    <cellStyle name="Separador de milhares 3 11 4 3 2 3 2" xfId="43915"/>
    <cellStyle name="Separador de milhares 3 11 4 3 2 4" xfId="11499"/>
    <cellStyle name="Separador de milhares 3 11 4 3 2 4 2" xfId="38007"/>
    <cellStyle name="Separador de milhares 3 11 4 3 2 5" xfId="31848"/>
    <cellStyle name="Separador de milhares 3 11 4 3 2 6" xfId="25314"/>
    <cellStyle name="Separador de milhares 3 11 4 3 3" xfId="7063"/>
    <cellStyle name="Separador de milhares 3 11 4 3 3 2" xfId="18917"/>
    <cellStyle name="Separador de milhares 3 11 4 3 3 2 2" xfId="45401"/>
    <cellStyle name="Separador de milhares 3 11 4 3 3 3" xfId="12990"/>
    <cellStyle name="Separador de milhares 3 11 4 3 3 3 2" xfId="39493"/>
    <cellStyle name="Separador de milhares 3 11 4 3 3 4" xfId="33585"/>
    <cellStyle name="Separador de milhares 3 11 4 3 3 5" xfId="27051"/>
    <cellStyle name="Separador de milhares 3 11 4 3 4" xfId="15953"/>
    <cellStyle name="Separador de milhares 3 11 4 3 4 2" xfId="42447"/>
    <cellStyle name="Separador de milhares 3 11 4 3 4 3" xfId="23542"/>
    <cellStyle name="Separador de milhares 3 11 4 3 5" xfId="10026"/>
    <cellStyle name="Separador de milhares 3 11 4 3 5 2" xfId="36539"/>
    <cellStyle name="Separador de milhares 3 11 4 3 6" xfId="30076"/>
    <cellStyle name="Separador de milhares 3 11 4 3 7" xfId="21770"/>
    <cellStyle name="Separador de milhares 3 11 4 4" xfId="1933"/>
    <cellStyle name="Separador de milhares 3 11 4 4 2" xfId="5440"/>
    <cellStyle name="Separador de milhares 3 11 4 4 2 2" xfId="8655"/>
    <cellStyle name="Separador de milhares 3 11 4 4 2 2 2" xfId="20509"/>
    <cellStyle name="Separador de milhares 3 11 4 4 2 2 2 2" xfId="46988"/>
    <cellStyle name="Separador de milhares 3 11 4 4 2 2 3" xfId="14582"/>
    <cellStyle name="Separador de milhares 3 11 4 4 2 2 3 2" xfId="41080"/>
    <cellStyle name="Separador de milhares 3 11 4 4 2 2 4" xfId="35172"/>
    <cellStyle name="Separador de milhares 3 11 4 4 2 2 5" xfId="28638"/>
    <cellStyle name="Separador de milhares 3 11 4 4 2 3" xfId="17545"/>
    <cellStyle name="Separador de milhares 3 11 4 4 2 3 2" xfId="44034"/>
    <cellStyle name="Separador de milhares 3 11 4 4 2 4" xfId="11618"/>
    <cellStyle name="Separador de milhares 3 11 4 4 2 4 2" xfId="38126"/>
    <cellStyle name="Separador de milhares 3 11 4 4 2 5" xfId="31967"/>
    <cellStyle name="Separador de milhares 3 11 4 4 2 6" xfId="25433"/>
    <cellStyle name="Separador de milhares 3 11 4 4 3" xfId="7182"/>
    <cellStyle name="Separador de milhares 3 11 4 4 3 2" xfId="19036"/>
    <cellStyle name="Separador de milhares 3 11 4 4 3 2 2" xfId="45520"/>
    <cellStyle name="Separador de milhares 3 11 4 4 3 3" xfId="13109"/>
    <cellStyle name="Separador de milhares 3 11 4 4 3 3 2" xfId="39612"/>
    <cellStyle name="Separador de milhares 3 11 4 4 3 4" xfId="33704"/>
    <cellStyle name="Separador de milhares 3 11 4 4 3 5" xfId="27170"/>
    <cellStyle name="Separador de milhares 3 11 4 4 4" xfId="16072"/>
    <cellStyle name="Separador de milhares 3 11 4 4 4 2" xfId="42566"/>
    <cellStyle name="Separador de milhares 3 11 4 4 4 3" xfId="23661"/>
    <cellStyle name="Separador de milhares 3 11 4 4 5" xfId="10145"/>
    <cellStyle name="Separador de milhares 3 11 4 4 5 2" xfId="36658"/>
    <cellStyle name="Separador de milhares 3 11 4 4 6" xfId="30195"/>
    <cellStyle name="Separador de milhares 3 11 4 4 7" xfId="21889"/>
    <cellStyle name="Separador de milhares 3 11 4 5" xfId="2466"/>
    <cellStyle name="Separador de milhares 3 11 4 5 2" xfId="5590"/>
    <cellStyle name="Separador de milhares 3 11 4 5 2 2" xfId="8802"/>
    <cellStyle name="Separador de milhares 3 11 4 5 2 2 2" xfId="20656"/>
    <cellStyle name="Separador de milhares 3 11 4 5 2 2 2 2" xfId="47135"/>
    <cellStyle name="Separador de milhares 3 11 4 5 2 2 3" xfId="14729"/>
    <cellStyle name="Separador de milhares 3 11 4 5 2 2 3 2" xfId="41227"/>
    <cellStyle name="Separador de milhares 3 11 4 5 2 2 4" xfId="35319"/>
    <cellStyle name="Separador de milhares 3 11 4 5 2 2 5" xfId="28785"/>
    <cellStyle name="Separador de milhares 3 11 4 5 2 3" xfId="17692"/>
    <cellStyle name="Separador de milhares 3 11 4 5 2 3 2" xfId="44181"/>
    <cellStyle name="Separador de milhares 3 11 4 5 2 4" xfId="11765"/>
    <cellStyle name="Separador de milhares 3 11 4 5 2 4 2" xfId="38273"/>
    <cellStyle name="Separador de milhares 3 11 4 5 2 5" xfId="32117"/>
    <cellStyle name="Separador de milhares 3 11 4 5 2 6" xfId="25583"/>
    <cellStyle name="Separador de milhares 3 11 4 5 3" xfId="7330"/>
    <cellStyle name="Separador de milhares 3 11 4 5 3 2" xfId="19184"/>
    <cellStyle name="Separador de milhares 3 11 4 5 3 2 2" xfId="45667"/>
    <cellStyle name="Separador de milhares 3 11 4 5 3 3" xfId="13257"/>
    <cellStyle name="Separador de milhares 3 11 4 5 3 3 2" xfId="39759"/>
    <cellStyle name="Separador de milhares 3 11 4 5 3 4" xfId="33851"/>
    <cellStyle name="Separador de milhares 3 11 4 5 3 5" xfId="27317"/>
    <cellStyle name="Separador de milhares 3 11 4 5 4" xfId="16220"/>
    <cellStyle name="Separador de milhares 3 11 4 5 4 2" xfId="42713"/>
    <cellStyle name="Separador de milhares 3 11 4 5 4 3" xfId="23811"/>
    <cellStyle name="Separador de milhares 3 11 4 5 5" xfId="10293"/>
    <cellStyle name="Separador de milhares 3 11 4 5 5 2" xfId="36805"/>
    <cellStyle name="Separador de milhares 3 11 4 5 6" xfId="30345"/>
    <cellStyle name="Separador de milhares 3 11 4 5 7" xfId="22039"/>
    <cellStyle name="Separador de milhares 3 11 4 6" xfId="2994"/>
    <cellStyle name="Separador de milhares 3 11 4 6 2" xfId="5737"/>
    <cellStyle name="Separador de milhares 3 11 4 6 2 2" xfId="8949"/>
    <cellStyle name="Separador de milhares 3 11 4 6 2 2 2" xfId="20803"/>
    <cellStyle name="Separador de milhares 3 11 4 6 2 2 2 2" xfId="47282"/>
    <cellStyle name="Separador de milhares 3 11 4 6 2 2 3" xfId="14876"/>
    <cellStyle name="Separador de milhares 3 11 4 6 2 2 3 2" xfId="41374"/>
    <cellStyle name="Separador de milhares 3 11 4 6 2 2 4" xfId="35466"/>
    <cellStyle name="Separador de milhares 3 11 4 6 2 2 5" xfId="28932"/>
    <cellStyle name="Separador de milhares 3 11 4 6 2 3" xfId="17839"/>
    <cellStyle name="Separador de milhares 3 11 4 6 2 3 2" xfId="44328"/>
    <cellStyle name="Separador de milhares 3 11 4 6 2 4" xfId="11912"/>
    <cellStyle name="Separador de milhares 3 11 4 6 2 4 2" xfId="38420"/>
    <cellStyle name="Separador de milhares 3 11 4 6 2 5" xfId="32264"/>
    <cellStyle name="Separador de milhares 3 11 4 6 2 6" xfId="25730"/>
    <cellStyle name="Separador de milhares 3 11 4 6 3" xfId="7478"/>
    <cellStyle name="Separador de milhares 3 11 4 6 3 2" xfId="19332"/>
    <cellStyle name="Separador de milhares 3 11 4 6 3 2 2" xfId="45814"/>
    <cellStyle name="Separador de milhares 3 11 4 6 3 3" xfId="13405"/>
    <cellStyle name="Separador de milhares 3 11 4 6 3 3 2" xfId="39906"/>
    <cellStyle name="Separador de milhares 3 11 4 6 3 4" xfId="33998"/>
    <cellStyle name="Separador de milhares 3 11 4 6 3 5" xfId="27464"/>
    <cellStyle name="Separador de milhares 3 11 4 6 4" xfId="16368"/>
    <cellStyle name="Separador de milhares 3 11 4 6 4 2" xfId="42860"/>
    <cellStyle name="Separador de milhares 3 11 4 6 4 3" xfId="23958"/>
    <cellStyle name="Separador de milhares 3 11 4 6 5" xfId="10441"/>
    <cellStyle name="Separador de milhares 3 11 4 6 5 2" xfId="36952"/>
    <cellStyle name="Separador de milhares 3 11 4 6 6" xfId="30492"/>
    <cellStyle name="Separador de milhares 3 11 4 6 7" xfId="22186"/>
    <cellStyle name="Separador de milhares 3 11 4 7" xfId="3522"/>
    <cellStyle name="Separador de milhares 3 11 4 7 2" xfId="5884"/>
    <cellStyle name="Separador de milhares 3 11 4 7 2 2" xfId="9096"/>
    <cellStyle name="Separador de milhares 3 11 4 7 2 2 2" xfId="20950"/>
    <cellStyle name="Separador de milhares 3 11 4 7 2 2 2 2" xfId="47429"/>
    <cellStyle name="Separador de milhares 3 11 4 7 2 2 3" xfId="15023"/>
    <cellStyle name="Separador de milhares 3 11 4 7 2 2 3 2" xfId="41521"/>
    <cellStyle name="Separador de milhares 3 11 4 7 2 2 4" xfId="35613"/>
    <cellStyle name="Separador de milhares 3 11 4 7 2 2 5" xfId="29079"/>
    <cellStyle name="Separador de milhares 3 11 4 7 2 3" xfId="17986"/>
    <cellStyle name="Separador de milhares 3 11 4 7 2 3 2" xfId="44475"/>
    <cellStyle name="Separador de milhares 3 11 4 7 2 4" xfId="12059"/>
    <cellStyle name="Separador de milhares 3 11 4 7 2 4 2" xfId="38567"/>
    <cellStyle name="Separador de milhares 3 11 4 7 2 5" xfId="32411"/>
    <cellStyle name="Separador de milhares 3 11 4 7 2 6" xfId="25877"/>
    <cellStyle name="Separador de milhares 3 11 4 7 3" xfId="7626"/>
    <cellStyle name="Separador de milhares 3 11 4 7 3 2" xfId="19480"/>
    <cellStyle name="Separador de milhares 3 11 4 7 3 2 2" xfId="45961"/>
    <cellStyle name="Separador de milhares 3 11 4 7 3 3" xfId="13553"/>
    <cellStyle name="Separador de milhares 3 11 4 7 3 3 2" xfId="40053"/>
    <cellStyle name="Separador de milhares 3 11 4 7 3 4" xfId="34145"/>
    <cellStyle name="Separador de milhares 3 11 4 7 3 5" xfId="27611"/>
    <cellStyle name="Separador de milhares 3 11 4 7 4" xfId="16516"/>
    <cellStyle name="Separador de milhares 3 11 4 7 4 2" xfId="43007"/>
    <cellStyle name="Separador de milhares 3 11 4 7 4 3" xfId="24105"/>
    <cellStyle name="Separador de milhares 3 11 4 7 5" xfId="10589"/>
    <cellStyle name="Separador de milhares 3 11 4 7 5 2" xfId="37099"/>
    <cellStyle name="Separador de milhares 3 11 4 7 6" xfId="30639"/>
    <cellStyle name="Separador de milhares 3 11 4 7 7" xfId="22333"/>
    <cellStyle name="Separador de milhares 3 11 4 8" xfId="4050"/>
    <cellStyle name="Separador de milhares 3 11 4 8 2" xfId="6031"/>
    <cellStyle name="Separador de milhares 3 11 4 8 2 2" xfId="9243"/>
    <cellStyle name="Separador de milhares 3 11 4 8 2 2 2" xfId="21097"/>
    <cellStyle name="Separador de milhares 3 11 4 8 2 2 2 2" xfId="47576"/>
    <cellStyle name="Separador de milhares 3 11 4 8 2 2 3" xfId="15170"/>
    <cellStyle name="Separador de milhares 3 11 4 8 2 2 3 2" xfId="41668"/>
    <cellStyle name="Separador de milhares 3 11 4 8 2 2 4" xfId="35760"/>
    <cellStyle name="Separador de milhares 3 11 4 8 2 2 5" xfId="29226"/>
    <cellStyle name="Separador de milhares 3 11 4 8 2 3" xfId="18133"/>
    <cellStyle name="Separador de milhares 3 11 4 8 2 3 2" xfId="44622"/>
    <cellStyle name="Separador de milhares 3 11 4 8 2 4" xfId="12206"/>
    <cellStyle name="Separador de milhares 3 11 4 8 2 4 2" xfId="38714"/>
    <cellStyle name="Separador de milhares 3 11 4 8 2 5" xfId="32558"/>
    <cellStyle name="Separador de milhares 3 11 4 8 2 6" xfId="26024"/>
    <cellStyle name="Separador de milhares 3 11 4 8 3" xfId="7774"/>
    <cellStyle name="Separador de milhares 3 11 4 8 3 2" xfId="19628"/>
    <cellStyle name="Separador de milhares 3 11 4 8 3 2 2" xfId="46108"/>
    <cellStyle name="Separador de milhares 3 11 4 8 3 3" xfId="13701"/>
    <cellStyle name="Separador de milhares 3 11 4 8 3 3 2" xfId="40200"/>
    <cellStyle name="Separador de milhares 3 11 4 8 3 4" xfId="34292"/>
    <cellStyle name="Separador de milhares 3 11 4 8 3 5" xfId="27758"/>
    <cellStyle name="Separador de milhares 3 11 4 8 4" xfId="16664"/>
    <cellStyle name="Separador de milhares 3 11 4 8 4 2" xfId="43154"/>
    <cellStyle name="Separador de milhares 3 11 4 8 4 3" xfId="24252"/>
    <cellStyle name="Separador de milhares 3 11 4 8 5" xfId="10737"/>
    <cellStyle name="Separador de milhares 3 11 4 8 5 2" xfId="37246"/>
    <cellStyle name="Separador de milhares 3 11 4 8 6" xfId="30786"/>
    <cellStyle name="Separador de milhares 3 11 4 8 7" xfId="22480"/>
    <cellStyle name="Separador de milhares 3 11 4 9" xfId="812"/>
    <cellStyle name="Separador de milhares 3 11 4 9 2" xfId="5125"/>
    <cellStyle name="Separador de milhares 3 11 4 9 2 2" xfId="8340"/>
    <cellStyle name="Separador de milhares 3 11 4 9 2 2 2" xfId="20194"/>
    <cellStyle name="Separador de milhares 3 11 4 9 2 2 2 2" xfId="46673"/>
    <cellStyle name="Separador de milhares 3 11 4 9 2 2 3" xfId="14267"/>
    <cellStyle name="Separador de milhares 3 11 4 9 2 2 3 2" xfId="40765"/>
    <cellStyle name="Separador de milhares 3 11 4 9 2 2 4" xfId="34857"/>
    <cellStyle name="Separador de milhares 3 11 4 9 2 2 5" xfId="28323"/>
    <cellStyle name="Separador de milhares 3 11 4 9 2 3" xfId="17230"/>
    <cellStyle name="Separador de milhares 3 11 4 9 2 3 2" xfId="43719"/>
    <cellStyle name="Separador de milhares 3 11 4 9 2 4" xfId="11303"/>
    <cellStyle name="Separador de milhares 3 11 4 9 2 4 2" xfId="37811"/>
    <cellStyle name="Separador de milhares 3 11 4 9 2 5" xfId="31652"/>
    <cellStyle name="Separador de milhares 3 11 4 9 2 6" xfId="25118"/>
    <cellStyle name="Separador de milhares 3 11 4 9 3" xfId="6867"/>
    <cellStyle name="Separador de milhares 3 11 4 9 3 2" xfId="18721"/>
    <cellStyle name="Separador de milhares 3 11 4 9 3 2 2" xfId="45205"/>
    <cellStyle name="Separador de milhares 3 11 4 9 3 3" xfId="12794"/>
    <cellStyle name="Separador de milhares 3 11 4 9 3 3 2" xfId="39297"/>
    <cellStyle name="Separador de milhares 3 11 4 9 3 4" xfId="33389"/>
    <cellStyle name="Separador de milhares 3 11 4 9 3 5" xfId="26855"/>
    <cellStyle name="Separador de milhares 3 11 4 9 4" xfId="15757"/>
    <cellStyle name="Separador de milhares 3 11 4 9 4 2" xfId="42251"/>
    <cellStyle name="Separador de milhares 3 11 4 9 4 3" xfId="23346"/>
    <cellStyle name="Separador de milhares 3 11 4 9 5" xfId="9830"/>
    <cellStyle name="Separador de milhares 3 11 4 9 5 2" xfId="36343"/>
    <cellStyle name="Separador de milhares 3 11 4 9 6" xfId="29880"/>
    <cellStyle name="Separador de milhares 3 11 4 9 7" xfId="21574"/>
    <cellStyle name="Separador de milhares 3 11 5" xfId="759"/>
    <cellStyle name="Separador de milhares 3 11 5 10" xfId="15720"/>
    <cellStyle name="Separador de milhares 3 11 5 10 2" xfId="42217"/>
    <cellStyle name="Separador de milhares 3 11 5 10 3" xfId="23312"/>
    <cellStyle name="Separador de milhares 3 11 5 11" xfId="9793"/>
    <cellStyle name="Separador de milhares 3 11 5 11 2" xfId="36309"/>
    <cellStyle name="Separador de milhares 3 11 5 12" xfId="29846"/>
    <cellStyle name="Separador de milhares 3 11 5 13" xfId="21540"/>
    <cellStyle name="Separador de milhares 3 11 5 2" xfId="1582"/>
    <cellStyle name="Separador de milhares 3 11 5 2 2" xfId="5342"/>
    <cellStyle name="Separador de milhares 3 11 5 2 2 2" xfId="8557"/>
    <cellStyle name="Separador de milhares 3 11 5 2 2 2 2" xfId="20411"/>
    <cellStyle name="Separador de milhares 3 11 5 2 2 2 2 2" xfId="46890"/>
    <cellStyle name="Separador de milhares 3 11 5 2 2 2 3" xfId="14484"/>
    <cellStyle name="Separador de milhares 3 11 5 2 2 2 3 2" xfId="40982"/>
    <cellStyle name="Separador de milhares 3 11 5 2 2 2 4" xfId="35074"/>
    <cellStyle name="Separador de milhares 3 11 5 2 2 2 5" xfId="28540"/>
    <cellStyle name="Separador de milhares 3 11 5 2 2 3" xfId="17447"/>
    <cellStyle name="Separador de milhares 3 11 5 2 2 3 2" xfId="43936"/>
    <cellStyle name="Separador de milhares 3 11 5 2 2 4" xfId="11520"/>
    <cellStyle name="Separador de milhares 3 11 5 2 2 4 2" xfId="38028"/>
    <cellStyle name="Separador de milhares 3 11 5 2 2 5" xfId="31869"/>
    <cellStyle name="Separador de milhares 3 11 5 2 2 6" xfId="25335"/>
    <cellStyle name="Separador de milhares 3 11 5 2 3" xfId="7084"/>
    <cellStyle name="Separador de milhares 3 11 5 2 3 2" xfId="18938"/>
    <cellStyle name="Separador de milhares 3 11 5 2 3 2 2" xfId="45422"/>
    <cellStyle name="Separador de milhares 3 11 5 2 3 3" xfId="13011"/>
    <cellStyle name="Separador de milhares 3 11 5 2 3 3 2" xfId="39514"/>
    <cellStyle name="Separador de milhares 3 11 5 2 3 4" xfId="33606"/>
    <cellStyle name="Separador de milhares 3 11 5 2 3 5" xfId="27072"/>
    <cellStyle name="Separador de milhares 3 11 5 2 4" xfId="15974"/>
    <cellStyle name="Separador de milhares 3 11 5 2 4 2" xfId="42468"/>
    <cellStyle name="Separador de milhares 3 11 5 2 4 3" xfId="23563"/>
    <cellStyle name="Separador de milhares 3 11 5 2 5" xfId="10047"/>
    <cellStyle name="Separador de milhares 3 11 5 2 5 2" xfId="36560"/>
    <cellStyle name="Separador de milhares 3 11 5 2 6" xfId="30097"/>
    <cellStyle name="Separador de milhares 3 11 5 2 7" xfId="21791"/>
    <cellStyle name="Separador de milhares 3 11 5 3" xfId="2017"/>
    <cellStyle name="Separador de milhares 3 11 5 3 2" xfId="5461"/>
    <cellStyle name="Separador de milhares 3 11 5 3 2 2" xfId="8676"/>
    <cellStyle name="Separador de milhares 3 11 5 3 2 2 2" xfId="20530"/>
    <cellStyle name="Separador de milhares 3 11 5 3 2 2 2 2" xfId="47009"/>
    <cellStyle name="Separador de milhares 3 11 5 3 2 2 3" xfId="14603"/>
    <cellStyle name="Separador de milhares 3 11 5 3 2 2 3 2" xfId="41101"/>
    <cellStyle name="Separador de milhares 3 11 5 3 2 2 4" xfId="35193"/>
    <cellStyle name="Separador de milhares 3 11 5 3 2 2 5" xfId="28659"/>
    <cellStyle name="Separador de milhares 3 11 5 3 2 3" xfId="17566"/>
    <cellStyle name="Separador de milhares 3 11 5 3 2 3 2" xfId="44055"/>
    <cellStyle name="Separador de milhares 3 11 5 3 2 4" xfId="11639"/>
    <cellStyle name="Separador de milhares 3 11 5 3 2 4 2" xfId="38147"/>
    <cellStyle name="Separador de milhares 3 11 5 3 2 5" xfId="31988"/>
    <cellStyle name="Separador de milhares 3 11 5 3 2 6" xfId="25454"/>
    <cellStyle name="Separador de milhares 3 11 5 3 3" xfId="7203"/>
    <cellStyle name="Separador de milhares 3 11 5 3 3 2" xfId="19057"/>
    <cellStyle name="Separador de milhares 3 11 5 3 3 2 2" xfId="45541"/>
    <cellStyle name="Separador de milhares 3 11 5 3 3 3" xfId="13130"/>
    <cellStyle name="Separador de milhares 3 11 5 3 3 3 2" xfId="39633"/>
    <cellStyle name="Separador de milhares 3 11 5 3 3 4" xfId="33725"/>
    <cellStyle name="Separador de milhares 3 11 5 3 3 5" xfId="27191"/>
    <cellStyle name="Separador de milhares 3 11 5 3 4" xfId="16093"/>
    <cellStyle name="Separador de milhares 3 11 5 3 4 2" xfId="42587"/>
    <cellStyle name="Separador de milhares 3 11 5 3 4 3" xfId="23682"/>
    <cellStyle name="Separador de milhares 3 11 5 3 5" xfId="10166"/>
    <cellStyle name="Separador de milhares 3 11 5 3 5 2" xfId="36679"/>
    <cellStyle name="Separador de milhares 3 11 5 3 6" xfId="30216"/>
    <cellStyle name="Separador de milhares 3 11 5 3 7" xfId="21910"/>
    <cellStyle name="Separador de milhares 3 11 5 4" xfId="2550"/>
    <cellStyle name="Separador de milhares 3 11 5 4 2" xfId="5611"/>
    <cellStyle name="Separador de milhares 3 11 5 4 2 2" xfId="8823"/>
    <cellStyle name="Separador de milhares 3 11 5 4 2 2 2" xfId="20677"/>
    <cellStyle name="Separador de milhares 3 11 5 4 2 2 2 2" xfId="47156"/>
    <cellStyle name="Separador de milhares 3 11 5 4 2 2 3" xfId="14750"/>
    <cellStyle name="Separador de milhares 3 11 5 4 2 2 3 2" xfId="41248"/>
    <cellStyle name="Separador de milhares 3 11 5 4 2 2 4" xfId="35340"/>
    <cellStyle name="Separador de milhares 3 11 5 4 2 2 5" xfId="28806"/>
    <cellStyle name="Separador de milhares 3 11 5 4 2 3" xfId="17713"/>
    <cellStyle name="Separador de milhares 3 11 5 4 2 3 2" xfId="44202"/>
    <cellStyle name="Separador de milhares 3 11 5 4 2 4" xfId="11786"/>
    <cellStyle name="Separador de milhares 3 11 5 4 2 4 2" xfId="38294"/>
    <cellStyle name="Separador de milhares 3 11 5 4 2 5" xfId="32138"/>
    <cellStyle name="Separador de milhares 3 11 5 4 2 6" xfId="25604"/>
    <cellStyle name="Separador de milhares 3 11 5 4 3" xfId="7351"/>
    <cellStyle name="Separador de milhares 3 11 5 4 3 2" xfId="19205"/>
    <cellStyle name="Separador de milhares 3 11 5 4 3 2 2" xfId="45688"/>
    <cellStyle name="Separador de milhares 3 11 5 4 3 3" xfId="13278"/>
    <cellStyle name="Separador de milhares 3 11 5 4 3 3 2" xfId="39780"/>
    <cellStyle name="Separador de milhares 3 11 5 4 3 4" xfId="33872"/>
    <cellStyle name="Separador de milhares 3 11 5 4 3 5" xfId="27338"/>
    <cellStyle name="Separador de milhares 3 11 5 4 4" xfId="16241"/>
    <cellStyle name="Separador de milhares 3 11 5 4 4 2" xfId="42734"/>
    <cellStyle name="Separador de milhares 3 11 5 4 4 3" xfId="23832"/>
    <cellStyle name="Separador de milhares 3 11 5 4 5" xfId="10314"/>
    <cellStyle name="Separador de milhares 3 11 5 4 5 2" xfId="36826"/>
    <cellStyle name="Separador de milhares 3 11 5 4 6" xfId="30366"/>
    <cellStyle name="Separador de milhares 3 11 5 4 7" xfId="22060"/>
    <cellStyle name="Separador de milhares 3 11 5 5" xfId="3078"/>
    <cellStyle name="Separador de milhares 3 11 5 5 2" xfId="5758"/>
    <cellStyle name="Separador de milhares 3 11 5 5 2 2" xfId="8970"/>
    <cellStyle name="Separador de milhares 3 11 5 5 2 2 2" xfId="20824"/>
    <cellStyle name="Separador de milhares 3 11 5 5 2 2 2 2" xfId="47303"/>
    <cellStyle name="Separador de milhares 3 11 5 5 2 2 3" xfId="14897"/>
    <cellStyle name="Separador de milhares 3 11 5 5 2 2 3 2" xfId="41395"/>
    <cellStyle name="Separador de milhares 3 11 5 5 2 2 4" xfId="35487"/>
    <cellStyle name="Separador de milhares 3 11 5 5 2 2 5" xfId="28953"/>
    <cellStyle name="Separador de milhares 3 11 5 5 2 3" xfId="17860"/>
    <cellStyle name="Separador de milhares 3 11 5 5 2 3 2" xfId="44349"/>
    <cellStyle name="Separador de milhares 3 11 5 5 2 4" xfId="11933"/>
    <cellStyle name="Separador de milhares 3 11 5 5 2 4 2" xfId="38441"/>
    <cellStyle name="Separador de milhares 3 11 5 5 2 5" xfId="32285"/>
    <cellStyle name="Separador de milhares 3 11 5 5 2 6" xfId="25751"/>
    <cellStyle name="Separador de milhares 3 11 5 5 3" xfId="7499"/>
    <cellStyle name="Separador de milhares 3 11 5 5 3 2" xfId="19353"/>
    <cellStyle name="Separador de milhares 3 11 5 5 3 2 2" xfId="45835"/>
    <cellStyle name="Separador de milhares 3 11 5 5 3 3" xfId="13426"/>
    <cellStyle name="Separador de milhares 3 11 5 5 3 3 2" xfId="39927"/>
    <cellStyle name="Separador de milhares 3 11 5 5 3 4" xfId="34019"/>
    <cellStyle name="Separador de milhares 3 11 5 5 3 5" xfId="27485"/>
    <cellStyle name="Separador de milhares 3 11 5 5 4" xfId="16389"/>
    <cellStyle name="Separador de milhares 3 11 5 5 4 2" xfId="42881"/>
    <cellStyle name="Separador de milhares 3 11 5 5 4 3" xfId="23979"/>
    <cellStyle name="Separador de milhares 3 11 5 5 5" xfId="10462"/>
    <cellStyle name="Separador de milhares 3 11 5 5 5 2" xfId="36973"/>
    <cellStyle name="Separador de milhares 3 11 5 5 6" xfId="30513"/>
    <cellStyle name="Separador de milhares 3 11 5 5 7" xfId="22207"/>
    <cellStyle name="Separador de milhares 3 11 5 6" xfId="3606"/>
    <cellStyle name="Separador de milhares 3 11 5 6 2" xfId="5905"/>
    <cellStyle name="Separador de milhares 3 11 5 6 2 2" xfId="9117"/>
    <cellStyle name="Separador de milhares 3 11 5 6 2 2 2" xfId="20971"/>
    <cellStyle name="Separador de milhares 3 11 5 6 2 2 2 2" xfId="47450"/>
    <cellStyle name="Separador de milhares 3 11 5 6 2 2 3" xfId="15044"/>
    <cellStyle name="Separador de milhares 3 11 5 6 2 2 3 2" xfId="41542"/>
    <cellStyle name="Separador de milhares 3 11 5 6 2 2 4" xfId="35634"/>
    <cellStyle name="Separador de milhares 3 11 5 6 2 2 5" xfId="29100"/>
    <cellStyle name="Separador de milhares 3 11 5 6 2 3" xfId="18007"/>
    <cellStyle name="Separador de milhares 3 11 5 6 2 3 2" xfId="44496"/>
    <cellStyle name="Separador de milhares 3 11 5 6 2 4" xfId="12080"/>
    <cellStyle name="Separador de milhares 3 11 5 6 2 4 2" xfId="38588"/>
    <cellStyle name="Separador de milhares 3 11 5 6 2 5" xfId="32432"/>
    <cellStyle name="Separador de milhares 3 11 5 6 2 6" xfId="25898"/>
    <cellStyle name="Separador de milhares 3 11 5 6 3" xfId="7647"/>
    <cellStyle name="Separador de milhares 3 11 5 6 3 2" xfId="19501"/>
    <cellStyle name="Separador de milhares 3 11 5 6 3 2 2" xfId="45982"/>
    <cellStyle name="Separador de milhares 3 11 5 6 3 3" xfId="13574"/>
    <cellStyle name="Separador de milhares 3 11 5 6 3 3 2" xfId="40074"/>
    <cellStyle name="Separador de milhares 3 11 5 6 3 4" xfId="34166"/>
    <cellStyle name="Separador de milhares 3 11 5 6 3 5" xfId="27632"/>
    <cellStyle name="Separador de milhares 3 11 5 6 4" xfId="16537"/>
    <cellStyle name="Separador de milhares 3 11 5 6 4 2" xfId="43028"/>
    <cellStyle name="Separador de milhares 3 11 5 6 4 3" xfId="24126"/>
    <cellStyle name="Separador de milhares 3 11 5 6 5" xfId="10610"/>
    <cellStyle name="Separador de milhares 3 11 5 6 5 2" xfId="37120"/>
    <cellStyle name="Separador de milhares 3 11 5 6 6" xfId="30660"/>
    <cellStyle name="Separador de milhares 3 11 5 6 7" xfId="22354"/>
    <cellStyle name="Separador de milhares 3 11 5 7" xfId="4134"/>
    <cellStyle name="Separador de milhares 3 11 5 7 2" xfId="6052"/>
    <cellStyle name="Separador de milhares 3 11 5 7 2 2" xfId="9264"/>
    <cellStyle name="Separador de milhares 3 11 5 7 2 2 2" xfId="21118"/>
    <cellStyle name="Separador de milhares 3 11 5 7 2 2 2 2" xfId="47597"/>
    <cellStyle name="Separador de milhares 3 11 5 7 2 2 3" xfId="15191"/>
    <cellStyle name="Separador de milhares 3 11 5 7 2 2 3 2" xfId="41689"/>
    <cellStyle name="Separador de milhares 3 11 5 7 2 2 4" xfId="35781"/>
    <cellStyle name="Separador de milhares 3 11 5 7 2 2 5" xfId="29247"/>
    <cellStyle name="Separador de milhares 3 11 5 7 2 3" xfId="18154"/>
    <cellStyle name="Separador de milhares 3 11 5 7 2 3 2" xfId="44643"/>
    <cellStyle name="Separador de milhares 3 11 5 7 2 4" xfId="12227"/>
    <cellStyle name="Separador de milhares 3 11 5 7 2 4 2" xfId="38735"/>
    <cellStyle name="Separador de milhares 3 11 5 7 2 5" xfId="32579"/>
    <cellStyle name="Separador de milhares 3 11 5 7 2 6" xfId="26045"/>
    <cellStyle name="Separador de milhares 3 11 5 7 3" xfId="7795"/>
    <cellStyle name="Separador de milhares 3 11 5 7 3 2" xfId="19649"/>
    <cellStyle name="Separador de milhares 3 11 5 7 3 2 2" xfId="46129"/>
    <cellStyle name="Separador de milhares 3 11 5 7 3 3" xfId="13722"/>
    <cellStyle name="Separador de milhares 3 11 5 7 3 3 2" xfId="40221"/>
    <cellStyle name="Separador de milhares 3 11 5 7 3 4" xfId="34313"/>
    <cellStyle name="Separador de milhares 3 11 5 7 3 5" xfId="27779"/>
    <cellStyle name="Separador de milhares 3 11 5 7 4" xfId="16685"/>
    <cellStyle name="Separador de milhares 3 11 5 7 4 2" xfId="43175"/>
    <cellStyle name="Separador de milhares 3 11 5 7 4 3" xfId="24273"/>
    <cellStyle name="Separador de milhares 3 11 5 7 5" xfId="10758"/>
    <cellStyle name="Separador de milhares 3 11 5 7 5 2" xfId="37267"/>
    <cellStyle name="Separador de milhares 3 11 5 7 6" xfId="30807"/>
    <cellStyle name="Separador de milhares 3 11 5 7 7" xfId="22501"/>
    <cellStyle name="Separador de milhares 3 11 5 8" xfId="5091"/>
    <cellStyle name="Separador de milhares 3 11 5 8 2" xfId="8306"/>
    <cellStyle name="Separador de milhares 3 11 5 8 2 2" xfId="20160"/>
    <cellStyle name="Separador de milhares 3 11 5 8 2 2 2" xfId="46639"/>
    <cellStyle name="Separador de milhares 3 11 5 8 2 3" xfId="14233"/>
    <cellStyle name="Separador de milhares 3 11 5 8 2 3 2" xfId="40731"/>
    <cellStyle name="Separador de milhares 3 11 5 8 2 4" xfId="34823"/>
    <cellStyle name="Separador de milhares 3 11 5 8 2 5" xfId="28289"/>
    <cellStyle name="Separador de milhares 3 11 5 8 3" xfId="17196"/>
    <cellStyle name="Separador de milhares 3 11 5 8 3 2" xfId="43685"/>
    <cellStyle name="Separador de milhares 3 11 5 8 4" xfId="11269"/>
    <cellStyle name="Separador de milhares 3 11 5 8 4 2" xfId="37777"/>
    <cellStyle name="Separador de milhares 3 11 5 8 5" xfId="31618"/>
    <cellStyle name="Separador de milhares 3 11 5 8 6" xfId="25084"/>
    <cellStyle name="Separador de milhares 3 11 5 9" xfId="6830"/>
    <cellStyle name="Separador de milhares 3 11 5 9 2" xfId="18684"/>
    <cellStyle name="Separador de milhares 3 11 5 9 2 2" xfId="45171"/>
    <cellStyle name="Separador de milhares 3 11 5 9 3" xfId="12757"/>
    <cellStyle name="Separador de milhares 3 11 5 9 3 2" xfId="39263"/>
    <cellStyle name="Separador de milhares 3 11 5 9 4" xfId="33355"/>
    <cellStyle name="Separador de milhares 3 11 5 9 5" xfId="26821"/>
    <cellStyle name="Separador de milhares 3 11 6" xfId="880"/>
    <cellStyle name="Separador de milhares 3 11 6 2" xfId="4311"/>
    <cellStyle name="Separador de milhares 3 11 6 2 2" xfId="6101"/>
    <cellStyle name="Separador de milhares 3 11 6 2 2 2" xfId="9313"/>
    <cellStyle name="Separador de milhares 3 11 6 2 2 2 2" xfId="21167"/>
    <cellStyle name="Separador de milhares 3 11 6 2 2 2 2 2" xfId="47646"/>
    <cellStyle name="Separador de milhares 3 11 6 2 2 2 3" xfId="15240"/>
    <cellStyle name="Separador de milhares 3 11 6 2 2 2 3 2" xfId="41738"/>
    <cellStyle name="Separador de milhares 3 11 6 2 2 2 4" xfId="35830"/>
    <cellStyle name="Separador de milhares 3 11 6 2 2 2 5" xfId="29296"/>
    <cellStyle name="Separador de milhares 3 11 6 2 2 3" xfId="18203"/>
    <cellStyle name="Separador de milhares 3 11 6 2 2 3 2" xfId="44692"/>
    <cellStyle name="Separador de milhares 3 11 6 2 2 4" xfId="12276"/>
    <cellStyle name="Separador de milhares 3 11 6 2 2 4 2" xfId="38784"/>
    <cellStyle name="Separador de milhares 3 11 6 2 2 5" xfId="32628"/>
    <cellStyle name="Separador de milhares 3 11 6 2 2 6" xfId="26094"/>
    <cellStyle name="Separador de milhares 3 11 6 2 3" xfId="7845"/>
    <cellStyle name="Separador de milhares 3 11 6 2 3 2" xfId="19699"/>
    <cellStyle name="Separador de milhares 3 11 6 2 3 2 2" xfId="46178"/>
    <cellStyle name="Separador de milhares 3 11 6 2 3 3" xfId="13772"/>
    <cellStyle name="Separador de milhares 3 11 6 2 3 3 2" xfId="40270"/>
    <cellStyle name="Separador de milhares 3 11 6 2 3 4" xfId="34362"/>
    <cellStyle name="Separador de milhares 3 11 6 2 3 5" xfId="27828"/>
    <cellStyle name="Separador de milhares 3 11 6 2 4" xfId="16735"/>
    <cellStyle name="Separador de milhares 3 11 6 2 4 2" xfId="43224"/>
    <cellStyle name="Separador de milhares 3 11 6 2 4 3" xfId="24322"/>
    <cellStyle name="Separador de milhares 3 11 6 2 5" xfId="10808"/>
    <cellStyle name="Separador de milhares 3 11 6 2 5 2" xfId="37316"/>
    <cellStyle name="Separador de milhares 3 11 6 2 6" xfId="30856"/>
    <cellStyle name="Separador de milhares 3 11 6 2 7" xfId="22550"/>
    <cellStyle name="Separador de milhares 3 11 6 3" xfId="5146"/>
    <cellStyle name="Separador de milhares 3 11 6 3 2" xfId="8361"/>
    <cellStyle name="Separador de milhares 3 11 6 3 2 2" xfId="20215"/>
    <cellStyle name="Separador de milhares 3 11 6 3 2 2 2" xfId="46694"/>
    <cellStyle name="Separador de milhares 3 11 6 3 2 3" xfId="14288"/>
    <cellStyle name="Separador de milhares 3 11 6 3 2 3 2" xfId="40786"/>
    <cellStyle name="Separador de milhares 3 11 6 3 2 4" xfId="34878"/>
    <cellStyle name="Separador de milhares 3 11 6 3 2 5" xfId="28344"/>
    <cellStyle name="Separador de milhares 3 11 6 3 3" xfId="17251"/>
    <cellStyle name="Separador de milhares 3 11 6 3 3 2" xfId="43740"/>
    <cellStyle name="Separador de milhares 3 11 6 3 4" xfId="11324"/>
    <cellStyle name="Separador de milhares 3 11 6 3 4 2" xfId="37832"/>
    <cellStyle name="Separador de milhares 3 11 6 3 5" xfId="31673"/>
    <cellStyle name="Separador de milhares 3 11 6 3 6" xfId="25139"/>
    <cellStyle name="Separador de milhares 3 11 6 4" xfId="6888"/>
    <cellStyle name="Separador de milhares 3 11 6 4 2" xfId="18742"/>
    <cellStyle name="Separador de milhares 3 11 6 4 2 2" xfId="45226"/>
    <cellStyle name="Separador de milhares 3 11 6 4 3" xfId="12815"/>
    <cellStyle name="Separador de milhares 3 11 6 4 3 2" xfId="39318"/>
    <cellStyle name="Separador de milhares 3 11 6 4 4" xfId="33410"/>
    <cellStyle name="Separador de milhares 3 11 6 4 5" xfId="26876"/>
    <cellStyle name="Separador de milhares 3 11 6 5" xfId="15778"/>
    <cellStyle name="Separador de milhares 3 11 6 5 2" xfId="42272"/>
    <cellStyle name="Separador de milhares 3 11 6 5 3" xfId="23367"/>
    <cellStyle name="Separador de milhares 3 11 6 6" xfId="9851"/>
    <cellStyle name="Separador de milhares 3 11 6 6 2" xfId="36364"/>
    <cellStyle name="Separador de milhares 3 11 6 7" xfId="29901"/>
    <cellStyle name="Separador de milhares 3 11 6 8" xfId="21595"/>
    <cellStyle name="Separador de milhares 3 11 7" xfId="1231"/>
    <cellStyle name="Separador de milhares 3 11 7 2" xfId="5244"/>
    <cellStyle name="Separador de milhares 3 11 7 2 2" xfId="8459"/>
    <cellStyle name="Separador de milhares 3 11 7 2 2 2" xfId="20313"/>
    <cellStyle name="Separador de milhares 3 11 7 2 2 2 2" xfId="46792"/>
    <cellStyle name="Separador de milhares 3 11 7 2 2 3" xfId="14386"/>
    <cellStyle name="Separador de milhares 3 11 7 2 2 3 2" xfId="40884"/>
    <cellStyle name="Separador de milhares 3 11 7 2 2 4" xfId="34976"/>
    <cellStyle name="Separador de milhares 3 11 7 2 2 5" xfId="28442"/>
    <cellStyle name="Separador de milhares 3 11 7 2 3" xfId="17349"/>
    <cellStyle name="Separador de milhares 3 11 7 2 3 2" xfId="43838"/>
    <cellStyle name="Separador de milhares 3 11 7 2 4" xfId="11422"/>
    <cellStyle name="Separador de milhares 3 11 7 2 4 2" xfId="37930"/>
    <cellStyle name="Separador de milhares 3 11 7 2 5" xfId="31771"/>
    <cellStyle name="Separador de milhares 3 11 7 2 6" xfId="25237"/>
    <cellStyle name="Separador de milhares 3 11 7 3" xfId="6986"/>
    <cellStyle name="Separador de milhares 3 11 7 3 2" xfId="18840"/>
    <cellStyle name="Separador de milhares 3 11 7 3 2 2" xfId="45324"/>
    <cellStyle name="Separador de milhares 3 11 7 3 3" xfId="12913"/>
    <cellStyle name="Separador de milhares 3 11 7 3 3 2" xfId="39416"/>
    <cellStyle name="Separador de milhares 3 11 7 3 4" xfId="33508"/>
    <cellStyle name="Separador de milhares 3 11 7 3 5" xfId="26974"/>
    <cellStyle name="Separador de milhares 3 11 7 4" xfId="15876"/>
    <cellStyle name="Separador de milhares 3 11 7 4 2" xfId="42370"/>
    <cellStyle name="Separador de milhares 3 11 7 4 3" xfId="23465"/>
    <cellStyle name="Separador de milhares 3 11 7 5" xfId="9949"/>
    <cellStyle name="Separador de milhares 3 11 7 5 2" xfId="36462"/>
    <cellStyle name="Separador de milhares 3 11 7 6" xfId="29999"/>
    <cellStyle name="Separador de milhares 3 11 7 7" xfId="21693"/>
    <cellStyle name="Separador de milhares 3 11 8" xfId="1666"/>
    <cellStyle name="Separador de milhares 3 11 8 2" xfId="5363"/>
    <cellStyle name="Separador de milhares 3 11 8 2 2" xfId="8578"/>
    <cellStyle name="Separador de milhares 3 11 8 2 2 2" xfId="20432"/>
    <cellStyle name="Separador de milhares 3 11 8 2 2 2 2" xfId="46911"/>
    <cellStyle name="Separador de milhares 3 11 8 2 2 3" xfId="14505"/>
    <cellStyle name="Separador de milhares 3 11 8 2 2 3 2" xfId="41003"/>
    <cellStyle name="Separador de milhares 3 11 8 2 2 4" xfId="35095"/>
    <cellStyle name="Separador de milhares 3 11 8 2 2 5" xfId="28561"/>
    <cellStyle name="Separador de milhares 3 11 8 2 3" xfId="17468"/>
    <cellStyle name="Separador de milhares 3 11 8 2 3 2" xfId="43957"/>
    <cellStyle name="Separador de milhares 3 11 8 2 4" xfId="11541"/>
    <cellStyle name="Separador de milhares 3 11 8 2 4 2" xfId="38049"/>
    <cellStyle name="Separador de milhares 3 11 8 2 5" xfId="31890"/>
    <cellStyle name="Separador de milhares 3 11 8 2 6" xfId="25356"/>
    <cellStyle name="Separador de milhares 3 11 8 3" xfId="7105"/>
    <cellStyle name="Separador de milhares 3 11 8 3 2" xfId="18959"/>
    <cellStyle name="Separador de milhares 3 11 8 3 2 2" xfId="45443"/>
    <cellStyle name="Separador de milhares 3 11 8 3 3" xfId="13032"/>
    <cellStyle name="Separador de milhares 3 11 8 3 3 2" xfId="39535"/>
    <cellStyle name="Separador de milhares 3 11 8 3 4" xfId="33627"/>
    <cellStyle name="Separador de milhares 3 11 8 3 5" xfId="27093"/>
    <cellStyle name="Separador de milhares 3 11 8 4" xfId="15995"/>
    <cellStyle name="Separador de milhares 3 11 8 4 2" xfId="42489"/>
    <cellStyle name="Separador de milhares 3 11 8 4 3" xfId="23584"/>
    <cellStyle name="Separador de milhares 3 11 8 5" xfId="10068"/>
    <cellStyle name="Separador de milhares 3 11 8 5 2" xfId="36581"/>
    <cellStyle name="Separador de milhares 3 11 8 6" xfId="30118"/>
    <cellStyle name="Separador de milhares 3 11 8 7" xfId="21812"/>
    <cellStyle name="Separador de milhares 3 11 9" xfId="2199"/>
    <cellStyle name="Separador de milhares 3 11 9 2" xfId="5513"/>
    <cellStyle name="Separador de milhares 3 11 9 2 2" xfId="8725"/>
    <cellStyle name="Separador de milhares 3 11 9 2 2 2" xfId="20579"/>
    <cellStyle name="Separador de milhares 3 11 9 2 2 2 2" xfId="47058"/>
    <cellStyle name="Separador de milhares 3 11 9 2 2 3" xfId="14652"/>
    <cellStyle name="Separador de milhares 3 11 9 2 2 3 2" xfId="41150"/>
    <cellStyle name="Separador de milhares 3 11 9 2 2 4" xfId="35242"/>
    <cellStyle name="Separador de milhares 3 11 9 2 2 5" xfId="28708"/>
    <cellStyle name="Separador de milhares 3 11 9 2 3" xfId="17615"/>
    <cellStyle name="Separador de milhares 3 11 9 2 3 2" xfId="44104"/>
    <cellStyle name="Separador de milhares 3 11 9 2 4" xfId="11688"/>
    <cellStyle name="Separador de milhares 3 11 9 2 4 2" xfId="38196"/>
    <cellStyle name="Separador de milhares 3 11 9 2 5" xfId="32040"/>
    <cellStyle name="Separador de milhares 3 11 9 2 6" xfId="25506"/>
    <cellStyle name="Separador de milhares 3 11 9 3" xfId="7253"/>
    <cellStyle name="Separador de milhares 3 11 9 3 2" xfId="19107"/>
    <cellStyle name="Separador de milhares 3 11 9 3 2 2" xfId="45590"/>
    <cellStyle name="Separador de milhares 3 11 9 3 3" xfId="13180"/>
    <cellStyle name="Separador de milhares 3 11 9 3 3 2" xfId="39682"/>
    <cellStyle name="Separador de milhares 3 11 9 3 4" xfId="33774"/>
    <cellStyle name="Separador de milhares 3 11 9 3 5" xfId="27240"/>
    <cellStyle name="Separador de milhares 3 11 9 4" xfId="16143"/>
    <cellStyle name="Separador de milhares 3 11 9 4 2" xfId="42636"/>
    <cellStyle name="Separador de milhares 3 11 9 4 3" xfId="23734"/>
    <cellStyle name="Separador de milhares 3 11 9 5" xfId="10216"/>
    <cellStyle name="Separador de milhares 3 11 9 5 2" xfId="36728"/>
    <cellStyle name="Separador de milhares 3 11 9 6" xfId="30268"/>
    <cellStyle name="Separador de milhares 3 11 9 7" xfId="21962"/>
    <cellStyle name="Separador de milhares 3 12" xfId="225"/>
    <cellStyle name="Separador de milhares 3 12 10" xfId="2735"/>
    <cellStyle name="Separador de milhares 3 12 10 2" xfId="5662"/>
    <cellStyle name="Separador de milhares 3 12 10 2 2" xfId="8874"/>
    <cellStyle name="Separador de milhares 3 12 10 2 2 2" xfId="20728"/>
    <cellStyle name="Separador de milhares 3 12 10 2 2 2 2" xfId="47207"/>
    <cellStyle name="Separador de milhares 3 12 10 2 2 3" xfId="14801"/>
    <cellStyle name="Separador de milhares 3 12 10 2 2 3 2" xfId="41299"/>
    <cellStyle name="Separador de milhares 3 12 10 2 2 4" xfId="35391"/>
    <cellStyle name="Separador de milhares 3 12 10 2 2 5" xfId="28857"/>
    <cellStyle name="Separador de milhares 3 12 10 2 3" xfId="17764"/>
    <cellStyle name="Separador de milhares 3 12 10 2 3 2" xfId="44253"/>
    <cellStyle name="Separador de milhares 3 12 10 2 4" xfId="11837"/>
    <cellStyle name="Separador de milhares 3 12 10 2 4 2" xfId="38345"/>
    <cellStyle name="Separador de milhares 3 12 10 2 5" xfId="32189"/>
    <cellStyle name="Separador de milhares 3 12 10 2 6" xfId="25655"/>
    <cellStyle name="Separador de milhares 3 12 10 3" xfId="7403"/>
    <cellStyle name="Separador de milhares 3 12 10 3 2" xfId="19257"/>
    <cellStyle name="Separador de milhares 3 12 10 3 2 2" xfId="45739"/>
    <cellStyle name="Separador de milhares 3 12 10 3 3" xfId="13330"/>
    <cellStyle name="Separador de milhares 3 12 10 3 3 2" xfId="39831"/>
    <cellStyle name="Separador de milhares 3 12 10 3 4" xfId="33923"/>
    <cellStyle name="Separador de milhares 3 12 10 3 5" xfId="27389"/>
    <cellStyle name="Separador de milhares 3 12 10 4" xfId="16293"/>
    <cellStyle name="Separador de milhares 3 12 10 4 2" xfId="42785"/>
    <cellStyle name="Separador de milhares 3 12 10 4 3" xfId="23883"/>
    <cellStyle name="Separador de milhares 3 12 10 5" xfId="10366"/>
    <cellStyle name="Separador de milhares 3 12 10 5 2" xfId="36877"/>
    <cellStyle name="Separador de milhares 3 12 10 6" xfId="30417"/>
    <cellStyle name="Separador de milhares 3 12 10 7" xfId="22111"/>
    <cellStyle name="Separador de milhares 3 12 11" xfId="3263"/>
    <cellStyle name="Separador de milhares 3 12 11 2" xfId="5809"/>
    <cellStyle name="Separador de milhares 3 12 11 2 2" xfId="9021"/>
    <cellStyle name="Separador de milhares 3 12 11 2 2 2" xfId="20875"/>
    <cellStyle name="Separador de milhares 3 12 11 2 2 2 2" xfId="47354"/>
    <cellStyle name="Separador de milhares 3 12 11 2 2 3" xfId="14948"/>
    <cellStyle name="Separador de milhares 3 12 11 2 2 3 2" xfId="41446"/>
    <cellStyle name="Separador de milhares 3 12 11 2 2 4" xfId="35538"/>
    <cellStyle name="Separador de milhares 3 12 11 2 2 5" xfId="29004"/>
    <cellStyle name="Separador de milhares 3 12 11 2 3" xfId="17911"/>
    <cellStyle name="Separador de milhares 3 12 11 2 3 2" xfId="44400"/>
    <cellStyle name="Separador de milhares 3 12 11 2 4" xfId="11984"/>
    <cellStyle name="Separador de milhares 3 12 11 2 4 2" xfId="38492"/>
    <cellStyle name="Separador de milhares 3 12 11 2 5" xfId="32336"/>
    <cellStyle name="Separador de milhares 3 12 11 2 6" xfId="25802"/>
    <cellStyle name="Separador de milhares 3 12 11 3" xfId="7551"/>
    <cellStyle name="Separador de milhares 3 12 11 3 2" xfId="19405"/>
    <cellStyle name="Separador de milhares 3 12 11 3 2 2" xfId="45886"/>
    <cellStyle name="Separador de milhares 3 12 11 3 3" xfId="13478"/>
    <cellStyle name="Separador de milhares 3 12 11 3 3 2" xfId="39978"/>
    <cellStyle name="Separador de milhares 3 12 11 3 4" xfId="34070"/>
    <cellStyle name="Separador de milhares 3 12 11 3 5" xfId="27536"/>
    <cellStyle name="Separador de milhares 3 12 11 4" xfId="16441"/>
    <cellStyle name="Separador de milhares 3 12 11 4 2" xfId="42932"/>
    <cellStyle name="Separador de milhares 3 12 11 4 3" xfId="24030"/>
    <cellStyle name="Separador de milhares 3 12 11 5" xfId="10514"/>
    <cellStyle name="Separador de milhares 3 12 11 5 2" xfId="37024"/>
    <cellStyle name="Separador de milhares 3 12 11 6" xfId="30564"/>
    <cellStyle name="Separador de milhares 3 12 11 7" xfId="22258"/>
    <cellStyle name="Separador de milhares 3 12 12" xfId="3791"/>
    <cellStyle name="Separador de milhares 3 12 12 2" xfId="5956"/>
    <cellStyle name="Separador de milhares 3 12 12 2 2" xfId="9168"/>
    <cellStyle name="Separador de milhares 3 12 12 2 2 2" xfId="21022"/>
    <cellStyle name="Separador de milhares 3 12 12 2 2 2 2" xfId="47501"/>
    <cellStyle name="Separador de milhares 3 12 12 2 2 3" xfId="15095"/>
    <cellStyle name="Separador de milhares 3 12 12 2 2 3 2" xfId="41593"/>
    <cellStyle name="Separador de milhares 3 12 12 2 2 4" xfId="35685"/>
    <cellStyle name="Separador de milhares 3 12 12 2 2 5" xfId="29151"/>
    <cellStyle name="Separador de milhares 3 12 12 2 3" xfId="18058"/>
    <cellStyle name="Separador de milhares 3 12 12 2 3 2" xfId="44547"/>
    <cellStyle name="Separador de milhares 3 12 12 2 4" xfId="12131"/>
    <cellStyle name="Separador de milhares 3 12 12 2 4 2" xfId="38639"/>
    <cellStyle name="Separador de milhares 3 12 12 2 5" xfId="32483"/>
    <cellStyle name="Separador de milhares 3 12 12 2 6" xfId="25949"/>
    <cellStyle name="Separador de milhares 3 12 12 3" xfId="7699"/>
    <cellStyle name="Separador de milhares 3 12 12 3 2" xfId="19553"/>
    <cellStyle name="Separador de milhares 3 12 12 3 2 2" xfId="46033"/>
    <cellStyle name="Separador de milhares 3 12 12 3 3" xfId="13626"/>
    <cellStyle name="Separador de milhares 3 12 12 3 3 2" xfId="40125"/>
    <cellStyle name="Separador de milhares 3 12 12 3 4" xfId="34217"/>
    <cellStyle name="Separador de milhares 3 12 12 3 5" xfId="27683"/>
    <cellStyle name="Separador de milhares 3 12 12 4" xfId="16589"/>
    <cellStyle name="Separador de milhares 3 12 12 4 2" xfId="43079"/>
    <cellStyle name="Separador de milhares 3 12 12 4 3" xfId="24177"/>
    <cellStyle name="Separador de milhares 3 12 12 5" xfId="10662"/>
    <cellStyle name="Separador de milhares 3 12 12 5 2" xfId="37171"/>
    <cellStyle name="Separador de milhares 3 12 12 6" xfId="30711"/>
    <cellStyle name="Separador de milhares 3 12 12 7" xfId="22405"/>
    <cellStyle name="Separador de milhares 3 12 13" xfId="4940"/>
    <cellStyle name="Separador de milhares 3 12 13 2" xfId="8164"/>
    <cellStyle name="Separador de milhares 3 12 13 2 2" xfId="20018"/>
    <cellStyle name="Separador de milhares 3 12 13 2 2 2" xfId="46497"/>
    <cellStyle name="Separador de milhares 3 12 13 2 3" xfId="14091"/>
    <cellStyle name="Separador de milhares 3 12 13 2 3 2" xfId="40589"/>
    <cellStyle name="Separador de milhares 3 12 13 2 4" xfId="34681"/>
    <cellStyle name="Separador de milhares 3 12 13 2 5" xfId="28147"/>
    <cellStyle name="Separador de milhares 3 12 13 3" xfId="17054"/>
    <cellStyle name="Separador de milhares 3 12 13 3 2" xfId="43543"/>
    <cellStyle name="Separador de milhares 3 12 13 4" xfId="11127"/>
    <cellStyle name="Separador de milhares 3 12 13 4 2" xfId="37635"/>
    <cellStyle name="Separador de milhares 3 12 13 5" xfId="31467"/>
    <cellStyle name="Separador de milhares 3 12 13 6" xfId="24933"/>
    <cellStyle name="Separador de milhares 3 12 14" xfId="6688"/>
    <cellStyle name="Separador de milhares 3 12 14 2" xfId="18542"/>
    <cellStyle name="Separador de milhares 3 12 14 2 2" xfId="45029"/>
    <cellStyle name="Separador de milhares 3 12 14 3" xfId="12615"/>
    <cellStyle name="Separador de milhares 3 12 14 3 2" xfId="39121"/>
    <cellStyle name="Separador de milhares 3 12 14 4" xfId="33213"/>
    <cellStyle name="Separador de milhares 3 12 14 5" xfId="26679"/>
    <cellStyle name="Separador de milhares 3 12 15" xfId="15578"/>
    <cellStyle name="Separador de milhares 3 12 15 2" xfId="42075"/>
    <cellStyle name="Separador de milhares 3 12 15 3" xfId="23161"/>
    <cellStyle name="Separador de milhares 3 12 16" xfId="9651"/>
    <cellStyle name="Separador de milhares 3 12 16 2" xfId="36167"/>
    <cellStyle name="Separador de milhares 3 12 17" xfId="29695"/>
    <cellStyle name="Separador de milhares 3 12 2" xfId="319"/>
    <cellStyle name="Separador de milhares 3 12 2 10" xfId="4969"/>
    <cellStyle name="Separador de milhares 3 12 2 10 2" xfId="8191"/>
    <cellStyle name="Separador de milhares 3 12 2 10 2 2" xfId="20045"/>
    <cellStyle name="Separador de milhares 3 12 2 10 2 2 2" xfId="46524"/>
    <cellStyle name="Separador de milhares 3 12 2 10 2 3" xfId="14118"/>
    <cellStyle name="Separador de milhares 3 12 2 10 2 3 2" xfId="40616"/>
    <cellStyle name="Separador de milhares 3 12 2 10 2 4" xfId="34708"/>
    <cellStyle name="Separador de milhares 3 12 2 10 2 5" xfId="28174"/>
    <cellStyle name="Separador de milhares 3 12 2 10 3" xfId="17081"/>
    <cellStyle name="Separador de milhares 3 12 2 10 3 2" xfId="43570"/>
    <cellStyle name="Separador de milhares 3 12 2 10 4" xfId="11154"/>
    <cellStyle name="Separador de milhares 3 12 2 10 4 2" xfId="37662"/>
    <cellStyle name="Separador de milhares 3 12 2 10 5" xfId="31496"/>
    <cellStyle name="Separador de milhares 3 12 2 10 6" xfId="24962"/>
    <cellStyle name="Separador de milhares 3 12 2 11" xfId="6715"/>
    <cellStyle name="Separador de milhares 3 12 2 11 2" xfId="18569"/>
    <cellStyle name="Separador de milhares 3 12 2 11 2 2" xfId="45056"/>
    <cellStyle name="Separador de milhares 3 12 2 11 3" xfId="12642"/>
    <cellStyle name="Separador de milhares 3 12 2 11 3 2" xfId="39148"/>
    <cellStyle name="Separador de milhares 3 12 2 11 4" xfId="33240"/>
    <cellStyle name="Separador de milhares 3 12 2 11 5" xfId="26706"/>
    <cellStyle name="Separador de milhares 3 12 2 12" xfId="15605"/>
    <cellStyle name="Separador de milhares 3 12 2 12 2" xfId="42102"/>
    <cellStyle name="Separador de milhares 3 12 2 12 3" xfId="23190"/>
    <cellStyle name="Separador de milhares 3 12 2 13" xfId="9678"/>
    <cellStyle name="Separador de milhares 3 12 2 13 2" xfId="36194"/>
    <cellStyle name="Separador de milhares 3 12 2 14" xfId="29724"/>
    <cellStyle name="Separador de milhares 3 12 2 15" xfId="21442"/>
    <cellStyle name="Separador de milhares 3 12 2 2" xfId="594"/>
    <cellStyle name="Separador de milhares 3 12 2 2 10" xfId="9752"/>
    <cellStyle name="Separador de milhares 3 12 2 2 10 2" xfId="36268"/>
    <cellStyle name="Separador de milhares 3 12 2 2 11" xfId="29805"/>
    <cellStyle name="Separador de milhares 3 12 2 2 12" xfId="21500"/>
    <cellStyle name="Separador de milhares 3 12 2 2 2" xfId="2115"/>
    <cellStyle name="Separador de milhares 3 12 2 2 2 2" xfId="5488"/>
    <cellStyle name="Separador de milhares 3 12 2 2 2 2 2" xfId="8703"/>
    <cellStyle name="Separador de milhares 3 12 2 2 2 2 2 2" xfId="20557"/>
    <cellStyle name="Separador de milhares 3 12 2 2 2 2 2 2 2" xfId="47036"/>
    <cellStyle name="Separador de milhares 3 12 2 2 2 2 2 3" xfId="14630"/>
    <cellStyle name="Separador de milhares 3 12 2 2 2 2 2 3 2" xfId="41128"/>
    <cellStyle name="Separador de milhares 3 12 2 2 2 2 2 4" xfId="35220"/>
    <cellStyle name="Separador de milhares 3 12 2 2 2 2 2 5" xfId="28686"/>
    <cellStyle name="Separador de milhares 3 12 2 2 2 2 3" xfId="17593"/>
    <cellStyle name="Separador de milhares 3 12 2 2 2 2 3 2" xfId="44082"/>
    <cellStyle name="Separador de milhares 3 12 2 2 2 2 4" xfId="11666"/>
    <cellStyle name="Separador de milhares 3 12 2 2 2 2 4 2" xfId="38174"/>
    <cellStyle name="Separador de milhares 3 12 2 2 2 2 5" xfId="32015"/>
    <cellStyle name="Separador de milhares 3 12 2 2 2 2 6" xfId="25481"/>
    <cellStyle name="Separador de milhares 3 12 2 2 2 3" xfId="7231"/>
    <cellStyle name="Separador de milhares 3 12 2 2 2 3 2" xfId="19085"/>
    <cellStyle name="Separador de milhares 3 12 2 2 2 3 2 2" xfId="45568"/>
    <cellStyle name="Separador de milhares 3 12 2 2 2 3 3" xfId="13158"/>
    <cellStyle name="Separador de milhares 3 12 2 2 2 3 3 2" xfId="39660"/>
    <cellStyle name="Separador de milhares 3 12 2 2 2 3 4" xfId="33752"/>
    <cellStyle name="Separador de milhares 3 12 2 2 2 3 5" xfId="27218"/>
    <cellStyle name="Separador de milhares 3 12 2 2 2 4" xfId="16121"/>
    <cellStyle name="Separador de milhares 3 12 2 2 2 4 2" xfId="42614"/>
    <cellStyle name="Separador de milhares 3 12 2 2 2 4 3" xfId="23709"/>
    <cellStyle name="Separador de milhares 3 12 2 2 2 5" xfId="10194"/>
    <cellStyle name="Separador de milhares 3 12 2 2 2 5 2" xfId="36706"/>
    <cellStyle name="Separador de milhares 3 12 2 2 2 6" xfId="30243"/>
    <cellStyle name="Separador de milhares 3 12 2 2 2 7" xfId="21937"/>
    <cellStyle name="Separador de milhares 3 12 2 2 3" xfId="2648"/>
    <cellStyle name="Separador de milhares 3 12 2 2 3 2" xfId="5638"/>
    <cellStyle name="Separador de milhares 3 12 2 2 3 2 2" xfId="8850"/>
    <cellStyle name="Separador de milhares 3 12 2 2 3 2 2 2" xfId="20704"/>
    <cellStyle name="Separador de milhares 3 12 2 2 3 2 2 2 2" xfId="47183"/>
    <cellStyle name="Separador de milhares 3 12 2 2 3 2 2 3" xfId="14777"/>
    <cellStyle name="Separador de milhares 3 12 2 2 3 2 2 3 2" xfId="41275"/>
    <cellStyle name="Separador de milhares 3 12 2 2 3 2 2 4" xfId="35367"/>
    <cellStyle name="Separador de milhares 3 12 2 2 3 2 2 5" xfId="28833"/>
    <cellStyle name="Separador de milhares 3 12 2 2 3 2 3" xfId="17740"/>
    <cellStyle name="Separador de milhares 3 12 2 2 3 2 3 2" xfId="44229"/>
    <cellStyle name="Separador de milhares 3 12 2 2 3 2 4" xfId="11813"/>
    <cellStyle name="Separador de milhares 3 12 2 2 3 2 4 2" xfId="38321"/>
    <cellStyle name="Separador de milhares 3 12 2 2 3 2 5" xfId="32165"/>
    <cellStyle name="Separador de milhares 3 12 2 2 3 2 6" xfId="25631"/>
    <cellStyle name="Separador de milhares 3 12 2 2 3 3" xfId="7379"/>
    <cellStyle name="Separador de milhares 3 12 2 2 3 3 2" xfId="19233"/>
    <cellStyle name="Separador de milhares 3 12 2 2 3 3 2 2" xfId="45715"/>
    <cellStyle name="Separador de milhares 3 12 2 2 3 3 3" xfId="13306"/>
    <cellStyle name="Separador de milhares 3 12 2 2 3 3 3 2" xfId="39807"/>
    <cellStyle name="Separador de milhares 3 12 2 2 3 3 4" xfId="33899"/>
    <cellStyle name="Separador de milhares 3 12 2 2 3 3 5" xfId="27365"/>
    <cellStyle name="Separador de milhares 3 12 2 2 3 4" xfId="16269"/>
    <cellStyle name="Separador de milhares 3 12 2 2 3 4 2" xfId="42761"/>
    <cellStyle name="Separador de milhares 3 12 2 2 3 4 3" xfId="23859"/>
    <cellStyle name="Separador de milhares 3 12 2 2 3 5" xfId="10342"/>
    <cellStyle name="Separador de milhares 3 12 2 2 3 5 2" xfId="36853"/>
    <cellStyle name="Separador de milhares 3 12 2 2 3 6" xfId="30393"/>
    <cellStyle name="Separador de milhares 3 12 2 2 3 7" xfId="22087"/>
    <cellStyle name="Separador de milhares 3 12 2 2 4" xfId="3176"/>
    <cellStyle name="Separador de milhares 3 12 2 2 4 2" xfId="5785"/>
    <cellStyle name="Separador de milhares 3 12 2 2 4 2 2" xfId="8997"/>
    <cellStyle name="Separador de milhares 3 12 2 2 4 2 2 2" xfId="20851"/>
    <cellStyle name="Separador de milhares 3 12 2 2 4 2 2 2 2" xfId="47330"/>
    <cellStyle name="Separador de milhares 3 12 2 2 4 2 2 3" xfId="14924"/>
    <cellStyle name="Separador de milhares 3 12 2 2 4 2 2 3 2" xfId="41422"/>
    <cellStyle name="Separador de milhares 3 12 2 2 4 2 2 4" xfId="35514"/>
    <cellStyle name="Separador de milhares 3 12 2 2 4 2 2 5" xfId="28980"/>
    <cellStyle name="Separador de milhares 3 12 2 2 4 2 3" xfId="17887"/>
    <cellStyle name="Separador de milhares 3 12 2 2 4 2 3 2" xfId="44376"/>
    <cellStyle name="Separador de milhares 3 12 2 2 4 2 4" xfId="11960"/>
    <cellStyle name="Separador de milhares 3 12 2 2 4 2 4 2" xfId="38468"/>
    <cellStyle name="Separador de milhares 3 12 2 2 4 2 5" xfId="32312"/>
    <cellStyle name="Separador de milhares 3 12 2 2 4 2 6" xfId="25778"/>
    <cellStyle name="Separador de milhares 3 12 2 2 4 3" xfId="7527"/>
    <cellStyle name="Separador de milhares 3 12 2 2 4 3 2" xfId="19381"/>
    <cellStyle name="Separador de milhares 3 12 2 2 4 3 2 2" xfId="45862"/>
    <cellStyle name="Separador de milhares 3 12 2 2 4 3 3" xfId="13454"/>
    <cellStyle name="Separador de milhares 3 12 2 2 4 3 3 2" xfId="39954"/>
    <cellStyle name="Separador de milhares 3 12 2 2 4 3 4" xfId="34046"/>
    <cellStyle name="Separador de milhares 3 12 2 2 4 3 5" xfId="27512"/>
    <cellStyle name="Separador de milhares 3 12 2 2 4 4" xfId="16417"/>
    <cellStyle name="Separador de milhares 3 12 2 2 4 4 2" xfId="42908"/>
    <cellStyle name="Separador de milhares 3 12 2 2 4 4 3" xfId="24006"/>
    <cellStyle name="Separador de milhares 3 12 2 2 4 5" xfId="10490"/>
    <cellStyle name="Separador de milhares 3 12 2 2 4 5 2" xfId="37000"/>
    <cellStyle name="Separador de milhares 3 12 2 2 4 6" xfId="30540"/>
    <cellStyle name="Separador de milhares 3 12 2 2 4 7" xfId="22234"/>
    <cellStyle name="Separador de milhares 3 12 2 2 5" xfId="3704"/>
    <cellStyle name="Separador de milhares 3 12 2 2 5 2" xfId="5932"/>
    <cellStyle name="Separador de milhares 3 12 2 2 5 2 2" xfId="9144"/>
    <cellStyle name="Separador de milhares 3 12 2 2 5 2 2 2" xfId="20998"/>
    <cellStyle name="Separador de milhares 3 12 2 2 5 2 2 2 2" xfId="47477"/>
    <cellStyle name="Separador de milhares 3 12 2 2 5 2 2 3" xfId="15071"/>
    <cellStyle name="Separador de milhares 3 12 2 2 5 2 2 3 2" xfId="41569"/>
    <cellStyle name="Separador de milhares 3 12 2 2 5 2 2 4" xfId="35661"/>
    <cellStyle name="Separador de milhares 3 12 2 2 5 2 2 5" xfId="29127"/>
    <cellStyle name="Separador de milhares 3 12 2 2 5 2 3" xfId="18034"/>
    <cellStyle name="Separador de milhares 3 12 2 2 5 2 3 2" xfId="44523"/>
    <cellStyle name="Separador de milhares 3 12 2 2 5 2 4" xfId="12107"/>
    <cellStyle name="Separador de milhares 3 12 2 2 5 2 4 2" xfId="38615"/>
    <cellStyle name="Separador de milhares 3 12 2 2 5 2 5" xfId="32459"/>
    <cellStyle name="Separador de milhares 3 12 2 2 5 2 6" xfId="25925"/>
    <cellStyle name="Separador de milhares 3 12 2 2 5 3" xfId="7675"/>
    <cellStyle name="Separador de milhares 3 12 2 2 5 3 2" xfId="19529"/>
    <cellStyle name="Separador de milhares 3 12 2 2 5 3 2 2" xfId="46009"/>
    <cellStyle name="Separador de milhares 3 12 2 2 5 3 3" xfId="13602"/>
    <cellStyle name="Separador de milhares 3 12 2 2 5 3 3 2" xfId="40101"/>
    <cellStyle name="Separador de milhares 3 12 2 2 5 3 4" xfId="34193"/>
    <cellStyle name="Separador de milhares 3 12 2 2 5 3 5" xfId="27659"/>
    <cellStyle name="Separador de milhares 3 12 2 2 5 4" xfId="16565"/>
    <cellStyle name="Separador de milhares 3 12 2 2 5 4 2" xfId="43055"/>
    <cellStyle name="Separador de milhares 3 12 2 2 5 4 3" xfId="24153"/>
    <cellStyle name="Separador de milhares 3 12 2 2 5 5" xfId="10638"/>
    <cellStyle name="Separador de milhares 3 12 2 2 5 5 2" xfId="37147"/>
    <cellStyle name="Separador de milhares 3 12 2 2 5 6" xfId="30687"/>
    <cellStyle name="Separador de milhares 3 12 2 2 5 7" xfId="22381"/>
    <cellStyle name="Separador de milhares 3 12 2 2 6" xfId="4232"/>
    <cellStyle name="Separador de milhares 3 12 2 2 6 2" xfId="6079"/>
    <cellStyle name="Separador de milhares 3 12 2 2 6 2 2" xfId="9291"/>
    <cellStyle name="Separador de milhares 3 12 2 2 6 2 2 2" xfId="21145"/>
    <cellStyle name="Separador de milhares 3 12 2 2 6 2 2 2 2" xfId="47624"/>
    <cellStyle name="Separador de milhares 3 12 2 2 6 2 2 3" xfId="15218"/>
    <cellStyle name="Separador de milhares 3 12 2 2 6 2 2 3 2" xfId="41716"/>
    <cellStyle name="Separador de milhares 3 12 2 2 6 2 2 4" xfId="35808"/>
    <cellStyle name="Separador de milhares 3 12 2 2 6 2 2 5" xfId="29274"/>
    <cellStyle name="Separador de milhares 3 12 2 2 6 2 3" xfId="18181"/>
    <cellStyle name="Separador de milhares 3 12 2 2 6 2 3 2" xfId="44670"/>
    <cellStyle name="Separador de milhares 3 12 2 2 6 2 4" xfId="12254"/>
    <cellStyle name="Separador de milhares 3 12 2 2 6 2 4 2" xfId="38762"/>
    <cellStyle name="Separador de milhares 3 12 2 2 6 2 5" xfId="32606"/>
    <cellStyle name="Separador de milhares 3 12 2 2 6 2 6" xfId="26072"/>
    <cellStyle name="Separador de milhares 3 12 2 2 6 3" xfId="7823"/>
    <cellStyle name="Separador de milhares 3 12 2 2 6 3 2" xfId="19677"/>
    <cellStyle name="Separador de milhares 3 12 2 2 6 3 2 2" xfId="46156"/>
    <cellStyle name="Separador de milhares 3 12 2 2 6 3 3" xfId="13750"/>
    <cellStyle name="Separador de milhares 3 12 2 2 6 3 3 2" xfId="40248"/>
    <cellStyle name="Separador de milhares 3 12 2 2 6 3 4" xfId="34340"/>
    <cellStyle name="Separador de milhares 3 12 2 2 6 3 5" xfId="27806"/>
    <cellStyle name="Separador de milhares 3 12 2 2 6 4" xfId="16713"/>
    <cellStyle name="Separador de milhares 3 12 2 2 6 4 2" xfId="43202"/>
    <cellStyle name="Separador de milhares 3 12 2 2 6 4 3" xfId="24300"/>
    <cellStyle name="Separador de milhares 3 12 2 2 6 5" xfId="10786"/>
    <cellStyle name="Separador de milhares 3 12 2 2 6 5 2" xfId="37294"/>
    <cellStyle name="Separador de milhares 3 12 2 2 6 6" xfId="30834"/>
    <cellStyle name="Separador de milhares 3 12 2 2 6 7" xfId="22528"/>
    <cellStyle name="Separador de milhares 3 12 2 2 7" xfId="5050"/>
    <cellStyle name="Separador de milhares 3 12 2 2 7 2" xfId="8265"/>
    <cellStyle name="Separador de milhares 3 12 2 2 7 2 2" xfId="20119"/>
    <cellStyle name="Separador de milhares 3 12 2 2 7 2 2 2" xfId="46598"/>
    <cellStyle name="Separador de milhares 3 12 2 2 7 2 3" xfId="14192"/>
    <cellStyle name="Separador de milhares 3 12 2 2 7 2 3 2" xfId="40690"/>
    <cellStyle name="Separador de milhares 3 12 2 2 7 2 4" xfId="34782"/>
    <cellStyle name="Separador de milhares 3 12 2 2 7 2 5" xfId="28248"/>
    <cellStyle name="Separador de milhares 3 12 2 2 7 3" xfId="17155"/>
    <cellStyle name="Separador de milhares 3 12 2 2 7 3 2" xfId="43644"/>
    <cellStyle name="Separador de milhares 3 12 2 2 7 4" xfId="11228"/>
    <cellStyle name="Separador de milhares 3 12 2 2 7 4 2" xfId="37736"/>
    <cellStyle name="Separador de milhares 3 12 2 2 7 5" xfId="31577"/>
    <cellStyle name="Separador de milhares 3 12 2 2 7 6" xfId="25043"/>
    <cellStyle name="Separador de milhares 3 12 2 2 8" xfId="6789"/>
    <cellStyle name="Separador de milhares 3 12 2 2 8 2" xfId="18643"/>
    <cellStyle name="Separador de milhares 3 12 2 2 8 2 2" xfId="45130"/>
    <cellStyle name="Separador de milhares 3 12 2 2 8 3" xfId="12716"/>
    <cellStyle name="Separador de milhares 3 12 2 2 8 3 2" xfId="39222"/>
    <cellStyle name="Separador de milhares 3 12 2 2 8 4" xfId="33314"/>
    <cellStyle name="Separador de milhares 3 12 2 2 8 5" xfId="26780"/>
    <cellStyle name="Separador de milhares 3 12 2 2 9" xfId="15679"/>
    <cellStyle name="Separador de milhares 3 12 2 2 9 2" xfId="42176"/>
    <cellStyle name="Separador de milhares 3 12 2 2 9 3" xfId="23271"/>
    <cellStyle name="Separador de milhares 3 12 2 3" xfId="1068"/>
    <cellStyle name="Separador de milhares 3 12 2 3 2" xfId="5201"/>
    <cellStyle name="Separador de milhares 3 12 2 3 2 2" xfId="8416"/>
    <cellStyle name="Separador de milhares 3 12 2 3 2 2 2" xfId="20270"/>
    <cellStyle name="Separador de milhares 3 12 2 3 2 2 2 2" xfId="46749"/>
    <cellStyle name="Separador de milhares 3 12 2 3 2 2 3" xfId="14343"/>
    <cellStyle name="Separador de milhares 3 12 2 3 2 2 3 2" xfId="40841"/>
    <cellStyle name="Separador de milhares 3 12 2 3 2 2 4" xfId="34933"/>
    <cellStyle name="Separador de milhares 3 12 2 3 2 2 5" xfId="28399"/>
    <cellStyle name="Separador de milhares 3 12 2 3 2 3" xfId="17306"/>
    <cellStyle name="Separador de milhares 3 12 2 3 2 3 2" xfId="43795"/>
    <cellStyle name="Separador de milhares 3 12 2 3 2 4" xfId="11379"/>
    <cellStyle name="Separador de milhares 3 12 2 3 2 4 2" xfId="37887"/>
    <cellStyle name="Separador de milhares 3 12 2 3 2 5" xfId="31728"/>
    <cellStyle name="Separador de milhares 3 12 2 3 2 6" xfId="25194"/>
    <cellStyle name="Separador de milhares 3 12 2 3 3" xfId="6943"/>
    <cellStyle name="Separador de milhares 3 12 2 3 3 2" xfId="18797"/>
    <cellStyle name="Separador de milhares 3 12 2 3 3 2 2" xfId="45281"/>
    <cellStyle name="Separador de milhares 3 12 2 3 3 3" xfId="12870"/>
    <cellStyle name="Separador de milhares 3 12 2 3 3 3 2" xfId="39373"/>
    <cellStyle name="Separador de milhares 3 12 2 3 3 4" xfId="33465"/>
    <cellStyle name="Separador de milhares 3 12 2 3 3 5" xfId="26931"/>
    <cellStyle name="Separador de milhares 3 12 2 3 4" xfId="15833"/>
    <cellStyle name="Separador de milhares 3 12 2 3 4 2" xfId="42327"/>
    <cellStyle name="Separador de milhares 3 12 2 3 4 3" xfId="23422"/>
    <cellStyle name="Separador de milhares 3 12 2 3 5" xfId="9906"/>
    <cellStyle name="Separador de milhares 3 12 2 3 5 2" xfId="36419"/>
    <cellStyle name="Separador de milhares 3 12 2 3 6" xfId="29956"/>
    <cellStyle name="Separador de milhares 3 12 2 3 7" xfId="21650"/>
    <cellStyle name="Separador de milhares 3 12 2 4" xfId="1419"/>
    <cellStyle name="Separador de milhares 3 12 2 4 2" xfId="5299"/>
    <cellStyle name="Separador de milhares 3 12 2 4 2 2" xfId="8514"/>
    <cellStyle name="Separador de milhares 3 12 2 4 2 2 2" xfId="20368"/>
    <cellStyle name="Separador de milhares 3 12 2 4 2 2 2 2" xfId="46847"/>
    <cellStyle name="Separador de milhares 3 12 2 4 2 2 3" xfId="14441"/>
    <cellStyle name="Separador de milhares 3 12 2 4 2 2 3 2" xfId="40939"/>
    <cellStyle name="Separador de milhares 3 12 2 4 2 2 4" xfId="35031"/>
    <cellStyle name="Separador de milhares 3 12 2 4 2 2 5" xfId="28497"/>
    <cellStyle name="Separador de milhares 3 12 2 4 2 3" xfId="17404"/>
    <cellStyle name="Separador de milhares 3 12 2 4 2 3 2" xfId="43893"/>
    <cellStyle name="Separador de milhares 3 12 2 4 2 4" xfId="11477"/>
    <cellStyle name="Separador de milhares 3 12 2 4 2 4 2" xfId="37985"/>
    <cellStyle name="Separador de milhares 3 12 2 4 2 5" xfId="31826"/>
    <cellStyle name="Separador de milhares 3 12 2 4 2 6" xfId="25292"/>
    <cellStyle name="Separador de milhares 3 12 2 4 3" xfId="7041"/>
    <cellStyle name="Separador de milhares 3 12 2 4 3 2" xfId="18895"/>
    <cellStyle name="Separador de milhares 3 12 2 4 3 2 2" xfId="45379"/>
    <cellStyle name="Separador de milhares 3 12 2 4 3 3" xfId="12968"/>
    <cellStyle name="Separador de milhares 3 12 2 4 3 3 2" xfId="39471"/>
    <cellStyle name="Separador de milhares 3 12 2 4 3 4" xfId="33563"/>
    <cellStyle name="Separador de milhares 3 12 2 4 3 5" xfId="27029"/>
    <cellStyle name="Separador de milhares 3 12 2 4 4" xfId="15931"/>
    <cellStyle name="Separador de milhares 3 12 2 4 4 2" xfId="42425"/>
    <cellStyle name="Separador de milhares 3 12 2 4 4 3" xfId="23520"/>
    <cellStyle name="Separador de milhares 3 12 2 4 5" xfId="10004"/>
    <cellStyle name="Separador de milhares 3 12 2 4 5 2" xfId="36517"/>
    <cellStyle name="Separador de milhares 3 12 2 4 6" xfId="30054"/>
    <cellStyle name="Separador de milhares 3 12 2 4 7" xfId="21748"/>
    <cellStyle name="Separador de milhares 3 12 2 5" xfId="1854"/>
    <cellStyle name="Separador de milhares 3 12 2 5 2" xfId="5418"/>
    <cellStyle name="Separador de milhares 3 12 2 5 2 2" xfId="8633"/>
    <cellStyle name="Separador de milhares 3 12 2 5 2 2 2" xfId="20487"/>
    <cellStyle name="Separador de milhares 3 12 2 5 2 2 2 2" xfId="46966"/>
    <cellStyle name="Separador de milhares 3 12 2 5 2 2 3" xfId="14560"/>
    <cellStyle name="Separador de milhares 3 12 2 5 2 2 3 2" xfId="41058"/>
    <cellStyle name="Separador de milhares 3 12 2 5 2 2 4" xfId="35150"/>
    <cellStyle name="Separador de milhares 3 12 2 5 2 2 5" xfId="28616"/>
    <cellStyle name="Separador de milhares 3 12 2 5 2 3" xfId="17523"/>
    <cellStyle name="Separador de milhares 3 12 2 5 2 3 2" xfId="44012"/>
    <cellStyle name="Separador de milhares 3 12 2 5 2 4" xfId="11596"/>
    <cellStyle name="Separador de milhares 3 12 2 5 2 4 2" xfId="38104"/>
    <cellStyle name="Separador de milhares 3 12 2 5 2 5" xfId="31945"/>
    <cellStyle name="Separador de milhares 3 12 2 5 2 6" xfId="25411"/>
    <cellStyle name="Separador de milhares 3 12 2 5 3" xfId="7160"/>
    <cellStyle name="Separador de milhares 3 12 2 5 3 2" xfId="19014"/>
    <cellStyle name="Separador de milhares 3 12 2 5 3 2 2" xfId="45498"/>
    <cellStyle name="Separador de milhares 3 12 2 5 3 3" xfId="13087"/>
    <cellStyle name="Separador de milhares 3 12 2 5 3 3 2" xfId="39590"/>
    <cellStyle name="Separador de milhares 3 12 2 5 3 4" xfId="33682"/>
    <cellStyle name="Separador de milhares 3 12 2 5 3 5" xfId="27148"/>
    <cellStyle name="Separador de milhares 3 12 2 5 4" xfId="16050"/>
    <cellStyle name="Separador de milhares 3 12 2 5 4 2" xfId="42544"/>
    <cellStyle name="Separador de milhares 3 12 2 5 4 3" xfId="23639"/>
    <cellStyle name="Separador de milhares 3 12 2 5 5" xfId="10123"/>
    <cellStyle name="Separador de milhares 3 12 2 5 5 2" xfId="36636"/>
    <cellStyle name="Separador de milhares 3 12 2 5 6" xfId="30173"/>
    <cellStyle name="Separador de milhares 3 12 2 5 7" xfId="21867"/>
    <cellStyle name="Separador de milhares 3 12 2 6" xfId="2387"/>
    <cellStyle name="Separador de milhares 3 12 2 6 2" xfId="5568"/>
    <cellStyle name="Separador de milhares 3 12 2 6 2 2" xfId="8780"/>
    <cellStyle name="Separador de milhares 3 12 2 6 2 2 2" xfId="20634"/>
    <cellStyle name="Separador de milhares 3 12 2 6 2 2 2 2" xfId="47113"/>
    <cellStyle name="Separador de milhares 3 12 2 6 2 2 3" xfId="14707"/>
    <cellStyle name="Separador de milhares 3 12 2 6 2 2 3 2" xfId="41205"/>
    <cellStyle name="Separador de milhares 3 12 2 6 2 2 4" xfId="35297"/>
    <cellStyle name="Separador de milhares 3 12 2 6 2 2 5" xfId="28763"/>
    <cellStyle name="Separador de milhares 3 12 2 6 2 3" xfId="17670"/>
    <cellStyle name="Separador de milhares 3 12 2 6 2 3 2" xfId="44159"/>
    <cellStyle name="Separador de milhares 3 12 2 6 2 4" xfId="11743"/>
    <cellStyle name="Separador de milhares 3 12 2 6 2 4 2" xfId="38251"/>
    <cellStyle name="Separador de milhares 3 12 2 6 2 5" xfId="32095"/>
    <cellStyle name="Separador de milhares 3 12 2 6 2 6" xfId="25561"/>
    <cellStyle name="Separador de milhares 3 12 2 6 3" xfId="7308"/>
    <cellStyle name="Separador de milhares 3 12 2 6 3 2" xfId="19162"/>
    <cellStyle name="Separador de milhares 3 12 2 6 3 2 2" xfId="45645"/>
    <cellStyle name="Separador de milhares 3 12 2 6 3 3" xfId="13235"/>
    <cellStyle name="Separador de milhares 3 12 2 6 3 3 2" xfId="39737"/>
    <cellStyle name="Separador de milhares 3 12 2 6 3 4" xfId="33829"/>
    <cellStyle name="Separador de milhares 3 12 2 6 3 5" xfId="27295"/>
    <cellStyle name="Separador de milhares 3 12 2 6 4" xfId="16198"/>
    <cellStyle name="Separador de milhares 3 12 2 6 4 2" xfId="42691"/>
    <cellStyle name="Separador de milhares 3 12 2 6 4 3" xfId="23789"/>
    <cellStyle name="Separador de milhares 3 12 2 6 5" xfId="10271"/>
    <cellStyle name="Separador de milhares 3 12 2 6 5 2" xfId="36783"/>
    <cellStyle name="Separador de milhares 3 12 2 6 6" xfId="30323"/>
    <cellStyle name="Separador de milhares 3 12 2 6 7" xfId="22017"/>
    <cellStyle name="Separador de milhares 3 12 2 7" xfId="2915"/>
    <cellStyle name="Separador de milhares 3 12 2 7 2" xfId="5715"/>
    <cellStyle name="Separador de milhares 3 12 2 7 2 2" xfId="8927"/>
    <cellStyle name="Separador de milhares 3 12 2 7 2 2 2" xfId="20781"/>
    <cellStyle name="Separador de milhares 3 12 2 7 2 2 2 2" xfId="47260"/>
    <cellStyle name="Separador de milhares 3 12 2 7 2 2 3" xfId="14854"/>
    <cellStyle name="Separador de milhares 3 12 2 7 2 2 3 2" xfId="41352"/>
    <cellStyle name="Separador de milhares 3 12 2 7 2 2 4" xfId="35444"/>
    <cellStyle name="Separador de milhares 3 12 2 7 2 2 5" xfId="28910"/>
    <cellStyle name="Separador de milhares 3 12 2 7 2 3" xfId="17817"/>
    <cellStyle name="Separador de milhares 3 12 2 7 2 3 2" xfId="44306"/>
    <cellStyle name="Separador de milhares 3 12 2 7 2 4" xfId="11890"/>
    <cellStyle name="Separador de milhares 3 12 2 7 2 4 2" xfId="38398"/>
    <cellStyle name="Separador de milhares 3 12 2 7 2 5" xfId="32242"/>
    <cellStyle name="Separador de milhares 3 12 2 7 2 6" xfId="25708"/>
    <cellStyle name="Separador de milhares 3 12 2 7 3" xfId="7456"/>
    <cellStyle name="Separador de milhares 3 12 2 7 3 2" xfId="19310"/>
    <cellStyle name="Separador de milhares 3 12 2 7 3 2 2" xfId="45792"/>
    <cellStyle name="Separador de milhares 3 12 2 7 3 3" xfId="13383"/>
    <cellStyle name="Separador de milhares 3 12 2 7 3 3 2" xfId="39884"/>
    <cellStyle name="Separador de milhares 3 12 2 7 3 4" xfId="33976"/>
    <cellStyle name="Separador de milhares 3 12 2 7 3 5" xfId="27442"/>
    <cellStyle name="Separador de milhares 3 12 2 7 4" xfId="16346"/>
    <cellStyle name="Separador de milhares 3 12 2 7 4 2" xfId="42838"/>
    <cellStyle name="Separador de milhares 3 12 2 7 4 3" xfId="23936"/>
    <cellStyle name="Separador de milhares 3 12 2 7 5" xfId="10419"/>
    <cellStyle name="Separador de milhares 3 12 2 7 5 2" xfId="36930"/>
    <cellStyle name="Separador de milhares 3 12 2 7 6" xfId="30470"/>
    <cellStyle name="Separador de milhares 3 12 2 7 7" xfId="22164"/>
    <cellStyle name="Separador de milhares 3 12 2 8" xfId="3443"/>
    <cellStyle name="Separador de milhares 3 12 2 8 2" xfId="5862"/>
    <cellStyle name="Separador de milhares 3 12 2 8 2 2" xfId="9074"/>
    <cellStyle name="Separador de milhares 3 12 2 8 2 2 2" xfId="20928"/>
    <cellStyle name="Separador de milhares 3 12 2 8 2 2 2 2" xfId="47407"/>
    <cellStyle name="Separador de milhares 3 12 2 8 2 2 3" xfId="15001"/>
    <cellStyle name="Separador de milhares 3 12 2 8 2 2 3 2" xfId="41499"/>
    <cellStyle name="Separador de milhares 3 12 2 8 2 2 4" xfId="35591"/>
    <cellStyle name="Separador de milhares 3 12 2 8 2 2 5" xfId="29057"/>
    <cellStyle name="Separador de milhares 3 12 2 8 2 3" xfId="17964"/>
    <cellStyle name="Separador de milhares 3 12 2 8 2 3 2" xfId="44453"/>
    <cellStyle name="Separador de milhares 3 12 2 8 2 4" xfId="12037"/>
    <cellStyle name="Separador de milhares 3 12 2 8 2 4 2" xfId="38545"/>
    <cellStyle name="Separador de milhares 3 12 2 8 2 5" xfId="32389"/>
    <cellStyle name="Separador de milhares 3 12 2 8 2 6" xfId="25855"/>
    <cellStyle name="Separador de milhares 3 12 2 8 3" xfId="7604"/>
    <cellStyle name="Separador de milhares 3 12 2 8 3 2" xfId="19458"/>
    <cellStyle name="Separador de milhares 3 12 2 8 3 2 2" xfId="45939"/>
    <cellStyle name="Separador de milhares 3 12 2 8 3 3" xfId="13531"/>
    <cellStyle name="Separador de milhares 3 12 2 8 3 3 2" xfId="40031"/>
    <cellStyle name="Separador de milhares 3 12 2 8 3 4" xfId="34123"/>
    <cellStyle name="Separador de milhares 3 12 2 8 3 5" xfId="27589"/>
    <cellStyle name="Separador de milhares 3 12 2 8 4" xfId="16494"/>
    <cellStyle name="Separador de milhares 3 12 2 8 4 2" xfId="42985"/>
    <cellStyle name="Separador de milhares 3 12 2 8 4 3" xfId="24083"/>
    <cellStyle name="Separador de milhares 3 12 2 8 5" xfId="10567"/>
    <cellStyle name="Separador de milhares 3 12 2 8 5 2" xfId="37077"/>
    <cellStyle name="Separador de milhares 3 12 2 8 6" xfId="30617"/>
    <cellStyle name="Separador de milhares 3 12 2 8 7" xfId="22311"/>
    <cellStyle name="Separador de milhares 3 12 2 9" xfId="3971"/>
    <cellStyle name="Separador de milhares 3 12 2 9 2" xfId="6009"/>
    <cellStyle name="Separador de milhares 3 12 2 9 2 2" xfId="9221"/>
    <cellStyle name="Separador de milhares 3 12 2 9 2 2 2" xfId="21075"/>
    <cellStyle name="Separador de milhares 3 12 2 9 2 2 2 2" xfId="47554"/>
    <cellStyle name="Separador de milhares 3 12 2 9 2 2 3" xfId="15148"/>
    <cellStyle name="Separador de milhares 3 12 2 9 2 2 3 2" xfId="41646"/>
    <cellStyle name="Separador de milhares 3 12 2 9 2 2 4" xfId="35738"/>
    <cellStyle name="Separador de milhares 3 12 2 9 2 2 5" xfId="29204"/>
    <cellStyle name="Separador de milhares 3 12 2 9 2 3" xfId="18111"/>
    <cellStyle name="Separador de milhares 3 12 2 9 2 3 2" xfId="44600"/>
    <cellStyle name="Separador de milhares 3 12 2 9 2 4" xfId="12184"/>
    <cellStyle name="Separador de milhares 3 12 2 9 2 4 2" xfId="38692"/>
    <cellStyle name="Separador de milhares 3 12 2 9 2 5" xfId="32536"/>
    <cellStyle name="Separador de milhares 3 12 2 9 2 6" xfId="26002"/>
    <cellStyle name="Separador de milhares 3 12 2 9 3" xfId="7752"/>
    <cellStyle name="Separador de milhares 3 12 2 9 3 2" xfId="19606"/>
    <cellStyle name="Separador de milhares 3 12 2 9 3 2 2" xfId="46086"/>
    <cellStyle name="Separador de milhares 3 12 2 9 3 3" xfId="13679"/>
    <cellStyle name="Separador de milhares 3 12 2 9 3 3 2" xfId="40178"/>
    <cellStyle name="Separador de milhares 3 12 2 9 3 4" xfId="34270"/>
    <cellStyle name="Separador de milhares 3 12 2 9 3 5" xfId="27736"/>
    <cellStyle name="Separador de milhares 3 12 2 9 4" xfId="16642"/>
    <cellStyle name="Separador de milhares 3 12 2 9 4 2" xfId="43132"/>
    <cellStyle name="Separador de milhares 3 12 2 9 4 3" xfId="24230"/>
    <cellStyle name="Separador de milhares 3 12 2 9 5" xfId="10715"/>
    <cellStyle name="Separador de milhares 3 12 2 9 5 2" xfId="37224"/>
    <cellStyle name="Separador de milhares 3 12 2 9 6" xfId="30764"/>
    <cellStyle name="Separador de milhares 3 12 2 9 7" xfId="22458"/>
    <cellStyle name="Separador de milhares 3 12 3" xfId="416"/>
    <cellStyle name="Separador de milhares 3 12 3 10" xfId="5000"/>
    <cellStyle name="Separador de milhares 3 12 3 10 2" xfId="8219"/>
    <cellStyle name="Separador de milhares 3 12 3 10 2 2" xfId="20073"/>
    <cellStyle name="Separador de milhares 3 12 3 10 2 2 2" xfId="46552"/>
    <cellStyle name="Separador de milhares 3 12 3 10 2 3" xfId="14146"/>
    <cellStyle name="Separador de milhares 3 12 3 10 2 3 2" xfId="40644"/>
    <cellStyle name="Separador de milhares 3 12 3 10 2 4" xfId="34736"/>
    <cellStyle name="Separador de milhares 3 12 3 10 2 5" xfId="28202"/>
    <cellStyle name="Separador de milhares 3 12 3 10 3" xfId="17109"/>
    <cellStyle name="Separador de milhares 3 12 3 10 3 2" xfId="43598"/>
    <cellStyle name="Separador de milhares 3 12 3 10 4" xfId="11182"/>
    <cellStyle name="Separador de milhares 3 12 3 10 4 2" xfId="37690"/>
    <cellStyle name="Separador de milhares 3 12 3 10 5" xfId="31527"/>
    <cellStyle name="Separador de milhares 3 12 3 10 6" xfId="24993"/>
    <cellStyle name="Separador de milhares 3 12 3 11" xfId="6743"/>
    <cellStyle name="Separador de milhares 3 12 3 11 2" xfId="18597"/>
    <cellStyle name="Separador de milhares 3 12 3 11 2 2" xfId="45084"/>
    <cellStyle name="Separador de milhares 3 12 3 11 3" xfId="12670"/>
    <cellStyle name="Separador de milhares 3 12 3 11 3 2" xfId="39176"/>
    <cellStyle name="Separador de milhares 3 12 3 11 4" xfId="33268"/>
    <cellStyle name="Separador de milhares 3 12 3 11 5" xfId="26734"/>
    <cellStyle name="Separador de milhares 3 12 3 12" xfId="15633"/>
    <cellStyle name="Separador de milhares 3 12 3 12 2" xfId="42130"/>
    <cellStyle name="Separador de milhares 3 12 3 12 3" xfId="23221"/>
    <cellStyle name="Separador de milhares 3 12 3 13" xfId="9706"/>
    <cellStyle name="Separador de milhares 3 12 3 13 2" xfId="36222"/>
    <cellStyle name="Separador de milhares 3 12 3 14" xfId="29755"/>
    <cellStyle name="Separador de milhares 3 12 3 15" xfId="21473"/>
    <cellStyle name="Separador de milhares 3 12 3 2" xfId="679"/>
    <cellStyle name="Separador de milhares 3 12 3 2 2" xfId="5071"/>
    <cellStyle name="Separador de milhares 3 12 3 2 2 2" xfId="8286"/>
    <cellStyle name="Separador de milhares 3 12 3 2 2 2 2" xfId="20140"/>
    <cellStyle name="Separador de milhares 3 12 3 2 2 2 2 2" xfId="46619"/>
    <cellStyle name="Separador de milhares 3 12 3 2 2 2 3" xfId="14213"/>
    <cellStyle name="Separador de milhares 3 12 3 2 2 2 3 2" xfId="40711"/>
    <cellStyle name="Separador de milhares 3 12 3 2 2 2 4" xfId="34803"/>
    <cellStyle name="Separador de milhares 3 12 3 2 2 2 5" xfId="28269"/>
    <cellStyle name="Separador de milhares 3 12 3 2 2 3" xfId="17176"/>
    <cellStyle name="Separador de milhares 3 12 3 2 2 3 2" xfId="43665"/>
    <cellStyle name="Separador de milhares 3 12 3 2 2 4" xfId="11249"/>
    <cellStyle name="Separador de milhares 3 12 3 2 2 4 2" xfId="37757"/>
    <cellStyle name="Separador de milhares 3 12 3 2 2 5" xfId="31598"/>
    <cellStyle name="Separador de milhares 3 12 3 2 2 6" xfId="25064"/>
    <cellStyle name="Separador de milhares 3 12 3 2 3" xfId="6810"/>
    <cellStyle name="Separador de milhares 3 12 3 2 3 2" xfId="18664"/>
    <cellStyle name="Separador de milhares 3 12 3 2 3 2 2" xfId="45151"/>
    <cellStyle name="Separador de milhares 3 12 3 2 3 3" xfId="12737"/>
    <cellStyle name="Separador de milhares 3 12 3 2 3 3 2" xfId="39243"/>
    <cellStyle name="Separador de milhares 3 12 3 2 3 4" xfId="33335"/>
    <cellStyle name="Separador de milhares 3 12 3 2 3 5" xfId="26801"/>
    <cellStyle name="Separador de milhares 3 12 3 2 4" xfId="15700"/>
    <cellStyle name="Separador de milhares 3 12 3 2 4 2" xfId="42197"/>
    <cellStyle name="Separador de milhares 3 12 3 2 4 3" xfId="23292"/>
    <cellStyle name="Separador de milhares 3 12 3 2 5" xfId="9773"/>
    <cellStyle name="Separador de milhares 3 12 3 2 5 2" xfId="36289"/>
    <cellStyle name="Separador de milhares 3 12 3 2 6" xfId="29826"/>
    <cellStyle name="Separador de milhares 3 12 3 2 7" xfId="21521"/>
    <cellStyle name="Separador de milhares 3 12 3 3" xfId="977"/>
    <cellStyle name="Separador de milhares 3 12 3 3 2" xfId="5173"/>
    <cellStyle name="Separador de milhares 3 12 3 3 2 2" xfId="8388"/>
    <cellStyle name="Separador de milhares 3 12 3 3 2 2 2" xfId="20242"/>
    <cellStyle name="Separador de milhares 3 12 3 3 2 2 2 2" xfId="46721"/>
    <cellStyle name="Separador de milhares 3 12 3 3 2 2 3" xfId="14315"/>
    <cellStyle name="Separador de milhares 3 12 3 3 2 2 3 2" xfId="40813"/>
    <cellStyle name="Separador de milhares 3 12 3 3 2 2 4" xfId="34905"/>
    <cellStyle name="Separador de milhares 3 12 3 3 2 2 5" xfId="28371"/>
    <cellStyle name="Separador de milhares 3 12 3 3 2 3" xfId="17278"/>
    <cellStyle name="Separador de milhares 3 12 3 3 2 3 2" xfId="43767"/>
    <cellStyle name="Separador de milhares 3 12 3 3 2 4" xfId="11351"/>
    <cellStyle name="Separador de milhares 3 12 3 3 2 4 2" xfId="37859"/>
    <cellStyle name="Separador de milhares 3 12 3 3 2 5" xfId="31700"/>
    <cellStyle name="Separador de milhares 3 12 3 3 2 6" xfId="25166"/>
    <cellStyle name="Separador de milhares 3 12 3 3 3" xfId="6915"/>
    <cellStyle name="Separador de milhares 3 12 3 3 3 2" xfId="18769"/>
    <cellStyle name="Separador de milhares 3 12 3 3 3 2 2" xfId="45253"/>
    <cellStyle name="Separador de milhares 3 12 3 3 3 3" xfId="12842"/>
    <cellStyle name="Separador de milhares 3 12 3 3 3 3 2" xfId="39345"/>
    <cellStyle name="Separador de milhares 3 12 3 3 3 4" xfId="33437"/>
    <cellStyle name="Separador de milhares 3 12 3 3 3 5" xfId="26903"/>
    <cellStyle name="Separador de milhares 3 12 3 3 4" xfId="15805"/>
    <cellStyle name="Separador de milhares 3 12 3 3 4 2" xfId="42299"/>
    <cellStyle name="Separador de milhares 3 12 3 3 4 3" xfId="23394"/>
    <cellStyle name="Separador de milhares 3 12 3 3 5" xfId="9878"/>
    <cellStyle name="Separador de milhares 3 12 3 3 5 2" xfId="36391"/>
    <cellStyle name="Separador de milhares 3 12 3 3 6" xfId="29928"/>
    <cellStyle name="Separador de milhares 3 12 3 3 7" xfId="21622"/>
    <cellStyle name="Separador de milhares 3 12 3 4" xfId="1328"/>
    <cellStyle name="Separador de milhares 3 12 3 4 2" xfId="5271"/>
    <cellStyle name="Separador de milhares 3 12 3 4 2 2" xfId="8486"/>
    <cellStyle name="Separador de milhares 3 12 3 4 2 2 2" xfId="20340"/>
    <cellStyle name="Separador de milhares 3 12 3 4 2 2 2 2" xfId="46819"/>
    <cellStyle name="Separador de milhares 3 12 3 4 2 2 3" xfId="14413"/>
    <cellStyle name="Separador de milhares 3 12 3 4 2 2 3 2" xfId="40911"/>
    <cellStyle name="Separador de milhares 3 12 3 4 2 2 4" xfId="35003"/>
    <cellStyle name="Separador de milhares 3 12 3 4 2 2 5" xfId="28469"/>
    <cellStyle name="Separador de milhares 3 12 3 4 2 3" xfId="17376"/>
    <cellStyle name="Separador de milhares 3 12 3 4 2 3 2" xfId="43865"/>
    <cellStyle name="Separador de milhares 3 12 3 4 2 4" xfId="11449"/>
    <cellStyle name="Separador de milhares 3 12 3 4 2 4 2" xfId="37957"/>
    <cellStyle name="Separador de milhares 3 12 3 4 2 5" xfId="31798"/>
    <cellStyle name="Separador de milhares 3 12 3 4 2 6" xfId="25264"/>
    <cellStyle name="Separador de milhares 3 12 3 4 3" xfId="7013"/>
    <cellStyle name="Separador de milhares 3 12 3 4 3 2" xfId="18867"/>
    <cellStyle name="Separador de milhares 3 12 3 4 3 2 2" xfId="45351"/>
    <cellStyle name="Separador de milhares 3 12 3 4 3 3" xfId="12940"/>
    <cellStyle name="Separador de milhares 3 12 3 4 3 3 2" xfId="39443"/>
    <cellStyle name="Separador de milhares 3 12 3 4 3 4" xfId="33535"/>
    <cellStyle name="Separador de milhares 3 12 3 4 3 5" xfId="27001"/>
    <cellStyle name="Separador de milhares 3 12 3 4 4" xfId="15903"/>
    <cellStyle name="Separador de milhares 3 12 3 4 4 2" xfId="42397"/>
    <cellStyle name="Separador de milhares 3 12 3 4 4 3" xfId="23492"/>
    <cellStyle name="Separador de milhares 3 12 3 4 5" xfId="9976"/>
    <cellStyle name="Separador de milhares 3 12 3 4 5 2" xfId="36489"/>
    <cellStyle name="Separador de milhares 3 12 3 4 6" xfId="30026"/>
    <cellStyle name="Separador de milhares 3 12 3 4 7" xfId="21720"/>
    <cellStyle name="Separador de milhares 3 12 3 5" xfId="1763"/>
    <cellStyle name="Separador de milhares 3 12 3 5 2" xfId="5390"/>
    <cellStyle name="Separador de milhares 3 12 3 5 2 2" xfId="8605"/>
    <cellStyle name="Separador de milhares 3 12 3 5 2 2 2" xfId="20459"/>
    <cellStyle name="Separador de milhares 3 12 3 5 2 2 2 2" xfId="46938"/>
    <cellStyle name="Separador de milhares 3 12 3 5 2 2 3" xfId="14532"/>
    <cellStyle name="Separador de milhares 3 12 3 5 2 2 3 2" xfId="41030"/>
    <cellStyle name="Separador de milhares 3 12 3 5 2 2 4" xfId="35122"/>
    <cellStyle name="Separador de milhares 3 12 3 5 2 2 5" xfId="28588"/>
    <cellStyle name="Separador de milhares 3 12 3 5 2 3" xfId="17495"/>
    <cellStyle name="Separador de milhares 3 12 3 5 2 3 2" xfId="43984"/>
    <cellStyle name="Separador de milhares 3 12 3 5 2 4" xfId="11568"/>
    <cellStyle name="Separador de milhares 3 12 3 5 2 4 2" xfId="38076"/>
    <cellStyle name="Separador de milhares 3 12 3 5 2 5" xfId="31917"/>
    <cellStyle name="Separador de milhares 3 12 3 5 2 6" xfId="25383"/>
    <cellStyle name="Separador de milhares 3 12 3 5 3" xfId="7132"/>
    <cellStyle name="Separador de milhares 3 12 3 5 3 2" xfId="18986"/>
    <cellStyle name="Separador de milhares 3 12 3 5 3 2 2" xfId="45470"/>
    <cellStyle name="Separador de milhares 3 12 3 5 3 3" xfId="13059"/>
    <cellStyle name="Separador de milhares 3 12 3 5 3 3 2" xfId="39562"/>
    <cellStyle name="Separador de milhares 3 12 3 5 3 4" xfId="33654"/>
    <cellStyle name="Separador de milhares 3 12 3 5 3 5" xfId="27120"/>
    <cellStyle name="Separador de milhares 3 12 3 5 4" xfId="16022"/>
    <cellStyle name="Separador de milhares 3 12 3 5 4 2" xfId="42516"/>
    <cellStyle name="Separador de milhares 3 12 3 5 4 3" xfId="23611"/>
    <cellStyle name="Separador de milhares 3 12 3 5 5" xfId="10095"/>
    <cellStyle name="Separador de milhares 3 12 3 5 5 2" xfId="36608"/>
    <cellStyle name="Separador de milhares 3 12 3 5 6" xfId="30145"/>
    <cellStyle name="Separador de milhares 3 12 3 5 7" xfId="21839"/>
    <cellStyle name="Separador de milhares 3 12 3 6" xfId="2296"/>
    <cellStyle name="Separador de milhares 3 12 3 6 2" xfId="5540"/>
    <cellStyle name="Separador de milhares 3 12 3 6 2 2" xfId="8752"/>
    <cellStyle name="Separador de milhares 3 12 3 6 2 2 2" xfId="20606"/>
    <cellStyle name="Separador de milhares 3 12 3 6 2 2 2 2" xfId="47085"/>
    <cellStyle name="Separador de milhares 3 12 3 6 2 2 3" xfId="14679"/>
    <cellStyle name="Separador de milhares 3 12 3 6 2 2 3 2" xfId="41177"/>
    <cellStyle name="Separador de milhares 3 12 3 6 2 2 4" xfId="35269"/>
    <cellStyle name="Separador de milhares 3 12 3 6 2 2 5" xfId="28735"/>
    <cellStyle name="Separador de milhares 3 12 3 6 2 3" xfId="17642"/>
    <cellStyle name="Separador de milhares 3 12 3 6 2 3 2" xfId="44131"/>
    <cellStyle name="Separador de milhares 3 12 3 6 2 4" xfId="11715"/>
    <cellStyle name="Separador de milhares 3 12 3 6 2 4 2" xfId="38223"/>
    <cellStyle name="Separador de milhares 3 12 3 6 2 5" xfId="32067"/>
    <cellStyle name="Separador de milhares 3 12 3 6 2 6" xfId="25533"/>
    <cellStyle name="Separador de milhares 3 12 3 6 3" xfId="7280"/>
    <cellStyle name="Separador de milhares 3 12 3 6 3 2" xfId="19134"/>
    <cellStyle name="Separador de milhares 3 12 3 6 3 2 2" xfId="45617"/>
    <cellStyle name="Separador de milhares 3 12 3 6 3 3" xfId="13207"/>
    <cellStyle name="Separador de milhares 3 12 3 6 3 3 2" xfId="39709"/>
    <cellStyle name="Separador de milhares 3 12 3 6 3 4" xfId="33801"/>
    <cellStyle name="Separador de milhares 3 12 3 6 3 5" xfId="27267"/>
    <cellStyle name="Separador de milhares 3 12 3 6 4" xfId="16170"/>
    <cellStyle name="Separador de milhares 3 12 3 6 4 2" xfId="42663"/>
    <cellStyle name="Separador de milhares 3 12 3 6 4 3" xfId="23761"/>
    <cellStyle name="Separador de milhares 3 12 3 6 5" xfId="10243"/>
    <cellStyle name="Separador de milhares 3 12 3 6 5 2" xfId="36755"/>
    <cellStyle name="Separador de milhares 3 12 3 6 6" xfId="30295"/>
    <cellStyle name="Separador de milhares 3 12 3 6 7" xfId="21989"/>
    <cellStyle name="Separador de milhares 3 12 3 7" xfId="2824"/>
    <cellStyle name="Separador de milhares 3 12 3 7 2" xfId="5687"/>
    <cellStyle name="Separador de milhares 3 12 3 7 2 2" xfId="8899"/>
    <cellStyle name="Separador de milhares 3 12 3 7 2 2 2" xfId="20753"/>
    <cellStyle name="Separador de milhares 3 12 3 7 2 2 2 2" xfId="47232"/>
    <cellStyle name="Separador de milhares 3 12 3 7 2 2 3" xfId="14826"/>
    <cellStyle name="Separador de milhares 3 12 3 7 2 2 3 2" xfId="41324"/>
    <cellStyle name="Separador de milhares 3 12 3 7 2 2 4" xfId="35416"/>
    <cellStyle name="Separador de milhares 3 12 3 7 2 2 5" xfId="28882"/>
    <cellStyle name="Separador de milhares 3 12 3 7 2 3" xfId="17789"/>
    <cellStyle name="Separador de milhares 3 12 3 7 2 3 2" xfId="44278"/>
    <cellStyle name="Separador de milhares 3 12 3 7 2 4" xfId="11862"/>
    <cellStyle name="Separador de milhares 3 12 3 7 2 4 2" xfId="38370"/>
    <cellStyle name="Separador de milhares 3 12 3 7 2 5" xfId="32214"/>
    <cellStyle name="Separador de milhares 3 12 3 7 2 6" xfId="25680"/>
    <cellStyle name="Separador de milhares 3 12 3 7 3" xfId="7428"/>
    <cellStyle name="Separador de milhares 3 12 3 7 3 2" xfId="19282"/>
    <cellStyle name="Separador de milhares 3 12 3 7 3 2 2" xfId="45764"/>
    <cellStyle name="Separador de milhares 3 12 3 7 3 3" xfId="13355"/>
    <cellStyle name="Separador de milhares 3 12 3 7 3 3 2" xfId="39856"/>
    <cellStyle name="Separador de milhares 3 12 3 7 3 4" xfId="33948"/>
    <cellStyle name="Separador de milhares 3 12 3 7 3 5" xfId="27414"/>
    <cellStyle name="Separador de milhares 3 12 3 7 4" xfId="16318"/>
    <cellStyle name="Separador de milhares 3 12 3 7 4 2" xfId="42810"/>
    <cellStyle name="Separador de milhares 3 12 3 7 4 3" xfId="23908"/>
    <cellStyle name="Separador de milhares 3 12 3 7 5" xfId="10391"/>
    <cellStyle name="Separador de milhares 3 12 3 7 5 2" xfId="36902"/>
    <cellStyle name="Separador de milhares 3 12 3 7 6" xfId="30442"/>
    <cellStyle name="Separador de milhares 3 12 3 7 7" xfId="22136"/>
    <cellStyle name="Separador de milhares 3 12 3 8" xfId="3352"/>
    <cellStyle name="Separador de milhares 3 12 3 8 2" xfId="5834"/>
    <cellStyle name="Separador de milhares 3 12 3 8 2 2" xfId="9046"/>
    <cellStyle name="Separador de milhares 3 12 3 8 2 2 2" xfId="20900"/>
    <cellStyle name="Separador de milhares 3 12 3 8 2 2 2 2" xfId="47379"/>
    <cellStyle name="Separador de milhares 3 12 3 8 2 2 3" xfId="14973"/>
    <cellStyle name="Separador de milhares 3 12 3 8 2 2 3 2" xfId="41471"/>
    <cellStyle name="Separador de milhares 3 12 3 8 2 2 4" xfId="35563"/>
    <cellStyle name="Separador de milhares 3 12 3 8 2 2 5" xfId="29029"/>
    <cellStyle name="Separador de milhares 3 12 3 8 2 3" xfId="17936"/>
    <cellStyle name="Separador de milhares 3 12 3 8 2 3 2" xfId="44425"/>
    <cellStyle name="Separador de milhares 3 12 3 8 2 4" xfId="12009"/>
    <cellStyle name="Separador de milhares 3 12 3 8 2 4 2" xfId="38517"/>
    <cellStyle name="Separador de milhares 3 12 3 8 2 5" xfId="32361"/>
    <cellStyle name="Separador de milhares 3 12 3 8 2 6" xfId="25827"/>
    <cellStyle name="Separador de milhares 3 12 3 8 3" xfId="7576"/>
    <cellStyle name="Separador de milhares 3 12 3 8 3 2" xfId="19430"/>
    <cellStyle name="Separador de milhares 3 12 3 8 3 2 2" xfId="45911"/>
    <cellStyle name="Separador de milhares 3 12 3 8 3 3" xfId="13503"/>
    <cellStyle name="Separador de milhares 3 12 3 8 3 3 2" xfId="40003"/>
    <cellStyle name="Separador de milhares 3 12 3 8 3 4" xfId="34095"/>
    <cellStyle name="Separador de milhares 3 12 3 8 3 5" xfId="27561"/>
    <cellStyle name="Separador de milhares 3 12 3 8 4" xfId="16466"/>
    <cellStyle name="Separador de milhares 3 12 3 8 4 2" xfId="42957"/>
    <cellStyle name="Separador de milhares 3 12 3 8 4 3" xfId="24055"/>
    <cellStyle name="Separador de milhares 3 12 3 8 5" xfId="10539"/>
    <cellStyle name="Separador de milhares 3 12 3 8 5 2" xfId="37049"/>
    <cellStyle name="Separador de milhares 3 12 3 8 6" xfId="30589"/>
    <cellStyle name="Separador de milhares 3 12 3 8 7" xfId="22283"/>
    <cellStyle name="Separador de milhares 3 12 3 9" xfId="3880"/>
    <cellStyle name="Separador de milhares 3 12 3 9 2" xfId="5981"/>
    <cellStyle name="Separador de milhares 3 12 3 9 2 2" xfId="9193"/>
    <cellStyle name="Separador de milhares 3 12 3 9 2 2 2" xfId="21047"/>
    <cellStyle name="Separador de milhares 3 12 3 9 2 2 2 2" xfId="47526"/>
    <cellStyle name="Separador de milhares 3 12 3 9 2 2 3" xfId="15120"/>
    <cellStyle name="Separador de milhares 3 12 3 9 2 2 3 2" xfId="41618"/>
    <cellStyle name="Separador de milhares 3 12 3 9 2 2 4" xfId="35710"/>
    <cellStyle name="Separador de milhares 3 12 3 9 2 2 5" xfId="29176"/>
    <cellStyle name="Separador de milhares 3 12 3 9 2 3" xfId="18083"/>
    <cellStyle name="Separador de milhares 3 12 3 9 2 3 2" xfId="44572"/>
    <cellStyle name="Separador de milhares 3 12 3 9 2 4" xfId="12156"/>
    <cellStyle name="Separador de milhares 3 12 3 9 2 4 2" xfId="38664"/>
    <cellStyle name="Separador de milhares 3 12 3 9 2 5" xfId="32508"/>
    <cellStyle name="Separador de milhares 3 12 3 9 2 6" xfId="25974"/>
    <cellStyle name="Separador de milhares 3 12 3 9 3" xfId="7724"/>
    <cellStyle name="Separador de milhares 3 12 3 9 3 2" xfId="19578"/>
    <cellStyle name="Separador de milhares 3 12 3 9 3 2 2" xfId="46058"/>
    <cellStyle name="Separador de milhares 3 12 3 9 3 3" xfId="13651"/>
    <cellStyle name="Separador de milhares 3 12 3 9 3 3 2" xfId="40150"/>
    <cellStyle name="Separador de milhares 3 12 3 9 3 4" xfId="34242"/>
    <cellStyle name="Separador de milhares 3 12 3 9 3 5" xfId="27708"/>
    <cellStyle name="Separador de milhares 3 12 3 9 4" xfId="16614"/>
    <cellStyle name="Separador de milhares 3 12 3 9 4 2" xfId="43104"/>
    <cellStyle name="Separador de milhares 3 12 3 9 4 3" xfId="24202"/>
    <cellStyle name="Separador de milhares 3 12 3 9 5" xfId="10687"/>
    <cellStyle name="Separador de milhares 3 12 3 9 5 2" xfId="37196"/>
    <cellStyle name="Separador de milhares 3 12 3 9 6" xfId="30736"/>
    <cellStyle name="Separador de milhares 3 12 3 9 7" xfId="22430"/>
    <cellStyle name="Separador de milhares 3 12 4" xfId="509"/>
    <cellStyle name="Separador de milhares 3 12 4 10" xfId="5028"/>
    <cellStyle name="Separador de milhares 3 12 4 10 2" xfId="8244"/>
    <cellStyle name="Separador de milhares 3 12 4 10 2 2" xfId="20098"/>
    <cellStyle name="Separador de milhares 3 12 4 10 2 2 2" xfId="46577"/>
    <cellStyle name="Separador de milhares 3 12 4 10 2 3" xfId="14171"/>
    <cellStyle name="Separador de milhares 3 12 4 10 2 3 2" xfId="40669"/>
    <cellStyle name="Separador de milhares 3 12 4 10 2 4" xfId="34761"/>
    <cellStyle name="Separador de milhares 3 12 4 10 2 5" xfId="28227"/>
    <cellStyle name="Separador de milhares 3 12 4 10 3" xfId="17134"/>
    <cellStyle name="Separador de milhares 3 12 4 10 3 2" xfId="43623"/>
    <cellStyle name="Separador de milhares 3 12 4 10 4" xfId="11207"/>
    <cellStyle name="Separador de milhares 3 12 4 10 4 2" xfId="37715"/>
    <cellStyle name="Separador de milhares 3 12 4 10 5" xfId="31555"/>
    <cellStyle name="Separador de milhares 3 12 4 10 6" xfId="25021"/>
    <cellStyle name="Separador de milhares 3 12 4 11" xfId="6768"/>
    <cellStyle name="Separador de milhares 3 12 4 11 2" xfId="18622"/>
    <cellStyle name="Separador de milhares 3 12 4 11 2 2" xfId="45109"/>
    <cellStyle name="Separador de milhares 3 12 4 11 3" xfId="12695"/>
    <cellStyle name="Separador de milhares 3 12 4 11 3 2" xfId="39201"/>
    <cellStyle name="Separador de milhares 3 12 4 11 4" xfId="33293"/>
    <cellStyle name="Separador de milhares 3 12 4 11 5" xfId="26759"/>
    <cellStyle name="Separador de milhares 3 12 4 12" xfId="15658"/>
    <cellStyle name="Separador de milhares 3 12 4 12 2" xfId="42155"/>
    <cellStyle name="Separador de milhares 3 12 4 12 3" xfId="23249"/>
    <cellStyle name="Separador de milhares 3 12 4 13" xfId="9731"/>
    <cellStyle name="Separador de milhares 3 12 4 13 2" xfId="36247"/>
    <cellStyle name="Separador de milhares 3 12 4 14" xfId="29783"/>
    <cellStyle name="Separador de milhares 3 12 4 2" xfId="1155"/>
    <cellStyle name="Separador de milhares 3 12 4 2 2" xfId="5225"/>
    <cellStyle name="Separador de milhares 3 12 4 2 2 2" xfId="8440"/>
    <cellStyle name="Separador de milhares 3 12 4 2 2 2 2" xfId="20294"/>
    <cellStyle name="Separador de milhares 3 12 4 2 2 2 2 2" xfId="46773"/>
    <cellStyle name="Separador de milhares 3 12 4 2 2 2 3" xfId="14367"/>
    <cellStyle name="Separador de milhares 3 12 4 2 2 2 3 2" xfId="40865"/>
    <cellStyle name="Separador de milhares 3 12 4 2 2 2 4" xfId="34957"/>
    <cellStyle name="Separador de milhares 3 12 4 2 2 2 5" xfId="28423"/>
    <cellStyle name="Separador de milhares 3 12 4 2 2 3" xfId="17330"/>
    <cellStyle name="Separador de milhares 3 12 4 2 2 3 2" xfId="43819"/>
    <cellStyle name="Separador de milhares 3 12 4 2 2 4" xfId="11403"/>
    <cellStyle name="Separador de milhares 3 12 4 2 2 4 2" xfId="37911"/>
    <cellStyle name="Separador de milhares 3 12 4 2 2 5" xfId="31752"/>
    <cellStyle name="Separador de milhares 3 12 4 2 2 6" xfId="25218"/>
    <cellStyle name="Separador de milhares 3 12 4 2 3" xfId="6967"/>
    <cellStyle name="Separador de milhares 3 12 4 2 3 2" xfId="18821"/>
    <cellStyle name="Separador de milhares 3 12 4 2 3 2 2" xfId="45305"/>
    <cellStyle name="Separador de milhares 3 12 4 2 3 3" xfId="12894"/>
    <cellStyle name="Separador de milhares 3 12 4 2 3 3 2" xfId="39397"/>
    <cellStyle name="Separador de milhares 3 12 4 2 3 4" xfId="33489"/>
    <cellStyle name="Separador de milhares 3 12 4 2 3 5" xfId="26955"/>
    <cellStyle name="Separador de milhares 3 12 4 2 4" xfId="15857"/>
    <cellStyle name="Separador de milhares 3 12 4 2 4 2" xfId="42351"/>
    <cellStyle name="Separador de milhares 3 12 4 2 4 3" xfId="23446"/>
    <cellStyle name="Separador de milhares 3 12 4 2 5" xfId="9930"/>
    <cellStyle name="Separador de milhares 3 12 4 2 5 2" xfId="36443"/>
    <cellStyle name="Separador de milhares 3 12 4 2 6" xfId="29980"/>
    <cellStyle name="Separador de milhares 3 12 4 2 7" xfId="21674"/>
    <cellStyle name="Separador de milhares 3 12 4 3" xfId="1506"/>
    <cellStyle name="Separador de milhares 3 12 4 3 2" xfId="5323"/>
    <cellStyle name="Separador de milhares 3 12 4 3 2 2" xfId="8538"/>
    <cellStyle name="Separador de milhares 3 12 4 3 2 2 2" xfId="20392"/>
    <cellStyle name="Separador de milhares 3 12 4 3 2 2 2 2" xfId="46871"/>
    <cellStyle name="Separador de milhares 3 12 4 3 2 2 3" xfId="14465"/>
    <cellStyle name="Separador de milhares 3 12 4 3 2 2 3 2" xfId="40963"/>
    <cellStyle name="Separador de milhares 3 12 4 3 2 2 4" xfId="35055"/>
    <cellStyle name="Separador de milhares 3 12 4 3 2 2 5" xfId="28521"/>
    <cellStyle name="Separador de milhares 3 12 4 3 2 3" xfId="17428"/>
    <cellStyle name="Separador de milhares 3 12 4 3 2 3 2" xfId="43917"/>
    <cellStyle name="Separador de milhares 3 12 4 3 2 4" xfId="11501"/>
    <cellStyle name="Separador de milhares 3 12 4 3 2 4 2" xfId="38009"/>
    <cellStyle name="Separador de milhares 3 12 4 3 2 5" xfId="31850"/>
    <cellStyle name="Separador de milhares 3 12 4 3 2 6" xfId="25316"/>
    <cellStyle name="Separador de milhares 3 12 4 3 3" xfId="7065"/>
    <cellStyle name="Separador de milhares 3 12 4 3 3 2" xfId="18919"/>
    <cellStyle name="Separador de milhares 3 12 4 3 3 2 2" xfId="45403"/>
    <cellStyle name="Separador de milhares 3 12 4 3 3 3" xfId="12992"/>
    <cellStyle name="Separador de milhares 3 12 4 3 3 3 2" xfId="39495"/>
    <cellStyle name="Separador de milhares 3 12 4 3 3 4" xfId="33587"/>
    <cellStyle name="Separador de milhares 3 12 4 3 3 5" xfId="27053"/>
    <cellStyle name="Separador de milhares 3 12 4 3 4" xfId="15955"/>
    <cellStyle name="Separador de milhares 3 12 4 3 4 2" xfId="42449"/>
    <cellStyle name="Separador de milhares 3 12 4 3 4 3" xfId="23544"/>
    <cellStyle name="Separador de milhares 3 12 4 3 5" xfId="10028"/>
    <cellStyle name="Separador de milhares 3 12 4 3 5 2" xfId="36541"/>
    <cellStyle name="Separador de milhares 3 12 4 3 6" xfId="30078"/>
    <cellStyle name="Separador de milhares 3 12 4 3 7" xfId="21772"/>
    <cellStyle name="Separador de milhares 3 12 4 4" xfId="1941"/>
    <cellStyle name="Separador de milhares 3 12 4 4 2" xfId="5442"/>
    <cellStyle name="Separador de milhares 3 12 4 4 2 2" xfId="8657"/>
    <cellStyle name="Separador de milhares 3 12 4 4 2 2 2" xfId="20511"/>
    <cellStyle name="Separador de milhares 3 12 4 4 2 2 2 2" xfId="46990"/>
    <cellStyle name="Separador de milhares 3 12 4 4 2 2 3" xfId="14584"/>
    <cellStyle name="Separador de milhares 3 12 4 4 2 2 3 2" xfId="41082"/>
    <cellStyle name="Separador de milhares 3 12 4 4 2 2 4" xfId="35174"/>
    <cellStyle name="Separador de milhares 3 12 4 4 2 2 5" xfId="28640"/>
    <cellStyle name="Separador de milhares 3 12 4 4 2 3" xfId="17547"/>
    <cellStyle name="Separador de milhares 3 12 4 4 2 3 2" xfId="44036"/>
    <cellStyle name="Separador de milhares 3 12 4 4 2 4" xfId="11620"/>
    <cellStyle name="Separador de milhares 3 12 4 4 2 4 2" xfId="38128"/>
    <cellStyle name="Separador de milhares 3 12 4 4 2 5" xfId="31969"/>
    <cellStyle name="Separador de milhares 3 12 4 4 2 6" xfId="25435"/>
    <cellStyle name="Separador de milhares 3 12 4 4 3" xfId="7184"/>
    <cellStyle name="Separador de milhares 3 12 4 4 3 2" xfId="19038"/>
    <cellStyle name="Separador de milhares 3 12 4 4 3 2 2" xfId="45522"/>
    <cellStyle name="Separador de milhares 3 12 4 4 3 3" xfId="13111"/>
    <cellStyle name="Separador de milhares 3 12 4 4 3 3 2" xfId="39614"/>
    <cellStyle name="Separador de milhares 3 12 4 4 3 4" xfId="33706"/>
    <cellStyle name="Separador de milhares 3 12 4 4 3 5" xfId="27172"/>
    <cellStyle name="Separador de milhares 3 12 4 4 4" xfId="16074"/>
    <cellStyle name="Separador de milhares 3 12 4 4 4 2" xfId="42568"/>
    <cellStyle name="Separador de milhares 3 12 4 4 4 3" xfId="23663"/>
    <cellStyle name="Separador de milhares 3 12 4 4 5" xfId="10147"/>
    <cellStyle name="Separador de milhares 3 12 4 4 5 2" xfId="36660"/>
    <cellStyle name="Separador de milhares 3 12 4 4 6" xfId="30197"/>
    <cellStyle name="Separador de milhares 3 12 4 4 7" xfId="21891"/>
    <cellStyle name="Separador de milhares 3 12 4 5" xfId="2474"/>
    <cellStyle name="Separador de milhares 3 12 4 5 2" xfId="5592"/>
    <cellStyle name="Separador de milhares 3 12 4 5 2 2" xfId="8804"/>
    <cellStyle name="Separador de milhares 3 12 4 5 2 2 2" xfId="20658"/>
    <cellStyle name="Separador de milhares 3 12 4 5 2 2 2 2" xfId="47137"/>
    <cellStyle name="Separador de milhares 3 12 4 5 2 2 3" xfId="14731"/>
    <cellStyle name="Separador de milhares 3 12 4 5 2 2 3 2" xfId="41229"/>
    <cellStyle name="Separador de milhares 3 12 4 5 2 2 4" xfId="35321"/>
    <cellStyle name="Separador de milhares 3 12 4 5 2 2 5" xfId="28787"/>
    <cellStyle name="Separador de milhares 3 12 4 5 2 3" xfId="17694"/>
    <cellStyle name="Separador de milhares 3 12 4 5 2 3 2" xfId="44183"/>
    <cellStyle name="Separador de milhares 3 12 4 5 2 4" xfId="11767"/>
    <cellStyle name="Separador de milhares 3 12 4 5 2 4 2" xfId="38275"/>
    <cellStyle name="Separador de milhares 3 12 4 5 2 5" xfId="32119"/>
    <cellStyle name="Separador de milhares 3 12 4 5 2 6" xfId="25585"/>
    <cellStyle name="Separador de milhares 3 12 4 5 3" xfId="7332"/>
    <cellStyle name="Separador de milhares 3 12 4 5 3 2" xfId="19186"/>
    <cellStyle name="Separador de milhares 3 12 4 5 3 2 2" xfId="45669"/>
    <cellStyle name="Separador de milhares 3 12 4 5 3 3" xfId="13259"/>
    <cellStyle name="Separador de milhares 3 12 4 5 3 3 2" xfId="39761"/>
    <cellStyle name="Separador de milhares 3 12 4 5 3 4" xfId="33853"/>
    <cellStyle name="Separador de milhares 3 12 4 5 3 5" xfId="27319"/>
    <cellStyle name="Separador de milhares 3 12 4 5 4" xfId="16222"/>
    <cellStyle name="Separador de milhares 3 12 4 5 4 2" xfId="42715"/>
    <cellStyle name="Separador de milhares 3 12 4 5 4 3" xfId="23813"/>
    <cellStyle name="Separador de milhares 3 12 4 5 5" xfId="10295"/>
    <cellStyle name="Separador de milhares 3 12 4 5 5 2" xfId="36807"/>
    <cellStyle name="Separador de milhares 3 12 4 5 6" xfId="30347"/>
    <cellStyle name="Separador de milhares 3 12 4 5 7" xfId="22041"/>
    <cellStyle name="Separador de milhares 3 12 4 6" xfId="3002"/>
    <cellStyle name="Separador de milhares 3 12 4 6 2" xfId="5739"/>
    <cellStyle name="Separador de milhares 3 12 4 6 2 2" xfId="8951"/>
    <cellStyle name="Separador de milhares 3 12 4 6 2 2 2" xfId="20805"/>
    <cellStyle name="Separador de milhares 3 12 4 6 2 2 2 2" xfId="47284"/>
    <cellStyle name="Separador de milhares 3 12 4 6 2 2 3" xfId="14878"/>
    <cellStyle name="Separador de milhares 3 12 4 6 2 2 3 2" xfId="41376"/>
    <cellStyle name="Separador de milhares 3 12 4 6 2 2 4" xfId="35468"/>
    <cellStyle name="Separador de milhares 3 12 4 6 2 2 5" xfId="28934"/>
    <cellStyle name="Separador de milhares 3 12 4 6 2 3" xfId="17841"/>
    <cellStyle name="Separador de milhares 3 12 4 6 2 3 2" xfId="44330"/>
    <cellStyle name="Separador de milhares 3 12 4 6 2 4" xfId="11914"/>
    <cellStyle name="Separador de milhares 3 12 4 6 2 4 2" xfId="38422"/>
    <cellStyle name="Separador de milhares 3 12 4 6 2 5" xfId="32266"/>
    <cellStyle name="Separador de milhares 3 12 4 6 2 6" xfId="25732"/>
    <cellStyle name="Separador de milhares 3 12 4 6 3" xfId="7480"/>
    <cellStyle name="Separador de milhares 3 12 4 6 3 2" xfId="19334"/>
    <cellStyle name="Separador de milhares 3 12 4 6 3 2 2" xfId="45816"/>
    <cellStyle name="Separador de milhares 3 12 4 6 3 3" xfId="13407"/>
    <cellStyle name="Separador de milhares 3 12 4 6 3 3 2" xfId="39908"/>
    <cellStyle name="Separador de milhares 3 12 4 6 3 4" xfId="34000"/>
    <cellStyle name="Separador de milhares 3 12 4 6 3 5" xfId="27466"/>
    <cellStyle name="Separador de milhares 3 12 4 6 4" xfId="16370"/>
    <cellStyle name="Separador de milhares 3 12 4 6 4 2" xfId="42862"/>
    <cellStyle name="Separador de milhares 3 12 4 6 4 3" xfId="23960"/>
    <cellStyle name="Separador de milhares 3 12 4 6 5" xfId="10443"/>
    <cellStyle name="Separador de milhares 3 12 4 6 5 2" xfId="36954"/>
    <cellStyle name="Separador de milhares 3 12 4 6 6" xfId="30494"/>
    <cellStyle name="Separador de milhares 3 12 4 6 7" xfId="22188"/>
    <cellStyle name="Separador de milhares 3 12 4 7" xfId="3530"/>
    <cellStyle name="Separador de milhares 3 12 4 7 2" xfId="5886"/>
    <cellStyle name="Separador de milhares 3 12 4 7 2 2" xfId="9098"/>
    <cellStyle name="Separador de milhares 3 12 4 7 2 2 2" xfId="20952"/>
    <cellStyle name="Separador de milhares 3 12 4 7 2 2 2 2" xfId="47431"/>
    <cellStyle name="Separador de milhares 3 12 4 7 2 2 3" xfId="15025"/>
    <cellStyle name="Separador de milhares 3 12 4 7 2 2 3 2" xfId="41523"/>
    <cellStyle name="Separador de milhares 3 12 4 7 2 2 4" xfId="35615"/>
    <cellStyle name="Separador de milhares 3 12 4 7 2 2 5" xfId="29081"/>
    <cellStyle name="Separador de milhares 3 12 4 7 2 3" xfId="17988"/>
    <cellStyle name="Separador de milhares 3 12 4 7 2 3 2" xfId="44477"/>
    <cellStyle name="Separador de milhares 3 12 4 7 2 4" xfId="12061"/>
    <cellStyle name="Separador de milhares 3 12 4 7 2 4 2" xfId="38569"/>
    <cellStyle name="Separador de milhares 3 12 4 7 2 5" xfId="32413"/>
    <cellStyle name="Separador de milhares 3 12 4 7 2 6" xfId="25879"/>
    <cellStyle name="Separador de milhares 3 12 4 7 3" xfId="7628"/>
    <cellStyle name="Separador de milhares 3 12 4 7 3 2" xfId="19482"/>
    <cellStyle name="Separador de milhares 3 12 4 7 3 2 2" xfId="45963"/>
    <cellStyle name="Separador de milhares 3 12 4 7 3 3" xfId="13555"/>
    <cellStyle name="Separador de milhares 3 12 4 7 3 3 2" xfId="40055"/>
    <cellStyle name="Separador de milhares 3 12 4 7 3 4" xfId="34147"/>
    <cellStyle name="Separador de milhares 3 12 4 7 3 5" xfId="27613"/>
    <cellStyle name="Separador de milhares 3 12 4 7 4" xfId="16518"/>
    <cellStyle name="Separador de milhares 3 12 4 7 4 2" xfId="43009"/>
    <cellStyle name="Separador de milhares 3 12 4 7 4 3" xfId="24107"/>
    <cellStyle name="Separador de milhares 3 12 4 7 5" xfId="10591"/>
    <cellStyle name="Separador de milhares 3 12 4 7 5 2" xfId="37101"/>
    <cellStyle name="Separador de milhares 3 12 4 7 6" xfId="30641"/>
    <cellStyle name="Separador de milhares 3 12 4 7 7" xfId="22335"/>
    <cellStyle name="Separador de milhares 3 12 4 8" xfId="4058"/>
    <cellStyle name="Separador de milhares 3 12 4 8 2" xfId="6033"/>
    <cellStyle name="Separador de milhares 3 12 4 8 2 2" xfId="9245"/>
    <cellStyle name="Separador de milhares 3 12 4 8 2 2 2" xfId="21099"/>
    <cellStyle name="Separador de milhares 3 12 4 8 2 2 2 2" xfId="47578"/>
    <cellStyle name="Separador de milhares 3 12 4 8 2 2 3" xfId="15172"/>
    <cellStyle name="Separador de milhares 3 12 4 8 2 2 3 2" xfId="41670"/>
    <cellStyle name="Separador de milhares 3 12 4 8 2 2 4" xfId="35762"/>
    <cellStyle name="Separador de milhares 3 12 4 8 2 2 5" xfId="29228"/>
    <cellStyle name="Separador de milhares 3 12 4 8 2 3" xfId="18135"/>
    <cellStyle name="Separador de milhares 3 12 4 8 2 3 2" xfId="44624"/>
    <cellStyle name="Separador de milhares 3 12 4 8 2 4" xfId="12208"/>
    <cellStyle name="Separador de milhares 3 12 4 8 2 4 2" xfId="38716"/>
    <cellStyle name="Separador de milhares 3 12 4 8 2 5" xfId="32560"/>
    <cellStyle name="Separador de milhares 3 12 4 8 2 6" xfId="26026"/>
    <cellStyle name="Separador de milhares 3 12 4 8 3" xfId="7776"/>
    <cellStyle name="Separador de milhares 3 12 4 8 3 2" xfId="19630"/>
    <cellStyle name="Separador de milhares 3 12 4 8 3 2 2" xfId="46110"/>
    <cellStyle name="Separador de milhares 3 12 4 8 3 3" xfId="13703"/>
    <cellStyle name="Separador de milhares 3 12 4 8 3 3 2" xfId="40202"/>
    <cellStyle name="Separador de milhares 3 12 4 8 3 4" xfId="34294"/>
    <cellStyle name="Separador de milhares 3 12 4 8 3 5" xfId="27760"/>
    <cellStyle name="Separador de milhares 3 12 4 8 4" xfId="16666"/>
    <cellStyle name="Separador de milhares 3 12 4 8 4 2" xfId="43156"/>
    <cellStyle name="Separador de milhares 3 12 4 8 4 3" xfId="24254"/>
    <cellStyle name="Separador de milhares 3 12 4 8 5" xfId="10739"/>
    <cellStyle name="Separador de milhares 3 12 4 8 5 2" xfId="37248"/>
    <cellStyle name="Separador de milhares 3 12 4 8 6" xfId="30788"/>
    <cellStyle name="Separador de milhares 3 12 4 8 7" xfId="22482"/>
    <cellStyle name="Separador de milhares 3 12 4 9" xfId="814"/>
    <cellStyle name="Separador de milhares 3 12 4 9 2" xfId="5127"/>
    <cellStyle name="Separador de milhares 3 12 4 9 2 2" xfId="8342"/>
    <cellStyle name="Separador de milhares 3 12 4 9 2 2 2" xfId="20196"/>
    <cellStyle name="Separador de milhares 3 12 4 9 2 2 2 2" xfId="46675"/>
    <cellStyle name="Separador de milhares 3 12 4 9 2 2 3" xfId="14269"/>
    <cellStyle name="Separador de milhares 3 12 4 9 2 2 3 2" xfId="40767"/>
    <cellStyle name="Separador de milhares 3 12 4 9 2 2 4" xfId="34859"/>
    <cellStyle name="Separador de milhares 3 12 4 9 2 2 5" xfId="28325"/>
    <cellStyle name="Separador de milhares 3 12 4 9 2 3" xfId="17232"/>
    <cellStyle name="Separador de milhares 3 12 4 9 2 3 2" xfId="43721"/>
    <cellStyle name="Separador de milhares 3 12 4 9 2 4" xfId="11305"/>
    <cellStyle name="Separador de milhares 3 12 4 9 2 4 2" xfId="37813"/>
    <cellStyle name="Separador de milhares 3 12 4 9 2 5" xfId="31654"/>
    <cellStyle name="Separador de milhares 3 12 4 9 2 6" xfId="25120"/>
    <cellStyle name="Separador de milhares 3 12 4 9 3" xfId="6869"/>
    <cellStyle name="Separador de milhares 3 12 4 9 3 2" xfId="18723"/>
    <cellStyle name="Separador de milhares 3 12 4 9 3 2 2" xfId="45207"/>
    <cellStyle name="Separador de milhares 3 12 4 9 3 3" xfId="12796"/>
    <cellStyle name="Separador de milhares 3 12 4 9 3 3 2" xfId="39299"/>
    <cellStyle name="Separador de milhares 3 12 4 9 3 4" xfId="33391"/>
    <cellStyle name="Separador de milhares 3 12 4 9 3 5" xfId="26857"/>
    <cellStyle name="Separador de milhares 3 12 4 9 4" xfId="15759"/>
    <cellStyle name="Separador de milhares 3 12 4 9 4 2" xfId="42253"/>
    <cellStyle name="Separador de milhares 3 12 4 9 4 3" xfId="23348"/>
    <cellStyle name="Separador de milhares 3 12 4 9 5" xfId="9832"/>
    <cellStyle name="Separador de milhares 3 12 4 9 5 2" xfId="36345"/>
    <cellStyle name="Separador de milhares 3 12 4 9 6" xfId="29882"/>
    <cellStyle name="Separador de milhares 3 12 4 9 7" xfId="21576"/>
    <cellStyle name="Separador de milhares 3 12 5" xfId="767"/>
    <cellStyle name="Separador de milhares 3 12 5 10" xfId="15722"/>
    <cellStyle name="Separador de milhares 3 12 5 10 2" xfId="42219"/>
    <cellStyle name="Separador de milhares 3 12 5 10 3" xfId="23314"/>
    <cellStyle name="Separador de milhares 3 12 5 11" xfId="9795"/>
    <cellStyle name="Separador de milhares 3 12 5 11 2" xfId="36311"/>
    <cellStyle name="Separador de milhares 3 12 5 12" xfId="29848"/>
    <cellStyle name="Separador de milhares 3 12 5 13" xfId="21542"/>
    <cellStyle name="Separador de milhares 3 12 5 2" xfId="1590"/>
    <cellStyle name="Separador de milhares 3 12 5 2 2" xfId="5344"/>
    <cellStyle name="Separador de milhares 3 12 5 2 2 2" xfId="8559"/>
    <cellStyle name="Separador de milhares 3 12 5 2 2 2 2" xfId="20413"/>
    <cellStyle name="Separador de milhares 3 12 5 2 2 2 2 2" xfId="46892"/>
    <cellStyle name="Separador de milhares 3 12 5 2 2 2 3" xfId="14486"/>
    <cellStyle name="Separador de milhares 3 12 5 2 2 2 3 2" xfId="40984"/>
    <cellStyle name="Separador de milhares 3 12 5 2 2 2 4" xfId="35076"/>
    <cellStyle name="Separador de milhares 3 12 5 2 2 2 5" xfId="28542"/>
    <cellStyle name="Separador de milhares 3 12 5 2 2 3" xfId="17449"/>
    <cellStyle name="Separador de milhares 3 12 5 2 2 3 2" xfId="43938"/>
    <cellStyle name="Separador de milhares 3 12 5 2 2 4" xfId="11522"/>
    <cellStyle name="Separador de milhares 3 12 5 2 2 4 2" xfId="38030"/>
    <cellStyle name="Separador de milhares 3 12 5 2 2 5" xfId="31871"/>
    <cellStyle name="Separador de milhares 3 12 5 2 2 6" xfId="25337"/>
    <cellStyle name="Separador de milhares 3 12 5 2 3" xfId="7086"/>
    <cellStyle name="Separador de milhares 3 12 5 2 3 2" xfId="18940"/>
    <cellStyle name="Separador de milhares 3 12 5 2 3 2 2" xfId="45424"/>
    <cellStyle name="Separador de milhares 3 12 5 2 3 3" xfId="13013"/>
    <cellStyle name="Separador de milhares 3 12 5 2 3 3 2" xfId="39516"/>
    <cellStyle name="Separador de milhares 3 12 5 2 3 4" xfId="33608"/>
    <cellStyle name="Separador de milhares 3 12 5 2 3 5" xfId="27074"/>
    <cellStyle name="Separador de milhares 3 12 5 2 4" xfId="15976"/>
    <cellStyle name="Separador de milhares 3 12 5 2 4 2" xfId="42470"/>
    <cellStyle name="Separador de milhares 3 12 5 2 4 3" xfId="23565"/>
    <cellStyle name="Separador de milhares 3 12 5 2 5" xfId="10049"/>
    <cellStyle name="Separador de milhares 3 12 5 2 5 2" xfId="36562"/>
    <cellStyle name="Separador de milhares 3 12 5 2 6" xfId="30099"/>
    <cellStyle name="Separador de milhares 3 12 5 2 7" xfId="21793"/>
    <cellStyle name="Separador de milhares 3 12 5 3" xfId="2025"/>
    <cellStyle name="Separador de milhares 3 12 5 3 2" xfId="5463"/>
    <cellStyle name="Separador de milhares 3 12 5 3 2 2" xfId="8678"/>
    <cellStyle name="Separador de milhares 3 12 5 3 2 2 2" xfId="20532"/>
    <cellStyle name="Separador de milhares 3 12 5 3 2 2 2 2" xfId="47011"/>
    <cellStyle name="Separador de milhares 3 12 5 3 2 2 3" xfId="14605"/>
    <cellStyle name="Separador de milhares 3 12 5 3 2 2 3 2" xfId="41103"/>
    <cellStyle name="Separador de milhares 3 12 5 3 2 2 4" xfId="35195"/>
    <cellStyle name="Separador de milhares 3 12 5 3 2 2 5" xfId="28661"/>
    <cellStyle name="Separador de milhares 3 12 5 3 2 3" xfId="17568"/>
    <cellStyle name="Separador de milhares 3 12 5 3 2 3 2" xfId="44057"/>
    <cellStyle name="Separador de milhares 3 12 5 3 2 4" xfId="11641"/>
    <cellStyle name="Separador de milhares 3 12 5 3 2 4 2" xfId="38149"/>
    <cellStyle name="Separador de milhares 3 12 5 3 2 5" xfId="31990"/>
    <cellStyle name="Separador de milhares 3 12 5 3 2 6" xfId="25456"/>
    <cellStyle name="Separador de milhares 3 12 5 3 3" xfId="7205"/>
    <cellStyle name="Separador de milhares 3 12 5 3 3 2" xfId="19059"/>
    <cellStyle name="Separador de milhares 3 12 5 3 3 2 2" xfId="45543"/>
    <cellStyle name="Separador de milhares 3 12 5 3 3 3" xfId="13132"/>
    <cellStyle name="Separador de milhares 3 12 5 3 3 3 2" xfId="39635"/>
    <cellStyle name="Separador de milhares 3 12 5 3 3 4" xfId="33727"/>
    <cellStyle name="Separador de milhares 3 12 5 3 3 5" xfId="27193"/>
    <cellStyle name="Separador de milhares 3 12 5 3 4" xfId="16095"/>
    <cellStyle name="Separador de milhares 3 12 5 3 4 2" xfId="42589"/>
    <cellStyle name="Separador de milhares 3 12 5 3 4 3" xfId="23684"/>
    <cellStyle name="Separador de milhares 3 12 5 3 5" xfId="10168"/>
    <cellStyle name="Separador de milhares 3 12 5 3 5 2" xfId="36681"/>
    <cellStyle name="Separador de milhares 3 12 5 3 6" xfId="30218"/>
    <cellStyle name="Separador de milhares 3 12 5 3 7" xfId="21912"/>
    <cellStyle name="Separador de milhares 3 12 5 4" xfId="2558"/>
    <cellStyle name="Separador de milhares 3 12 5 4 2" xfId="5613"/>
    <cellStyle name="Separador de milhares 3 12 5 4 2 2" xfId="8825"/>
    <cellStyle name="Separador de milhares 3 12 5 4 2 2 2" xfId="20679"/>
    <cellStyle name="Separador de milhares 3 12 5 4 2 2 2 2" xfId="47158"/>
    <cellStyle name="Separador de milhares 3 12 5 4 2 2 3" xfId="14752"/>
    <cellStyle name="Separador de milhares 3 12 5 4 2 2 3 2" xfId="41250"/>
    <cellStyle name="Separador de milhares 3 12 5 4 2 2 4" xfId="35342"/>
    <cellStyle name="Separador de milhares 3 12 5 4 2 2 5" xfId="28808"/>
    <cellStyle name="Separador de milhares 3 12 5 4 2 3" xfId="17715"/>
    <cellStyle name="Separador de milhares 3 12 5 4 2 3 2" xfId="44204"/>
    <cellStyle name="Separador de milhares 3 12 5 4 2 4" xfId="11788"/>
    <cellStyle name="Separador de milhares 3 12 5 4 2 4 2" xfId="38296"/>
    <cellStyle name="Separador de milhares 3 12 5 4 2 5" xfId="32140"/>
    <cellStyle name="Separador de milhares 3 12 5 4 2 6" xfId="25606"/>
    <cellStyle name="Separador de milhares 3 12 5 4 3" xfId="7353"/>
    <cellStyle name="Separador de milhares 3 12 5 4 3 2" xfId="19207"/>
    <cellStyle name="Separador de milhares 3 12 5 4 3 2 2" xfId="45690"/>
    <cellStyle name="Separador de milhares 3 12 5 4 3 3" xfId="13280"/>
    <cellStyle name="Separador de milhares 3 12 5 4 3 3 2" xfId="39782"/>
    <cellStyle name="Separador de milhares 3 12 5 4 3 4" xfId="33874"/>
    <cellStyle name="Separador de milhares 3 12 5 4 3 5" xfId="27340"/>
    <cellStyle name="Separador de milhares 3 12 5 4 4" xfId="16243"/>
    <cellStyle name="Separador de milhares 3 12 5 4 4 2" xfId="42736"/>
    <cellStyle name="Separador de milhares 3 12 5 4 4 3" xfId="23834"/>
    <cellStyle name="Separador de milhares 3 12 5 4 5" xfId="10316"/>
    <cellStyle name="Separador de milhares 3 12 5 4 5 2" xfId="36828"/>
    <cellStyle name="Separador de milhares 3 12 5 4 6" xfId="30368"/>
    <cellStyle name="Separador de milhares 3 12 5 4 7" xfId="22062"/>
    <cellStyle name="Separador de milhares 3 12 5 5" xfId="3086"/>
    <cellStyle name="Separador de milhares 3 12 5 5 2" xfId="5760"/>
    <cellStyle name="Separador de milhares 3 12 5 5 2 2" xfId="8972"/>
    <cellStyle name="Separador de milhares 3 12 5 5 2 2 2" xfId="20826"/>
    <cellStyle name="Separador de milhares 3 12 5 5 2 2 2 2" xfId="47305"/>
    <cellStyle name="Separador de milhares 3 12 5 5 2 2 3" xfId="14899"/>
    <cellStyle name="Separador de milhares 3 12 5 5 2 2 3 2" xfId="41397"/>
    <cellStyle name="Separador de milhares 3 12 5 5 2 2 4" xfId="35489"/>
    <cellStyle name="Separador de milhares 3 12 5 5 2 2 5" xfId="28955"/>
    <cellStyle name="Separador de milhares 3 12 5 5 2 3" xfId="17862"/>
    <cellStyle name="Separador de milhares 3 12 5 5 2 3 2" xfId="44351"/>
    <cellStyle name="Separador de milhares 3 12 5 5 2 4" xfId="11935"/>
    <cellStyle name="Separador de milhares 3 12 5 5 2 4 2" xfId="38443"/>
    <cellStyle name="Separador de milhares 3 12 5 5 2 5" xfId="32287"/>
    <cellStyle name="Separador de milhares 3 12 5 5 2 6" xfId="25753"/>
    <cellStyle name="Separador de milhares 3 12 5 5 3" xfId="7501"/>
    <cellStyle name="Separador de milhares 3 12 5 5 3 2" xfId="19355"/>
    <cellStyle name="Separador de milhares 3 12 5 5 3 2 2" xfId="45837"/>
    <cellStyle name="Separador de milhares 3 12 5 5 3 3" xfId="13428"/>
    <cellStyle name="Separador de milhares 3 12 5 5 3 3 2" xfId="39929"/>
    <cellStyle name="Separador de milhares 3 12 5 5 3 4" xfId="34021"/>
    <cellStyle name="Separador de milhares 3 12 5 5 3 5" xfId="27487"/>
    <cellStyle name="Separador de milhares 3 12 5 5 4" xfId="16391"/>
    <cellStyle name="Separador de milhares 3 12 5 5 4 2" xfId="42883"/>
    <cellStyle name="Separador de milhares 3 12 5 5 4 3" xfId="23981"/>
    <cellStyle name="Separador de milhares 3 12 5 5 5" xfId="10464"/>
    <cellStyle name="Separador de milhares 3 12 5 5 5 2" xfId="36975"/>
    <cellStyle name="Separador de milhares 3 12 5 5 6" xfId="30515"/>
    <cellStyle name="Separador de milhares 3 12 5 5 7" xfId="22209"/>
    <cellStyle name="Separador de milhares 3 12 5 6" xfId="3614"/>
    <cellStyle name="Separador de milhares 3 12 5 6 2" xfId="5907"/>
    <cellStyle name="Separador de milhares 3 12 5 6 2 2" xfId="9119"/>
    <cellStyle name="Separador de milhares 3 12 5 6 2 2 2" xfId="20973"/>
    <cellStyle name="Separador de milhares 3 12 5 6 2 2 2 2" xfId="47452"/>
    <cellStyle name="Separador de milhares 3 12 5 6 2 2 3" xfId="15046"/>
    <cellStyle name="Separador de milhares 3 12 5 6 2 2 3 2" xfId="41544"/>
    <cellStyle name="Separador de milhares 3 12 5 6 2 2 4" xfId="35636"/>
    <cellStyle name="Separador de milhares 3 12 5 6 2 2 5" xfId="29102"/>
    <cellStyle name="Separador de milhares 3 12 5 6 2 3" xfId="18009"/>
    <cellStyle name="Separador de milhares 3 12 5 6 2 3 2" xfId="44498"/>
    <cellStyle name="Separador de milhares 3 12 5 6 2 4" xfId="12082"/>
    <cellStyle name="Separador de milhares 3 12 5 6 2 4 2" xfId="38590"/>
    <cellStyle name="Separador de milhares 3 12 5 6 2 5" xfId="32434"/>
    <cellStyle name="Separador de milhares 3 12 5 6 2 6" xfId="25900"/>
    <cellStyle name="Separador de milhares 3 12 5 6 3" xfId="7649"/>
    <cellStyle name="Separador de milhares 3 12 5 6 3 2" xfId="19503"/>
    <cellStyle name="Separador de milhares 3 12 5 6 3 2 2" xfId="45984"/>
    <cellStyle name="Separador de milhares 3 12 5 6 3 3" xfId="13576"/>
    <cellStyle name="Separador de milhares 3 12 5 6 3 3 2" xfId="40076"/>
    <cellStyle name="Separador de milhares 3 12 5 6 3 4" xfId="34168"/>
    <cellStyle name="Separador de milhares 3 12 5 6 3 5" xfId="27634"/>
    <cellStyle name="Separador de milhares 3 12 5 6 4" xfId="16539"/>
    <cellStyle name="Separador de milhares 3 12 5 6 4 2" xfId="43030"/>
    <cellStyle name="Separador de milhares 3 12 5 6 4 3" xfId="24128"/>
    <cellStyle name="Separador de milhares 3 12 5 6 5" xfId="10612"/>
    <cellStyle name="Separador de milhares 3 12 5 6 5 2" xfId="37122"/>
    <cellStyle name="Separador de milhares 3 12 5 6 6" xfId="30662"/>
    <cellStyle name="Separador de milhares 3 12 5 6 7" xfId="22356"/>
    <cellStyle name="Separador de milhares 3 12 5 7" xfId="4142"/>
    <cellStyle name="Separador de milhares 3 12 5 7 2" xfId="6054"/>
    <cellStyle name="Separador de milhares 3 12 5 7 2 2" xfId="9266"/>
    <cellStyle name="Separador de milhares 3 12 5 7 2 2 2" xfId="21120"/>
    <cellStyle name="Separador de milhares 3 12 5 7 2 2 2 2" xfId="47599"/>
    <cellStyle name="Separador de milhares 3 12 5 7 2 2 3" xfId="15193"/>
    <cellStyle name="Separador de milhares 3 12 5 7 2 2 3 2" xfId="41691"/>
    <cellStyle name="Separador de milhares 3 12 5 7 2 2 4" xfId="35783"/>
    <cellStyle name="Separador de milhares 3 12 5 7 2 2 5" xfId="29249"/>
    <cellStyle name="Separador de milhares 3 12 5 7 2 3" xfId="18156"/>
    <cellStyle name="Separador de milhares 3 12 5 7 2 3 2" xfId="44645"/>
    <cellStyle name="Separador de milhares 3 12 5 7 2 4" xfId="12229"/>
    <cellStyle name="Separador de milhares 3 12 5 7 2 4 2" xfId="38737"/>
    <cellStyle name="Separador de milhares 3 12 5 7 2 5" xfId="32581"/>
    <cellStyle name="Separador de milhares 3 12 5 7 2 6" xfId="26047"/>
    <cellStyle name="Separador de milhares 3 12 5 7 3" xfId="7797"/>
    <cellStyle name="Separador de milhares 3 12 5 7 3 2" xfId="19651"/>
    <cellStyle name="Separador de milhares 3 12 5 7 3 2 2" xfId="46131"/>
    <cellStyle name="Separador de milhares 3 12 5 7 3 3" xfId="13724"/>
    <cellStyle name="Separador de milhares 3 12 5 7 3 3 2" xfId="40223"/>
    <cellStyle name="Separador de milhares 3 12 5 7 3 4" xfId="34315"/>
    <cellStyle name="Separador de milhares 3 12 5 7 3 5" xfId="27781"/>
    <cellStyle name="Separador de milhares 3 12 5 7 4" xfId="16687"/>
    <cellStyle name="Separador de milhares 3 12 5 7 4 2" xfId="43177"/>
    <cellStyle name="Separador de milhares 3 12 5 7 4 3" xfId="24275"/>
    <cellStyle name="Separador de milhares 3 12 5 7 5" xfId="10760"/>
    <cellStyle name="Separador de milhares 3 12 5 7 5 2" xfId="37269"/>
    <cellStyle name="Separador de milhares 3 12 5 7 6" xfId="30809"/>
    <cellStyle name="Separador de milhares 3 12 5 7 7" xfId="22503"/>
    <cellStyle name="Separador de milhares 3 12 5 8" xfId="5093"/>
    <cellStyle name="Separador de milhares 3 12 5 8 2" xfId="8308"/>
    <cellStyle name="Separador de milhares 3 12 5 8 2 2" xfId="20162"/>
    <cellStyle name="Separador de milhares 3 12 5 8 2 2 2" xfId="46641"/>
    <cellStyle name="Separador de milhares 3 12 5 8 2 3" xfId="14235"/>
    <cellStyle name="Separador de milhares 3 12 5 8 2 3 2" xfId="40733"/>
    <cellStyle name="Separador de milhares 3 12 5 8 2 4" xfId="34825"/>
    <cellStyle name="Separador de milhares 3 12 5 8 2 5" xfId="28291"/>
    <cellStyle name="Separador de milhares 3 12 5 8 3" xfId="17198"/>
    <cellStyle name="Separador de milhares 3 12 5 8 3 2" xfId="43687"/>
    <cellStyle name="Separador de milhares 3 12 5 8 4" xfId="11271"/>
    <cellStyle name="Separador de milhares 3 12 5 8 4 2" xfId="37779"/>
    <cellStyle name="Separador de milhares 3 12 5 8 5" xfId="31620"/>
    <cellStyle name="Separador de milhares 3 12 5 8 6" xfId="25086"/>
    <cellStyle name="Separador de milhares 3 12 5 9" xfId="6832"/>
    <cellStyle name="Separador de milhares 3 12 5 9 2" xfId="18686"/>
    <cellStyle name="Separador de milhares 3 12 5 9 2 2" xfId="45173"/>
    <cellStyle name="Separador de milhares 3 12 5 9 3" xfId="12759"/>
    <cellStyle name="Separador de milhares 3 12 5 9 3 2" xfId="39265"/>
    <cellStyle name="Separador de milhares 3 12 5 9 4" xfId="33357"/>
    <cellStyle name="Separador de milhares 3 12 5 9 5" xfId="26823"/>
    <cellStyle name="Separador de milhares 3 12 6" xfId="888"/>
    <cellStyle name="Separador de milhares 3 12 6 2" xfId="4319"/>
    <cellStyle name="Separador de milhares 3 12 6 2 2" xfId="6103"/>
    <cellStyle name="Separador de milhares 3 12 6 2 2 2" xfId="9315"/>
    <cellStyle name="Separador de milhares 3 12 6 2 2 2 2" xfId="21169"/>
    <cellStyle name="Separador de milhares 3 12 6 2 2 2 2 2" xfId="47648"/>
    <cellStyle name="Separador de milhares 3 12 6 2 2 2 3" xfId="15242"/>
    <cellStyle name="Separador de milhares 3 12 6 2 2 2 3 2" xfId="41740"/>
    <cellStyle name="Separador de milhares 3 12 6 2 2 2 4" xfId="35832"/>
    <cellStyle name="Separador de milhares 3 12 6 2 2 2 5" xfId="29298"/>
    <cellStyle name="Separador de milhares 3 12 6 2 2 3" xfId="18205"/>
    <cellStyle name="Separador de milhares 3 12 6 2 2 3 2" xfId="44694"/>
    <cellStyle name="Separador de milhares 3 12 6 2 2 4" xfId="12278"/>
    <cellStyle name="Separador de milhares 3 12 6 2 2 4 2" xfId="38786"/>
    <cellStyle name="Separador de milhares 3 12 6 2 2 5" xfId="32630"/>
    <cellStyle name="Separador de milhares 3 12 6 2 2 6" xfId="26096"/>
    <cellStyle name="Separador de milhares 3 12 6 2 3" xfId="7847"/>
    <cellStyle name="Separador de milhares 3 12 6 2 3 2" xfId="19701"/>
    <cellStyle name="Separador de milhares 3 12 6 2 3 2 2" xfId="46180"/>
    <cellStyle name="Separador de milhares 3 12 6 2 3 3" xfId="13774"/>
    <cellStyle name="Separador de milhares 3 12 6 2 3 3 2" xfId="40272"/>
    <cellStyle name="Separador de milhares 3 12 6 2 3 4" xfId="34364"/>
    <cellStyle name="Separador de milhares 3 12 6 2 3 5" xfId="27830"/>
    <cellStyle name="Separador de milhares 3 12 6 2 4" xfId="16737"/>
    <cellStyle name="Separador de milhares 3 12 6 2 4 2" xfId="43226"/>
    <cellStyle name="Separador de milhares 3 12 6 2 4 3" xfId="24324"/>
    <cellStyle name="Separador de milhares 3 12 6 2 5" xfId="10810"/>
    <cellStyle name="Separador de milhares 3 12 6 2 5 2" xfId="37318"/>
    <cellStyle name="Separador de milhares 3 12 6 2 6" xfId="30858"/>
    <cellStyle name="Separador de milhares 3 12 6 2 7" xfId="22552"/>
    <cellStyle name="Separador de milhares 3 12 6 3" xfId="5148"/>
    <cellStyle name="Separador de milhares 3 12 6 3 2" xfId="8363"/>
    <cellStyle name="Separador de milhares 3 12 6 3 2 2" xfId="20217"/>
    <cellStyle name="Separador de milhares 3 12 6 3 2 2 2" xfId="46696"/>
    <cellStyle name="Separador de milhares 3 12 6 3 2 3" xfId="14290"/>
    <cellStyle name="Separador de milhares 3 12 6 3 2 3 2" xfId="40788"/>
    <cellStyle name="Separador de milhares 3 12 6 3 2 4" xfId="34880"/>
    <cellStyle name="Separador de milhares 3 12 6 3 2 5" xfId="28346"/>
    <cellStyle name="Separador de milhares 3 12 6 3 3" xfId="17253"/>
    <cellStyle name="Separador de milhares 3 12 6 3 3 2" xfId="43742"/>
    <cellStyle name="Separador de milhares 3 12 6 3 4" xfId="11326"/>
    <cellStyle name="Separador de milhares 3 12 6 3 4 2" xfId="37834"/>
    <cellStyle name="Separador de milhares 3 12 6 3 5" xfId="31675"/>
    <cellStyle name="Separador de milhares 3 12 6 3 6" xfId="25141"/>
    <cellStyle name="Separador de milhares 3 12 6 4" xfId="6890"/>
    <cellStyle name="Separador de milhares 3 12 6 4 2" xfId="18744"/>
    <cellStyle name="Separador de milhares 3 12 6 4 2 2" xfId="45228"/>
    <cellStyle name="Separador de milhares 3 12 6 4 3" xfId="12817"/>
    <cellStyle name="Separador de milhares 3 12 6 4 3 2" xfId="39320"/>
    <cellStyle name="Separador de milhares 3 12 6 4 4" xfId="33412"/>
    <cellStyle name="Separador de milhares 3 12 6 4 5" xfId="26878"/>
    <cellStyle name="Separador de milhares 3 12 6 5" xfId="15780"/>
    <cellStyle name="Separador de milhares 3 12 6 5 2" xfId="42274"/>
    <cellStyle name="Separador de milhares 3 12 6 5 3" xfId="23369"/>
    <cellStyle name="Separador de milhares 3 12 6 6" xfId="9853"/>
    <cellStyle name="Separador de milhares 3 12 6 6 2" xfId="36366"/>
    <cellStyle name="Separador de milhares 3 12 6 7" xfId="29903"/>
    <cellStyle name="Separador de milhares 3 12 6 8" xfId="21597"/>
    <cellStyle name="Separador de milhares 3 12 7" xfId="1239"/>
    <cellStyle name="Separador de milhares 3 12 7 2" xfId="5246"/>
    <cellStyle name="Separador de milhares 3 12 7 2 2" xfId="8461"/>
    <cellStyle name="Separador de milhares 3 12 7 2 2 2" xfId="20315"/>
    <cellStyle name="Separador de milhares 3 12 7 2 2 2 2" xfId="46794"/>
    <cellStyle name="Separador de milhares 3 12 7 2 2 3" xfId="14388"/>
    <cellStyle name="Separador de milhares 3 12 7 2 2 3 2" xfId="40886"/>
    <cellStyle name="Separador de milhares 3 12 7 2 2 4" xfId="34978"/>
    <cellStyle name="Separador de milhares 3 12 7 2 2 5" xfId="28444"/>
    <cellStyle name="Separador de milhares 3 12 7 2 3" xfId="17351"/>
    <cellStyle name="Separador de milhares 3 12 7 2 3 2" xfId="43840"/>
    <cellStyle name="Separador de milhares 3 12 7 2 4" xfId="11424"/>
    <cellStyle name="Separador de milhares 3 12 7 2 4 2" xfId="37932"/>
    <cellStyle name="Separador de milhares 3 12 7 2 5" xfId="31773"/>
    <cellStyle name="Separador de milhares 3 12 7 2 6" xfId="25239"/>
    <cellStyle name="Separador de milhares 3 12 7 3" xfId="6988"/>
    <cellStyle name="Separador de milhares 3 12 7 3 2" xfId="18842"/>
    <cellStyle name="Separador de milhares 3 12 7 3 2 2" xfId="45326"/>
    <cellStyle name="Separador de milhares 3 12 7 3 3" xfId="12915"/>
    <cellStyle name="Separador de milhares 3 12 7 3 3 2" xfId="39418"/>
    <cellStyle name="Separador de milhares 3 12 7 3 4" xfId="33510"/>
    <cellStyle name="Separador de milhares 3 12 7 3 5" xfId="26976"/>
    <cellStyle name="Separador de milhares 3 12 7 4" xfId="15878"/>
    <cellStyle name="Separador de milhares 3 12 7 4 2" xfId="42372"/>
    <cellStyle name="Separador de milhares 3 12 7 4 3" xfId="23467"/>
    <cellStyle name="Separador de milhares 3 12 7 5" xfId="9951"/>
    <cellStyle name="Separador de milhares 3 12 7 5 2" xfId="36464"/>
    <cellStyle name="Separador de milhares 3 12 7 6" xfId="30001"/>
    <cellStyle name="Separador de milhares 3 12 7 7" xfId="21695"/>
    <cellStyle name="Separador de milhares 3 12 8" xfId="1674"/>
    <cellStyle name="Separador de milhares 3 12 8 2" xfId="5365"/>
    <cellStyle name="Separador de milhares 3 12 8 2 2" xfId="8580"/>
    <cellStyle name="Separador de milhares 3 12 8 2 2 2" xfId="20434"/>
    <cellStyle name="Separador de milhares 3 12 8 2 2 2 2" xfId="46913"/>
    <cellStyle name="Separador de milhares 3 12 8 2 2 3" xfId="14507"/>
    <cellStyle name="Separador de milhares 3 12 8 2 2 3 2" xfId="41005"/>
    <cellStyle name="Separador de milhares 3 12 8 2 2 4" xfId="35097"/>
    <cellStyle name="Separador de milhares 3 12 8 2 2 5" xfId="28563"/>
    <cellStyle name="Separador de milhares 3 12 8 2 3" xfId="17470"/>
    <cellStyle name="Separador de milhares 3 12 8 2 3 2" xfId="43959"/>
    <cellStyle name="Separador de milhares 3 12 8 2 4" xfId="11543"/>
    <cellStyle name="Separador de milhares 3 12 8 2 4 2" xfId="38051"/>
    <cellStyle name="Separador de milhares 3 12 8 2 5" xfId="31892"/>
    <cellStyle name="Separador de milhares 3 12 8 2 6" xfId="25358"/>
    <cellStyle name="Separador de milhares 3 12 8 3" xfId="7107"/>
    <cellStyle name="Separador de milhares 3 12 8 3 2" xfId="18961"/>
    <cellStyle name="Separador de milhares 3 12 8 3 2 2" xfId="45445"/>
    <cellStyle name="Separador de milhares 3 12 8 3 3" xfId="13034"/>
    <cellStyle name="Separador de milhares 3 12 8 3 3 2" xfId="39537"/>
    <cellStyle name="Separador de milhares 3 12 8 3 4" xfId="33629"/>
    <cellStyle name="Separador de milhares 3 12 8 3 5" xfId="27095"/>
    <cellStyle name="Separador de milhares 3 12 8 4" xfId="15997"/>
    <cellStyle name="Separador de milhares 3 12 8 4 2" xfId="42491"/>
    <cellStyle name="Separador de milhares 3 12 8 4 3" xfId="23586"/>
    <cellStyle name="Separador de milhares 3 12 8 5" xfId="10070"/>
    <cellStyle name="Separador de milhares 3 12 8 5 2" xfId="36583"/>
    <cellStyle name="Separador de milhares 3 12 8 6" xfId="30120"/>
    <cellStyle name="Separador de milhares 3 12 8 7" xfId="21814"/>
    <cellStyle name="Separador de milhares 3 12 9" xfId="2207"/>
    <cellStyle name="Separador de milhares 3 12 9 2" xfId="5515"/>
    <cellStyle name="Separador de milhares 3 12 9 2 2" xfId="8727"/>
    <cellStyle name="Separador de milhares 3 12 9 2 2 2" xfId="20581"/>
    <cellStyle name="Separador de milhares 3 12 9 2 2 2 2" xfId="47060"/>
    <cellStyle name="Separador de milhares 3 12 9 2 2 3" xfId="14654"/>
    <cellStyle name="Separador de milhares 3 12 9 2 2 3 2" xfId="41152"/>
    <cellStyle name="Separador de milhares 3 12 9 2 2 4" xfId="35244"/>
    <cellStyle name="Separador de milhares 3 12 9 2 2 5" xfId="28710"/>
    <cellStyle name="Separador de milhares 3 12 9 2 3" xfId="17617"/>
    <cellStyle name="Separador de milhares 3 12 9 2 3 2" xfId="44106"/>
    <cellStyle name="Separador de milhares 3 12 9 2 4" xfId="11690"/>
    <cellStyle name="Separador de milhares 3 12 9 2 4 2" xfId="38198"/>
    <cellStyle name="Separador de milhares 3 12 9 2 5" xfId="32042"/>
    <cellStyle name="Separador de milhares 3 12 9 2 6" xfId="25508"/>
    <cellStyle name="Separador de milhares 3 12 9 3" xfId="7255"/>
    <cellStyle name="Separador de milhares 3 12 9 3 2" xfId="19109"/>
    <cellStyle name="Separador de milhares 3 12 9 3 2 2" xfId="45592"/>
    <cellStyle name="Separador de milhares 3 12 9 3 3" xfId="13182"/>
    <cellStyle name="Separador de milhares 3 12 9 3 3 2" xfId="39684"/>
    <cellStyle name="Separador de milhares 3 12 9 3 4" xfId="33776"/>
    <cellStyle name="Separador de milhares 3 12 9 3 5" xfId="27242"/>
    <cellStyle name="Separador de milhares 3 12 9 4" xfId="16145"/>
    <cellStyle name="Separador de milhares 3 12 9 4 2" xfId="42638"/>
    <cellStyle name="Separador de milhares 3 12 9 4 3" xfId="23736"/>
    <cellStyle name="Separador de milhares 3 12 9 5" xfId="10218"/>
    <cellStyle name="Separador de milhares 3 12 9 5 2" xfId="36730"/>
    <cellStyle name="Separador de milhares 3 12 9 6" xfId="30270"/>
    <cellStyle name="Separador de milhares 3 12 9 7" xfId="21964"/>
    <cellStyle name="Separador de milhares 3 13" xfId="233"/>
    <cellStyle name="Separador de milhares 3 13 10" xfId="2743"/>
    <cellStyle name="Separador de milhares 3 13 10 2" xfId="5664"/>
    <cellStyle name="Separador de milhares 3 13 10 2 2" xfId="8876"/>
    <cellStyle name="Separador de milhares 3 13 10 2 2 2" xfId="20730"/>
    <cellStyle name="Separador de milhares 3 13 10 2 2 2 2" xfId="47209"/>
    <cellStyle name="Separador de milhares 3 13 10 2 2 3" xfId="14803"/>
    <cellStyle name="Separador de milhares 3 13 10 2 2 3 2" xfId="41301"/>
    <cellStyle name="Separador de milhares 3 13 10 2 2 4" xfId="35393"/>
    <cellStyle name="Separador de milhares 3 13 10 2 2 5" xfId="28859"/>
    <cellStyle name="Separador de milhares 3 13 10 2 3" xfId="17766"/>
    <cellStyle name="Separador de milhares 3 13 10 2 3 2" xfId="44255"/>
    <cellStyle name="Separador de milhares 3 13 10 2 4" xfId="11839"/>
    <cellStyle name="Separador de milhares 3 13 10 2 4 2" xfId="38347"/>
    <cellStyle name="Separador de milhares 3 13 10 2 5" xfId="32191"/>
    <cellStyle name="Separador de milhares 3 13 10 2 6" xfId="25657"/>
    <cellStyle name="Separador de milhares 3 13 10 3" xfId="7405"/>
    <cellStyle name="Separador de milhares 3 13 10 3 2" xfId="19259"/>
    <cellStyle name="Separador de milhares 3 13 10 3 2 2" xfId="45741"/>
    <cellStyle name="Separador de milhares 3 13 10 3 3" xfId="13332"/>
    <cellStyle name="Separador de milhares 3 13 10 3 3 2" xfId="39833"/>
    <cellStyle name="Separador de milhares 3 13 10 3 4" xfId="33925"/>
    <cellStyle name="Separador de milhares 3 13 10 3 5" xfId="27391"/>
    <cellStyle name="Separador de milhares 3 13 10 4" xfId="16295"/>
    <cellStyle name="Separador de milhares 3 13 10 4 2" xfId="42787"/>
    <cellStyle name="Separador de milhares 3 13 10 4 3" xfId="23885"/>
    <cellStyle name="Separador de milhares 3 13 10 5" xfId="10368"/>
    <cellStyle name="Separador de milhares 3 13 10 5 2" xfId="36879"/>
    <cellStyle name="Separador de milhares 3 13 10 6" xfId="30419"/>
    <cellStyle name="Separador de milhares 3 13 10 7" xfId="22113"/>
    <cellStyle name="Separador de milhares 3 13 11" xfId="3271"/>
    <cellStyle name="Separador de milhares 3 13 11 2" xfId="5811"/>
    <cellStyle name="Separador de milhares 3 13 11 2 2" xfId="9023"/>
    <cellStyle name="Separador de milhares 3 13 11 2 2 2" xfId="20877"/>
    <cellStyle name="Separador de milhares 3 13 11 2 2 2 2" xfId="47356"/>
    <cellStyle name="Separador de milhares 3 13 11 2 2 3" xfId="14950"/>
    <cellStyle name="Separador de milhares 3 13 11 2 2 3 2" xfId="41448"/>
    <cellStyle name="Separador de milhares 3 13 11 2 2 4" xfId="35540"/>
    <cellStyle name="Separador de milhares 3 13 11 2 2 5" xfId="29006"/>
    <cellStyle name="Separador de milhares 3 13 11 2 3" xfId="17913"/>
    <cellStyle name="Separador de milhares 3 13 11 2 3 2" xfId="44402"/>
    <cellStyle name="Separador de milhares 3 13 11 2 4" xfId="11986"/>
    <cellStyle name="Separador de milhares 3 13 11 2 4 2" xfId="38494"/>
    <cellStyle name="Separador de milhares 3 13 11 2 5" xfId="32338"/>
    <cellStyle name="Separador de milhares 3 13 11 2 6" xfId="25804"/>
    <cellStyle name="Separador de milhares 3 13 11 3" xfId="7553"/>
    <cellStyle name="Separador de milhares 3 13 11 3 2" xfId="19407"/>
    <cellStyle name="Separador de milhares 3 13 11 3 2 2" xfId="45888"/>
    <cellStyle name="Separador de milhares 3 13 11 3 3" xfId="13480"/>
    <cellStyle name="Separador de milhares 3 13 11 3 3 2" xfId="39980"/>
    <cellStyle name="Separador de milhares 3 13 11 3 4" xfId="34072"/>
    <cellStyle name="Separador de milhares 3 13 11 3 5" xfId="27538"/>
    <cellStyle name="Separador de milhares 3 13 11 4" xfId="16443"/>
    <cellStyle name="Separador de milhares 3 13 11 4 2" xfId="42934"/>
    <cellStyle name="Separador de milhares 3 13 11 4 3" xfId="24032"/>
    <cellStyle name="Separador de milhares 3 13 11 5" xfId="10516"/>
    <cellStyle name="Separador de milhares 3 13 11 5 2" xfId="37026"/>
    <cellStyle name="Separador de milhares 3 13 11 6" xfId="30566"/>
    <cellStyle name="Separador de milhares 3 13 11 7" xfId="22260"/>
    <cellStyle name="Separador de milhares 3 13 12" xfId="3799"/>
    <cellStyle name="Separador de milhares 3 13 12 2" xfId="5958"/>
    <cellStyle name="Separador de milhares 3 13 12 2 2" xfId="9170"/>
    <cellStyle name="Separador de milhares 3 13 12 2 2 2" xfId="21024"/>
    <cellStyle name="Separador de milhares 3 13 12 2 2 2 2" xfId="47503"/>
    <cellStyle name="Separador de milhares 3 13 12 2 2 3" xfId="15097"/>
    <cellStyle name="Separador de milhares 3 13 12 2 2 3 2" xfId="41595"/>
    <cellStyle name="Separador de milhares 3 13 12 2 2 4" xfId="35687"/>
    <cellStyle name="Separador de milhares 3 13 12 2 2 5" xfId="29153"/>
    <cellStyle name="Separador de milhares 3 13 12 2 3" xfId="18060"/>
    <cellStyle name="Separador de milhares 3 13 12 2 3 2" xfId="44549"/>
    <cellStyle name="Separador de milhares 3 13 12 2 4" xfId="12133"/>
    <cellStyle name="Separador de milhares 3 13 12 2 4 2" xfId="38641"/>
    <cellStyle name="Separador de milhares 3 13 12 2 5" xfId="32485"/>
    <cellStyle name="Separador de milhares 3 13 12 2 6" xfId="25951"/>
    <cellStyle name="Separador de milhares 3 13 12 3" xfId="7701"/>
    <cellStyle name="Separador de milhares 3 13 12 3 2" xfId="19555"/>
    <cellStyle name="Separador de milhares 3 13 12 3 2 2" xfId="46035"/>
    <cellStyle name="Separador de milhares 3 13 12 3 3" xfId="13628"/>
    <cellStyle name="Separador de milhares 3 13 12 3 3 2" xfId="40127"/>
    <cellStyle name="Separador de milhares 3 13 12 3 4" xfId="34219"/>
    <cellStyle name="Separador de milhares 3 13 12 3 5" xfId="27685"/>
    <cellStyle name="Separador de milhares 3 13 12 4" xfId="16591"/>
    <cellStyle name="Separador de milhares 3 13 12 4 2" xfId="43081"/>
    <cellStyle name="Separador de milhares 3 13 12 4 3" xfId="24179"/>
    <cellStyle name="Separador de milhares 3 13 12 5" xfId="10664"/>
    <cellStyle name="Separador de milhares 3 13 12 5 2" xfId="37173"/>
    <cellStyle name="Separador de milhares 3 13 12 6" xfId="30713"/>
    <cellStyle name="Separador de milhares 3 13 12 7" xfId="22407"/>
    <cellStyle name="Separador de milhares 3 13 13" xfId="4942"/>
    <cellStyle name="Separador de milhares 3 13 13 2" xfId="8166"/>
    <cellStyle name="Separador de milhares 3 13 13 2 2" xfId="20020"/>
    <cellStyle name="Separador de milhares 3 13 13 2 2 2" xfId="46499"/>
    <cellStyle name="Separador de milhares 3 13 13 2 3" xfId="14093"/>
    <cellStyle name="Separador de milhares 3 13 13 2 3 2" xfId="40591"/>
    <cellStyle name="Separador de milhares 3 13 13 2 4" xfId="34683"/>
    <cellStyle name="Separador de milhares 3 13 13 2 5" xfId="28149"/>
    <cellStyle name="Separador de milhares 3 13 13 3" xfId="17056"/>
    <cellStyle name="Separador de milhares 3 13 13 3 2" xfId="43545"/>
    <cellStyle name="Separador de milhares 3 13 13 4" xfId="11129"/>
    <cellStyle name="Separador de milhares 3 13 13 4 2" xfId="37637"/>
    <cellStyle name="Separador de milhares 3 13 13 5" xfId="31469"/>
    <cellStyle name="Separador de milhares 3 13 13 6" xfId="24935"/>
    <cellStyle name="Separador de milhares 3 13 14" xfId="6690"/>
    <cellStyle name="Separador de milhares 3 13 14 2" xfId="18544"/>
    <cellStyle name="Separador de milhares 3 13 14 2 2" xfId="45031"/>
    <cellStyle name="Separador de milhares 3 13 14 3" xfId="12617"/>
    <cellStyle name="Separador de milhares 3 13 14 3 2" xfId="39123"/>
    <cellStyle name="Separador de milhares 3 13 14 4" xfId="33215"/>
    <cellStyle name="Separador de milhares 3 13 14 5" xfId="26681"/>
    <cellStyle name="Separador de milhares 3 13 15" xfId="15580"/>
    <cellStyle name="Separador de milhares 3 13 15 2" xfId="42077"/>
    <cellStyle name="Separador de milhares 3 13 15 3" xfId="23163"/>
    <cellStyle name="Separador de milhares 3 13 16" xfId="9653"/>
    <cellStyle name="Separador de milhares 3 13 16 2" xfId="36169"/>
    <cellStyle name="Separador de milhares 3 13 17" xfId="29697"/>
    <cellStyle name="Separador de milhares 3 13 2" xfId="327"/>
    <cellStyle name="Separador de milhares 3 13 2 10" xfId="4971"/>
    <cellStyle name="Separador de milhares 3 13 2 10 2" xfId="8193"/>
    <cellStyle name="Separador de milhares 3 13 2 10 2 2" xfId="20047"/>
    <cellStyle name="Separador de milhares 3 13 2 10 2 2 2" xfId="46526"/>
    <cellStyle name="Separador de milhares 3 13 2 10 2 3" xfId="14120"/>
    <cellStyle name="Separador de milhares 3 13 2 10 2 3 2" xfId="40618"/>
    <cellStyle name="Separador de milhares 3 13 2 10 2 4" xfId="34710"/>
    <cellStyle name="Separador de milhares 3 13 2 10 2 5" xfId="28176"/>
    <cellStyle name="Separador de milhares 3 13 2 10 3" xfId="17083"/>
    <cellStyle name="Separador de milhares 3 13 2 10 3 2" xfId="43572"/>
    <cellStyle name="Separador de milhares 3 13 2 10 4" xfId="11156"/>
    <cellStyle name="Separador de milhares 3 13 2 10 4 2" xfId="37664"/>
    <cellStyle name="Separador de milhares 3 13 2 10 5" xfId="31498"/>
    <cellStyle name="Separador de milhares 3 13 2 10 6" xfId="24964"/>
    <cellStyle name="Separador de milhares 3 13 2 11" xfId="6717"/>
    <cellStyle name="Separador de milhares 3 13 2 11 2" xfId="18571"/>
    <cellStyle name="Separador de milhares 3 13 2 11 2 2" xfId="45058"/>
    <cellStyle name="Separador de milhares 3 13 2 11 3" xfId="12644"/>
    <cellStyle name="Separador de milhares 3 13 2 11 3 2" xfId="39150"/>
    <cellStyle name="Separador de milhares 3 13 2 11 4" xfId="33242"/>
    <cellStyle name="Separador de milhares 3 13 2 11 5" xfId="26708"/>
    <cellStyle name="Separador de milhares 3 13 2 12" xfId="15607"/>
    <cellStyle name="Separador de milhares 3 13 2 12 2" xfId="42104"/>
    <cellStyle name="Separador de milhares 3 13 2 12 3" xfId="23192"/>
    <cellStyle name="Separador de milhares 3 13 2 13" xfId="9680"/>
    <cellStyle name="Separador de milhares 3 13 2 13 2" xfId="36196"/>
    <cellStyle name="Separador de milhares 3 13 2 14" xfId="29726"/>
    <cellStyle name="Separador de milhares 3 13 2 15" xfId="21444"/>
    <cellStyle name="Separador de milhares 3 13 2 2" xfId="602"/>
    <cellStyle name="Separador de milhares 3 13 2 2 10" xfId="9754"/>
    <cellStyle name="Separador de milhares 3 13 2 2 10 2" xfId="36270"/>
    <cellStyle name="Separador de milhares 3 13 2 2 11" xfId="29807"/>
    <cellStyle name="Separador de milhares 3 13 2 2 12" xfId="21502"/>
    <cellStyle name="Separador de milhares 3 13 2 2 2" xfId="2123"/>
    <cellStyle name="Separador de milhares 3 13 2 2 2 2" xfId="5490"/>
    <cellStyle name="Separador de milhares 3 13 2 2 2 2 2" xfId="8705"/>
    <cellStyle name="Separador de milhares 3 13 2 2 2 2 2 2" xfId="20559"/>
    <cellStyle name="Separador de milhares 3 13 2 2 2 2 2 2 2" xfId="47038"/>
    <cellStyle name="Separador de milhares 3 13 2 2 2 2 2 3" xfId="14632"/>
    <cellStyle name="Separador de milhares 3 13 2 2 2 2 2 3 2" xfId="41130"/>
    <cellStyle name="Separador de milhares 3 13 2 2 2 2 2 4" xfId="35222"/>
    <cellStyle name="Separador de milhares 3 13 2 2 2 2 2 5" xfId="28688"/>
    <cellStyle name="Separador de milhares 3 13 2 2 2 2 3" xfId="17595"/>
    <cellStyle name="Separador de milhares 3 13 2 2 2 2 3 2" xfId="44084"/>
    <cellStyle name="Separador de milhares 3 13 2 2 2 2 4" xfId="11668"/>
    <cellStyle name="Separador de milhares 3 13 2 2 2 2 4 2" xfId="38176"/>
    <cellStyle name="Separador de milhares 3 13 2 2 2 2 5" xfId="32017"/>
    <cellStyle name="Separador de milhares 3 13 2 2 2 2 6" xfId="25483"/>
    <cellStyle name="Separador de milhares 3 13 2 2 2 3" xfId="7233"/>
    <cellStyle name="Separador de milhares 3 13 2 2 2 3 2" xfId="19087"/>
    <cellStyle name="Separador de milhares 3 13 2 2 2 3 2 2" xfId="45570"/>
    <cellStyle name="Separador de milhares 3 13 2 2 2 3 3" xfId="13160"/>
    <cellStyle name="Separador de milhares 3 13 2 2 2 3 3 2" xfId="39662"/>
    <cellStyle name="Separador de milhares 3 13 2 2 2 3 4" xfId="33754"/>
    <cellStyle name="Separador de milhares 3 13 2 2 2 3 5" xfId="27220"/>
    <cellStyle name="Separador de milhares 3 13 2 2 2 4" xfId="16123"/>
    <cellStyle name="Separador de milhares 3 13 2 2 2 4 2" xfId="42616"/>
    <cellStyle name="Separador de milhares 3 13 2 2 2 4 3" xfId="23711"/>
    <cellStyle name="Separador de milhares 3 13 2 2 2 5" xfId="10196"/>
    <cellStyle name="Separador de milhares 3 13 2 2 2 5 2" xfId="36708"/>
    <cellStyle name="Separador de milhares 3 13 2 2 2 6" xfId="30245"/>
    <cellStyle name="Separador de milhares 3 13 2 2 2 7" xfId="21939"/>
    <cellStyle name="Separador de milhares 3 13 2 2 3" xfId="2656"/>
    <cellStyle name="Separador de milhares 3 13 2 2 3 2" xfId="5640"/>
    <cellStyle name="Separador de milhares 3 13 2 2 3 2 2" xfId="8852"/>
    <cellStyle name="Separador de milhares 3 13 2 2 3 2 2 2" xfId="20706"/>
    <cellStyle name="Separador de milhares 3 13 2 2 3 2 2 2 2" xfId="47185"/>
    <cellStyle name="Separador de milhares 3 13 2 2 3 2 2 3" xfId="14779"/>
    <cellStyle name="Separador de milhares 3 13 2 2 3 2 2 3 2" xfId="41277"/>
    <cellStyle name="Separador de milhares 3 13 2 2 3 2 2 4" xfId="35369"/>
    <cellStyle name="Separador de milhares 3 13 2 2 3 2 2 5" xfId="28835"/>
    <cellStyle name="Separador de milhares 3 13 2 2 3 2 3" xfId="17742"/>
    <cellStyle name="Separador de milhares 3 13 2 2 3 2 3 2" xfId="44231"/>
    <cellStyle name="Separador de milhares 3 13 2 2 3 2 4" xfId="11815"/>
    <cellStyle name="Separador de milhares 3 13 2 2 3 2 4 2" xfId="38323"/>
    <cellStyle name="Separador de milhares 3 13 2 2 3 2 5" xfId="32167"/>
    <cellStyle name="Separador de milhares 3 13 2 2 3 2 6" xfId="25633"/>
    <cellStyle name="Separador de milhares 3 13 2 2 3 3" xfId="7381"/>
    <cellStyle name="Separador de milhares 3 13 2 2 3 3 2" xfId="19235"/>
    <cellStyle name="Separador de milhares 3 13 2 2 3 3 2 2" xfId="45717"/>
    <cellStyle name="Separador de milhares 3 13 2 2 3 3 3" xfId="13308"/>
    <cellStyle name="Separador de milhares 3 13 2 2 3 3 3 2" xfId="39809"/>
    <cellStyle name="Separador de milhares 3 13 2 2 3 3 4" xfId="33901"/>
    <cellStyle name="Separador de milhares 3 13 2 2 3 3 5" xfId="27367"/>
    <cellStyle name="Separador de milhares 3 13 2 2 3 4" xfId="16271"/>
    <cellStyle name="Separador de milhares 3 13 2 2 3 4 2" xfId="42763"/>
    <cellStyle name="Separador de milhares 3 13 2 2 3 4 3" xfId="23861"/>
    <cellStyle name="Separador de milhares 3 13 2 2 3 5" xfId="10344"/>
    <cellStyle name="Separador de milhares 3 13 2 2 3 5 2" xfId="36855"/>
    <cellStyle name="Separador de milhares 3 13 2 2 3 6" xfId="30395"/>
    <cellStyle name="Separador de milhares 3 13 2 2 3 7" xfId="22089"/>
    <cellStyle name="Separador de milhares 3 13 2 2 4" xfId="3184"/>
    <cellStyle name="Separador de milhares 3 13 2 2 4 2" xfId="5787"/>
    <cellStyle name="Separador de milhares 3 13 2 2 4 2 2" xfId="8999"/>
    <cellStyle name="Separador de milhares 3 13 2 2 4 2 2 2" xfId="20853"/>
    <cellStyle name="Separador de milhares 3 13 2 2 4 2 2 2 2" xfId="47332"/>
    <cellStyle name="Separador de milhares 3 13 2 2 4 2 2 3" xfId="14926"/>
    <cellStyle name="Separador de milhares 3 13 2 2 4 2 2 3 2" xfId="41424"/>
    <cellStyle name="Separador de milhares 3 13 2 2 4 2 2 4" xfId="35516"/>
    <cellStyle name="Separador de milhares 3 13 2 2 4 2 2 5" xfId="28982"/>
    <cellStyle name="Separador de milhares 3 13 2 2 4 2 3" xfId="17889"/>
    <cellStyle name="Separador de milhares 3 13 2 2 4 2 3 2" xfId="44378"/>
    <cellStyle name="Separador de milhares 3 13 2 2 4 2 4" xfId="11962"/>
    <cellStyle name="Separador de milhares 3 13 2 2 4 2 4 2" xfId="38470"/>
    <cellStyle name="Separador de milhares 3 13 2 2 4 2 5" xfId="32314"/>
    <cellStyle name="Separador de milhares 3 13 2 2 4 2 6" xfId="25780"/>
    <cellStyle name="Separador de milhares 3 13 2 2 4 3" xfId="7529"/>
    <cellStyle name="Separador de milhares 3 13 2 2 4 3 2" xfId="19383"/>
    <cellStyle name="Separador de milhares 3 13 2 2 4 3 2 2" xfId="45864"/>
    <cellStyle name="Separador de milhares 3 13 2 2 4 3 3" xfId="13456"/>
    <cellStyle name="Separador de milhares 3 13 2 2 4 3 3 2" xfId="39956"/>
    <cellStyle name="Separador de milhares 3 13 2 2 4 3 4" xfId="34048"/>
    <cellStyle name="Separador de milhares 3 13 2 2 4 3 5" xfId="27514"/>
    <cellStyle name="Separador de milhares 3 13 2 2 4 4" xfId="16419"/>
    <cellStyle name="Separador de milhares 3 13 2 2 4 4 2" xfId="42910"/>
    <cellStyle name="Separador de milhares 3 13 2 2 4 4 3" xfId="24008"/>
    <cellStyle name="Separador de milhares 3 13 2 2 4 5" xfId="10492"/>
    <cellStyle name="Separador de milhares 3 13 2 2 4 5 2" xfId="37002"/>
    <cellStyle name="Separador de milhares 3 13 2 2 4 6" xfId="30542"/>
    <cellStyle name="Separador de milhares 3 13 2 2 4 7" xfId="22236"/>
    <cellStyle name="Separador de milhares 3 13 2 2 5" xfId="3712"/>
    <cellStyle name="Separador de milhares 3 13 2 2 5 2" xfId="5934"/>
    <cellStyle name="Separador de milhares 3 13 2 2 5 2 2" xfId="9146"/>
    <cellStyle name="Separador de milhares 3 13 2 2 5 2 2 2" xfId="21000"/>
    <cellStyle name="Separador de milhares 3 13 2 2 5 2 2 2 2" xfId="47479"/>
    <cellStyle name="Separador de milhares 3 13 2 2 5 2 2 3" xfId="15073"/>
    <cellStyle name="Separador de milhares 3 13 2 2 5 2 2 3 2" xfId="41571"/>
    <cellStyle name="Separador de milhares 3 13 2 2 5 2 2 4" xfId="35663"/>
    <cellStyle name="Separador de milhares 3 13 2 2 5 2 2 5" xfId="29129"/>
    <cellStyle name="Separador de milhares 3 13 2 2 5 2 3" xfId="18036"/>
    <cellStyle name="Separador de milhares 3 13 2 2 5 2 3 2" xfId="44525"/>
    <cellStyle name="Separador de milhares 3 13 2 2 5 2 4" xfId="12109"/>
    <cellStyle name="Separador de milhares 3 13 2 2 5 2 4 2" xfId="38617"/>
    <cellStyle name="Separador de milhares 3 13 2 2 5 2 5" xfId="32461"/>
    <cellStyle name="Separador de milhares 3 13 2 2 5 2 6" xfId="25927"/>
    <cellStyle name="Separador de milhares 3 13 2 2 5 3" xfId="7677"/>
    <cellStyle name="Separador de milhares 3 13 2 2 5 3 2" xfId="19531"/>
    <cellStyle name="Separador de milhares 3 13 2 2 5 3 2 2" xfId="46011"/>
    <cellStyle name="Separador de milhares 3 13 2 2 5 3 3" xfId="13604"/>
    <cellStyle name="Separador de milhares 3 13 2 2 5 3 3 2" xfId="40103"/>
    <cellStyle name="Separador de milhares 3 13 2 2 5 3 4" xfId="34195"/>
    <cellStyle name="Separador de milhares 3 13 2 2 5 3 5" xfId="27661"/>
    <cellStyle name="Separador de milhares 3 13 2 2 5 4" xfId="16567"/>
    <cellStyle name="Separador de milhares 3 13 2 2 5 4 2" xfId="43057"/>
    <cellStyle name="Separador de milhares 3 13 2 2 5 4 3" xfId="24155"/>
    <cellStyle name="Separador de milhares 3 13 2 2 5 5" xfId="10640"/>
    <cellStyle name="Separador de milhares 3 13 2 2 5 5 2" xfId="37149"/>
    <cellStyle name="Separador de milhares 3 13 2 2 5 6" xfId="30689"/>
    <cellStyle name="Separador de milhares 3 13 2 2 5 7" xfId="22383"/>
    <cellStyle name="Separador de milhares 3 13 2 2 6" xfId="4240"/>
    <cellStyle name="Separador de milhares 3 13 2 2 6 2" xfId="6081"/>
    <cellStyle name="Separador de milhares 3 13 2 2 6 2 2" xfId="9293"/>
    <cellStyle name="Separador de milhares 3 13 2 2 6 2 2 2" xfId="21147"/>
    <cellStyle name="Separador de milhares 3 13 2 2 6 2 2 2 2" xfId="47626"/>
    <cellStyle name="Separador de milhares 3 13 2 2 6 2 2 3" xfId="15220"/>
    <cellStyle name="Separador de milhares 3 13 2 2 6 2 2 3 2" xfId="41718"/>
    <cellStyle name="Separador de milhares 3 13 2 2 6 2 2 4" xfId="35810"/>
    <cellStyle name="Separador de milhares 3 13 2 2 6 2 2 5" xfId="29276"/>
    <cellStyle name="Separador de milhares 3 13 2 2 6 2 3" xfId="18183"/>
    <cellStyle name="Separador de milhares 3 13 2 2 6 2 3 2" xfId="44672"/>
    <cellStyle name="Separador de milhares 3 13 2 2 6 2 4" xfId="12256"/>
    <cellStyle name="Separador de milhares 3 13 2 2 6 2 4 2" xfId="38764"/>
    <cellStyle name="Separador de milhares 3 13 2 2 6 2 5" xfId="32608"/>
    <cellStyle name="Separador de milhares 3 13 2 2 6 2 6" xfId="26074"/>
    <cellStyle name="Separador de milhares 3 13 2 2 6 3" xfId="7825"/>
    <cellStyle name="Separador de milhares 3 13 2 2 6 3 2" xfId="19679"/>
    <cellStyle name="Separador de milhares 3 13 2 2 6 3 2 2" xfId="46158"/>
    <cellStyle name="Separador de milhares 3 13 2 2 6 3 3" xfId="13752"/>
    <cellStyle name="Separador de milhares 3 13 2 2 6 3 3 2" xfId="40250"/>
    <cellStyle name="Separador de milhares 3 13 2 2 6 3 4" xfId="34342"/>
    <cellStyle name="Separador de milhares 3 13 2 2 6 3 5" xfId="27808"/>
    <cellStyle name="Separador de milhares 3 13 2 2 6 4" xfId="16715"/>
    <cellStyle name="Separador de milhares 3 13 2 2 6 4 2" xfId="43204"/>
    <cellStyle name="Separador de milhares 3 13 2 2 6 4 3" xfId="24302"/>
    <cellStyle name="Separador de milhares 3 13 2 2 6 5" xfId="10788"/>
    <cellStyle name="Separador de milhares 3 13 2 2 6 5 2" xfId="37296"/>
    <cellStyle name="Separador de milhares 3 13 2 2 6 6" xfId="30836"/>
    <cellStyle name="Separador de milhares 3 13 2 2 6 7" xfId="22530"/>
    <cellStyle name="Separador de milhares 3 13 2 2 7" xfId="5052"/>
    <cellStyle name="Separador de milhares 3 13 2 2 7 2" xfId="8267"/>
    <cellStyle name="Separador de milhares 3 13 2 2 7 2 2" xfId="20121"/>
    <cellStyle name="Separador de milhares 3 13 2 2 7 2 2 2" xfId="46600"/>
    <cellStyle name="Separador de milhares 3 13 2 2 7 2 3" xfId="14194"/>
    <cellStyle name="Separador de milhares 3 13 2 2 7 2 3 2" xfId="40692"/>
    <cellStyle name="Separador de milhares 3 13 2 2 7 2 4" xfId="34784"/>
    <cellStyle name="Separador de milhares 3 13 2 2 7 2 5" xfId="28250"/>
    <cellStyle name="Separador de milhares 3 13 2 2 7 3" xfId="17157"/>
    <cellStyle name="Separador de milhares 3 13 2 2 7 3 2" xfId="43646"/>
    <cellStyle name="Separador de milhares 3 13 2 2 7 4" xfId="11230"/>
    <cellStyle name="Separador de milhares 3 13 2 2 7 4 2" xfId="37738"/>
    <cellStyle name="Separador de milhares 3 13 2 2 7 5" xfId="31579"/>
    <cellStyle name="Separador de milhares 3 13 2 2 7 6" xfId="25045"/>
    <cellStyle name="Separador de milhares 3 13 2 2 8" xfId="6791"/>
    <cellStyle name="Separador de milhares 3 13 2 2 8 2" xfId="18645"/>
    <cellStyle name="Separador de milhares 3 13 2 2 8 2 2" xfId="45132"/>
    <cellStyle name="Separador de milhares 3 13 2 2 8 3" xfId="12718"/>
    <cellStyle name="Separador de milhares 3 13 2 2 8 3 2" xfId="39224"/>
    <cellStyle name="Separador de milhares 3 13 2 2 8 4" xfId="33316"/>
    <cellStyle name="Separador de milhares 3 13 2 2 8 5" xfId="26782"/>
    <cellStyle name="Separador de milhares 3 13 2 2 9" xfId="15681"/>
    <cellStyle name="Separador de milhares 3 13 2 2 9 2" xfId="42178"/>
    <cellStyle name="Separador de milhares 3 13 2 2 9 3" xfId="23273"/>
    <cellStyle name="Separador de milhares 3 13 2 3" xfId="1076"/>
    <cellStyle name="Separador de milhares 3 13 2 3 2" xfId="5203"/>
    <cellStyle name="Separador de milhares 3 13 2 3 2 2" xfId="8418"/>
    <cellStyle name="Separador de milhares 3 13 2 3 2 2 2" xfId="20272"/>
    <cellStyle name="Separador de milhares 3 13 2 3 2 2 2 2" xfId="46751"/>
    <cellStyle name="Separador de milhares 3 13 2 3 2 2 3" xfId="14345"/>
    <cellStyle name="Separador de milhares 3 13 2 3 2 2 3 2" xfId="40843"/>
    <cellStyle name="Separador de milhares 3 13 2 3 2 2 4" xfId="34935"/>
    <cellStyle name="Separador de milhares 3 13 2 3 2 2 5" xfId="28401"/>
    <cellStyle name="Separador de milhares 3 13 2 3 2 3" xfId="17308"/>
    <cellStyle name="Separador de milhares 3 13 2 3 2 3 2" xfId="43797"/>
    <cellStyle name="Separador de milhares 3 13 2 3 2 4" xfId="11381"/>
    <cellStyle name="Separador de milhares 3 13 2 3 2 4 2" xfId="37889"/>
    <cellStyle name="Separador de milhares 3 13 2 3 2 5" xfId="31730"/>
    <cellStyle name="Separador de milhares 3 13 2 3 2 6" xfId="25196"/>
    <cellStyle name="Separador de milhares 3 13 2 3 3" xfId="6945"/>
    <cellStyle name="Separador de milhares 3 13 2 3 3 2" xfId="18799"/>
    <cellStyle name="Separador de milhares 3 13 2 3 3 2 2" xfId="45283"/>
    <cellStyle name="Separador de milhares 3 13 2 3 3 3" xfId="12872"/>
    <cellStyle name="Separador de milhares 3 13 2 3 3 3 2" xfId="39375"/>
    <cellStyle name="Separador de milhares 3 13 2 3 3 4" xfId="33467"/>
    <cellStyle name="Separador de milhares 3 13 2 3 3 5" xfId="26933"/>
    <cellStyle name="Separador de milhares 3 13 2 3 4" xfId="15835"/>
    <cellStyle name="Separador de milhares 3 13 2 3 4 2" xfId="42329"/>
    <cellStyle name="Separador de milhares 3 13 2 3 4 3" xfId="23424"/>
    <cellStyle name="Separador de milhares 3 13 2 3 5" xfId="9908"/>
    <cellStyle name="Separador de milhares 3 13 2 3 5 2" xfId="36421"/>
    <cellStyle name="Separador de milhares 3 13 2 3 6" xfId="29958"/>
    <cellStyle name="Separador de milhares 3 13 2 3 7" xfId="21652"/>
    <cellStyle name="Separador de milhares 3 13 2 4" xfId="1427"/>
    <cellStyle name="Separador de milhares 3 13 2 4 2" xfId="5301"/>
    <cellStyle name="Separador de milhares 3 13 2 4 2 2" xfId="8516"/>
    <cellStyle name="Separador de milhares 3 13 2 4 2 2 2" xfId="20370"/>
    <cellStyle name="Separador de milhares 3 13 2 4 2 2 2 2" xfId="46849"/>
    <cellStyle name="Separador de milhares 3 13 2 4 2 2 3" xfId="14443"/>
    <cellStyle name="Separador de milhares 3 13 2 4 2 2 3 2" xfId="40941"/>
    <cellStyle name="Separador de milhares 3 13 2 4 2 2 4" xfId="35033"/>
    <cellStyle name="Separador de milhares 3 13 2 4 2 2 5" xfId="28499"/>
    <cellStyle name="Separador de milhares 3 13 2 4 2 3" xfId="17406"/>
    <cellStyle name="Separador de milhares 3 13 2 4 2 3 2" xfId="43895"/>
    <cellStyle name="Separador de milhares 3 13 2 4 2 4" xfId="11479"/>
    <cellStyle name="Separador de milhares 3 13 2 4 2 4 2" xfId="37987"/>
    <cellStyle name="Separador de milhares 3 13 2 4 2 5" xfId="31828"/>
    <cellStyle name="Separador de milhares 3 13 2 4 2 6" xfId="25294"/>
    <cellStyle name="Separador de milhares 3 13 2 4 3" xfId="7043"/>
    <cellStyle name="Separador de milhares 3 13 2 4 3 2" xfId="18897"/>
    <cellStyle name="Separador de milhares 3 13 2 4 3 2 2" xfId="45381"/>
    <cellStyle name="Separador de milhares 3 13 2 4 3 3" xfId="12970"/>
    <cellStyle name="Separador de milhares 3 13 2 4 3 3 2" xfId="39473"/>
    <cellStyle name="Separador de milhares 3 13 2 4 3 4" xfId="33565"/>
    <cellStyle name="Separador de milhares 3 13 2 4 3 5" xfId="27031"/>
    <cellStyle name="Separador de milhares 3 13 2 4 4" xfId="15933"/>
    <cellStyle name="Separador de milhares 3 13 2 4 4 2" xfId="42427"/>
    <cellStyle name="Separador de milhares 3 13 2 4 4 3" xfId="23522"/>
    <cellStyle name="Separador de milhares 3 13 2 4 5" xfId="10006"/>
    <cellStyle name="Separador de milhares 3 13 2 4 5 2" xfId="36519"/>
    <cellStyle name="Separador de milhares 3 13 2 4 6" xfId="30056"/>
    <cellStyle name="Separador de milhares 3 13 2 4 7" xfId="21750"/>
    <cellStyle name="Separador de milhares 3 13 2 5" xfId="1862"/>
    <cellStyle name="Separador de milhares 3 13 2 5 2" xfId="5420"/>
    <cellStyle name="Separador de milhares 3 13 2 5 2 2" xfId="8635"/>
    <cellStyle name="Separador de milhares 3 13 2 5 2 2 2" xfId="20489"/>
    <cellStyle name="Separador de milhares 3 13 2 5 2 2 2 2" xfId="46968"/>
    <cellStyle name="Separador de milhares 3 13 2 5 2 2 3" xfId="14562"/>
    <cellStyle name="Separador de milhares 3 13 2 5 2 2 3 2" xfId="41060"/>
    <cellStyle name="Separador de milhares 3 13 2 5 2 2 4" xfId="35152"/>
    <cellStyle name="Separador de milhares 3 13 2 5 2 2 5" xfId="28618"/>
    <cellStyle name="Separador de milhares 3 13 2 5 2 3" xfId="17525"/>
    <cellStyle name="Separador de milhares 3 13 2 5 2 3 2" xfId="44014"/>
    <cellStyle name="Separador de milhares 3 13 2 5 2 4" xfId="11598"/>
    <cellStyle name="Separador de milhares 3 13 2 5 2 4 2" xfId="38106"/>
    <cellStyle name="Separador de milhares 3 13 2 5 2 5" xfId="31947"/>
    <cellStyle name="Separador de milhares 3 13 2 5 2 6" xfId="25413"/>
    <cellStyle name="Separador de milhares 3 13 2 5 3" xfId="7162"/>
    <cellStyle name="Separador de milhares 3 13 2 5 3 2" xfId="19016"/>
    <cellStyle name="Separador de milhares 3 13 2 5 3 2 2" xfId="45500"/>
    <cellStyle name="Separador de milhares 3 13 2 5 3 3" xfId="13089"/>
    <cellStyle name="Separador de milhares 3 13 2 5 3 3 2" xfId="39592"/>
    <cellStyle name="Separador de milhares 3 13 2 5 3 4" xfId="33684"/>
    <cellStyle name="Separador de milhares 3 13 2 5 3 5" xfId="27150"/>
    <cellStyle name="Separador de milhares 3 13 2 5 4" xfId="16052"/>
    <cellStyle name="Separador de milhares 3 13 2 5 4 2" xfId="42546"/>
    <cellStyle name="Separador de milhares 3 13 2 5 4 3" xfId="23641"/>
    <cellStyle name="Separador de milhares 3 13 2 5 5" xfId="10125"/>
    <cellStyle name="Separador de milhares 3 13 2 5 5 2" xfId="36638"/>
    <cellStyle name="Separador de milhares 3 13 2 5 6" xfId="30175"/>
    <cellStyle name="Separador de milhares 3 13 2 5 7" xfId="21869"/>
    <cellStyle name="Separador de milhares 3 13 2 6" xfId="2395"/>
    <cellStyle name="Separador de milhares 3 13 2 6 2" xfId="5570"/>
    <cellStyle name="Separador de milhares 3 13 2 6 2 2" xfId="8782"/>
    <cellStyle name="Separador de milhares 3 13 2 6 2 2 2" xfId="20636"/>
    <cellStyle name="Separador de milhares 3 13 2 6 2 2 2 2" xfId="47115"/>
    <cellStyle name="Separador de milhares 3 13 2 6 2 2 3" xfId="14709"/>
    <cellStyle name="Separador de milhares 3 13 2 6 2 2 3 2" xfId="41207"/>
    <cellStyle name="Separador de milhares 3 13 2 6 2 2 4" xfId="35299"/>
    <cellStyle name="Separador de milhares 3 13 2 6 2 2 5" xfId="28765"/>
    <cellStyle name="Separador de milhares 3 13 2 6 2 3" xfId="17672"/>
    <cellStyle name="Separador de milhares 3 13 2 6 2 3 2" xfId="44161"/>
    <cellStyle name="Separador de milhares 3 13 2 6 2 4" xfId="11745"/>
    <cellStyle name="Separador de milhares 3 13 2 6 2 4 2" xfId="38253"/>
    <cellStyle name="Separador de milhares 3 13 2 6 2 5" xfId="32097"/>
    <cellStyle name="Separador de milhares 3 13 2 6 2 6" xfId="25563"/>
    <cellStyle name="Separador de milhares 3 13 2 6 3" xfId="7310"/>
    <cellStyle name="Separador de milhares 3 13 2 6 3 2" xfId="19164"/>
    <cellStyle name="Separador de milhares 3 13 2 6 3 2 2" xfId="45647"/>
    <cellStyle name="Separador de milhares 3 13 2 6 3 3" xfId="13237"/>
    <cellStyle name="Separador de milhares 3 13 2 6 3 3 2" xfId="39739"/>
    <cellStyle name="Separador de milhares 3 13 2 6 3 4" xfId="33831"/>
    <cellStyle name="Separador de milhares 3 13 2 6 3 5" xfId="27297"/>
    <cellStyle name="Separador de milhares 3 13 2 6 4" xfId="16200"/>
    <cellStyle name="Separador de milhares 3 13 2 6 4 2" xfId="42693"/>
    <cellStyle name="Separador de milhares 3 13 2 6 4 3" xfId="23791"/>
    <cellStyle name="Separador de milhares 3 13 2 6 5" xfId="10273"/>
    <cellStyle name="Separador de milhares 3 13 2 6 5 2" xfId="36785"/>
    <cellStyle name="Separador de milhares 3 13 2 6 6" xfId="30325"/>
    <cellStyle name="Separador de milhares 3 13 2 6 7" xfId="22019"/>
    <cellStyle name="Separador de milhares 3 13 2 7" xfId="2923"/>
    <cellStyle name="Separador de milhares 3 13 2 7 2" xfId="5717"/>
    <cellStyle name="Separador de milhares 3 13 2 7 2 2" xfId="8929"/>
    <cellStyle name="Separador de milhares 3 13 2 7 2 2 2" xfId="20783"/>
    <cellStyle name="Separador de milhares 3 13 2 7 2 2 2 2" xfId="47262"/>
    <cellStyle name="Separador de milhares 3 13 2 7 2 2 3" xfId="14856"/>
    <cellStyle name="Separador de milhares 3 13 2 7 2 2 3 2" xfId="41354"/>
    <cellStyle name="Separador de milhares 3 13 2 7 2 2 4" xfId="35446"/>
    <cellStyle name="Separador de milhares 3 13 2 7 2 2 5" xfId="28912"/>
    <cellStyle name="Separador de milhares 3 13 2 7 2 3" xfId="17819"/>
    <cellStyle name="Separador de milhares 3 13 2 7 2 3 2" xfId="44308"/>
    <cellStyle name="Separador de milhares 3 13 2 7 2 4" xfId="11892"/>
    <cellStyle name="Separador de milhares 3 13 2 7 2 4 2" xfId="38400"/>
    <cellStyle name="Separador de milhares 3 13 2 7 2 5" xfId="32244"/>
    <cellStyle name="Separador de milhares 3 13 2 7 2 6" xfId="25710"/>
    <cellStyle name="Separador de milhares 3 13 2 7 3" xfId="7458"/>
    <cellStyle name="Separador de milhares 3 13 2 7 3 2" xfId="19312"/>
    <cellStyle name="Separador de milhares 3 13 2 7 3 2 2" xfId="45794"/>
    <cellStyle name="Separador de milhares 3 13 2 7 3 3" xfId="13385"/>
    <cellStyle name="Separador de milhares 3 13 2 7 3 3 2" xfId="39886"/>
    <cellStyle name="Separador de milhares 3 13 2 7 3 4" xfId="33978"/>
    <cellStyle name="Separador de milhares 3 13 2 7 3 5" xfId="27444"/>
    <cellStyle name="Separador de milhares 3 13 2 7 4" xfId="16348"/>
    <cellStyle name="Separador de milhares 3 13 2 7 4 2" xfId="42840"/>
    <cellStyle name="Separador de milhares 3 13 2 7 4 3" xfId="23938"/>
    <cellStyle name="Separador de milhares 3 13 2 7 5" xfId="10421"/>
    <cellStyle name="Separador de milhares 3 13 2 7 5 2" xfId="36932"/>
    <cellStyle name="Separador de milhares 3 13 2 7 6" xfId="30472"/>
    <cellStyle name="Separador de milhares 3 13 2 7 7" xfId="22166"/>
    <cellStyle name="Separador de milhares 3 13 2 8" xfId="3451"/>
    <cellStyle name="Separador de milhares 3 13 2 8 2" xfId="5864"/>
    <cellStyle name="Separador de milhares 3 13 2 8 2 2" xfId="9076"/>
    <cellStyle name="Separador de milhares 3 13 2 8 2 2 2" xfId="20930"/>
    <cellStyle name="Separador de milhares 3 13 2 8 2 2 2 2" xfId="47409"/>
    <cellStyle name="Separador de milhares 3 13 2 8 2 2 3" xfId="15003"/>
    <cellStyle name="Separador de milhares 3 13 2 8 2 2 3 2" xfId="41501"/>
    <cellStyle name="Separador de milhares 3 13 2 8 2 2 4" xfId="35593"/>
    <cellStyle name="Separador de milhares 3 13 2 8 2 2 5" xfId="29059"/>
    <cellStyle name="Separador de milhares 3 13 2 8 2 3" xfId="17966"/>
    <cellStyle name="Separador de milhares 3 13 2 8 2 3 2" xfId="44455"/>
    <cellStyle name="Separador de milhares 3 13 2 8 2 4" xfId="12039"/>
    <cellStyle name="Separador de milhares 3 13 2 8 2 4 2" xfId="38547"/>
    <cellStyle name="Separador de milhares 3 13 2 8 2 5" xfId="32391"/>
    <cellStyle name="Separador de milhares 3 13 2 8 2 6" xfId="25857"/>
    <cellStyle name="Separador de milhares 3 13 2 8 3" xfId="7606"/>
    <cellStyle name="Separador de milhares 3 13 2 8 3 2" xfId="19460"/>
    <cellStyle name="Separador de milhares 3 13 2 8 3 2 2" xfId="45941"/>
    <cellStyle name="Separador de milhares 3 13 2 8 3 3" xfId="13533"/>
    <cellStyle name="Separador de milhares 3 13 2 8 3 3 2" xfId="40033"/>
    <cellStyle name="Separador de milhares 3 13 2 8 3 4" xfId="34125"/>
    <cellStyle name="Separador de milhares 3 13 2 8 3 5" xfId="27591"/>
    <cellStyle name="Separador de milhares 3 13 2 8 4" xfId="16496"/>
    <cellStyle name="Separador de milhares 3 13 2 8 4 2" xfId="42987"/>
    <cellStyle name="Separador de milhares 3 13 2 8 4 3" xfId="24085"/>
    <cellStyle name="Separador de milhares 3 13 2 8 5" xfId="10569"/>
    <cellStyle name="Separador de milhares 3 13 2 8 5 2" xfId="37079"/>
    <cellStyle name="Separador de milhares 3 13 2 8 6" xfId="30619"/>
    <cellStyle name="Separador de milhares 3 13 2 8 7" xfId="22313"/>
    <cellStyle name="Separador de milhares 3 13 2 9" xfId="3979"/>
    <cellStyle name="Separador de milhares 3 13 2 9 2" xfId="6011"/>
    <cellStyle name="Separador de milhares 3 13 2 9 2 2" xfId="9223"/>
    <cellStyle name="Separador de milhares 3 13 2 9 2 2 2" xfId="21077"/>
    <cellStyle name="Separador de milhares 3 13 2 9 2 2 2 2" xfId="47556"/>
    <cellStyle name="Separador de milhares 3 13 2 9 2 2 3" xfId="15150"/>
    <cellStyle name="Separador de milhares 3 13 2 9 2 2 3 2" xfId="41648"/>
    <cellStyle name="Separador de milhares 3 13 2 9 2 2 4" xfId="35740"/>
    <cellStyle name="Separador de milhares 3 13 2 9 2 2 5" xfId="29206"/>
    <cellStyle name="Separador de milhares 3 13 2 9 2 3" xfId="18113"/>
    <cellStyle name="Separador de milhares 3 13 2 9 2 3 2" xfId="44602"/>
    <cellStyle name="Separador de milhares 3 13 2 9 2 4" xfId="12186"/>
    <cellStyle name="Separador de milhares 3 13 2 9 2 4 2" xfId="38694"/>
    <cellStyle name="Separador de milhares 3 13 2 9 2 5" xfId="32538"/>
    <cellStyle name="Separador de milhares 3 13 2 9 2 6" xfId="26004"/>
    <cellStyle name="Separador de milhares 3 13 2 9 3" xfId="7754"/>
    <cellStyle name="Separador de milhares 3 13 2 9 3 2" xfId="19608"/>
    <cellStyle name="Separador de milhares 3 13 2 9 3 2 2" xfId="46088"/>
    <cellStyle name="Separador de milhares 3 13 2 9 3 3" xfId="13681"/>
    <cellStyle name="Separador de milhares 3 13 2 9 3 3 2" xfId="40180"/>
    <cellStyle name="Separador de milhares 3 13 2 9 3 4" xfId="34272"/>
    <cellStyle name="Separador de milhares 3 13 2 9 3 5" xfId="27738"/>
    <cellStyle name="Separador de milhares 3 13 2 9 4" xfId="16644"/>
    <cellStyle name="Separador de milhares 3 13 2 9 4 2" xfId="43134"/>
    <cellStyle name="Separador de milhares 3 13 2 9 4 3" xfId="24232"/>
    <cellStyle name="Separador de milhares 3 13 2 9 5" xfId="10717"/>
    <cellStyle name="Separador de milhares 3 13 2 9 5 2" xfId="37226"/>
    <cellStyle name="Separador de milhares 3 13 2 9 6" xfId="30766"/>
    <cellStyle name="Separador de milhares 3 13 2 9 7" xfId="22460"/>
    <cellStyle name="Separador de milhares 3 13 3" xfId="424"/>
    <cellStyle name="Separador de milhares 3 13 3 10" xfId="5002"/>
    <cellStyle name="Separador de milhares 3 13 3 10 2" xfId="8221"/>
    <cellStyle name="Separador de milhares 3 13 3 10 2 2" xfId="20075"/>
    <cellStyle name="Separador de milhares 3 13 3 10 2 2 2" xfId="46554"/>
    <cellStyle name="Separador de milhares 3 13 3 10 2 3" xfId="14148"/>
    <cellStyle name="Separador de milhares 3 13 3 10 2 3 2" xfId="40646"/>
    <cellStyle name="Separador de milhares 3 13 3 10 2 4" xfId="34738"/>
    <cellStyle name="Separador de milhares 3 13 3 10 2 5" xfId="28204"/>
    <cellStyle name="Separador de milhares 3 13 3 10 3" xfId="17111"/>
    <cellStyle name="Separador de milhares 3 13 3 10 3 2" xfId="43600"/>
    <cellStyle name="Separador de milhares 3 13 3 10 4" xfId="11184"/>
    <cellStyle name="Separador de milhares 3 13 3 10 4 2" xfId="37692"/>
    <cellStyle name="Separador de milhares 3 13 3 10 5" xfId="31529"/>
    <cellStyle name="Separador de milhares 3 13 3 10 6" xfId="24995"/>
    <cellStyle name="Separador de milhares 3 13 3 11" xfId="6745"/>
    <cellStyle name="Separador de milhares 3 13 3 11 2" xfId="18599"/>
    <cellStyle name="Separador de milhares 3 13 3 11 2 2" xfId="45086"/>
    <cellStyle name="Separador de milhares 3 13 3 11 3" xfId="12672"/>
    <cellStyle name="Separador de milhares 3 13 3 11 3 2" xfId="39178"/>
    <cellStyle name="Separador de milhares 3 13 3 11 4" xfId="33270"/>
    <cellStyle name="Separador de milhares 3 13 3 11 5" xfId="26736"/>
    <cellStyle name="Separador de milhares 3 13 3 12" xfId="15635"/>
    <cellStyle name="Separador de milhares 3 13 3 12 2" xfId="42132"/>
    <cellStyle name="Separador de milhares 3 13 3 12 3" xfId="23223"/>
    <cellStyle name="Separador de milhares 3 13 3 13" xfId="9708"/>
    <cellStyle name="Separador de milhares 3 13 3 13 2" xfId="36224"/>
    <cellStyle name="Separador de milhares 3 13 3 14" xfId="29757"/>
    <cellStyle name="Separador de milhares 3 13 3 15" xfId="21475"/>
    <cellStyle name="Separador de milhares 3 13 3 2" xfId="687"/>
    <cellStyle name="Separador de milhares 3 13 3 2 2" xfId="5073"/>
    <cellStyle name="Separador de milhares 3 13 3 2 2 2" xfId="8288"/>
    <cellStyle name="Separador de milhares 3 13 3 2 2 2 2" xfId="20142"/>
    <cellStyle name="Separador de milhares 3 13 3 2 2 2 2 2" xfId="46621"/>
    <cellStyle name="Separador de milhares 3 13 3 2 2 2 3" xfId="14215"/>
    <cellStyle name="Separador de milhares 3 13 3 2 2 2 3 2" xfId="40713"/>
    <cellStyle name="Separador de milhares 3 13 3 2 2 2 4" xfId="34805"/>
    <cellStyle name="Separador de milhares 3 13 3 2 2 2 5" xfId="28271"/>
    <cellStyle name="Separador de milhares 3 13 3 2 2 3" xfId="17178"/>
    <cellStyle name="Separador de milhares 3 13 3 2 2 3 2" xfId="43667"/>
    <cellStyle name="Separador de milhares 3 13 3 2 2 4" xfId="11251"/>
    <cellStyle name="Separador de milhares 3 13 3 2 2 4 2" xfId="37759"/>
    <cellStyle name="Separador de milhares 3 13 3 2 2 5" xfId="31600"/>
    <cellStyle name="Separador de milhares 3 13 3 2 2 6" xfId="25066"/>
    <cellStyle name="Separador de milhares 3 13 3 2 3" xfId="6812"/>
    <cellStyle name="Separador de milhares 3 13 3 2 3 2" xfId="18666"/>
    <cellStyle name="Separador de milhares 3 13 3 2 3 2 2" xfId="45153"/>
    <cellStyle name="Separador de milhares 3 13 3 2 3 3" xfId="12739"/>
    <cellStyle name="Separador de milhares 3 13 3 2 3 3 2" xfId="39245"/>
    <cellStyle name="Separador de milhares 3 13 3 2 3 4" xfId="33337"/>
    <cellStyle name="Separador de milhares 3 13 3 2 3 5" xfId="26803"/>
    <cellStyle name="Separador de milhares 3 13 3 2 4" xfId="15702"/>
    <cellStyle name="Separador de milhares 3 13 3 2 4 2" xfId="42199"/>
    <cellStyle name="Separador de milhares 3 13 3 2 4 3" xfId="23294"/>
    <cellStyle name="Separador de milhares 3 13 3 2 5" xfId="9775"/>
    <cellStyle name="Separador de milhares 3 13 3 2 5 2" xfId="36291"/>
    <cellStyle name="Separador de milhares 3 13 3 2 6" xfId="29828"/>
    <cellStyle name="Separador de milhares 3 13 3 2 7" xfId="21523"/>
    <cellStyle name="Separador de milhares 3 13 3 3" xfId="985"/>
    <cellStyle name="Separador de milhares 3 13 3 3 2" xfId="5175"/>
    <cellStyle name="Separador de milhares 3 13 3 3 2 2" xfId="8390"/>
    <cellStyle name="Separador de milhares 3 13 3 3 2 2 2" xfId="20244"/>
    <cellStyle name="Separador de milhares 3 13 3 3 2 2 2 2" xfId="46723"/>
    <cellStyle name="Separador de milhares 3 13 3 3 2 2 3" xfId="14317"/>
    <cellStyle name="Separador de milhares 3 13 3 3 2 2 3 2" xfId="40815"/>
    <cellStyle name="Separador de milhares 3 13 3 3 2 2 4" xfId="34907"/>
    <cellStyle name="Separador de milhares 3 13 3 3 2 2 5" xfId="28373"/>
    <cellStyle name="Separador de milhares 3 13 3 3 2 3" xfId="17280"/>
    <cellStyle name="Separador de milhares 3 13 3 3 2 3 2" xfId="43769"/>
    <cellStyle name="Separador de milhares 3 13 3 3 2 4" xfId="11353"/>
    <cellStyle name="Separador de milhares 3 13 3 3 2 4 2" xfId="37861"/>
    <cellStyle name="Separador de milhares 3 13 3 3 2 5" xfId="31702"/>
    <cellStyle name="Separador de milhares 3 13 3 3 2 6" xfId="25168"/>
    <cellStyle name="Separador de milhares 3 13 3 3 3" xfId="6917"/>
    <cellStyle name="Separador de milhares 3 13 3 3 3 2" xfId="18771"/>
    <cellStyle name="Separador de milhares 3 13 3 3 3 2 2" xfId="45255"/>
    <cellStyle name="Separador de milhares 3 13 3 3 3 3" xfId="12844"/>
    <cellStyle name="Separador de milhares 3 13 3 3 3 3 2" xfId="39347"/>
    <cellStyle name="Separador de milhares 3 13 3 3 3 4" xfId="33439"/>
    <cellStyle name="Separador de milhares 3 13 3 3 3 5" xfId="26905"/>
    <cellStyle name="Separador de milhares 3 13 3 3 4" xfId="15807"/>
    <cellStyle name="Separador de milhares 3 13 3 3 4 2" xfId="42301"/>
    <cellStyle name="Separador de milhares 3 13 3 3 4 3" xfId="23396"/>
    <cellStyle name="Separador de milhares 3 13 3 3 5" xfId="9880"/>
    <cellStyle name="Separador de milhares 3 13 3 3 5 2" xfId="36393"/>
    <cellStyle name="Separador de milhares 3 13 3 3 6" xfId="29930"/>
    <cellStyle name="Separador de milhares 3 13 3 3 7" xfId="21624"/>
    <cellStyle name="Separador de milhares 3 13 3 4" xfId="1336"/>
    <cellStyle name="Separador de milhares 3 13 3 4 2" xfId="5273"/>
    <cellStyle name="Separador de milhares 3 13 3 4 2 2" xfId="8488"/>
    <cellStyle name="Separador de milhares 3 13 3 4 2 2 2" xfId="20342"/>
    <cellStyle name="Separador de milhares 3 13 3 4 2 2 2 2" xfId="46821"/>
    <cellStyle name="Separador de milhares 3 13 3 4 2 2 3" xfId="14415"/>
    <cellStyle name="Separador de milhares 3 13 3 4 2 2 3 2" xfId="40913"/>
    <cellStyle name="Separador de milhares 3 13 3 4 2 2 4" xfId="35005"/>
    <cellStyle name="Separador de milhares 3 13 3 4 2 2 5" xfId="28471"/>
    <cellStyle name="Separador de milhares 3 13 3 4 2 3" xfId="17378"/>
    <cellStyle name="Separador de milhares 3 13 3 4 2 3 2" xfId="43867"/>
    <cellStyle name="Separador de milhares 3 13 3 4 2 4" xfId="11451"/>
    <cellStyle name="Separador de milhares 3 13 3 4 2 4 2" xfId="37959"/>
    <cellStyle name="Separador de milhares 3 13 3 4 2 5" xfId="31800"/>
    <cellStyle name="Separador de milhares 3 13 3 4 2 6" xfId="25266"/>
    <cellStyle name="Separador de milhares 3 13 3 4 3" xfId="7015"/>
    <cellStyle name="Separador de milhares 3 13 3 4 3 2" xfId="18869"/>
    <cellStyle name="Separador de milhares 3 13 3 4 3 2 2" xfId="45353"/>
    <cellStyle name="Separador de milhares 3 13 3 4 3 3" xfId="12942"/>
    <cellStyle name="Separador de milhares 3 13 3 4 3 3 2" xfId="39445"/>
    <cellStyle name="Separador de milhares 3 13 3 4 3 4" xfId="33537"/>
    <cellStyle name="Separador de milhares 3 13 3 4 3 5" xfId="27003"/>
    <cellStyle name="Separador de milhares 3 13 3 4 4" xfId="15905"/>
    <cellStyle name="Separador de milhares 3 13 3 4 4 2" xfId="42399"/>
    <cellStyle name="Separador de milhares 3 13 3 4 4 3" xfId="23494"/>
    <cellStyle name="Separador de milhares 3 13 3 4 5" xfId="9978"/>
    <cellStyle name="Separador de milhares 3 13 3 4 5 2" xfId="36491"/>
    <cellStyle name="Separador de milhares 3 13 3 4 6" xfId="30028"/>
    <cellStyle name="Separador de milhares 3 13 3 4 7" xfId="21722"/>
    <cellStyle name="Separador de milhares 3 13 3 5" xfId="1771"/>
    <cellStyle name="Separador de milhares 3 13 3 5 2" xfId="5392"/>
    <cellStyle name="Separador de milhares 3 13 3 5 2 2" xfId="8607"/>
    <cellStyle name="Separador de milhares 3 13 3 5 2 2 2" xfId="20461"/>
    <cellStyle name="Separador de milhares 3 13 3 5 2 2 2 2" xfId="46940"/>
    <cellStyle name="Separador de milhares 3 13 3 5 2 2 3" xfId="14534"/>
    <cellStyle name="Separador de milhares 3 13 3 5 2 2 3 2" xfId="41032"/>
    <cellStyle name="Separador de milhares 3 13 3 5 2 2 4" xfId="35124"/>
    <cellStyle name="Separador de milhares 3 13 3 5 2 2 5" xfId="28590"/>
    <cellStyle name="Separador de milhares 3 13 3 5 2 3" xfId="17497"/>
    <cellStyle name="Separador de milhares 3 13 3 5 2 3 2" xfId="43986"/>
    <cellStyle name="Separador de milhares 3 13 3 5 2 4" xfId="11570"/>
    <cellStyle name="Separador de milhares 3 13 3 5 2 4 2" xfId="38078"/>
    <cellStyle name="Separador de milhares 3 13 3 5 2 5" xfId="31919"/>
    <cellStyle name="Separador de milhares 3 13 3 5 2 6" xfId="25385"/>
    <cellStyle name="Separador de milhares 3 13 3 5 3" xfId="7134"/>
    <cellStyle name="Separador de milhares 3 13 3 5 3 2" xfId="18988"/>
    <cellStyle name="Separador de milhares 3 13 3 5 3 2 2" xfId="45472"/>
    <cellStyle name="Separador de milhares 3 13 3 5 3 3" xfId="13061"/>
    <cellStyle name="Separador de milhares 3 13 3 5 3 3 2" xfId="39564"/>
    <cellStyle name="Separador de milhares 3 13 3 5 3 4" xfId="33656"/>
    <cellStyle name="Separador de milhares 3 13 3 5 3 5" xfId="27122"/>
    <cellStyle name="Separador de milhares 3 13 3 5 4" xfId="16024"/>
    <cellStyle name="Separador de milhares 3 13 3 5 4 2" xfId="42518"/>
    <cellStyle name="Separador de milhares 3 13 3 5 4 3" xfId="23613"/>
    <cellStyle name="Separador de milhares 3 13 3 5 5" xfId="10097"/>
    <cellStyle name="Separador de milhares 3 13 3 5 5 2" xfId="36610"/>
    <cellStyle name="Separador de milhares 3 13 3 5 6" xfId="30147"/>
    <cellStyle name="Separador de milhares 3 13 3 5 7" xfId="21841"/>
    <cellStyle name="Separador de milhares 3 13 3 6" xfId="2304"/>
    <cellStyle name="Separador de milhares 3 13 3 6 2" xfId="5542"/>
    <cellStyle name="Separador de milhares 3 13 3 6 2 2" xfId="8754"/>
    <cellStyle name="Separador de milhares 3 13 3 6 2 2 2" xfId="20608"/>
    <cellStyle name="Separador de milhares 3 13 3 6 2 2 2 2" xfId="47087"/>
    <cellStyle name="Separador de milhares 3 13 3 6 2 2 3" xfId="14681"/>
    <cellStyle name="Separador de milhares 3 13 3 6 2 2 3 2" xfId="41179"/>
    <cellStyle name="Separador de milhares 3 13 3 6 2 2 4" xfId="35271"/>
    <cellStyle name="Separador de milhares 3 13 3 6 2 2 5" xfId="28737"/>
    <cellStyle name="Separador de milhares 3 13 3 6 2 3" xfId="17644"/>
    <cellStyle name="Separador de milhares 3 13 3 6 2 3 2" xfId="44133"/>
    <cellStyle name="Separador de milhares 3 13 3 6 2 4" xfId="11717"/>
    <cellStyle name="Separador de milhares 3 13 3 6 2 4 2" xfId="38225"/>
    <cellStyle name="Separador de milhares 3 13 3 6 2 5" xfId="32069"/>
    <cellStyle name="Separador de milhares 3 13 3 6 2 6" xfId="25535"/>
    <cellStyle name="Separador de milhares 3 13 3 6 3" xfId="7282"/>
    <cellStyle name="Separador de milhares 3 13 3 6 3 2" xfId="19136"/>
    <cellStyle name="Separador de milhares 3 13 3 6 3 2 2" xfId="45619"/>
    <cellStyle name="Separador de milhares 3 13 3 6 3 3" xfId="13209"/>
    <cellStyle name="Separador de milhares 3 13 3 6 3 3 2" xfId="39711"/>
    <cellStyle name="Separador de milhares 3 13 3 6 3 4" xfId="33803"/>
    <cellStyle name="Separador de milhares 3 13 3 6 3 5" xfId="27269"/>
    <cellStyle name="Separador de milhares 3 13 3 6 4" xfId="16172"/>
    <cellStyle name="Separador de milhares 3 13 3 6 4 2" xfId="42665"/>
    <cellStyle name="Separador de milhares 3 13 3 6 4 3" xfId="23763"/>
    <cellStyle name="Separador de milhares 3 13 3 6 5" xfId="10245"/>
    <cellStyle name="Separador de milhares 3 13 3 6 5 2" xfId="36757"/>
    <cellStyle name="Separador de milhares 3 13 3 6 6" xfId="30297"/>
    <cellStyle name="Separador de milhares 3 13 3 6 7" xfId="21991"/>
    <cellStyle name="Separador de milhares 3 13 3 7" xfId="2832"/>
    <cellStyle name="Separador de milhares 3 13 3 7 2" xfId="5689"/>
    <cellStyle name="Separador de milhares 3 13 3 7 2 2" xfId="8901"/>
    <cellStyle name="Separador de milhares 3 13 3 7 2 2 2" xfId="20755"/>
    <cellStyle name="Separador de milhares 3 13 3 7 2 2 2 2" xfId="47234"/>
    <cellStyle name="Separador de milhares 3 13 3 7 2 2 3" xfId="14828"/>
    <cellStyle name="Separador de milhares 3 13 3 7 2 2 3 2" xfId="41326"/>
    <cellStyle name="Separador de milhares 3 13 3 7 2 2 4" xfId="35418"/>
    <cellStyle name="Separador de milhares 3 13 3 7 2 2 5" xfId="28884"/>
    <cellStyle name="Separador de milhares 3 13 3 7 2 3" xfId="17791"/>
    <cellStyle name="Separador de milhares 3 13 3 7 2 3 2" xfId="44280"/>
    <cellStyle name="Separador de milhares 3 13 3 7 2 4" xfId="11864"/>
    <cellStyle name="Separador de milhares 3 13 3 7 2 4 2" xfId="38372"/>
    <cellStyle name="Separador de milhares 3 13 3 7 2 5" xfId="32216"/>
    <cellStyle name="Separador de milhares 3 13 3 7 2 6" xfId="25682"/>
    <cellStyle name="Separador de milhares 3 13 3 7 3" xfId="7430"/>
    <cellStyle name="Separador de milhares 3 13 3 7 3 2" xfId="19284"/>
    <cellStyle name="Separador de milhares 3 13 3 7 3 2 2" xfId="45766"/>
    <cellStyle name="Separador de milhares 3 13 3 7 3 3" xfId="13357"/>
    <cellStyle name="Separador de milhares 3 13 3 7 3 3 2" xfId="39858"/>
    <cellStyle name="Separador de milhares 3 13 3 7 3 4" xfId="33950"/>
    <cellStyle name="Separador de milhares 3 13 3 7 3 5" xfId="27416"/>
    <cellStyle name="Separador de milhares 3 13 3 7 4" xfId="16320"/>
    <cellStyle name="Separador de milhares 3 13 3 7 4 2" xfId="42812"/>
    <cellStyle name="Separador de milhares 3 13 3 7 4 3" xfId="23910"/>
    <cellStyle name="Separador de milhares 3 13 3 7 5" xfId="10393"/>
    <cellStyle name="Separador de milhares 3 13 3 7 5 2" xfId="36904"/>
    <cellStyle name="Separador de milhares 3 13 3 7 6" xfId="30444"/>
    <cellStyle name="Separador de milhares 3 13 3 7 7" xfId="22138"/>
    <cellStyle name="Separador de milhares 3 13 3 8" xfId="3360"/>
    <cellStyle name="Separador de milhares 3 13 3 8 2" xfId="5836"/>
    <cellStyle name="Separador de milhares 3 13 3 8 2 2" xfId="9048"/>
    <cellStyle name="Separador de milhares 3 13 3 8 2 2 2" xfId="20902"/>
    <cellStyle name="Separador de milhares 3 13 3 8 2 2 2 2" xfId="47381"/>
    <cellStyle name="Separador de milhares 3 13 3 8 2 2 3" xfId="14975"/>
    <cellStyle name="Separador de milhares 3 13 3 8 2 2 3 2" xfId="41473"/>
    <cellStyle name="Separador de milhares 3 13 3 8 2 2 4" xfId="35565"/>
    <cellStyle name="Separador de milhares 3 13 3 8 2 2 5" xfId="29031"/>
    <cellStyle name="Separador de milhares 3 13 3 8 2 3" xfId="17938"/>
    <cellStyle name="Separador de milhares 3 13 3 8 2 3 2" xfId="44427"/>
    <cellStyle name="Separador de milhares 3 13 3 8 2 4" xfId="12011"/>
    <cellStyle name="Separador de milhares 3 13 3 8 2 4 2" xfId="38519"/>
    <cellStyle name="Separador de milhares 3 13 3 8 2 5" xfId="32363"/>
    <cellStyle name="Separador de milhares 3 13 3 8 2 6" xfId="25829"/>
    <cellStyle name="Separador de milhares 3 13 3 8 3" xfId="7578"/>
    <cellStyle name="Separador de milhares 3 13 3 8 3 2" xfId="19432"/>
    <cellStyle name="Separador de milhares 3 13 3 8 3 2 2" xfId="45913"/>
    <cellStyle name="Separador de milhares 3 13 3 8 3 3" xfId="13505"/>
    <cellStyle name="Separador de milhares 3 13 3 8 3 3 2" xfId="40005"/>
    <cellStyle name="Separador de milhares 3 13 3 8 3 4" xfId="34097"/>
    <cellStyle name="Separador de milhares 3 13 3 8 3 5" xfId="27563"/>
    <cellStyle name="Separador de milhares 3 13 3 8 4" xfId="16468"/>
    <cellStyle name="Separador de milhares 3 13 3 8 4 2" xfId="42959"/>
    <cellStyle name="Separador de milhares 3 13 3 8 4 3" xfId="24057"/>
    <cellStyle name="Separador de milhares 3 13 3 8 5" xfId="10541"/>
    <cellStyle name="Separador de milhares 3 13 3 8 5 2" xfId="37051"/>
    <cellStyle name="Separador de milhares 3 13 3 8 6" xfId="30591"/>
    <cellStyle name="Separador de milhares 3 13 3 8 7" xfId="22285"/>
    <cellStyle name="Separador de milhares 3 13 3 9" xfId="3888"/>
    <cellStyle name="Separador de milhares 3 13 3 9 2" xfId="5983"/>
    <cellStyle name="Separador de milhares 3 13 3 9 2 2" xfId="9195"/>
    <cellStyle name="Separador de milhares 3 13 3 9 2 2 2" xfId="21049"/>
    <cellStyle name="Separador de milhares 3 13 3 9 2 2 2 2" xfId="47528"/>
    <cellStyle name="Separador de milhares 3 13 3 9 2 2 3" xfId="15122"/>
    <cellStyle name="Separador de milhares 3 13 3 9 2 2 3 2" xfId="41620"/>
    <cellStyle name="Separador de milhares 3 13 3 9 2 2 4" xfId="35712"/>
    <cellStyle name="Separador de milhares 3 13 3 9 2 2 5" xfId="29178"/>
    <cellStyle name="Separador de milhares 3 13 3 9 2 3" xfId="18085"/>
    <cellStyle name="Separador de milhares 3 13 3 9 2 3 2" xfId="44574"/>
    <cellStyle name="Separador de milhares 3 13 3 9 2 4" xfId="12158"/>
    <cellStyle name="Separador de milhares 3 13 3 9 2 4 2" xfId="38666"/>
    <cellStyle name="Separador de milhares 3 13 3 9 2 5" xfId="32510"/>
    <cellStyle name="Separador de milhares 3 13 3 9 2 6" xfId="25976"/>
    <cellStyle name="Separador de milhares 3 13 3 9 3" xfId="7726"/>
    <cellStyle name="Separador de milhares 3 13 3 9 3 2" xfId="19580"/>
    <cellStyle name="Separador de milhares 3 13 3 9 3 2 2" xfId="46060"/>
    <cellStyle name="Separador de milhares 3 13 3 9 3 3" xfId="13653"/>
    <cellStyle name="Separador de milhares 3 13 3 9 3 3 2" xfId="40152"/>
    <cellStyle name="Separador de milhares 3 13 3 9 3 4" xfId="34244"/>
    <cellStyle name="Separador de milhares 3 13 3 9 3 5" xfId="27710"/>
    <cellStyle name="Separador de milhares 3 13 3 9 4" xfId="16616"/>
    <cellStyle name="Separador de milhares 3 13 3 9 4 2" xfId="43106"/>
    <cellStyle name="Separador de milhares 3 13 3 9 4 3" xfId="24204"/>
    <cellStyle name="Separador de milhares 3 13 3 9 5" xfId="10689"/>
    <cellStyle name="Separador de milhares 3 13 3 9 5 2" xfId="37198"/>
    <cellStyle name="Separador de milhares 3 13 3 9 6" xfId="30738"/>
    <cellStyle name="Separador de milhares 3 13 3 9 7" xfId="22432"/>
    <cellStyle name="Separador de milhares 3 13 4" xfId="517"/>
    <cellStyle name="Separador de milhares 3 13 4 10" xfId="5030"/>
    <cellStyle name="Separador de milhares 3 13 4 10 2" xfId="8246"/>
    <cellStyle name="Separador de milhares 3 13 4 10 2 2" xfId="20100"/>
    <cellStyle name="Separador de milhares 3 13 4 10 2 2 2" xfId="46579"/>
    <cellStyle name="Separador de milhares 3 13 4 10 2 3" xfId="14173"/>
    <cellStyle name="Separador de milhares 3 13 4 10 2 3 2" xfId="40671"/>
    <cellStyle name="Separador de milhares 3 13 4 10 2 4" xfId="34763"/>
    <cellStyle name="Separador de milhares 3 13 4 10 2 5" xfId="28229"/>
    <cellStyle name="Separador de milhares 3 13 4 10 3" xfId="17136"/>
    <cellStyle name="Separador de milhares 3 13 4 10 3 2" xfId="43625"/>
    <cellStyle name="Separador de milhares 3 13 4 10 4" xfId="11209"/>
    <cellStyle name="Separador de milhares 3 13 4 10 4 2" xfId="37717"/>
    <cellStyle name="Separador de milhares 3 13 4 10 5" xfId="31557"/>
    <cellStyle name="Separador de milhares 3 13 4 10 6" xfId="25023"/>
    <cellStyle name="Separador de milhares 3 13 4 11" xfId="6770"/>
    <cellStyle name="Separador de milhares 3 13 4 11 2" xfId="18624"/>
    <cellStyle name="Separador de milhares 3 13 4 11 2 2" xfId="45111"/>
    <cellStyle name="Separador de milhares 3 13 4 11 3" xfId="12697"/>
    <cellStyle name="Separador de milhares 3 13 4 11 3 2" xfId="39203"/>
    <cellStyle name="Separador de milhares 3 13 4 11 4" xfId="33295"/>
    <cellStyle name="Separador de milhares 3 13 4 11 5" xfId="26761"/>
    <cellStyle name="Separador de milhares 3 13 4 12" xfId="15660"/>
    <cellStyle name="Separador de milhares 3 13 4 12 2" xfId="42157"/>
    <cellStyle name="Separador de milhares 3 13 4 12 3" xfId="23251"/>
    <cellStyle name="Separador de milhares 3 13 4 13" xfId="9733"/>
    <cellStyle name="Separador de milhares 3 13 4 13 2" xfId="36249"/>
    <cellStyle name="Separador de milhares 3 13 4 14" xfId="29785"/>
    <cellStyle name="Separador de milhares 3 13 4 2" xfId="1163"/>
    <cellStyle name="Separador de milhares 3 13 4 2 2" xfId="5227"/>
    <cellStyle name="Separador de milhares 3 13 4 2 2 2" xfId="8442"/>
    <cellStyle name="Separador de milhares 3 13 4 2 2 2 2" xfId="20296"/>
    <cellStyle name="Separador de milhares 3 13 4 2 2 2 2 2" xfId="46775"/>
    <cellStyle name="Separador de milhares 3 13 4 2 2 2 3" xfId="14369"/>
    <cellStyle name="Separador de milhares 3 13 4 2 2 2 3 2" xfId="40867"/>
    <cellStyle name="Separador de milhares 3 13 4 2 2 2 4" xfId="34959"/>
    <cellStyle name="Separador de milhares 3 13 4 2 2 2 5" xfId="28425"/>
    <cellStyle name="Separador de milhares 3 13 4 2 2 3" xfId="17332"/>
    <cellStyle name="Separador de milhares 3 13 4 2 2 3 2" xfId="43821"/>
    <cellStyle name="Separador de milhares 3 13 4 2 2 4" xfId="11405"/>
    <cellStyle name="Separador de milhares 3 13 4 2 2 4 2" xfId="37913"/>
    <cellStyle name="Separador de milhares 3 13 4 2 2 5" xfId="31754"/>
    <cellStyle name="Separador de milhares 3 13 4 2 2 6" xfId="25220"/>
    <cellStyle name="Separador de milhares 3 13 4 2 3" xfId="6969"/>
    <cellStyle name="Separador de milhares 3 13 4 2 3 2" xfId="18823"/>
    <cellStyle name="Separador de milhares 3 13 4 2 3 2 2" xfId="45307"/>
    <cellStyle name="Separador de milhares 3 13 4 2 3 3" xfId="12896"/>
    <cellStyle name="Separador de milhares 3 13 4 2 3 3 2" xfId="39399"/>
    <cellStyle name="Separador de milhares 3 13 4 2 3 4" xfId="33491"/>
    <cellStyle name="Separador de milhares 3 13 4 2 3 5" xfId="26957"/>
    <cellStyle name="Separador de milhares 3 13 4 2 4" xfId="15859"/>
    <cellStyle name="Separador de milhares 3 13 4 2 4 2" xfId="42353"/>
    <cellStyle name="Separador de milhares 3 13 4 2 4 3" xfId="23448"/>
    <cellStyle name="Separador de milhares 3 13 4 2 5" xfId="9932"/>
    <cellStyle name="Separador de milhares 3 13 4 2 5 2" xfId="36445"/>
    <cellStyle name="Separador de milhares 3 13 4 2 6" xfId="29982"/>
    <cellStyle name="Separador de milhares 3 13 4 2 7" xfId="21676"/>
    <cellStyle name="Separador de milhares 3 13 4 3" xfId="1514"/>
    <cellStyle name="Separador de milhares 3 13 4 3 2" xfId="5325"/>
    <cellStyle name="Separador de milhares 3 13 4 3 2 2" xfId="8540"/>
    <cellStyle name="Separador de milhares 3 13 4 3 2 2 2" xfId="20394"/>
    <cellStyle name="Separador de milhares 3 13 4 3 2 2 2 2" xfId="46873"/>
    <cellStyle name="Separador de milhares 3 13 4 3 2 2 3" xfId="14467"/>
    <cellStyle name="Separador de milhares 3 13 4 3 2 2 3 2" xfId="40965"/>
    <cellStyle name="Separador de milhares 3 13 4 3 2 2 4" xfId="35057"/>
    <cellStyle name="Separador de milhares 3 13 4 3 2 2 5" xfId="28523"/>
    <cellStyle name="Separador de milhares 3 13 4 3 2 3" xfId="17430"/>
    <cellStyle name="Separador de milhares 3 13 4 3 2 3 2" xfId="43919"/>
    <cellStyle name="Separador de milhares 3 13 4 3 2 4" xfId="11503"/>
    <cellStyle name="Separador de milhares 3 13 4 3 2 4 2" xfId="38011"/>
    <cellStyle name="Separador de milhares 3 13 4 3 2 5" xfId="31852"/>
    <cellStyle name="Separador de milhares 3 13 4 3 2 6" xfId="25318"/>
    <cellStyle name="Separador de milhares 3 13 4 3 3" xfId="7067"/>
    <cellStyle name="Separador de milhares 3 13 4 3 3 2" xfId="18921"/>
    <cellStyle name="Separador de milhares 3 13 4 3 3 2 2" xfId="45405"/>
    <cellStyle name="Separador de milhares 3 13 4 3 3 3" xfId="12994"/>
    <cellStyle name="Separador de milhares 3 13 4 3 3 3 2" xfId="39497"/>
    <cellStyle name="Separador de milhares 3 13 4 3 3 4" xfId="33589"/>
    <cellStyle name="Separador de milhares 3 13 4 3 3 5" xfId="27055"/>
    <cellStyle name="Separador de milhares 3 13 4 3 4" xfId="15957"/>
    <cellStyle name="Separador de milhares 3 13 4 3 4 2" xfId="42451"/>
    <cellStyle name="Separador de milhares 3 13 4 3 4 3" xfId="23546"/>
    <cellStyle name="Separador de milhares 3 13 4 3 5" xfId="10030"/>
    <cellStyle name="Separador de milhares 3 13 4 3 5 2" xfId="36543"/>
    <cellStyle name="Separador de milhares 3 13 4 3 6" xfId="30080"/>
    <cellStyle name="Separador de milhares 3 13 4 3 7" xfId="21774"/>
    <cellStyle name="Separador de milhares 3 13 4 4" xfId="1949"/>
    <cellStyle name="Separador de milhares 3 13 4 4 2" xfId="5444"/>
    <cellStyle name="Separador de milhares 3 13 4 4 2 2" xfId="8659"/>
    <cellStyle name="Separador de milhares 3 13 4 4 2 2 2" xfId="20513"/>
    <cellStyle name="Separador de milhares 3 13 4 4 2 2 2 2" xfId="46992"/>
    <cellStyle name="Separador de milhares 3 13 4 4 2 2 3" xfId="14586"/>
    <cellStyle name="Separador de milhares 3 13 4 4 2 2 3 2" xfId="41084"/>
    <cellStyle name="Separador de milhares 3 13 4 4 2 2 4" xfId="35176"/>
    <cellStyle name="Separador de milhares 3 13 4 4 2 2 5" xfId="28642"/>
    <cellStyle name="Separador de milhares 3 13 4 4 2 3" xfId="17549"/>
    <cellStyle name="Separador de milhares 3 13 4 4 2 3 2" xfId="44038"/>
    <cellStyle name="Separador de milhares 3 13 4 4 2 4" xfId="11622"/>
    <cellStyle name="Separador de milhares 3 13 4 4 2 4 2" xfId="38130"/>
    <cellStyle name="Separador de milhares 3 13 4 4 2 5" xfId="31971"/>
    <cellStyle name="Separador de milhares 3 13 4 4 2 6" xfId="25437"/>
    <cellStyle name="Separador de milhares 3 13 4 4 3" xfId="7186"/>
    <cellStyle name="Separador de milhares 3 13 4 4 3 2" xfId="19040"/>
    <cellStyle name="Separador de milhares 3 13 4 4 3 2 2" xfId="45524"/>
    <cellStyle name="Separador de milhares 3 13 4 4 3 3" xfId="13113"/>
    <cellStyle name="Separador de milhares 3 13 4 4 3 3 2" xfId="39616"/>
    <cellStyle name="Separador de milhares 3 13 4 4 3 4" xfId="33708"/>
    <cellStyle name="Separador de milhares 3 13 4 4 3 5" xfId="27174"/>
    <cellStyle name="Separador de milhares 3 13 4 4 4" xfId="16076"/>
    <cellStyle name="Separador de milhares 3 13 4 4 4 2" xfId="42570"/>
    <cellStyle name="Separador de milhares 3 13 4 4 4 3" xfId="23665"/>
    <cellStyle name="Separador de milhares 3 13 4 4 5" xfId="10149"/>
    <cellStyle name="Separador de milhares 3 13 4 4 5 2" xfId="36662"/>
    <cellStyle name="Separador de milhares 3 13 4 4 6" xfId="30199"/>
    <cellStyle name="Separador de milhares 3 13 4 4 7" xfId="21893"/>
    <cellStyle name="Separador de milhares 3 13 4 5" xfId="2482"/>
    <cellStyle name="Separador de milhares 3 13 4 5 2" xfId="5594"/>
    <cellStyle name="Separador de milhares 3 13 4 5 2 2" xfId="8806"/>
    <cellStyle name="Separador de milhares 3 13 4 5 2 2 2" xfId="20660"/>
    <cellStyle name="Separador de milhares 3 13 4 5 2 2 2 2" xfId="47139"/>
    <cellStyle name="Separador de milhares 3 13 4 5 2 2 3" xfId="14733"/>
    <cellStyle name="Separador de milhares 3 13 4 5 2 2 3 2" xfId="41231"/>
    <cellStyle name="Separador de milhares 3 13 4 5 2 2 4" xfId="35323"/>
    <cellStyle name="Separador de milhares 3 13 4 5 2 2 5" xfId="28789"/>
    <cellStyle name="Separador de milhares 3 13 4 5 2 3" xfId="17696"/>
    <cellStyle name="Separador de milhares 3 13 4 5 2 3 2" xfId="44185"/>
    <cellStyle name="Separador de milhares 3 13 4 5 2 4" xfId="11769"/>
    <cellStyle name="Separador de milhares 3 13 4 5 2 4 2" xfId="38277"/>
    <cellStyle name="Separador de milhares 3 13 4 5 2 5" xfId="32121"/>
    <cellStyle name="Separador de milhares 3 13 4 5 2 6" xfId="25587"/>
    <cellStyle name="Separador de milhares 3 13 4 5 3" xfId="7334"/>
    <cellStyle name="Separador de milhares 3 13 4 5 3 2" xfId="19188"/>
    <cellStyle name="Separador de milhares 3 13 4 5 3 2 2" xfId="45671"/>
    <cellStyle name="Separador de milhares 3 13 4 5 3 3" xfId="13261"/>
    <cellStyle name="Separador de milhares 3 13 4 5 3 3 2" xfId="39763"/>
    <cellStyle name="Separador de milhares 3 13 4 5 3 4" xfId="33855"/>
    <cellStyle name="Separador de milhares 3 13 4 5 3 5" xfId="27321"/>
    <cellStyle name="Separador de milhares 3 13 4 5 4" xfId="16224"/>
    <cellStyle name="Separador de milhares 3 13 4 5 4 2" xfId="42717"/>
    <cellStyle name="Separador de milhares 3 13 4 5 4 3" xfId="23815"/>
    <cellStyle name="Separador de milhares 3 13 4 5 5" xfId="10297"/>
    <cellStyle name="Separador de milhares 3 13 4 5 5 2" xfId="36809"/>
    <cellStyle name="Separador de milhares 3 13 4 5 6" xfId="30349"/>
    <cellStyle name="Separador de milhares 3 13 4 5 7" xfId="22043"/>
    <cellStyle name="Separador de milhares 3 13 4 6" xfId="3010"/>
    <cellStyle name="Separador de milhares 3 13 4 6 2" xfId="5741"/>
    <cellStyle name="Separador de milhares 3 13 4 6 2 2" xfId="8953"/>
    <cellStyle name="Separador de milhares 3 13 4 6 2 2 2" xfId="20807"/>
    <cellStyle name="Separador de milhares 3 13 4 6 2 2 2 2" xfId="47286"/>
    <cellStyle name="Separador de milhares 3 13 4 6 2 2 3" xfId="14880"/>
    <cellStyle name="Separador de milhares 3 13 4 6 2 2 3 2" xfId="41378"/>
    <cellStyle name="Separador de milhares 3 13 4 6 2 2 4" xfId="35470"/>
    <cellStyle name="Separador de milhares 3 13 4 6 2 2 5" xfId="28936"/>
    <cellStyle name="Separador de milhares 3 13 4 6 2 3" xfId="17843"/>
    <cellStyle name="Separador de milhares 3 13 4 6 2 3 2" xfId="44332"/>
    <cellStyle name="Separador de milhares 3 13 4 6 2 4" xfId="11916"/>
    <cellStyle name="Separador de milhares 3 13 4 6 2 4 2" xfId="38424"/>
    <cellStyle name="Separador de milhares 3 13 4 6 2 5" xfId="32268"/>
    <cellStyle name="Separador de milhares 3 13 4 6 2 6" xfId="25734"/>
    <cellStyle name="Separador de milhares 3 13 4 6 3" xfId="7482"/>
    <cellStyle name="Separador de milhares 3 13 4 6 3 2" xfId="19336"/>
    <cellStyle name="Separador de milhares 3 13 4 6 3 2 2" xfId="45818"/>
    <cellStyle name="Separador de milhares 3 13 4 6 3 3" xfId="13409"/>
    <cellStyle name="Separador de milhares 3 13 4 6 3 3 2" xfId="39910"/>
    <cellStyle name="Separador de milhares 3 13 4 6 3 4" xfId="34002"/>
    <cellStyle name="Separador de milhares 3 13 4 6 3 5" xfId="27468"/>
    <cellStyle name="Separador de milhares 3 13 4 6 4" xfId="16372"/>
    <cellStyle name="Separador de milhares 3 13 4 6 4 2" xfId="42864"/>
    <cellStyle name="Separador de milhares 3 13 4 6 4 3" xfId="23962"/>
    <cellStyle name="Separador de milhares 3 13 4 6 5" xfId="10445"/>
    <cellStyle name="Separador de milhares 3 13 4 6 5 2" xfId="36956"/>
    <cellStyle name="Separador de milhares 3 13 4 6 6" xfId="30496"/>
    <cellStyle name="Separador de milhares 3 13 4 6 7" xfId="22190"/>
    <cellStyle name="Separador de milhares 3 13 4 7" xfId="3538"/>
    <cellStyle name="Separador de milhares 3 13 4 7 2" xfId="5888"/>
    <cellStyle name="Separador de milhares 3 13 4 7 2 2" xfId="9100"/>
    <cellStyle name="Separador de milhares 3 13 4 7 2 2 2" xfId="20954"/>
    <cellStyle name="Separador de milhares 3 13 4 7 2 2 2 2" xfId="47433"/>
    <cellStyle name="Separador de milhares 3 13 4 7 2 2 3" xfId="15027"/>
    <cellStyle name="Separador de milhares 3 13 4 7 2 2 3 2" xfId="41525"/>
    <cellStyle name="Separador de milhares 3 13 4 7 2 2 4" xfId="35617"/>
    <cellStyle name="Separador de milhares 3 13 4 7 2 2 5" xfId="29083"/>
    <cellStyle name="Separador de milhares 3 13 4 7 2 3" xfId="17990"/>
    <cellStyle name="Separador de milhares 3 13 4 7 2 3 2" xfId="44479"/>
    <cellStyle name="Separador de milhares 3 13 4 7 2 4" xfId="12063"/>
    <cellStyle name="Separador de milhares 3 13 4 7 2 4 2" xfId="38571"/>
    <cellStyle name="Separador de milhares 3 13 4 7 2 5" xfId="32415"/>
    <cellStyle name="Separador de milhares 3 13 4 7 2 6" xfId="25881"/>
    <cellStyle name="Separador de milhares 3 13 4 7 3" xfId="7630"/>
    <cellStyle name="Separador de milhares 3 13 4 7 3 2" xfId="19484"/>
    <cellStyle name="Separador de milhares 3 13 4 7 3 2 2" xfId="45965"/>
    <cellStyle name="Separador de milhares 3 13 4 7 3 3" xfId="13557"/>
    <cellStyle name="Separador de milhares 3 13 4 7 3 3 2" xfId="40057"/>
    <cellStyle name="Separador de milhares 3 13 4 7 3 4" xfId="34149"/>
    <cellStyle name="Separador de milhares 3 13 4 7 3 5" xfId="27615"/>
    <cellStyle name="Separador de milhares 3 13 4 7 4" xfId="16520"/>
    <cellStyle name="Separador de milhares 3 13 4 7 4 2" xfId="43011"/>
    <cellStyle name="Separador de milhares 3 13 4 7 4 3" xfId="24109"/>
    <cellStyle name="Separador de milhares 3 13 4 7 5" xfId="10593"/>
    <cellStyle name="Separador de milhares 3 13 4 7 5 2" xfId="37103"/>
    <cellStyle name="Separador de milhares 3 13 4 7 6" xfId="30643"/>
    <cellStyle name="Separador de milhares 3 13 4 7 7" xfId="22337"/>
    <cellStyle name="Separador de milhares 3 13 4 8" xfId="4066"/>
    <cellStyle name="Separador de milhares 3 13 4 8 2" xfId="6035"/>
    <cellStyle name="Separador de milhares 3 13 4 8 2 2" xfId="9247"/>
    <cellStyle name="Separador de milhares 3 13 4 8 2 2 2" xfId="21101"/>
    <cellStyle name="Separador de milhares 3 13 4 8 2 2 2 2" xfId="47580"/>
    <cellStyle name="Separador de milhares 3 13 4 8 2 2 3" xfId="15174"/>
    <cellStyle name="Separador de milhares 3 13 4 8 2 2 3 2" xfId="41672"/>
    <cellStyle name="Separador de milhares 3 13 4 8 2 2 4" xfId="35764"/>
    <cellStyle name="Separador de milhares 3 13 4 8 2 2 5" xfId="29230"/>
    <cellStyle name="Separador de milhares 3 13 4 8 2 3" xfId="18137"/>
    <cellStyle name="Separador de milhares 3 13 4 8 2 3 2" xfId="44626"/>
    <cellStyle name="Separador de milhares 3 13 4 8 2 4" xfId="12210"/>
    <cellStyle name="Separador de milhares 3 13 4 8 2 4 2" xfId="38718"/>
    <cellStyle name="Separador de milhares 3 13 4 8 2 5" xfId="32562"/>
    <cellStyle name="Separador de milhares 3 13 4 8 2 6" xfId="26028"/>
    <cellStyle name="Separador de milhares 3 13 4 8 3" xfId="7778"/>
    <cellStyle name="Separador de milhares 3 13 4 8 3 2" xfId="19632"/>
    <cellStyle name="Separador de milhares 3 13 4 8 3 2 2" xfId="46112"/>
    <cellStyle name="Separador de milhares 3 13 4 8 3 3" xfId="13705"/>
    <cellStyle name="Separador de milhares 3 13 4 8 3 3 2" xfId="40204"/>
    <cellStyle name="Separador de milhares 3 13 4 8 3 4" xfId="34296"/>
    <cellStyle name="Separador de milhares 3 13 4 8 3 5" xfId="27762"/>
    <cellStyle name="Separador de milhares 3 13 4 8 4" xfId="16668"/>
    <cellStyle name="Separador de milhares 3 13 4 8 4 2" xfId="43158"/>
    <cellStyle name="Separador de milhares 3 13 4 8 4 3" xfId="24256"/>
    <cellStyle name="Separador de milhares 3 13 4 8 5" xfId="10741"/>
    <cellStyle name="Separador de milhares 3 13 4 8 5 2" xfId="37250"/>
    <cellStyle name="Separador de milhares 3 13 4 8 6" xfId="30790"/>
    <cellStyle name="Separador de milhares 3 13 4 8 7" xfId="22484"/>
    <cellStyle name="Separador de milhares 3 13 4 9" xfId="816"/>
    <cellStyle name="Separador de milhares 3 13 4 9 2" xfId="5129"/>
    <cellStyle name="Separador de milhares 3 13 4 9 2 2" xfId="8344"/>
    <cellStyle name="Separador de milhares 3 13 4 9 2 2 2" xfId="20198"/>
    <cellStyle name="Separador de milhares 3 13 4 9 2 2 2 2" xfId="46677"/>
    <cellStyle name="Separador de milhares 3 13 4 9 2 2 3" xfId="14271"/>
    <cellStyle name="Separador de milhares 3 13 4 9 2 2 3 2" xfId="40769"/>
    <cellStyle name="Separador de milhares 3 13 4 9 2 2 4" xfId="34861"/>
    <cellStyle name="Separador de milhares 3 13 4 9 2 2 5" xfId="28327"/>
    <cellStyle name="Separador de milhares 3 13 4 9 2 3" xfId="17234"/>
    <cellStyle name="Separador de milhares 3 13 4 9 2 3 2" xfId="43723"/>
    <cellStyle name="Separador de milhares 3 13 4 9 2 4" xfId="11307"/>
    <cellStyle name="Separador de milhares 3 13 4 9 2 4 2" xfId="37815"/>
    <cellStyle name="Separador de milhares 3 13 4 9 2 5" xfId="31656"/>
    <cellStyle name="Separador de milhares 3 13 4 9 2 6" xfId="25122"/>
    <cellStyle name="Separador de milhares 3 13 4 9 3" xfId="6871"/>
    <cellStyle name="Separador de milhares 3 13 4 9 3 2" xfId="18725"/>
    <cellStyle name="Separador de milhares 3 13 4 9 3 2 2" xfId="45209"/>
    <cellStyle name="Separador de milhares 3 13 4 9 3 3" xfId="12798"/>
    <cellStyle name="Separador de milhares 3 13 4 9 3 3 2" xfId="39301"/>
    <cellStyle name="Separador de milhares 3 13 4 9 3 4" xfId="33393"/>
    <cellStyle name="Separador de milhares 3 13 4 9 3 5" xfId="26859"/>
    <cellStyle name="Separador de milhares 3 13 4 9 4" xfId="15761"/>
    <cellStyle name="Separador de milhares 3 13 4 9 4 2" xfId="42255"/>
    <cellStyle name="Separador de milhares 3 13 4 9 4 3" xfId="23350"/>
    <cellStyle name="Separador de milhares 3 13 4 9 5" xfId="9834"/>
    <cellStyle name="Separador de milhares 3 13 4 9 5 2" xfId="36347"/>
    <cellStyle name="Separador de milhares 3 13 4 9 6" xfId="29884"/>
    <cellStyle name="Separador de milhares 3 13 4 9 7" xfId="21578"/>
    <cellStyle name="Separador de milhares 3 13 5" xfId="775"/>
    <cellStyle name="Separador de milhares 3 13 5 10" xfId="15724"/>
    <cellStyle name="Separador de milhares 3 13 5 10 2" xfId="42221"/>
    <cellStyle name="Separador de milhares 3 13 5 10 3" xfId="23316"/>
    <cellStyle name="Separador de milhares 3 13 5 11" xfId="9797"/>
    <cellStyle name="Separador de milhares 3 13 5 11 2" xfId="36313"/>
    <cellStyle name="Separador de milhares 3 13 5 12" xfId="29850"/>
    <cellStyle name="Separador de milhares 3 13 5 13" xfId="21544"/>
    <cellStyle name="Separador de milhares 3 13 5 2" xfId="1598"/>
    <cellStyle name="Separador de milhares 3 13 5 2 2" xfId="5346"/>
    <cellStyle name="Separador de milhares 3 13 5 2 2 2" xfId="8561"/>
    <cellStyle name="Separador de milhares 3 13 5 2 2 2 2" xfId="20415"/>
    <cellStyle name="Separador de milhares 3 13 5 2 2 2 2 2" xfId="46894"/>
    <cellStyle name="Separador de milhares 3 13 5 2 2 2 3" xfId="14488"/>
    <cellStyle name="Separador de milhares 3 13 5 2 2 2 3 2" xfId="40986"/>
    <cellStyle name="Separador de milhares 3 13 5 2 2 2 4" xfId="35078"/>
    <cellStyle name="Separador de milhares 3 13 5 2 2 2 5" xfId="28544"/>
    <cellStyle name="Separador de milhares 3 13 5 2 2 3" xfId="17451"/>
    <cellStyle name="Separador de milhares 3 13 5 2 2 3 2" xfId="43940"/>
    <cellStyle name="Separador de milhares 3 13 5 2 2 4" xfId="11524"/>
    <cellStyle name="Separador de milhares 3 13 5 2 2 4 2" xfId="38032"/>
    <cellStyle name="Separador de milhares 3 13 5 2 2 5" xfId="31873"/>
    <cellStyle name="Separador de milhares 3 13 5 2 2 6" xfId="25339"/>
    <cellStyle name="Separador de milhares 3 13 5 2 3" xfId="7088"/>
    <cellStyle name="Separador de milhares 3 13 5 2 3 2" xfId="18942"/>
    <cellStyle name="Separador de milhares 3 13 5 2 3 2 2" xfId="45426"/>
    <cellStyle name="Separador de milhares 3 13 5 2 3 3" xfId="13015"/>
    <cellStyle name="Separador de milhares 3 13 5 2 3 3 2" xfId="39518"/>
    <cellStyle name="Separador de milhares 3 13 5 2 3 4" xfId="33610"/>
    <cellStyle name="Separador de milhares 3 13 5 2 3 5" xfId="27076"/>
    <cellStyle name="Separador de milhares 3 13 5 2 4" xfId="15978"/>
    <cellStyle name="Separador de milhares 3 13 5 2 4 2" xfId="42472"/>
    <cellStyle name="Separador de milhares 3 13 5 2 4 3" xfId="23567"/>
    <cellStyle name="Separador de milhares 3 13 5 2 5" xfId="10051"/>
    <cellStyle name="Separador de milhares 3 13 5 2 5 2" xfId="36564"/>
    <cellStyle name="Separador de milhares 3 13 5 2 6" xfId="30101"/>
    <cellStyle name="Separador de milhares 3 13 5 2 7" xfId="21795"/>
    <cellStyle name="Separador de milhares 3 13 5 3" xfId="2033"/>
    <cellStyle name="Separador de milhares 3 13 5 3 2" xfId="5465"/>
    <cellStyle name="Separador de milhares 3 13 5 3 2 2" xfId="8680"/>
    <cellStyle name="Separador de milhares 3 13 5 3 2 2 2" xfId="20534"/>
    <cellStyle name="Separador de milhares 3 13 5 3 2 2 2 2" xfId="47013"/>
    <cellStyle name="Separador de milhares 3 13 5 3 2 2 3" xfId="14607"/>
    <cellStyle name="Separador de milhares 3 13 5 3 2 2 3 2" xfId="41105"/>
    <cellStyle name="Separador de milhares 3 13 5 3 2 2 4" xfId="35197"/>
    <cellStyle name="Separador de milhares 3 13 5 3 2 2 5" xfId="28663"/>
    <cellStyle name="Separador de milhares 3 13 5 3 2 3" xfId="17570"/>
    <cellStyle name="Separador de milhares 3 13 5 3 2 3 2" xfId="44059"/>
    <cellStyle name="Separador de milhares 3 13 5 3 2 4" xfId="11643"/>
    <cellStyle name="Separador de milhares 3 13 5 3 2 4 2" xfId="38151"/>
    <cellStyle name="Separador de milhares 3 13 5 3 2 5" xfId="31992"/>
    <cellStyle name="Separador de milhares 3 13 5 3 2 6" xfId="25458"/>
    <cellStyle name="Separador de milhares 3 13 5 3 3" xfId="7207"/>
    <cellStyle name="Separador de milhares 3 13 5 3 3 2" xfId="19061"/>
    <cellStyle name="Separador de milhares 3 13 5 3 3 2 2" xfId="45545"/>
    <cellStyle name="Separador de milhares 3 13 5 3 3 3" xfId="13134"/>
    <cellStyle name="Separador de milhares 3 13 5 3 3 3 2" xfId="39637"/>
    <cellStyle name="Separador de milhares 3 13 5 3 3 4" xfId="33729"/>
    <cellStyle name="Separador de milhares 3 13 5 3 3 5" xfId="27195"/>
    <cellStyle name="Separador de milhares 3 13 5 3 4" xfId="16097"/>
    <cellStyle name="Separador de milhares 3 13 5 3 4 2" xfId="42591"/>
    <cellStyle name="Separador de milhares 3 13 5 3 4 3" xfId="23686"/>
    <cellStyle name="Separador de milhares 3 13 5 3 5" xfId="10170"/>
    <cellStyle name="Separador de milhares 3 13 5 3 5 2" xfId="36683"/>
    <cellStyle name="Separador de milhares 3 13 5 3 6" xfId="30220"/>
    <cellStyle name="Separador de milhares 3 13 5 3 7" xfId="21914"/>
    <cellStyle name="Separador de milhares 3 13 5 4" xfId="2566"/>
    <cellStyle name="Separador de milhares 3 13 5 4 2" xfId="5615"/>
    <cellStyle name="Separador de milhares 3 13 5 4 2 2" xfId="8827"/>
    <cellStyle name="Separador de milhares 3 13 5 4 2 2 2" xfId="20681"/>
    <cellStyle name="Separador de milhares 3 13 5 4 2 2 2 2" xfId="47160"/>
    <cellStyle name="Separador de milhares 3 13 5 4 2 2 3" xfId="14754"/>
    <cellStyle name="Separador de milhares 3 13 5 4 2 2 3 2" xfId="41252"/>
    <cellStyle name="Separador de milhares 3 13 5 4 2 2 4" xfId="35344"/>
    <cellStyle name="Separador de milhares 3 13 5 4 2 2 5" xfId="28810"/>
    <cellStyle name="Separador de milhares 3 13 5 4 2 3" xfId="17717"/>
    <cellStyle name="Separador de milhares 3 13 5 4 2 3 2" xfId="44206"/>
    <cellStyle name="Separador de milhares 3 13 5 4 2 4" xfId="11790"/>
    <cellStyle name="Separador de milhares 3 13 5 4 2 4 2" xfId="38298"/>
    <cellStyle name="Separador de milhares 3 13 5 4 2 5" xfId="32142"/>
    <cellStyle name="Separador de milhares 3 13 5 4 2 6" xfId="25608"/>
    <cellStyle name="Separador de milhares 3 13 5 4 3" xfId="7355"/>
    <cellStyle name="Separador de milhares 3 13 5 4 3 2" xfId="19209"/>
    <cellStyle name="Separador de milhares 3 13 5 4 3 2 2" xfId="45692"/>
    <cellStyle name="Separador de milhares 3 13 5 4 3 3" xfId="13282"/>
    <cellStyle name="Separador de milhares 3 13 5 4 3 3 2" xfId="39784"/>
    <cellStyle name="Separador de milhares 3 13 5 4 3 4" xfId="33876"/>
    <cellStyle name="Separador de milhares 3 13 5 4 3 5" xfId="27342"/>
    <cellStyle name="Separador de milhares 3 13 5 4 4" xfId="16245"/>
    <cellStyle name="Separador de milhares 3 13 5 4 4 2" xfId="42738"/>
    <cellStyle name="Separador de milhares 3 13 5 4 4 3" xfId="23836"/>
    <cellStyle name="Separador de milhares 3 13 5 4 5" xfId="10318"/>
    <cellStyle name="Separador de milhares 3 13 5 4 5 2" xfId="36830"/>
    <cellStyle name="Separador de milhares 3 13 5 4 6" xfId="30370"/>
    <cellStyle name="Separador de milhares 3 13 5 4 7" xfId="22064"/>
    <cellStyle name="Separador de milhares 3 13 5 5" xfId="3094"/>
    <cellStyle name="Separador de milhares 3 13 5 5 2" xfId="5762"/>
    <cellStyle name="Separador de milhares 3 13 5 5 2 2" xfId="8974"/>
    <cellStyle name="Separador de milhares 3 13 5 5 2 2 2" xfId="20828"/>
    <cellStyle name="Separador de milhares 3 13 5 5 2 2 2 2" xfId="47307"/>
    <cellStyle name="Separador de milhares 3 13 5 5 2 2 3" xfId="14901"/>
    <cellStyle name="Separador de milhares 3 13 5 5 2 2 3 2" xfId="41399"/>
    <cellStyle name="Separador de milhares 3 13 5 5 2 2 4" xfId="35491"/>
    <cellStyle name="Separador de milhares 3 13 5 5 2 2 5" xfId="28957"/>
    <cellStyle name="Separador de milhares 3 13 5 5 2 3" xfId="17864"/>
    <cellStyle name="Separador de milhares 3 13 5 5 2 3 2" xfId="44353"/>
    <cellStyle name="Separador de milhares 3 13 5 5 2 4" xfId="11937"/>
    <cellStyle name="Separador de milhares 3 13 5 5 2 4 2" xfId="38445"/>
    <cellStyle name="Separador de milhares 3 13 5 5 2 5" xfId="32289"/>
    <cellStyle name="Separador de milhares 3 13 5 5 2 6" xfId="25755"/>
    <cellStyle name="Separador de milhares 3 13 5 5 3" xfId="7503"/>
    <cellStyle name="Separador de milhares 3 13 5 5 3 2" xfId="19357"/>
    <cellStyle name="Separador de milhares 3 13 5 5 3 2 2" xfId="45839"/>
    <cellStyle name="Separador de milhares 3 13 5 5 3 3" xfId="13430"/>
    <cellStyle name="Separador de milhares 3 13 5 5 3 3 2" xfId="39931"/>
    <cellStyle name="Separador de milhares 3 13 5 5 3 4" xfId="34023"/>
    <cellStyle name="Separador de milhares 3 13 5 5 3 5" xfId="27489"/>
    <cellStyle name="Separador de milhares 3 13 5 5 4" xfId="16393"/>
    <cellStyle name="Separador de milhares 3 13 5 5 4 2" xfId="42885"/>
    <cellStyle name="Separador de milhares 3 13 5 5 4 3" xfId="23983"/>
    <cellStyle name="Separador de milhares 3 13 5 5 5" xfId="10466"/>
    <cellStyle name="Separador de milhares 3 13 5 5 5 2" xfId="36977"/>
    <cellStyle name="Separador de milhares 3 13 5 5 6" xfId="30517"/>
    <cellStyle name="Separador de milhares 3 13 5 5 7" xfId="22211"/>
    <cellStyle name="Separador de milhares 3 13 5 6" xfId="3622"/>
    <cellStyle name="Separador de milhares 3 13 5 6 2" xfId="5909"/>
    <cellStyle name="Separador de milhares 3 13 5 6 2 2" xfId="9121"/>
    <cellStyle name="Separador de milhares 3 13 5 6 2 2 2" xfId="20975"/>
    <cellStyle name="Separador de milhares 3 13 5 6 2 2 2 2" xfId="47454"/>
    <cellStyle name="Separador de milhares 3 13 5 6 2 2 3" xfId="15048"/>
    <cellStyle name="Separador de milhares 3 13 5 6 2 2 3 2" xfId="41546"/>
    <cellStyle name="Separador de milhares 3 13 5 6 2 2 4" xfId="35638"/>
    <cellStyle name="Separador de milhares 3 13 5 6 2 2 5" xfId="29104"/>
    <cellStyle name="Separador de milhares 3 13 5 6 2 3" xfId="18011"/>
    <cellStyle name="Separador de milhares 3 13 5 6 2 3 2" xfId="44500"/>
    <cellStyle name="Separador de milhares 3 13 5 6 2 4" xfId="12084"/>
    <cellStyle name="Separador de milhares 3 13 5 6 2 4 2" xfId="38592"/>
    <cellStyle name="Separador de milhares 3 13 5 6 2 5" xfId="32436"/>
    <cellStyle name="Separador de milhares 3 13 5 6 2 6" xfId="25902"/>
    <cellStyle name="Separador de milhares 3 13 5 6 3" xfId="7651"/>
    <cellStyle name="Separador de milhares 3 13 5 6 3 2" xfId="19505"/>
    <cellStyle name="Separador de milhares 3 13 5 6 3 2 2" xfId="45986"/>
    <cellStyle name="Separador de milhares 3 13 5 6 3 3" xfId="13578"/>
    <cellStyle name="Separador de milhares 3 13 5 6 3 3 2" xfId="40078"/>
    <cellStyle name="Separador de milhares 3 13 5 6 3 4" xfId="34170"/>
    <cellStyle name="Separador de milhares 3 13 5 6 3 5" xfId="27636"/>
    <cellStyle name="Separador de milhares 3 13 5 6 4" xfId="16541"/>
    <cellStyle name="Separador de milhares 3 13 5 6 4 2" xfId="43032"/>
    <cellStyle name="Separador de milhares 3 13 5 6 4 3" xfId="24130"/>
    <cellStyle name="Separador de milhares 3 13 5 6 5" xfId="10614"/>
    <cellStyle name="Separador de milhares 3 13 5 6 5 2" xfId="37124"/>
    <cellStyle name="Separador de milhares 3 13 5 6 6" xfId="30664"/>
    <cellStyle name="Separador de milhares 3 13 5 6 7" xfId="22358"/>
    <cellStyle name="Separador de milhares 3 13 5 7" xfId="4150"/>
    <cellStyle name="Separador de milhares 3 13 5 7 2" xfId="6056"/>
    <cellStyle name="Separador de milhares 3 13 5 7 2 2" xfId="9268"/>
    <cellStyle name="Separador de milhares 3 13 5 7 2 2 2" xfId="21122"/>
    <cellStyle name="Separador de milhares 3 13 5 7 2 2 2 2" xfId="47601"/>
    <cellStyle name="Separador de milhares 3 13 5 7 2 2 3" xfId="15195"/>
    <cellStyle name="Separador de milhares 3 13 5 7 2 2 3 2" xfId="41693"/>
    <cellStyle name="Separador de milhares 3 13 5 7 2 2 4" xfId="35785"/>
    <cellStyle name="Separador de milhares 3 13 5 7 2 2 5" xfId="29251"/>
    <cellStyle name="Separador de milhares 3 13 5 7 2 3" xfId="18158"/>
    <cellStyle name="Separador de milhares 3 13 5 7 2 3 2" xfId="44647"/>
    <cellStyle name="Separador de milhares 3 13 5 7 2 4" xfId="12231"/>
    <cellStyle name="Separador de milhares 3 13 5 7 2 4 2" xfId="38739"/>
    <cellStyle name="Separador de milhares 3 13 5 7 2 5" xfId="32583"/>
    <cellStyle name="Separador de milhares 3 13 5 7 2 6" xfId="26049"/>
    <cellStyle name="Separador de milhares 3 13 5 7 3" xfId="7799"/>
    <cellStyle name="Separador de milhares 3 13 5 7 3 2" xfId="19653"/>
    <cellStyle name="Separador de milhares 3 13 5 7 3 2 2" xfId="46133"/>
    <cellStyle name="Separador de milhares 3 13 5 7 3 3" xfId="13726"/>
    <cellStyle name="Separador de milhares 3 13 5 7 3 3 2" xfId="40225"/>
    <cellStyle name="Separador de milhares 3 13 5 7 3 4" xfId="34317"/>
    <cellStyle name="Separador de milhares 3 13 5 7 3 5" xfId="27783"/>
    <cellStyle name="Separador de milhares 3 13 5 7 4" xfId="16689"/>
    <cellStyle name="Separador de milhares 3 13 5 7 4 2" xfId="43179"/>
    <cellStyle name="Separador de milhares 3 13 5 7 4 3" xfId="24277"/>
    <cellStyle name="Separador de milhares 3 13 5 7 5" xfId="10762"/>
    <cellStyle name="Separador de milhares 3 13 5 7 5 2" xfId="37271"/>
    <cellStyle name="Separador de milhares 3 13 5 7 6" xfId="30811"/>
    <cellStyle name="Separador de milhares 3 13 5 7 7" xfId="22505"/>
    <cellStyle name="Separador de milhares 3 13 5 8" xfId="5095"/>
    <cellStyle name="Separador de milhares 3 13 5 8 2" xfId="8310"/>
    <cellStyle name="Separador de milhares 3 13 5 8 2 2" xfId="20164"/>
    <cellStyle name="Separador de milhares 3 13 5 8 2 2 2" xfId="46643"/>
    <cellStyle name="Separador de milhares 3 13 5 8 2 3" xfId="14237"/>
    <cellStyle name="Separador de milhares 3 13 5 8 2 3 2" xfId="40735"/>
    <cellStyle name="Separador de milhares 3 13 5 8 2 4" xfId="34827"/>
    <cellStyle name="Separador de milhares 3 13 5 8 2 5" xfId="28293"/>
    <cellStyle name="Separador de milhares 3 13 5 8 3" xfId="17200"/>
    <cellStyle name="Separador de milhares 3 13 5 8 3 2" xfId="43689"/>
    <cellStyle name="Separador de milhares 3 13 5 8 4" xfId="11273"/>
    <cellStyle name="Separador de milhares 3 13 5 8 4 2" xfId="37781"/>
    <cellStyle name="Separador de milhares 3 13 5 8 5" xfId="31622"/>
    <cellStyle name="Separador de milhares 3 13 5 8 6" xfId="25088"/>
    <cellStyle name="Separador de milhares 3 13 5 9" xfId="6834"/>
    <cellStyle name="Separador de milhares 3 13 5 9 2" xfId="18688"/>
    <cellStyle name="Separador de milhares 3 13 5 9 2 2" xfId="45175"/>
    <cellStyle name="Separador de milhares 3 13 5 9 3" xfId="12761"/>
    <cellStyle name="Separador de milhares 3 13 5 9 3 2" xfId="39267"/>
    <cellStyle name="Separador de milhares 3 13 5 9 4" xfId="33359"/>
    <cellStyle name="Separador de milhares 3 13 5 9 5" xfId="26825"/>
    <cellStyle name="Separador de milhares 3 13 6" xfId="896"/>
    <cellStyle name="Separador de milhares 3 13 6 2" xfId="4327"/>
    <cellStyle name="Separador de milhares 3 13 6 2 2" xfId="6105"/>
    <cellStyle name="Separador de milhares 3 13 6 2 2 2" xfId="9317"/>
    <cellStyle name="Separador de milhares 3 13 6 2 2 2 2" xfId="21171"/>
    <cellStyle name="Separador de milhares 3 13 6 2 2 2 2 2" xfId="47650"/>
    <cellStyle name="Separador de milhares 3 13 6 2 2 2 3" xfId="15244"/>
    <cellStyle name="Separador de milhares 3 13 6 2 2 2 3 2" xfId="41742"/>
    <cellStyle name="Separador de milhares 3 13 6 2 2 2 4" xfId="35834"/>
    <cellStyle name="Separador de milhares 3 13 6 2 2 2 5" xfId="29300"/>
    <cellStyle name="Separador de milhares 3 13 6 2 2 3" xfId="18207"/>
    <cellStyle name="Separador de milhares 3 13 6 2 2 3 2" xfId="44696"/>
    <cellStyle name="Separador de milhares 3 13 6 2 2 4" xfId="12280"/>
    <cellStyle name="Separador de milhares 3 13 6 2 2 4 2" xfId="38788"/>
    <cellStyle name="Separador de milhares 3 13 6 2 2 5" xfId="32632"/>
    <cellStyle name="Separador de milhares 3 13 6 2 2 6" xfId="26098"/>
    <cellStyle name="Separador de milhares 3 13 6 2 3" xfId="7849"/>
    <cellStyle name="Separador de milhares 3 13 6 2 3 2" xfId="19703"/>
    <cellStyle name="Separador de milhares 3 13 6 2 3 2 2" xfId="46182"/>
    <cellStyle name="Separador de milhares 3 13 6 2 3 3" xfId="13776"/>
    <cellStyle name="Separador de milhares 3 13 6 2 3 3 2" xfId="40274"/>
    <cellStyle name="Separador de milhares 3 13 6 2 3 4" xfId="34366"/>
    <cellStyle name="Separador de milhares 3 13 6 2 3 5" xfId="27832"/>
    <cellStyle name="Separador de milhares 3 13 6 2 4" xfId="16739"/>
    <cellStyle name="Separador de milhares 3 13 6 2 4 2" xfId="43228"/>
    <cellStyle name="Separador de milhares 3 13 6 2 4 3" xfId="24326"/>
    <cellStyle name="Separador de milhares 3 13 6 2 5" xfId="10812"/>
    <cellStyle name="Separador de milhares 3 13 6 2 5 2" xfId="37320"/>
    <cellStyle name="Separador de milhares 3 13 6 2 6" xfId="30860"/>
    <cellStyle name="Separador de milhares 3 13 6 2 7" xfId="22554"/>
    <cellStyle name="Separador de milhares 3 13 6 3" xfId="5150"/>
    <cellStyle name="Separador de milhares 3 13 6 3 2" xfId="8365"/>
    <cellStyle name="Separador de milhares 3 13 6 3 2 2" xfId="20219"/>
    <cellStyle name="Separador de milhares 3 13 6 3 2 2 2" xfId="46698"/>
    <cellStyle name="Separador de milhares 3 13 6 3 2 3" xfId="14292"/>
    <cellStyle name="Separador de milhares 3 13 6 3 2 3 2" xfId="40790"/>
    <cellStyle name="Separador de milhares 3 13 6 3 2 4" xfId="34882"/>
    <cellStyle name="Separador de milhares 3 13 6 3 2 5" xfId="28348"/>
    <cellStyle name="Separador de milhares 3 13 6 3 3" xfId="17255"/>
    <cellStyle name="Separador de milhares 3 13 6 3 3 2" xfId="43744"/>
    <cellStyle name="Separador de milhares 3 13 6 3 4" xfId="11328"/>
    <cellStyle name="Separador de milhares 3 13 6 3 4 2" xfId="37836"/>
    <cellStyle name="Separador de milhares 3 13 6 3 5" xfId="31677"/>
    <cellStyle name="Separador de milhares 3 13 6 3 6" xfId="25143"/>
    <cellStyle name="Separador de milhares 3 13 6 4" xfId="6892"/>
    <cellStyle name="Separador de milhares 3 13 6 4 2" xfId="18746"/>
    <cellStyle name="Separador de milhares 3 13 6 4 2 2" xfId="45230"/>
    <cellStyle name="Separador de milhares 3 13 6 4 3" xfId="12819"/>
    <cellStyle name="Separador de milhares 3 13 6 4 3 2" xfId="39322"/>
    <cellStyle name="Separador de milhares 3 13 6 4 4" xfId="33414"/>
    <cellStyle name="Separador de milhares 3 13 6 4 5" xfId="26880"/>
    <cellStyle name="Separador de milhares 3 13 6 5" xfId="15782"/>
    <cellStyle name="Separador de milhares 3 13 6 5 2" xfId="42276"/>
    <cellStyle name="Separador de milhares 3 13 6 5 3" xfId="23371"/>
    <cellStyle name="Separador de milhares 3 13 6 6" xfId="9855"/>
    <cellStyle name="Separador de milhares 3 13 6 6 2" xfId="36368"/>
    <cellStyle name="Separador de milhares 3 13 6 7" xfId="29905"/>
    <cellStyle name="Separador de milhares 3 13 6 8" xfId="21599"/>
    <cellStyle name="Separador de milhares 3 13 7" xfId="1247"/>
    <cellStyle name="Separador de milhares 3 13 7 2" xfId="5248"/>
    <cellStyle name="Separador de milhares 3 13 7 2 2" xfId="8463"/>
    <cellStyle name="Separador de milhares 3 13 7 2 2 2" xfId="20317"/>
    <cellStyle name="Separador de milhares 3 13 7 2 2 2 2" xfId="46796"/>
    <cellStyle name="Separador de milhares 3 13 7 2 2 3" xfId="14390"/>
    <cellStyle name="Separador de milhares 3 13 7 2 2 3 2" xfId="40888"/>
    <cellStyle name="Separador de milhares 3 13 7 2 2 4" xfId="34980"/>
    <cellStyle name="Separador de milhares 3 13 7 2 2 5" xfId="28446"/>
    <cellStyle name="Separador de milhares 3 13 7 2 3" xfId="17353"/>
    <cellStyle name="Separador de milhares 3 13 7 2 3 2" xfId="43842"/>
    <cellStyle name="Separador de milhares 3 13 7 2 4" xfId="11426"/>
    <cellStyle name="Separador de milhares 3 13 7 2 4 2" xfId="37934"/>
    <cellStyle name="Separador de milhares 3 13 7 2 5" xfId="31775"/>
    <cellStyle name="Separador de milhares 3 13 7 2 6" xfId="25241"/>
    <cellStyle name="Separador de milhares 3 13 7 3" xfId="6990"/>
    <cellStyle name="Separador de milhares 3 13 7 3 2" xfId="18844"/>
    <cellStyle name="Separador de milhares 3 13 7 3 2 2" xfId="45328"/>
    <cellStyle name="Separador de milhares 3 13 7 3 3" xfId="12917"/>
    <cellStyle name="Separador de milhares 3 13 7 3 3 2" xfId="39420"/>
    <cellStyle name="Separador de milhares 3 13 7 3 4" xfId="33512"/>
    <cellStyle name="Separador de milhares 3 13 7 3 5" xfId="26978"/>
    <cellStyle name="Separador de milhares 3 13 7 4" xfId="15880"/>
    <cellStyle name="Separador de milhares 3 13 7 4 2" xfId="42374"/>
    <cellStyle name="Separador de milhares 3 13 7 4 3" xfId="23469"/>
    <cellStyle name="Separador de milhares 3 13 7 5" xfId="9953"/>
    <cellStyle name="Separador de milhares 3 13 7 5 2" xfId="36466"/>
    <cellStyle name="Separador de milhares 3 13 7 6" xfId="30003"/>
    <cellStyle name="Separador de milhares 3 13 7 7" xfId="21697"/>
    <cellStyle name="Separador de milhares 3 13 8" xfId="1682"/>
    <cellStyle name="Separador de milhares 3 13 8 2" xfId="5367"/>
    <cellStyle name="Separador de milhares 3 13 8 2 2" xfId="8582"/>
    <cellStyle name="Separador de milhares 3 13 8 2 2 2" xfId="20436"/>
    <cellStyle name="Separador de milhares 3 13 8 2 2 2 2" xfId="46915"/>
    <cellStyle name="Separador de milhares 3 13 8 2 2 3" xfId="14509"/>
    <cellStyle name="Separador de milhares 3 13 8 2 2 3 2" xfId="41007"/>
    <cellStyle name="Separador de milhares 3 13 8 2 2 4" xfId="35099"/>
    <cellStyle name="Separador de milhares 3 13 8 2 2 5" xfId="28565"/>
    <cellStyle name="Separador de milhares 3 13 8 2 3" xfId="17472"/>
    <cellStyle name="Separador de milhares 3 13 8 2 3 2" xfId="43961"/>
    <cellStyle name="Separador de milhares 3 13 8 2 4" xfId="11545"/>
    <cellStyle name="Separador de milhares 3 13 8 2 4 2" xfId="38053"/>
    <cellStyle name="Separador de milhares 3 13 8 2 5" xfId="31894"/>
    <cellStyle name="Separador de milhares 3 13 8 2 6" xfId="25360"/>
    <cellStyle name="Separador de milhares 3 13 8 3" xfId="7109"/>
    <cellStyle name="Separador de milhares 3 13 8 3 2" xfId="18963"/>
    <cellStyle name="Separador de milhares 3 13 8 3 2 2" xfId="45447"/>
    <cellStyle name="Separador de milhares 3 13 8 3 3" xfId="13036"/>
    <cellStyle name="Separador de milhares 3 13 8 3 3 2" xfId="39539"/>
    <cellStyle name="Separador de milhares 3 13 8 3 4" xfId="33631"/>
    <cellStyle name="Separador de milhares 3 13 8 3 5" xfId="27097"/>
    <cellStyle name="Separador de milhares 3 13 8 4" xfId="15999"/>
    <cellStyle name="Separador de milhares 3 13 8 4 2" xfId="42493"/>
    <cellStyle name="Separador de milhares 3 13 8 4 3" xfId="23588"/>
    <cellStyle name="Separador de milhares 3 13 8 5" xfId="10072"/>
    <cellStyle name="Separador de milhares 3 13 8 5 2" xfId="36585"/>
    <cellStyle name="Separador de milhares 3 13 8 6" xfId="30122"/>
    <cellStyle name="Separador de milhares 3 13 8 7" xfId="21816"/>
    <cellStyle name="Separador de milhares 3 13 9" xfId="2215"/>
    <cellStyle name="Separador de milhares 3 13 9 2" xfId="5517"/>
    <cellStyle name="Separador de milhares 3 13 9 2 2" xfId="8729"/>
    <cellStyle name="Separador de milhares 3 13 9 2 2 2" xfId="20583"/>
    <cellStyle name="Separador de milhares 3 13 9 2 2 2 2" xfId="47062"/>
    <cellStyle name="Separador de milhares 3 13 9 2 2 3" xfId="14656"/>
    <cellStyle name="Separador de milhares 3 13 9 2 2 3 2" xfId="41154"/>
    <cellStyle name="Separador de milhares 3 13 9 2 2 4" xfId="35246"/>
    <cellStyle name="Separador de milhares 3 13 9 2 2 5" xfId="28712"/>
    <cellStyle name="Separador de milhares 3 13 9 2 3" xfId="17619"/>
    <cellStyle name="Separador de milhares 3 13 9 2 3 2" xfId="44108"/>
    <cellStyle name="Separador de milhares 3 13 9 2 4" xfId="11692"/>
    <cellStyle name="Separador de milhares 3 13 9 2 4 2" xfId="38200"/>
    <cellStyle name="Separador de milhares 3 13 9 2 5" xfId="32044"/>
    <cellStyle name="Separador de milhares 3 13 9 2 6" xfId="25510"/>
    <cellStyle name="Separador de milhares 3 13 9 3" xfId="7257"/>
    <cellStyle name="Separador de milhares 3 13 9 3 2" xfId="19111"/>
    <cellStyle name="Separador de milhares 3 13 9 3 2 2" xfId="45594"/>
    <cellStyle name="Separador de milhares 3 13 9 3 3" xfId="13184"/>
    <cellStyle name="Separador de milhares 3 13 9 3 3 2" xfId="39686"/>
    <cellStyle name="Separador de milhares 3 13 9 3 4" xfId="33778"/>
    <cellStyle name="Separador de milhares 3 13 9 3 5" xfId="27244"/>
    <cellStyle name="Separador de milhares 3 13 9 4" xfId="16147"/>
    <cellStyle name="Separador de milhares 3 13 9 4 2" xfId="42640"/>
    <cellStyle name="Separador de milhares 3 13 9 4 3" xfId="23738"/>
    <cellStyle name="Separador de milhares 3 13 9 5" xfId="10220"/>
    <cellStyle name="Separador de milhares 3 13 9 5 2" xfId="36732"/>
    <cellStyle name="Separador de milhares 3 13 9 6" xfId="30272"/>
    <cellStyle name="Separador de milhares 3 13 9 7" xfId="21966"/>
    <cellStyle name="Separador de milhares 3 14" xfId="165"/>
    <cellStyle name="Separador de milhares 3 14 10" xfId="2675"/>
    <cellStyle name="Separador de milhares 3 14 10 2" xfId="5647"/>
    <cellStyle name="Separador de milhares 3 14 10 2 2" xfId="8859"/>
    <cellStyle name="Separador de milhares 3 14 10 2 2 2" xfId="20713"/>
    <cellStyle name="Separador de milhares 3 14 10 2 2 2 2" xfId="47192"/>
    <cellStyle name="Separador de milhares 3 14 10 2 2 3" xfId="14786"/>
    <cellStyle name="Separador de milhares 3 14 10 2 2 3 2" xfId="41284"/>
    <cellStyle name="Separador de milhares 3 14 10 2 2 4" xfId="35376"/>
    <cellStyle name="Separador de milhares 3 14 10 2 2 5" xfId="28842"/>
    <cellStyle name="Separador de milhares 3 14 10 2 3" xfId="17749"/>
    <cellStyle name="Separador de milhares 3 14 10 2 3 2" xfId="44238"/>
    <cellStyle name="Separador de milhares 3 14 10 2 4" xfId="11822"/>
    <cellStyle name="Separador de milhares 3 14 10 2 4 2" xfId="38330"/>
    <cellStyle name="Separador de milhares 3 14 10 2 5" xfId="32174"/>
    <cellStyle name="Separador de milhares 3 14 10 2 6" xfId="25640"/>
    <cellStyle name="Separador de milhares 3 14 10 3" xfId="7388"/>
    <cellStyle name="Separador de milhares 3 14 10 3 2" xfId="19242"/>
    <cellStyle name="Separador de milhares 3 14 10 3 2 2" xfId="45724"/>
    <cellStyle name="Separador de milhares 3 14 10 3 3" xfId="13315"/>
    <cellStyle name="Separador de milhares 3 14 10 3 3 2" xfId="39816"/>
    <cellStyle name="Separador de milhares 3 14 10 3 4" xfId="33908"/>
    <cellStyle name="Separador de milhares 3 14 10 3 5" xfId="27374"/>
    <cellStyle name="Separador de milhares 3 14 10 4" xfId="16278"/>
    <cellStyle name="Separador de milhares 3 14 10 4 2" xfId="42770"/>
    <cellStyle name="Separador de milhares 3 14 10 4 3" xfId="23868"/>
    <cellStyle name="Separador de milhares 3 14 10 5" xfId="10351"/>
    <cellStyle name="Separador de milhares 3 14 10 5 2" xfId="36862"/>
    <cellStyle name="Separador de milhares 3 14 10 6" xfId="30402"/>
    <cellStyle name="Separador de milhares 3 14 10 7" xfId="22096"/>
    <cellStyle name="Separador de milhares 3 14 11" xfId="3203"/>
    <cellStyle name="Separador de milhares 3 14 11 2" xfId="5794"/>
    <cellStyle name="Separador de milhares 3 14 11 2 2" xfId="9006"/>
    <cellStyle name="Separador de milhares 3 14 11 2 2 2" xfId="20860"/>
    <cellStyle name="Separador de milhares 3 14 11 2 2 2 2" xfId="47339"/>
    <cellStyle name="Separador de milhares 3 14 11 2 2 3" xfId="14933"/>
    <cellStyle name="Separador de milhares 3 14 11 2 2 3 2" xfId="41431"/>
    <cellStyle name="Separador de milhares 3 14 11 2 2 4" xfId="35523"/>
    <cellStyle name="Separador de milhares 3 14 11 2 2 5" xfId="28989"/>
    <cellStyle name="Separador de milhares 3 14 11 2 3" xfId="17896"/>
    <cellStyle name="Separador de milhares 3 14 11 2 3 2" xfId="44385"/>
    <cellStyle name="Separador de milhares 3 14 11 2 4" xfId="11969"/>
    <cellStyle name="Separador de milhares 3 14 11 2 4 2" xfId="38477"/>
    <cellStyle name="Separador de milhares 3 14 11 2 5" xfId="32321"/>
    <cellStyle name="Separador de milhares 3 14 11 2 6" xfId="25787"/>
    <cellStyle name="Separador de milhares 3 14 11 3" xfId="7536"/>
    <cellStyle name="Separador de milhares 3 14 11 3 2" xfId="19390"/>
    <cellStyle name="Separador de milhares 3 14 11 3 2 2" xfId="45871"/>
    <cellStyle name="Separador de milhares 3 14 11 3 3" xfId="13463"/>
    <cellStyle name="Separador de milhares 3 14 11 3 3 2" xfId="39963"/>
    <cellStyle name="Separador de milhares 3 14 11 3 4" xfId="34055"/>
    <cellStyle name="Separador de milhares 3 14 11 3 5" xfId="27521"/>
    <cellStyle name="Separador de milhares 3 14 11 4" xfId="16426"/>
    <cellStyle name="Separador de milhares 3 14 11 4 2" xfId="42917"/>
    <cellStyle name="Separador de milhares 3 14 11 4 3" xfId="24015"/>
    <cellStyle name="Separador de milhares 3 14 11 5" xfId="10499"/>
    <cellStyle name="Separador de milhares 3 14 11 5 2" xfId="37009"/>
    <cellStyle name="Separador de milhares 3 14 11 6" xfId="30549"/>
    <cellStyle name="Separador de milhares 3 14 11 7" xfId="22243"/>
    <cellStyle name="Separador de milhares 3 14 12" xfId="3731"/>
    <cellStyle name="Separador de milhares 3 14 12 2" xfId="5941"/>
    <cellStyle name="Separador de milhares 3 14 12 2 2" xfId="9153"/>
    <cellStyle name="Separador de milhares 3 14 12 2 2 2" xfId="21007"/>
    <cellStyle name="Separador de milhares 3 14 12 2 2 2 2" xfId="47486"/>
    <cellStyle name="Separador de milhares 3 14 12 2 2 3" xfId="15080"/>
    <cellStyle name="Separador de milhares 3 14 12 2 2 3 2" xfId="41578"/>
    <cellStyle name="Separador de milhares 3 14 12 2 2 4" xfId="35670"/>
    <cellStyle name="Separador de milhares 3 14 12 2 2 5" xfId="29136"/>
    <cellStyle name="Separador de milhares 3 14 12 2 3" xfId="18043"/>
    <cellStyle name="Separador de milhares 3 14 12 2 3 2" xfId="44532"/>
    <cellStyle name="Separador de milhares 3 14 12 2 4" xfId="12116"/>
    <cellStyle name="Separador de milhares 3 14 12 2 4 2" xfId="38624"/>
    <cellStyle name="Separador de milhares 3 14 12 2 5" xfId="32468"/>
    <cellStyle name="Separador de milhares 3 14 12 2 6" xfId="25934"/>
    <cellStyle name="Separador de milhares 3 14 12 3" xfId="7684"/>
    <cellStyle name="Separador de milhares 3 14 12 3 2" xfId="19538"/>
    <cellStyle name="Separador de milhares 3 14 12 3 2 2" xfId="46018"/>
    <cellStyle name="Separador de milhares 3 14 12 3 3" xfId="13611"/>
    <cellStyle name="Separador de milhares 3 14 12 3 3 2" xfId="40110"/>
    <cellStyle name="Separador de milhares 3 14 12 3 4" xfId="34202"/>
    <cellStyle name="Separador de milhares 3 14 12 3 5" xfId="27668"/>
    <cellStyle name="Separador de milhares 3 14 12 4" xfId="16574"/>
    <cellStyle name="Separador de milhares 3 14 12 4 2" xfId="43064"/>
    <cellStyle name="Separador de milhares 3 14 12 4 3" xfId="24162"/>
    <cellStyle name="Separador de milhares 3 14 12 5" xfId="10647"/>
    <cellStyle name="Separador de milhares 3 14 12 5 2" xfId="37156"/>
    <cellStyle name="Separador de milhares 3 14 12 6" xfId="30696"/>
    <cellStyle name="Separador de milhares 3 14 12 7" xfId="22390"/>
    <cellStyle name="Separador de milhares 3 14 13" xfId="4925"/>
    <cellStyle name="Separador de milhares 3 14 13 2" xfId="8149"/>
    <cellStyle name="Separador de milhares 3 14 13 2 2" xfId="20003"/>
    <cellStyle name="Separador de milhares 3 14 13 2 2 2" xfId="46482"/>
    <cellStyle name="Separador de milhares 3 14 13 2 3" xfId="14076"/>
    <cellStyle name="Separador de milhares 3 14 13 2 3 2" xfId="40574"/>
    <cellStyle name="Separador de milhares 3 14 13 2 4" xfId="34666"/>
    <cellStyle name="Separador de milhares 3 14 13 2 5" xfId="28132"/>
    <cellStyle name="Separador de milhares 3 14 13 3" xfId="17039"/>
    <cellStyle name="Separador de milhares 3 14 13 3 2" xfId="43528"/>
    <cellStyle name="Separador de milhares 3 14 13 4" xfId="11112"/>
    <cellStyle name="Separador de milhares 3 14 13 4 2" xfId="37620"/>
    <cellStyle name="Separador de milhares 3 14 13 5" xfId="31452"/>
    <cellStyle name="Separador de milhares 3 14 13 6" xfId="24918"/>
    <cellStyle name="Separador de milhares 3 14 14" xfId="6673"/>
    <cellStyle name="Separador de milhares 3 14 14 2" xfId="18527"/>
    <cellStyle name="Separador de milhares 3 14 14 2 2" xfId="45014"/>
    <cellStyle name="Separador de milhares 3 14 14 3" xfId="12600"/>
    <cellStyle name="Separador de milhares 3 14 14 3 2" xfId="39106"/>
    <cellStyle name="Separador de milhares 3 14 14 4" xfId="33198"/>
    <cellStyle name="Separador de milhares 3 14 14 5" xfId="26664"/>
    <cellStyle name="Separador de milhares 3 14 15" xfId="15563"/>
    <cellStyle name="Separador de milhares 3 14 15 2" xfId="42060"/>
    <cellStyle name="Separador de milhares 3 14 15 3" xfId="23146"/>
    <cellStyle name="Separador de milhares 3 14 16" xfId="9636"/>
    <cellStyle name="Separador de milhares 3 14 16 2" xfId="36152"/>
    <cellStyle name="Separador de milhares 3 14 17" xfId="29680"/>
    <cellStyle name="Separador de milhares 3 14 2" xfId="259"/>
    <cellStyle name="Separador de milhares 3 14 2 10" xfId="4954"/>
    <cellStyle name="Separador de milhares 3 14 2 10 2" xfId="8176"/>
    <cellStyle name="Separador de milhares 3 14 2 10 2 2" xfId="20030"/>
    <cellStyle name="Separador de milhares 3 14 2 10 2 2 2" xfId="46509"/>
    <cellStyle name="Separador de milhares 3 14 2 10 2 3" xfId="14103"/>
    <cellStyle name="Separador de milhares 3 14 2 10 2 3 2" xfId="40601"/>
    <cellStyle name="Separador de milhares 3 14 2 10 2 4" xfId="34693"/>
    <cellStyle name="Separador de milhares 3 14 2 10 2 5" xfId="28159"/>
    <cellStyle name="Separador de milhares 3 14 2 10 3" xfId="17066"/>
    <cellStyle name="Separador de milhares 3 14 2 10 3 2" xfId="43555"/>
    <cellStyle name="Separador de milhares 3 14 2 10 4" xfId="11139"/>
    <cellStyle name="Separador de milhares 3 14 2 10 4 2" xfId="37647"/>
    <cellStyle name="Separador de milhares 3 14 2 10 5" xfId="31481"/>
    <cellStyle name="Separador de milhares 3 14 2 10 6" xfId="24947"/>
    <cellStyle name="Separador de milhares 3 14 2 11" xfId="6700"/>
    <cellStyle name="Separador de milhares 3 14 2 11 2" xfId="18554"/>
    <cellStyle name="Separador de milhares 3 14 2 11 2 2" xfId="45041"/>
    <cellStyle name="Separador de milhares 3 14 2 11 3" xfId="12627"/>
    <cellStyle name="Separador de milhares 3 14 2 11 3 2" xfId="39133"/>
    <cellStyle name="Separador de milhares 3 14 2 11 4" xfId="33225"/>
    <cellStyle name="Separador de milhares 3 14 2 11 5" xfId="26691"/>
    <cellStyle name="Separador de milhares 3 14 2 12" xfId="15590"/>
    <cellStyle name="Separador de milhares 3 14 2 12 2" xfId="42087"/>
    <cellStyle name="Separador de milhares 3 14 2 12 3" xfId="23175"/>
    <cellStyle name="Separador de milhares 3 14 2 13" xfId="9663"/>
    <cellStyle name="Separador de milhares 3 14 2 13 2" xfId="36179"/>
    <cellStyle name="Separador de milhares 3 14 2 14" xfId="29709"/>
    <cellStyle name="Separador de milhares 3 14 2 15" xfId="21427"/>
    <cellStyle name="Separador de milhares 3 14 2 2" xfId="534"/>
    <cellStyle name="Separador de milhares 3 14 2 2 10" xfId="9737"/>
    <cellStyle name="Separador de milhares 3 14 2 2 10 2" xfId="36253"/>
    <cellStyle name="Separador de milhares 3 14 2 2 11" xfId="29790"/>
    <cellStyle name="Separador de milhares 3 14 2 2 12" xfId="21485"/>
    <cellStyle name="Separador de milhares 3 14 2 2 2" xfId="2055"/>
    <cellStyle name="Separador de milhares 3 14 2 2 2 2" xfId="5473"/>
    <cellStyle name="Separador de milhares 3 14 2 2 2 2 2" xfId="8688"/>
    <cellStyle name="Separador de milhares 3 14 2 2 2 2 2 2" xfId="20542"/>
    <cellStyle name="Separador de milhares 3 14 2 2 2 2 2 2 2" xfId="47021"/>
    <cellStyle name="Separador de milhares 3 14 2 2 2 2 2 3" xfId="14615"/>
    <cellStyle name="Separador de milhares 3 14 2 2 2 2 2 3 2" xfId="41113"/>
    <cellStyle name="Separador de milhares 3 14 2 2 2 2 2 4" xfId="35205"/>
    <cellStyle name="Separador de milhares 3 14 2 2 2 2 2 5" xfId="28671"/>
    <cellStyle name="Separador de milhares 3 14 2 2 2 2 3" xfId="17578"/>
    <cellStyle name="Separador de milhares 3 14 2 2 2 2 3 2" xfId="44067"/>
    <cellStyle name="Separador de milhares 3 14 2 2 2 2 4" xfId="11651"/>
    <cellStyle name="Separador de milhares 3 14 2 2 2 2 4 2" xfId="38159"/>
    <cellStyle name="Separador de milhares 3 14 2 2 2 2 5" xfId="32000"/>
    <cellStyle name="Separador de milhares 3 14 2 2 2 2 6" xfId="25466"/>
    <cellStyle name="Separador de milhares 3 14 2 2 2 3" xfId="7216"/>
    <cellStyle name="Separador de milhares 3 14 2 2 2 3 2" xfId="19070"/>
    <cellStyle name="Separador de milhares 3 14 2 2 2 3 2 2" xfId="45553"/>
    <cellStyle name="Separador de milhares 3 14 2 2 2 3 3" xfId="13143"/>
    <cellStyle name="Separador de milhares 3 14 2 2 2 3 3 2" xfId="39645"/>
    <cellStyle name="Separador de milhares 3 14 2 2 2 3 4" xfId="33737"/>
    <cellStyle name="Separador de milhares 3 14 2 2 2 3 5" xfId="27203"/>
    <cellStyle name="Separador de milhares 3 14 2 2 2 4" xfId="16106"/>
    <cellStyle name="Separador de milhares 3 14 2 2 2 4 2" xfId="42599"/>
    <cellStyle name="Separador de milhares 3 14 2 2 2 4 3" xfId="23694"/>
    <cellStyle name="Separador de milhares 3 14 2 2 2 5" xfId="10179"/>
    <cellStyle name="Separador de milhares 3 14 2 2 2 5 2" xfId="36691"/>
    <cellStyle name="Separador de milhares 3 14 2 2 2 6" xfId="30228"/>
    <cellStyle name="Separador de milhares 3 14 2 2 2 7" xfId="21922"/>
    <cellStyle name="Separador de milhares 3 14 2 2 3" xfId="2588"/>
    <cellStyle name="Separador de milhares 3 14 2 2 3 2" xfId="5623"/>
    <cellStyle name="Separador de milhares 3 14 2 2 3 2 2" xfId="8835"/>
    <cellStyle name="Separador de milhares 3 14 2 2 3 2 2 2" xfId="20689"/>
    <cellStyle name="Separador de milhares 3 14 2 2 3 2 2 2 2" xfId="47168"/>
    <cellStyle name="Separador de milhares 3 14 2 2 3 2 2 3" xfId="14762"/>
    <cellStyle name="Separador de milhares 3 14 2 2 3 2 2 3 2" xfId="41260"/>
    <cellStyle name="Separador de milhares 3 14 2 2 3 2 2 4" xfId="35352"/>
    <cellStyle name="Separador de milhares 3 14 2 2 3 2 2 5" xfId="28818"/>
    <cellStyle name="Separador de milhares 3 14 2 2 3 2 3" xfId="17725"/>
    <cellStyle name="Separador de milhares 3 14 2 2 3 2 3 2" xfId="44214"/>
    <cellStyle name="Separador de milhares 3 14 2 2 3 2 4" xfId="11798"/>
    <cellStyle name="Separador de milhares 3 14 2 2 3 2 4 2" xfId="38306"/>
    <cellStyle name="Separador de milhares 3 14 2 2 3 2 5" xfId="32150"/>
    <cellStyle name="Separador de milhares 3 14 2 2 3 2 6" xfId="25616"/>
    <cellStyle name="Separador de milhares 3 14 2 2 3 3" xfId="7364"/>
    <cellStyle name="Separador de milhares 3 14 2 2 3 3 2" xfId="19218"/>
    <cellStyle name="Separador de milhares 3 14 2 2 3 3 2 2" xfId="45700"/>
    <cellStyle name="Separador de milhares 3 14 2 2 3 3 3" xfId="13291"/>
    <cellStyle name="Separador de milhares 3 14 2 2 3 3 3 2" xfId="39792"/>
    <cellStyle name="Separador de milhares 3 14 2 2 3 3 4" xfId="33884"/>
    <cellStyle name="Separador de milhares 3 14 2 2 3 3 5" xfId="27350"/>
    <cellStyle name="Separador de milhares 3 14 2 2 3 4" xfId="16254"/>
    <cellStyle name="Separador de milhares 3 14 2 2 3 4 2" xfId="42746"/>
    <cellStyle name="Separador de milhares 3 14 2 2 3 4 3" xfId="23844"/>
    <cellStyle name="Separador de milhares 3 14 2 2 3 5" xfId="10327"/>
    <cellStyle name="Separador de milhares 3 14 2 2 3 5 2" xfId="36838"/>
    <cellStyle name="Separador de milhares 3 14 2 2 3 6" xfId="30378"/>
    <cellStyle name="Separador de milhares 3 14 2 2 3 7" xfId="22072"/>
    <cellStyle name="Separador de milhares 3 14 2 2 4" xfId="3116"/>
    <cellStyle name="Separador de milhares 3 14 2 2 4 2" xfId="5770"/>
    <cellStyle name="Separador de milhares 3 14 2 2 4 2 2" xfId="8982"/>
    <cellStyle name="Separador de milhares 3 14 2 2 4 2 2 2" xfId="20836"/>
    <cellStyle name="Separador de milhares 3 14 2 2 4 2 2 2 2" xfId="47315"/>
    <cellStyle name="Separador de milhares 3 14 2 2 4 2 2 3" xfId="14909"/>
    <cellStyle name="Separador de milhares 3 14 2 2 4 2 2 3 2" xfId="41407"/>
    <cellStyle name="Separador de milhares 3 14 2 2 4 2 2 4" xfId="35499"/>
    <cellStyle name="Separador de milhares 3 14 2 2 4 2 2 5" xfId="28965"/>
    <cellStyle name="Separador de milhares 3 14 2 2 4 2 3" xfId="17872"/>
    <cellStyle name="Separador de milhares 3 14 2 2 4 2 3 2" xfId="44361"/>
    <cellStyle name="Separador de milhares 3 14 2 2 4 2 4" xfId="11945"/>
    <cellStyle name="Separador de milhares 3 14 2 2 4 2 4 2" xfId="38453"/>
    <cellStyle name="Separador de milhares 3 14 2 2 4 2 5" xfId="32297"/>
    <cellStyle name="Separador de milhares 3 14 2 2 4 2 6" xfId="25763"/>
    <cellStyle name="Separador de milhares 3 14 2 2 4 3" xfId="7512"/>
    <cellStyle name="Separador de milhares 3 14 2 2 4 3 2" xfId="19366"/>
    <cellStyle name="Separador de milhares 3 14 2 2 4 3 2 2" xfId="45847"/>
    <cellStyle name="Separador de milhares 3 14 2 2 4 3 3" xfId="13439"/>
    <cellStyle name="Separador de milhares 3 14 2 2 4 3 3 2" xfId="39939"/>
    <cellStyle name="Separador de milhares 3 14 2 2 4 3 4" xfId="34031"/>
    <cellStyle name="Separador de milhares 3 14 2 2 4 3 5" xfId="27497"/>
    <cellStyle name="Separador de milhares 3 14 2 2 4 4" xfId="16402"/>
    <cellStyle name="Separador de milhares 3 14 2 2 4 4 2" xfId="42893"/>
    <cellStyle name="Separador de milhares 3 14 2 2 4 4 3" xfId="23991"/>
    <cellStyle name="Separador de milhares 3 14 2 2 4 5" xfId="10475"/>
    <cellStyle name="Separador de milhares 3 14 2 2 4 5 2" xfId="36985"/>
    <cellStyle name="Separador de milhares 3 14 2 2 4 6" xfId="30525"/>
    <cellStyle name="Separador de milhares 3 14 2 2 4 7" xfId="22219"/>
    <cellStyle name="Separador de milhares 3 14 2 2 5" xfId="3644"/>
    <cellStyle name="Separador de milhares 3 14 2 2 5 2" xfId="5917"/>
    <cellStyle name="Separador de milhares 3 14 2 2 5 2 2" xfId="9129"/>
    <cellStyle name="Separador de milhares 3 14 2 2 5 2 2 2" xfId="20983"/>
    <cellStyle name="Separador de milhares 3 14 2 2 5 2 2 2 2" xfId="47462"/>
    <cellStyle name="Separador de milhares 3 14 2 2 5 2 2 3" xfId="15056"/>
    <cellStyle name="Separador de milhares 3 14 2 2 5 2 2 3 2" xfId="41554"/>
    <cellStyle name="Separador de milhares 3 14 2 2 5 2 2 4" xfId="35646"/>
    <cellStyle name="Separador de milhares 3 14 2 2 5 2 2 5" xfId="29112"/>
    <cellStyle name="Separador de milhares 3 14 2 2 5 2 3" xfId="18019"/>
    <cellStyle name="Separador de milhares 3 14 2 2 5 2 3 2" xfId="44508"/>
    <cellStyle name="Separador de milhares 3 14 2 2 5 2 4" xfId="12092"/>
    <cellStyle name="Separador de milhares 3 14 2 2 5 2 4 2" xfId="38600"/>
    <cellStyle name="Separador de milhares 3 14 2 2 5 2 5" xfId="32444"/>
    <cellStyle name="Separador de milhares 3 14 2 2 5 2 6" xfId="25910"/>
    <cellStyle name="Separador de milhares 3 14 2 2 5 3" xfId="7660"/>
    <cellStyle name="Separador de milhares 3 14 2 2 5 3 2" xfId="19514"/>
    <cellStyle name="Separador de milhares 3 14 2 2 5 3 2 2" xfId="45994"/>
    <cellStyle name="Separador de milhares 3 14 2 2 5 3 3" xfId="13587"/>
    <cellStyle name="Separador de milhares 3 14 2 2 5 3 3 2" xfId="40086"/>
    <cellStyle name="Separador de milhares 3 14 2 2 5 3 4" xfId="34178"/>
    <cellStyle name="Separador de milhares 3 14 2 2 5 3 5" xfId="27644"/>
    <cellStyle name="Separador de milhares 3 14 2 2 5 4" xfId="16550"/>
    <cellStyle name="Separador de milhares 3 14 2 2 5 4 2" xfId="43040"/>
    <cellStyle name="Separador de milhares 3 14 2 2 5 4 3" xfId="24138"/>
    <cellStyle name="Separador de milhares 3 14 2 2 5 5" xfId="10623"/>
    <cellStyle name="Separador de milhares 3 14 2 2 5 5 2" xfId="37132"/>
    <cellStyle name="Separador de milhares 3 14 2 2 5 6" xfId="30672"/>
    <cellStyle name="Separador de milhares 3 14 2 2 5 7" xfId="22366"/>
    <cellStyle name="Separador de milhares 3 14 2 2 6" xfId="4172"/>
    <cellStyle name="Separador de milhares 3 14 2 2 6 2" xfId="6064"/>
    <cellStyle name="Separador de milhares 3 14 2 2 6 2 2" xfId="9276"/>
    <cellStyle name="Separador de milhares 3 14 2 2 6 2 2 2" xfId="21130"/>
    <cellStyle name="Separador de milhares 3 14 2 2 6 2 2 2 2" xfId="47609"/>
    <cellStyle name="Separador de milhares 3 14 2 2 6 2 2 3" xfId="15203"/>
    <cellStyle name="Separador de milhares 3 14 2 2 6 2 2 3 2" xfId="41701"/>
    <cellStyle name="Separador de milhares 3 14 2 2 6 2 2 4" xfId="35793"/>
    <cellStyle name="Separador de milhares 3 14 2 2 6 2 2 5" xfId="29259"/>
    <cellStyle name="Separador de milhares 3 14 2 2 6 2 3" xfId="18166"/>
    <cellStyle name="Separador de milhares 3 14 2 2 6 2 3 2" xfId="44655"/>
    <cellStyle name="Separador de milhares 3 14 2 2 6 2 4" xfId="12239"/>
    <cellStyle name="Separador de milhares 3 14 2 2 6 2 4 2" xfId="38747"/>
    <cellStyle name="Separador de milhares 3 14 2 2 6 2 5" xfId="32591"/>
    <cellStyle name="Separador de milhares 3 14 2 2 6 2 6" xfId="26057"/>
    <cellStyle name="Separador de milhares 3 14 2 2 6 3" xfId="7808"/>
    <cellStyle name="Separador de milhares 3 14 2 2 6 3 2" xfId="19662"/>
    <cellStyle name="Separador de milhares 3 14 2 2 6 3 2 2" xfId="46141"/>
    <cellStyle name="Separador de milhares 3 14 2 2 6 3 3" xfId="13735"/>
    <cellStyle name="Separador de milhares 3 14 2 2 6 3 3 2" xfId="40233"/>
    <cellStyle name="Separador de milhares 3 14 2 2 6 3 4" xfId="34325"/>
    <cellStyle name="Separador de milhares 3 14 2 2 6 3 5" xfId="27791"/>
    <cellStyle name="Separador de milhares 3 14 2 2 6 4" xfId="16698"/>
    <cellStyle name="Separador de milhares 3 14 2 2 6 4 2" xfId="43187"/>
    <cellStyle name="Separador de milhares 3 14 2 2 6 4 3" xfId="24285"/>
    <cellStyle name="Separador de milhares 3 14 2 2 6 5" xfId="10771"/>
    <cellStyle name="Separador de milhares 3 14 2 2 6 5 2" xfId="37279"/>
    <cellStyle name="Separador de milhares 3 14 2 2 6 6" xfId="30819"/>
    <cellStyle name="Separador de milhares 3 14 2 2 6 7" xfId="22513"/>
    <cellStyle name="Separador de milhares 3 14 2 2 7" xfId="5035"/>
    <cellStyle name="Separador de milhares 3 14 2 2 7 2" xfId="8250"/>
    <cellStyle name="Separador de milhares 3 14 2 2 7 2 2" xfId="20104"/>
    <cellStyle name="Separador de milhares 3 14 2 2 7 2 2 2" xfId="46583"/>
    <cellStyle name="Separador de milhares 3 14 2 2 7 2 3" xfId="14177"/>
    <cellStyle name="Separador de milhares 3 14 2 2 7 2 3 2" xfId="40675"/>
    <cellStyle name="Separador de milhares 3 14 2 2 7 2 4" xfId="34767"/>
    <cellStyle name="Separador de milhares 3 14 2 2 7 2 5" xfId="28233"/>
    <cellStyle name="Separador de milhares 3 14 2 2 7 3" xfId="17140"/>
    <cellStyle name="Separador de milhares 3 14 2 2 7 3 2" xfId="43629"/>
    <cellStyle name="Separador de milhares 3 14 2 2 7 4" xfId="11213"/>
    <cellStyle name="Separador de milhares 3 14 2 2 7 4 2" xfId="37721"/>
    <cellStyle name="Separador de milhares 3 14 2 2 7 5" xfId="31562"/>
    <cellStyle name="Separador de milhares 3 14 2 2 7 6" xfId="25028"/>
    <cellStyle name="Separador de milhares 3 14 2 2 8" xfId="6774"/>
    <cellStyle name="Separador de milhares 3 14 2 2 8 2" xfId="18628"/>
    <cellStyle name="Separador de milhares 3 14 2 2 8 2 2" xfId="45115"/>
    <cellStyle name="Separador de milhares 3 14 2 2 8 3" xfId="12701"/>
    <cellStyle name="Separador de milhares 3 14 2 2 8 3 2" xfId="39207"/>
    <cellStyle name="Separador de milhares 3 14 2 2 8 4" xfId="33299"/>
    <cellStyle name="Separador de milhares 3 14 2 2 8 5" xfId="26765"/>
    <cellStyle name="Separador de milhares 3 14 2 2 9" xfId="15664"/>
    <cellStyle name="Separador de milhares 3 14 2 2 9 2" xfId="42161"/>
    <cellStyle name="Separador de milhares 3 14 2 2 9 3" xfId="23256"/>
    <cellStyle name="Separador de milhares 3 14 2 3" xfId="1008"/>
    <cellStyle name="Separador de milhares 3 14 2 3 2" xfId="5186"/>
    <cellStyle name="Separador de milhares 3 14 2 3 2 2" xfId="8401"/>
    <cellStyle name="Separador de milhares 3 14 2 3 2 2 2" xfId="20255"/>
    <cellStyle name="Separador de milhares 3 14 2 3 2 2 2 2" xfId="46734"/>
    <cellStyle name="Separador de milhares 3 14 2 3 2 2 3" xfId="14328"/>
    <cellStyle name="Separador de milhares 3 14 2 3 2 2 3 2" xfId="40826"/>
    <cellStyle name="Separador de milhares 3 14 2 3 2 2 4" xfId="34918"/>
    <cellStyle name="Separador de milhares 3 14 2 3 2 2 5" xfId="28384"/>
    <cellStyle name="Separador de milhares 3 14 2 3 2 3" xfId="17291"/>
    <cellStyle name="Separador de milhares 3 14 2 3 2 3 2" xfId="43780"/>
    <cellStyle name="Separador de milhares 3 14 2 3 2 4" xfId="11364"/>
    <cellStyle name="Separador de milhares 3 14 2 3 2 4 2" xfId="37872"/>
    <cellStyle name="Separador de milhares 3 14 2 3 2 5" xfId="31713"/>
    <cellStyle name="Separador de milhares 3 14 2 3 2 6" xfId="25179"/>
    <cellStyle name="Separador de milhares 3 14 2 3 3" xfId="6928"/>
    <cellStyle name="Separador de milhares 3 14 2 3 3 2" xfId="18782"/>
    <cellStyle name="Separador de milhares 3 14 2 3 3 2 2" xfId="45266"/>
    <cellStyle name="Separador de milhares 3 14 2 3 3 3" xfId="12855"/>
    <cellStyle name="Separador de milhares 3 14 2 3 3 3 2" xfId="39358"/>
    <cellStyle name="Separador de milhares 3 14 2 3 3 4" xfId="33450"/>
    <cellStyle name="Separador de milhares 3 14 2 3 3 5" xfId="26916"/>
    <cellStyle name="Separador de milhares 3 14 2 3 4" xfId="15818"/>
    <cellStyle name="Separador de milhares 3 14 2 3 4 2" xfId="42312"/>
    <cellStyle name="Separador de milhares 3 14 2 3 4 3" xfId="23407"/>
    <cellStyle name="Separador de milhares 3 14 2 3 5" xfId="9891"/>
    <cellStyle name="Separador de milhares 3 14 2 3 5 2" xfId="36404"/>
    <cellStyle name="Separador de milhares 3 14 2 3 6" xfId="29941"/>
    <cellStyle name="Separador de milhares 3 14 2 3 7" xfId="21635"/>
    <cellStyle name="Separador de milhares 3 14 2 4" xfId="1359"/>
    <cellStyle name="Separador de milhares 3 14 2 4 2" xfId="5284"/>
    <cellStyle name="Separador de milhares 3 14 2 4 2 2" xfId="8499"/>
    <cellStyle name="Separador de milhares 3 14 2 4 2 2 2" xfId="20353"/>
    <cellStyle name="Separador de milhares 3 14 2 4 2 2 2 2" xfId="46832"/>
    <cellStyle name="Separador de milhares 3 14 2 4 2 2 3" xfId="14426"/>
    <cellStyle name="Separador de milhares 3 14 2 4 2 2 3 2" xfId="40924"/>
    <cellStyle name="Separador de milhares 3 14 2 4 2 2 4" xfId="35016"/>
    <cellStyle name="Separador de milhares 3 14 2 4 2 2 5" xfId="28482"/>
    <cellStyle name="Separador de milhares 3 14 2 4 2 3" xfId="17389"/>
    <cellStyle name="Separador de milhares 3 14 2 4 2 3 2" xfId="43878"/>
    <cellStyle name="Separador de milhares 3 14 2 4 2 4" xfId="11462"/>
    <cellStyle name="Separador de milhares 3 14 2 4 2 4 2" xfId="37970"/>
    <cellStyle name="Separador de milhares 3 14 2 4 2 5" xfId="31811"/>
    <cellStyle name="Separador de milhares 3 14 2 4 2 6" xfId="25277"/>
    <cellStyle name="Separador de milhares 3 14 2 4 3" xfId="7026"/>
    <cellStyle name="Separador de milhares 3 14 2 4 3 2" xfId="18880"/>
    <cellStyle name="Separador de milhares 3 14 2 4 3 2 2" xfId="45364"/>
    <cellStyle name="Separador de milhares 3 14 2 4 3 3" xfId="12953"/>
    <cellStyle name="Separador de milhares 3 14 2 4 3 3 2" xfId="39456"/>
    <cellStyle name="Separador de milhares 3 14 2 4 3 4" xfId="33548"/>
    <cellStyle name="Separador de milhares 3 14 2 4 3 5" xfId="27014"/>
    <cellStyle name="Separador de milhares 3 14 2 4 4" xfId="15916"/>
    <cellStyle name="Separador de milhares 3 14 2 4 4 2" xfId="42410"/>
    <cellStyle name="Separador de milhares 3 14 2 4 4 3" xfId="23505"/>
    <cellStyle name="Separador de milhares 3 14 2 4 5" xfId="9989"/>
    <cellStyle name="Separador de milhares 3 14 2 4 5 2" xfId="36502"/>
    <cellStyle name="Separador de milhares 3 14 2 4 6" xfId="30039"/>
    <cellStyle name="Separador de milhares 3 14 2 4 7" xfId="21733"/>
    <cellStyle name="Separador de milhares 3 14 2 5" xfId="1794"/>
    <cellStyle name="Separador de milhares 3 14 2 5 2" xfId="5403"/>
    <cellStyle name="Separador de milhares 3 14 2 5 2 2" xfId="8618"/>
    <cellStyle name="Separador de milhares 3 14 2 5 2 2 2" xfId="20472"/>
    <cellStyle name="Separador de milhares 3 14 2 5 2 2 2 2" xfId="46951"/>
    <cellStyle name="Separador de milhares 3 14 2 5 2 2 3" xfId="14545"/>
    <cellStyle name="Separador de milhares 3 14 2 5 2 2 3 2" xfId="41043"/>
    <cellStyle name="Separador de milhares 3 14 2 5 2 2 4" xfId="35135"/>
    <cellStyle name="Separador de milhares 3 14 2 5 2 2 5" xfId="28601"/>
    <cellStyle name="Separador de milhares 3 14 2 5 2 3" xfId="17508"/>
    <cellStyle name="Separador de milhares 3 14 2 5 2 3 2" xfId="43997"/>
    <cellStyle name="Separador de milhares 3 14 2 5 2 4" xfId="11581"/>
    <cellStyle name="Separador de milhares 3 14 2 5 2 4 2" xfId="38089"/>
    <cellStyle name="Separador de milhares 3 14 2 5 2 5" xfId="31930"/>
    <cellStyle name="Separador de milhares 3 14 2 5 2 6" xfId="25396"/>
    <cellStyle name="Separador de milhares 3 14 2 5 3" xfId="7145"/>
    <cellStyle name="Separador de milhares 3 14 2 5 3 2" xfId="18999"/>
    <cellStyle name="Separador de milhares 3 14 2 5 3 2 2" xfId="45483"/>
    <cellStyle name="Separador de milhares 3 14 2 5 3 3" xfId="13072"/>
    <cellStyle name="Separador de milhares 3 14 2 5 3 3 2" xfId="39575"/>
    <cellStyle name="Separador de milhares 3 14 2 5 3 4" xfId="33667"/>
    <cellStyle name="Separador de milhares 3 14 2 5 3 5" xfId="27133"/>
    <cellStyle name="Separador de milhares 3 14 2 5 4" xfId="16035"/>
    <cellStyle name="Separador de milhares 3 14 2 5 4 2" xfId="42529"/>
    <cellStyle name="Separador de milhares 3 14 2 5 4 3" xfId="23624"/>
    <cellStyle name="Separador de milhares 3 14 2 5 5" xfId="10108"/>
    <cellStyle name="Separador de milhares 3 14 2 5 5 2" xfId="36621"/>
    <cellStyle name="Separador de milhares 3 14 2 5 6" xfId="30158"/>
    <cellStyle name="Separador de milhares 3 14 2 5 7" xfId="21852"/>
    <cellStyle name="Separador de milhares 3 14 2 6" xfId="2327"/>
    <cellStyle name="Separador de milhares 3 14 2 6 2" xfId="5553"/>
    <cellStyle name="Separador de milhares 3 14 2 6 2 2" xfId="8765"/>
    <cellStyle name="Separador de milhares 3 14 2 6 2 2 2" xfId="20619"/>
    <cellStyle name="Separador de milhares 3 14 2 6 2 2 2 2" xfId="47098"/>
    <cellStyle name="Separador de milhares 3 14 2 6 2 2 3" xfId="14692"/>
    <cellStyle name="Separador de milhares 3 14 2 6 2 2 3 2" xfId="41190"/>
    <cellStyle name="Separador de milhares 3 14 2 6 2 2 4" xfId="35282"/>
    <cellStyle name="Separador de milhares 3 14 2 6 2 2 5" xfId="28748"/>
    <cellStyle name="Separador de milhares 3 14 2 6 2 3" xfId="17655"/>
    <cellStyle name="Separador de milhares 3 14 2 6 2 3 2" xfId="44144"/>
    <cellStyle name="Separador de milhares 3 14 2 6 2 4" xfId="11728"/>
    <cellStyle name="Separador de milhares 3 14 2 6 2 4 2" xfId="38236"/>
    <cellStyle name="Separador de milhares 3 14 2 6 2 5" xfId="32080"/>
    <cellStyle name="Separador de milhares 3 14 2 6 2 6" xfId="25546"/>
    <cellStyle name="Separador de milhares 3 14 2 6 3" xfId="7293"/>
    <cellStyle name="Separador de milhares 3 14 2 6 3 2" xfId="19147"/>
    <cellStyle name="Separador de milhares 3 14 2 6 3 2 2" xfId="45630"/>
    <cellStyle name="Separador de milhares 3 14 2 6 3 3" xfId="13220"/>
    <cellStyle name="Separador de milhares 3 14 2 6 3 3 2" xfId="39722"/>
    <cellStyle name="Separador de milhares 3 14 2 6 3 4" xfId="33814"/>
    <cellStyle name="Separador de milhares 3 14 2 6 3 5" xfId="27280"/>
    <cellStyle name="Separador de milhares 3 14 2 6 4" xfId="16183"/>
    <cellStyle name="Separador de milhares 3 14 2 6 4 2" xfId="42676"/>
    <cellStyle name="Separador de milhares 3 14 2 6 4 3" xfId="23774"/>
    <cellStyle name="Separador de milhares 3 14 2 6 5" xfId="10256"/>
    <cellStyle name="Separador de milhares 3 14 2 6 5 2" xfId="36768"/>
    <cellStyle name="Separador de milhares 3 14 2 6 6" xfId="30308"/>
    <cellStyle name="Separador de milhares 3 14 2 6 7" xfId="22002"/>
    <cellStyle name="Separador de milhares 3 14 2 7" xfId="2855"/>
    <cellStyle name="Separador de milhares 3 14 2 7 2" xfId="5700"/>
    <cellStyle name="Separador de milhares 3 14 2 7 2 2" xfId="8912"/>
    <cellStyle name="Separador de milhares 3 14 2 7 2 2 2" xfId="20766"/>
    <cellStyle name="Separador de milhares 3 14 2 7 2 2 2 2" xfId="47245"/>
    <cellStyle name="Separador de milhares 3 14 2 7 2 2 3" xfId="14839"/>
    <cellStyle name="Separador de milhares 3 14 2 7 2 2 3 2" xfId="41337"/>
    <cellStyle name="Separador de milhares 3 14 2 7 2 2 4" xfId="35429"/>
    <cellStyle name="Separador de milhares 3 14 2 7 2 2 5" xfId="28895"/>
    <cellStyle name="Separador de milhares 3 14 2 7 2 3" xfId="17802"/>
    <cellStyle name="Separador de milhares 3 14 2 7 2 3 2" xfId="44291"/>
    <cellStyle name="Separador de milhares 3 14 2 7 2 4" xfId="11875"/>
    <cellStyle name="Separador de milhares 3 14 2 7 2 4 2" xfId="38383"/>
    <cellStyle name="Separador de milhares 3 14 2 7 2 5" xfId="32227"/>
    <cellStyle name="Separador de milhares 3 14 2 7 2 6" xfId="25693"/>
    <cellStyle name="Separador de milhares 3 14 2 7 3" xfId="7441"/>
    <cellStyle name="Separador de milhares 3 14 2 7 3 2" xfId="19295"/>
    <cellStyle name="Separador de milhares 3 14 2 7 3 2 2" xfId="45777"/>
    <cellStyle name="Separador de milhares 3 14 2 7 3 3" xfId="13368"/>
    <cellStyle name="Separador de milhares 3 14 2 7 3 3 2" xfId="39869"/>
    <cellStyle name="Separador de milhares 3 14 2 7 3 4" xfId="33961"/>
    <cellStyle name="Separador de milhares 3 14 2 7 3 5" xfId="27427"/>
    <cellStyle name="Separador de milhares 3 14 2 7 4" xfId="16331"/>
    <cellStyle name="Separador de milhares 3 14 2 7 4 2" xfId="42823"/>
    <cellStyle name="Separador de milhares 3 14 2 7 4 3" xfId="23921"/>
    <cellStyle name="Separador de milhares 3 14 2 7 5" xfId="10404"/>
    <cellStyle name="Separador de milhares 3 14 2 7 5 2" xfId="36915"/>
    <cellStyle name="Separador de milhares 3 14 2 7 6" xfId="30455"/>
    <cellStyle name="Separador de milhares 3 14 2 7 7" xfId="22149"/>
    <cellStyle name="Separador de milhares 3 14 2 8" xfId="3383"/>
    <cellStyle name="Separador de milhares 3 14 2 8 2" xfId="5847"/>
    <cellStyle name="Separador de milhares 3 14 2 8 2 2" xfId="9059"/>
    <cellStyle name="Separador de milhares 3 14 2 8 2 2 2" xfId="20913"/>
    <cellStyle name="Separador de milhares 3 14 2 8 2 2 2 2" xfId="47392"/>
    <cellStyle name="Separador de milhares 3 14 2 8 2 2 3" xfId="14986"/>
    <cellStyle name="Separador de milhares 3 14 2 8 2 2 3 2" xfId="41484"/>
    <cellStyle name="Separador de milhares 3 14 2 8 2 2 4" xfId="35576"/>
    <cellStyle name="Separador de milhares 3 14 2 8 2 2 5" xfId="29042"/>
    <cellStyle name="Separador de milhares 3 14 2 8 2 3" xfId="17949"/>
    <cellStyle name="Separador de milhares 3 14 2 8 2 3 2" xfId="44438"/>
    <cellStyle name="Separador de milhares 3 14 2 8 2 4" xfId="12022"/>
    <cellStyle name="Separador de milhares 3 14 2 8 2 4 2" xfId="38530"/>
    <cellStyle name="Separador de milhares 3 14 2 8 2 5" xfId="32374"/>
    <cellStyle name="Separador de milhares 3 14 2 8 2 6" xfId="25840"/>
    <cellStyle name="Separador de milhares 3 14 2 8 3" xfId="7589"/>
    <cellStyle name="Separador de milhares 3 14 2 8 3 2" xfId="19443"/>
    <cellStyle name="Separador de milhares 3 14 2 8 3 2 2" xfId="45924"/>
    <cellStyle name="Separador de milhares 3 14 2 8 3 3" xfId="13516"/>
    <cellStyle name="Separador de milhares 3 14 2 8 3 3 2" xfId="40016"/>
    <cellStyle name="Separador de milhares 3 14 2 8 3 4" xfId="34108"/>
    <cellStyle name="Separador de milhares 3 14 2 8 3 5" xfId="27574"/>
    <cellStyle name="Separador de milhares 3 14 2 8 4" xfId="16479"/>
    <cellStyle name="Separador de milhares 3 14 2 8 4 2" xfId="42970"/>
    <cellStyle name="Separador de milhares 3 14 2 8 4 3" xfId="24068"/>
    <cellStyle name="Separador de milhares 3 14 2 8 5" xfId="10552"/>
    <cellStyle name="Separador de milhares 3 14 2 8 5 2" xfId="37062"/>
    <cellStyle name="Separador de milhares 3 14 2 8 6" xfId="30602"/>
    <cellStyle name="Separador de milhares 3 14 2 8 7" xfId="22296"/>
    <cellStyle name="Separador de milhares 3 14 2 9" xfId="3911"/>
    <cellStyle name="Separador de milhares 3 14 2 9 2" xfId="5994"/>
    <cellStyle name="Separador de milhares 3 14 2 9 2 2" xfId="9206"/>
    <cellStyle name="Separador de milhares 3 14 2 9 2 2 2" xfId="21060"/>
    <cellStyle name="Separador de milhares 3 14 2 9 2 2 2 2" xfId="47539"/>
    <cellStyle name="Separador de milhares 3 14 2 9 2 2 3" xfId="15133"/>
    <cellStyle name="Separador de milhares 3 14 2 9 2 2 3 2" xfId="41631"/>
    <cellStyle name="Separador de milhares 3 14 2 9 2 2 4" xfId="35723"/>
    <cellStyle name="Separador de milhares 3 14 2 9 2 2 5" xfId="29189"/>
    <cellStyle name="Separador de milhares 3 14 2 9 2 3" xfId="18096"/>
    <cellStyle name="Separador de milhares 3 14 2 9 2 3 2" xfId="44585"/>
    <cellStyle name="Separador de milhares 3 14 2 9 2 4" xfId="12169"/>
    <cellStyle name="Separador de milhares 3 14 2 9 2 4 2" xfId="38677"/>
    <cellStyle name="Separador de milhares 3 14 2 9 2 5" xfId="32521"/>
    <cellStyle name="Separador de milhares 3 14 2 9 2 6" xfId="25987"/>
    <cellStyle name="Separador de milhares 3 14 2 9 3" xfId="7737"/>
    <cellStyle name="Separador de milhares 3 14 2 9 3 2" xfId="19591"/>
    <cellStyle name="Separador de milhares 3 14 2 9 3 2 2" xfId="46071"/>
    <cellStyle name="Separador de milhares 3 14 2 9 3 3" xfId="13664"/>
    <cellStyle name="Separador de milhares 3 14 2 9 3 3 2" xfId="40163"/>
    <cellStyle name="Separador de milhares 3 14 2 9 3 4" xfId="34255"/>
    <cellStyle name="Separador de milhares 3 14 2 9 3 5" xfId="27721"/>
    <cellStyle name="Separador de milhares 3 14 2 9 4" xfId="16627"/>
    <cellStyle name="Separador de milhares 3 14 2 9 4 2" xfId="43117"/>
    <cellStyle name="Separador de milhares 3 14 2 9 4 3" xfId="24215"/>
    <cellStyle name="Separador de milhares 3 14 2 9 5" xfId="10700"/>
    <cellStyle name="Separador de milhares 3 14 2 9 5 2" xfId="37209"/>
    <cellStyle name="Separador de milhares 3 14 2 9 6" xfId="30749"/>
    <cellStyle name="Separador de milhares 3 14 2 9 7" xfId="22443"/>
    <cellStyle name="Separador de milhares 3 14 3" xfId="356"/>
    <cellStyle name="Separador de milhares 3 14 3 10" xfId="4985"/>
    <cellStyle name="Separador de milhares 3 14 3 10 2" xfId="8204"/>
    <cellStyle name="Separador de milhares 3 14 3 10 2 2" xfId="20058"/>
    <cellStyle name="Separador de milhares 3 14 3 10 2 2 2" xfId="46537"/>
    <cellStyle name="Separador de milhares 3 14 3 10 2 3" xfId="14131"/>
    <cellStyle name="Separador de milhares 3 14 3 10 2 3 2" xfId="40629"/>
    <cellStyle name="Separador de milhares 3 14 3 10 2 4" xfId="34721"/>
    <cellStyle name="Separador de milhares 3 14 3 10 2 5" xfId="28187"/>
    <cellStyle name="Separador de milhares 3 14 3 10 3" xfId="17094"/>
    <cellStyle name="Separador de milhares 3 14 3 10 3 2" xfId="43583"/>
    <cellStyle name="Separador de milhares 3 14 3 10 4" xfId="11167"/>
    <cellStyle name="Separador de milhares 3 14 3 10 4 2" xfId="37675"/>
    <cellStyle name="Separador de milhares 3 14 3 10 5" xfId="31512"/>
    <cellStyle name="Separador de milhares 3 14 3 10 6" xfId="24978"/>
    <cellStyle name="Separador de milhares 3 14 3 11" xfId="6728"/>
    <cellStyle name="Separador de milhares 3 14 3 11 2" xfId="18582"/>
    <cellStyle name="Separador de milhares 3 14 3 11 2 2" xfId="45069"/>
    <cellStyle name="Separador de milhares 3 14 3 11 3" xfId="12655"/>
    <cellStyle name="Separador de milhares 3 14 3 11 3 2" xfId="39161"/>
    <cellStyle name="Separador de milhares 3 14 3 11 4" xfId="33253"/>
    <cellStyle name="Separador de milhares 3 14 3 11 5" xfId="26719"/>
    <cellStyle name="Separador de milhares 3 14 3 12" xfId="15618"/>
    <cellStyle name="Separador de milhares 3 14 3 12 2" xfId="42115"/>
    <cellStyle name="Separador de milhares 3 14 3 12 3" xfId="23206"/>
    <cellStyle name="Separador de milhares 3 14 3 13" xfId="9691"/>
    <cellStyle name="Separador de milhares 3 14 3 13 2" xfId="36207"/>
    <cellStyle name="Separador de milhares 3 14 3 14" xfId="29740"/>
    <cellStyle name="Separador de milhares 3 14 3 15" xfId="21458"/>
    <cellStyle name="Separador de milhares 3 14 3 2" xfId="619"/>
    <cellStyle name="Separador de milhares 3 14 3 2 2" xfId="5056"/>
    <cellStyle name="Separador de milhares 3 14 3 2 2 2" xfId="8271"/>
    <cellStyle name="Separador de milhares 3 14 3 2 2 2 2" xfId="20125"/>
    <cellStyle name="Separador de milhares 3 14 3 2 2 2 2 2" xfId="46604"/>
    <cellStyle name="Separador de milhares 3 14 3 2 2 2 3" xfId="14198"/>
    <cellStyle name="Separador de milhares 3 14 3 2 2 2 3 2" xfId="40696"/>
    <cellStyle name="Separador de milhares 3 14 3 2 2 2 4" xfId="34788"/>
    <cellStyle name="Separador de milhares 3 14 3 2 2 2 5" xfId="28254"/>
    <cellStyle name="Separador de milhares 3 14 3 2 2 3" xfId="17161"/>
    <cellStyle name="Separador de milhares 3 14 3 2 2 3 2" xfId="43650"/>
    <cellStyle name="Separador de milhares 3 14 3 2 2 4" xfId="11234"/>
    <cellStyle name="Separador de milhares 3 14 3 2 2 4 2" xfId="37742"/>
    <cellStyle name="Separador de milhares 3 14 3 2 2 5" xfId="31583"/>
    <cellStyle name="Separador de milhares 3 14 3 2 2 6" xfId="25049"/>
    <cellStyle name="Separador de milhares 3 14 3 2 3" xfId="6795"/>
    <cellStyle name="Separador de milhares 3 14 3 2 3 2" xfId="18649"/>
    <cellStyle name="Separador de milhares 3 14 3 2 3 2 2" xfId="45136"/>
    <cellStyle name="Separador de milhares 3 14 3 2 3 3" xfId="12722"/>
    <cellStyle name="Separador de milhares 3 14 3 2 3 3 2" xfId="39228"/>
    <cellStyle name="Separador de milhares 3 14 3 2 3 4" xfId="33320"/>
    <cellStyle name="Separador de milhares 3 14 3 2 3 5" xfId="26786"/>
    <cellStyle name="Separador de milhares 3 14 3 2 4" xfId="15685"/>
    <cellStyle name="Separador de milhares 3 14 3 2 4 2" xfId="42182"/>
    <cellStyle name="Separador de milhares 3 14 3 2 4 3" xfId="23277"/>
    <cellStyle name="Separador de milhares 3 14 3 2 5" xfId="9758"/>
    <cellStyle name="Separador de milhares 3 14 3 2 5 2" xfId="36274"/>
    <cellStyle name="Separador de milhares 3 14 3 2 6" xfId="29811"/>
    <cellStyle name="Separador de milhares 3 14 3 2 7" xfId="21506"/>
    <cellStyle name="Separador de milhares 3 14 3 3" xfId="917"/>
    <cellStyle name="Separador de milhares 3 14 3 3 2" xfId="5158"/>
    <cellStyle name="Separador de milhares 3 14 3 3 2 2" xfId="8373"/>
    <cellStyle name="Separador de milhares 3 14 3 3 2 2 2" xfId="20227"/>
    <cellStyle name="Separador de milhares 3 14 3 3 2 2 2 2" xfId="46706"/>
    <cellStyle name="Separador de milhares 3 14 3 3 2 2 3" xfId="14300"/>
    <cellStyle name="Separador de milhares 3 14 3 3 2 2 3 2" xfId="40798"/>
    <cellStyle name="Separador de milhares 3 14 3 3 2 2 4" xfId="34890"/>
    <cellStyle name="Separador de milhares 3 14 3 3 2 2 5" xfId="28356"/>
    <cellStyle name="Separador de milhares 3 14 3 3 2 3" xfId="17263"/>
    <cellStyle name="Separador de milhares 3 14 3 3 2 3 2" xfId="43752"/>
    <cellStyle name="Separador de milhares 3 14 3 3 2 4" xfId="11336"/>
    <cellStyle name="Separador de milhares 3 14 3 3 2 4 2" xfId="37844"/>
    <cellStyle name="Separador de milhares 3 14 3 3 2 5" xfId="31685"/>
    <cellStyle name="Separador de milhares 3 14 3 3 2 6" xfId="25151"/>
    <cellStyle name="Separador de milhares 3 14 3 3 3" xfId="6900"/>
    <cellStyle name="Separador de milhares 3 14 3 3 3 2" xfId="18754"/>
    <cellStyle name="Separador de milhares 3 14 3 3 3 2 2" xfId="45238"/>
    <cellStyle name="Separador de milhares 3 14 3 3 3 3" xfId="12827"/>
    <cellStyle name="Separador de milhares 3 14 3 3 3 3 2" xfId="39330"/>
    <cellStyle name="Separador de milhares 3 14 3 3 3 4" xfId="33422"/>
    <cellStyle name="Separador de milhares 3 14 3 3 3 5" xfId="26888"/>
    <cellStyle name="Separador de milhares 3 14 3 3 4" xfId="15790"/>
    <cellStyle name="Separador de milhares 3 14 3 3 4 2" xfId="42284"/>
    <cellStyle name="Separador de milhares 3 14 3 3 4 3" xfId="23379"/>
    <cellStyle name="Separador de milhares 3 14 3 3 5" xfId="9863"/>
    <cellStyle name="Separador de milhares 3 14 3 3 5 2" xfId="36376"/>
    <cellStyle name="Separador de milhares 3 14 3 3 6" xfId="29913"/>
    <cellStyle name="Separador de milhares 3 14 3 3 7" xfId="21607"/>
    <cellStyle name="Separador de milhares 3 14 3 4" xfId="1268"/>
    <cellStyle name="Separador de milhares 3 14 3 4 2" xfId="5256"/>
    <cellStyle name="Separador de milhares 3 14 3 4 2 2" xfId="8471"/>
    <cellStyle name="Separador de milhares 3 14 3 4 2 2 2" xfId="20325"/>
    <cellStyle name="Separador de milhares 3 14 3 4 2 2 2 2" xfId="46804"/>
    <cellStyle name="Separador de milhares 3 14 3 4 2 2 3" xfId="14398"/>
    <cellStyle name="Separador de milhares 3 14 3 4 2 2 3 2" xfId="40896"/>
    <cellStyle name="Separador de milhares 3 14 3 4 2 2 4" xfId="34988"/>
    <cellStyle name="Separador de milhares 3 14 3 4 2 2 5" xfId="28454"/>
    <cellStyle name="Separador de milhares 3 14 3 4 2 3" xfId="17361"/>
    <cellStyle name="Separador de milhares 3 14 3 4 2 3 2" xfId="43850"/>
    <cellStyle name="Separador de milhares 3 14 3 4 2 4" xfId="11434"/>
    <cellStyle name="Separador de milhares 3 14 3 4 2 4 2" xfId="37942"/>
    <cellStyle name="Separador de milhares 3 14 3 4 2 5" xfId="31783"/>
    <cellStyle name="Separador de milhares 3 14 3 4 2 6" xfId="25249"/>
    <cellStyle name="Separador de milhares 3 14 3 4 3" xfId="6998"/>
    <cellStyle name="Separador de milhares 3 14 3 4 3 2" xfId="18852"/>
    <cellStyle name="Separador de milhares 3 14 3 4 3 2 2" xfId="45336"/>
    <cellStyle name="Separador de milhares 3 14 3 4 3 3" xfId="12925"/>
    <cellStyle name="Separador de milhares 3 14 3 4 3 3 2" xfId="39428"/>
    <cellStyle name="Separador de milhares 3 14 3 4 3 4" xfId="33520"/>
    <cellStyle name="Separador de milhares 3 14 3 4 3 5" xfId="26986"/>
    <cellStyle name="Separador de milhares 3 14 3 4 4" xfId="15888"/>
    <cellStyle name="Separador de milhares 3 14 3 4 4 2" xfId="42382"/>
    <cellStyle name="Separador de milhares 3 14 3 4 4 3" xfId="23477"/>
    <cellStyle name="Separador de milhares 3 14 3 4 5" xfId="9961"/>
    <cellStyle name="Separador de milhares 3 14 3 4 5 2" xfId="36474"/>
    <cellStyle name="Separador de milhares 3 14 3 4 6" xfId="30011"/>
    <cellStyle name="Separador de milhares 3 14 3 4 7" xfId="21705"/>
    <cellStyle name="Separador de milhares 3 14 3 5" xfId="1703"/>
    <cellStyle name="Separador de milhares 3 14 3 5 2" xfId="5375"/>
    <cellStyle name="Separador de milhares 3 14 3 5 2 2" xfId="8590"/>
    <cellStyle name="Separador de milhares 3 14 3 5 2 2 2" xfId="20444"/>
    <cellStyle name="Separador de milhares 3 14 3 5 2 2 2 2" xfId="46923"/>
    <cellStyle name="Separador de milhares 3 14 3 5 2 2 3" xfId="14517"/>
    <cellStyle name="Separador de milhares 3 14 3 5 2 2 3 2" xfId="41015"/>
    <cellStyle name="Separador de milhares 3 14 3 5 2 2 4" xfId="35107"/>
    <cellStyle name="Separador de milhares 3 14 3 5 2 2 5" xfId="28573"/>
    <cellStyle name="Separador de milhares 3 14 3 5 2 3" xfId="17480"/>
    <cellStyle name="Separador de milhares 3 14 3 5 2 3 2" xfId="43969"/>
    <cellStyle name="Separador de milhares 3 14 3 5 2 4" xfId="11553"/>
    <cellStyle name="Separador de milhares 3 14 3 5 2 4 2" xfId="38061"/>
    <cellStyle name="Separador de milhares 3 14 3 5 2 5" xfId="31902"/>
    <cellStyle name="Separador de milhares 3 14 3 5 2 6" xfId="25368"/>
    <cellStyle name="Separador de milhares 3 14 3 5 3" xfId="7117"/>
    <cellStyle name="Separador de milhares 3 14 3 5 3 2" xfId="18971"/>
    <cellStyle name="Separador de milhares 3 14 3 5 3 2 2" xfId="45455"/>
    <cellStyle name="Separador de milhares 3 14 3 5 3 3" xfId="13044"/>
    <cellStyle name="Separador de milhares 3 14 3 5 3 3 2" xfId="39547"/>
    <cellStyle name="Separador de milhares 3 14 3 5 3 4" xfId="33639"/>
    <cellStyle name="Separador de milhares 3 14 3 5 3 5" xfId="27105"/>
    <cellStyle name="Separador de milhares 3 14 3 5 4" xfId="16007"/>
    <cellStyle name="Separador de milhares 3 14 3 5 4 2" xfId="42501"/>
    <cellStyle name="Separador de milhares 3 14 3 5 4 3" xfId="23596"/>
    <cellStyle name="Separador de milhares 3 14 3 5 5" xfId="10080"/>
    <cellStyle name="Separador de milhares 3 14 3 5 5 2" xfId="36593"/>
    <cellStyle name="Separador de milhares 3 14 3 5 6" xfId="30130"/>
    <cellStyle name="Separador de milhares 3 14 3 5 7" xfId="21824"/>
    <cellStyle name="Separador de milhares 3 14 3 6" xfId="2236"/>
    <cellStyle name="Separador de milhares 3 14 3 6 2" xfId="5525"/>
    <cellStyle name="Separador de milhares 3 14 3 6 2 2" xfId="8737"/>
    <cellStyle name="Separador de milhares 3 14 3 6 2 2 2" xfId="20591"/>
    <cellStyle name="Separador de milhares 3 14 3 6 2 2 2 2" xfId="47070"/>
    <cellStyle name="Separador de milhares 3 14 3 6 2 2 3" xfId="14664"/>
    <cellStyle name="Separador de milhares 3 14 3 6 2 2 3 2" xfId="41162"/>
    <cellStyle name="Separador de milhares 3 14 3 6 2 2 4" xfId="35254"/>
    <cellStyle name="Separador de milhares 3 14 3 6 2 2 5" xfId="28720"/>
    <cellStyle name="Separador de milhares 3 14 3 6 2 3" xfId="17627"/>
    <cellStyle name="Separador de milhares 3 14 3 6 2 3 2" xfId="44116"/>
    <cellStyle name="Separador de milhares 3 14 3 6 2 4" xfId="11700"/>
    <cellStyle name="Separador de milhares 3 14 3 6 2 4 2" xfId="38208"/>
    <cellStyle name="Separador de milhares 3 14 3 6 2 5" xfId="32052"/>
    <cellStyle name="Separador de milhares 3 14 3 6 2 6" xfId="25518"/>
    <cellStyle name="Separador de milhares 3 14 3 6 3" xfId="7265"/>
    <cellStyle name="Separador de milhares 3 14 3 6 3 2" xfId="19119"/>
    <cellStyle name="Separador de milhares 3 14 3 6 3 2 2" xfId="45602"/>
    <cellStyle name="Separador de milhares 3 14 3 6 3 3" xfId="13192"/>
    <cellStyle name="Separador de milhares 3 14 3 6 3 3 2" xfId="39694"/>
    <cellStyle name="Separador de milhares 3 14 3 6 3 4" xfId="33786"/>
    <cellStyle name="Separador de milhares 3 14 3 6 3 5" xfId="27252"/>
    <cellStyle name="Separador de milhares 3 14 3 6 4" xfId="16155"/>
    <cellStyle name="Separador de milhares 3 14 3 6 4 2" xfId="42648"/>
    <cellStyle name="Separador de milhares 3 14 3 6 4 3" xfId="23746"/>
    <cellStyle name="Separador de milhares 3 14 3 6 5" xfId="10228"/>
    <cellStyle name="Separador de milhares 3 14 3 6 5 2" xfId="36740"/>
    <cellStyle name="Separador de milhares 3 14 3 6 6" xfId="30280"/>
    <cellStyle name="Separador de milhares 3 14 3 6 7" xfId="21974"/>
    <cellStyle name="Separador de milhares 3 14 3 7" xfId="2764"/>
    <cellStyle name="Separador de milhares 3 14 3 7 2" xfId="5672"/>
    <cellStyle name="Separador de milhares 3 14 3 7 2 2" xfId="8884"/>
    <cellStyle name="Separador de milhares 3 14 3 7 2 2 2" xfId="20738"/>
    <cellStyle name="Separador de milhares 3 14 3 7 2 2 2 2" xfId="47217"/>
    <cellStyle name="Separador de milhares 3 14 3 7 2 2 3" xfId="14811"/>
    <cellStyle name="Separador de milhares 3 14 3 7 2 2 3 2" xfId="41309"/>
    <cellStyle name="Separador de milhares 3 14 3 7 2 2 4" xfId="35401"/>
    <cellStyle name="Separador de milhares 3 14 3 7 2 2 5" xfId="28867"/>
    <cellStyle name="Separador de milhares 3 14 3 7 2 3" xfId="17774"/>
    <cellStyle name="Separador de milhares 3 14 3 7 2 3 2" xfId="44263"/>
    <cellStyle name="Separador de milhares 3 14 3 7 2 4" xfId="11847"/>
    <cellStyle name="Separador de milhares 3 14 3 7 2 4 2" xfId="38355"/>
    <cellStyle name="Separador de milhares 3 14 3 7 2 5" xfId="32199"/>
    <cellStyle name="Separador de milhares 3 14 3 7 2 6" xfId="25665"/>
    <cellStyle name="Separador de milhares 3 14 3 7 3" xfId="7413"/>
    <cellStyle name="Separador de milhares 3 14 3 7 3 2" xfId="19267"/>
    <cellStyle name="Separador de milhares 3 14 3 7 3 2 2" xfId="45749"/>
    <cellStyle name="Separador de milhares 3 14 3 7 3 3" xfId="13340"/>
    <cellStyle name="Separador de milhares 3 14 3 7 3 3 2" xfId="39841"/>
    <cellStyle name="Separador de milhares 3 14 3 7 3 4" xfId="33933"/>
    <cellStyle name="Separador de milhares 3 14 3 7 3 5" xfId="27399"/>
    <cellStyle name="Separador de milhares 3 14 3 7 4" xfId="16303"/>
    <cellStyle name="Separador de milhares 3 14 3 7 4 2" xfId="42795"/>
    <cellStyle name="Separador de milhares 3 14 3 7 4 3" xfId="23893"/>
    <cellStyle name="Separador de milhares 3 14 3 7 5" xfId="10376"/>
    <cellStyle name="Separador de milhares 3 14 3 7 5 2" xfId="36887"/>
    <cellStyle name="Separador de milhares 3 14 3 7 6" xfId="30427"/>
    <cellStyle name="Separador de milhares 3 14 3 7 7" xfId="22121"/>
    <cellStyle name="Separador de milhares 3 14 3 8" xfId="3292"/>
    <cellStyle name="Separador de milhares 3 14 3 8 2" xfId="5819"/>
    <cellStyle name="Separador de milhares 3 14 3 8 2 2" xfId="9031"/>
    <cellStyle name="Separador de milhares 3 14 3 8 2 2 2" xfId="20885"/>
    <cellStyle name="Separador de milhares 3 14 3 8 2 2 2 2" xfId="47364"/>
    <cellStyle name="Separador de milhares 3 14 3 8 2 2 3" xfId="14958"/>
    <cellStyle name="Separador de milhares 3 14 3 8 2 2 3 2" xfId="41456"/>
    <cellStyle name="Separador de milhares 3 14 3 8 2 2 4" xfId="35548"/>
    <cellStyle name="Separador de milhares 3 14 3 8 2 2 5" xfId="29014"/>
    <cellStyle name="Separador de milhares 3 14 3 8 2 3" xfId="17921"/>
    <cellStyle name="Separador de milhares 3 14 3 8 2 3 2" xfId="44410"/>
    <cellStyle name="Separador de milhares 3 14 3 8 2 4" xfId="11994"/>
    <cellStyle name="Separador de milhares 3 14 3 8 2 4 2" xfId="38502"/>
    <cellStyle name="Separador de milhares 3 14 3 8 2 5" xfId="32346"/>
    <cellStyle name="Separador de milhares 3 14 3 8 2 6" xfId="25812"/>
    <cellStyle name="Separador de milhares 3 14 3 8 3" xfId="7561"/>
    <cellStyle name="Separador de milhares 3 14 3 8 3 2" xfId="19415"/>
    <cellStyle name="Separador de milhares 3 14 3 8 3 2 2" xfId="45896"/>
    <cellStyle name="Separador de milhares 3 14 3 8 3 3" xfId="13488"/>
    <cellStyle name="Separador de milhares 3 14 3 8 3 3 2" xfId="39988"/>
    <cellStyle name="Separador de milhares 3 14 3 8 3 4" xfId="34080"/>
    <cellStyle name="Separador de milhares 3 14 3 8 3 5" xfId="27546"/>
    <cellStyle name="Separador de milhares 3 14 3 8 4" xfId="16451"/>
    <cellStyle name="Separador de milhares 3 14 3 8 4 2" xfId="42942"/>
    <cellStyle name="Separador de milhares 3 14 3 8 4 3" xfId="24040"/>
    <cellStyle name="Separador de milhares 3 14 3 8 5" xfId="10524"/>
    <cellStyle name="Separador de milhares 3 14 3 8 5 2" xfId="37034"/>
    <cellStyle name="Separador de milhares 3 14 3 8 6" xfId="30574"/>
    <cellStyle name="Separador de milhares 3 14 3 8 7" xfId="22268"/>
    <cellStyle name="Separador de milhares 3 14 3 9" xfId="3820"/>
    <cellStyle name="Separador de milhares 3 14 3 9 2" xfId="5966"/>
    <cellStyle name="Separador de milhares 3 14 3 9 2 2" xfId="9178"/>
    <cellStyle name="Separador de milhares 3 14 3 9 2 2 2" xfId="21032"/>
    <cellStyle name="Separador de milhares 3 14 3 9 2 2 2 2" xfId="47511"/>
    <cellStyle name="Separador de milhares 3 14 3 9 2 2 3" xfId="15105"/>
    <cellStyle name="Separador de milhares 3 14 3 9 2 2 3 2" xfId="41603"/>
    <cellStyle name="Separador de milhares 3 14 3 9 2 2 4" xfId="35695"/>
    <cellStyle name="Separador de milhares 3 14 3 9 2 2 5" xfId="29161"/>
    <cellStyle name="Separador de milhares 3 14 3 9 2 3" xfId="18068"/>
    <cellStyle name="Separador de milhares 3 14 3 9 2 3 2" xfId="44557"/>
    <cellStyle name="Separador de milhares 3 14 3 9 2 4" xfId="12141"/>
    <cellStyle name="Separador de milhares 3 14 3 9 2 4 2" xfId="38649"/>
    <cellStyle name="Separador de milhares 3 14 3 9 2 5" xfId="32493"/>
    <cellStyle name="Separador de milhares 3 14 3 9 2 6" xfId="25959"/>
    <cellStyle name="Separador de milhares 3 14 3 9 3" xfId="7709"/>
    <cellStyle name="Separador de milhares 3 14 3 9 3 2" xfId="19563"/>
    <cellStyle name="Separador de milhares 3 14 3 9 3 2 2" xfId="46043"/>
    <cellStyle name="Separador de milhares 3 14 3 9 3 3" xfId="13636"/>
    <cellStyle name="Separador de milhares 3 14 3 9 3 3 2" xfId="40135"/>
    <cellStyle name="Separador de milhares 3 14 3 9 3 4" xfId="34227"/>
    <cellStyle name="Separador de milhares 3 14 3 9 3 5" xfId="27693"/>
    <cellStyle name="Separador de milhares 3 14 3 9 4" xfId="16599"/>
    <cellStyle name="Separador de milhares 3 14 3 9 4 2" xfId="43089"/>
    <cellStyle name="Separador de milhares 3 14 3 9 4 3" xfId="24187"/>
    <cellStyle name="Separador de milhares 3 14 3 9 5" xfId="10672"/>
    <cellStyle name="Separador de milhares 3 14 3 9 5 2" xfId="37181"/>
    <cellStyle name="Separador de milhares 3 14 3 9 6" xfId="30721"/>
    <cellStyle name="Separador de milhares 3 14 3 9 7" xfId="22415"/>
    <cellStyle name="Separador de milhares 3 14 4" xfId="449"/>
    <cellStyle name="Separador de milhares 3 14 4 10" xfId="5013"/>
    <cellStyle name="Separador de milhares 3 14 4 10 2" xfId="8229"/>
    <cellStyle name="Separador de milhares 3 14 4 10 2 2" xfId="20083"/>
    <cellStyle name="Separador de milhares 3 14 4 10 2 2 2" xfId="46562"/>
    <cellStyle name="Separador de milhares 3 14 4 10 2 3" xfId="14156"/>
    <cellStyle name="Separador de milhares 3 14 4 10 2 3 2" xfId="40654"/>
    <cellStyle name="Separador de milhares 3 14 4 10 2 4" xfId="34746"/>
    <cellStyle name="Separador de milhares 3 14 4 10 2 5" xfId="28212"/>
    <cellStyle name="Separador de milhares 3 14 4 10 3" xfId="17119"/>
    <cellStyle name="Separador de milhares 3 14 4 10 3 2" xfId="43608"/>
    <cellStyle name="Separador de milhares 3 14 4 10 4" xfId="11192"/>
    <cellStyle name="Separador de milhares 3 14 4 10 4 2" xfId="37700"/>
    <cellStyle name="Separador de milhares 3 14 4 10 5" xfId="31540"/>
    <cellStyle name="Separador de milhares 3 14 4 10 6" xfId="25006"/>
    <cellStyle name="Separador de milhares 3 14 4 11" xfId="6753"/>
    <cellStyle name="Separador de milhares 3 14 4 11 2" xfId="18607"/>
    <cellStyle name="Separador de milhares 3 14 4 11 2 2" xfId="45094"/>
    <cellStyle name="Separador de milhares 3 14 4 11 3" xfId="12680"/>
    <cellStyle name="Separador de milhares 3 14 4 11 3 2" xfId="39186"/>
    <cellStyle name="Separador de milhares 3 14 4 11 4" xfId="33278"/>
    <cellStyle name="Separador de milhares 3 14 4 11 5" xfId="26744"/>
    <cellStyle name="Separador de milhares 3 14 4 12" xfId="15643"/>
    <cellStyle name="Separador de milhares 3 14 4 12 2" xfId="42140"/>
    <cellStyle name="Separador de milhares 3 14 4 12 3" xfId="23234"/>
    <cellStyle name="Separador de milhares 3 14 4 13" xfId="9716"/>
    <cellStyle name="Separador de milhares 3 14 4 13 2" xfId="36232"/>
    <cellStyle name="Separador de milhares 3 14 4 14" xfId="29768"/>
    <cellStyle name="Separador de milhares 3 14 4 2" xfId="1095"/>
    <cellStyle name="Separador de milhares 3 14 4 2 2" xfId="5210"/>
    <cellStyle name="Separador de milhares 3 14 4 2 2 2" xfId="8425"/>
    <cellStyle name="Separador de milhares 3 14 4 2 2 2 2" xfId="20279"/>
    <cellStyle name="Separador de milhares 3 14 4 2 2 2 2 2" xfId="46758"/>
    <cellStyle name="Separador de milhares 3 14 4 2 2 2 3" xfId="14352"/>
    <cellStyle name="Separador de milhares 3 14 4 2 2 2 3 2" xfId="40850"/>
    <cellStyle name="Separador de milhares 3 14 4 2 2 2 4" xfId="34942"/>
    <cellStyle name="Separador de milhares 3 14 4 2 2 2 5" xfId="28408"/>
    <cellStyle name="Separador de milhares 3 14 4 2 2 3" xfId="17315"/>
    <cellStyle name="Separador de milhares 3 14 4 2 2 3 2" xfId="43804"/>
    <cellStyle name="Separador de milhares 3 14 4 2 2 4" xfId="11388"/>
    <cellStyle name="Separador de milhares 3 14 4 2 2 4 2" xfId="37896"/>
    <cellStyle name="Separador de milhares 3 14 4 2 2 5" xfId="31737"/>
    <cellStyle name="Separador de milhares 3 14 4 2 2 6" xfId="25203"/>
    <cellStyle name="Separador de milhares 3 14 4 2 3" xfId="6952"/>
    <cellStyle name="Separador de milhares 3 14 4 2 3 2" xfId="18806"/>
    <cellStyle name="Separador de milhares 3 14 4 2 3 2 2" xfId="45290"/>
    <cellStyle name="Separador de milhares 3 14 4 2 3 3" xfId="12879"/>
    <cellStyle name="Separador de milhares 3 14 4 2 3 3 2" xfId="39382"/>
    <cellStyle name="Separador de milhares 3 14 4 2 3 4" xfId="33474"/>
    <cellStyle name="Separador de milhares 3 14 4 2 3 5" xfId="26940"/>
    <cellStyle name="Separador de milhares 3 14 4 2 4" xfId="15842"/>
    <cellStyle name="Separador de milhares 3 14 4 2 4 2" xfId="42336"/>
    <cellStyle name="Separador de milhares 3 14 4 2 4 3" xfId="23431"/>
    <cellStyle name="Separador de milhares 3 14 4 2 5" xfId="9915"/>
    <cellStyle name="Separador de milhares 3 14 4 2 5 2" xfId="36428"/>
    <cellStyle name="Separador de milhares 3 14 4 2 6" xfId="29965"/>
    <cellStyle name="Separador de milhares 3 14 4 2 7" xfId="21659"/>
    <cellStyle name="Separador de milhares 3 14 4 3" xfId="1446"/>
    <cellStyle name="Separador de milhares 3 14 4 3 2" xfId="5308"/>
    <cellStyle name="Separador de milhares 3 14 4 3 2 2" xfId="8523"/>
    <cellStyle name="Separador de milhares 3 14 4 3 2 2 2" xfId="20377"/>
    <cellStyle name="Separador de milhares 3 14 4 3 2 2 2 2" xfId="46856"/>
    <cellStyle name="Separador de milhares 3 14 4 3 2 2 3" xfId="14450"/>
    <cellStyle name="Separador de milhares 3 14 4 3 2 2 3 2" xfId="40948"/>
    <cellStyle name="Separador de milhares 3 14 4 3 2 2 4" xfId="35040"/>
    <cellStyle name="Separador de milhares 3 14 4 3 2 2 5" xfId="28506"/>
    <cellStyle name="Separador de milhares 3 14 4 3 2 3" xfId="17413"/>
    <cellStyle name="Separador de milhares 3 14 4 3 2 3 2" xfId="43902"/>
    <cellStyle name="Separador de milhares 3 14 4 3 2 4" xfId="11486"/>
    <cellStyle name="Separador de milhares 3 14 4 3 2 4 2" xfId="37994"/>
    <cellStyle name="Separador de milhares 3 14 4 3 2 5" xfId="31835"/>
    <cellStyle name="Separador de milhares 3 14 4 3 2 6" xfId="25301"/>
    <cellStyle name="Separador de milhares 3 14 4 3 3" xfId="7050"/>
    <cellStyle name="Separador de milhares 3 14 4 3 3 2" xfId="18904"/>
    <cellStyle name="Separador de milhares 3 14 4 3 3 2 2" xfId="45388"/>
    <cellStyle name="Separador de milhares 3 14 4 3 3 3" xfId="12977"/>
    <cellStyle name="Separador de milhares 3 14 4 3 3 3 2" xfId="39480"/>
    <cellStyle name="Separador de milhares 3 14 4 3 3 4" xfId="33572"/>
    <cellStyle name="Separador de milhares 3 14 4 3 3 5" xfId="27038"/>
    <cellStyle name="Separador de milhares 3 14 4 3 4" xfId="15940"/>
    <cellStyle name="Separador de milhares 3 14 4 3 4 2" xfId="42434"/>
    <cellStyle name="Separador de milhares 3 14 4 3 4 3" xfId="23529"/>
    <cellStyle name="Separador de milhares 3 14 4 3 5" xfId="10013"/>
    <cellStyle name="Separador de milhares 3 14 4 3 5 2" xfId="36526"/>
    <cellStyle name="Separador de milhares 3 14 4 3 6" xfId="30063"/>
    <cellStyle name="Separador de milhares 3 14 4 3 7" xfId="21757"/>
    <cellStyle name="Separador de milhares 3 14 4 4" xfId="1881"/>
    <cellStyle name="Separador de milhares 3 14 4 4 2" xfId="5427"/>
    <cellStyle name="Separador de milhares 3 14 4 4 2 2" xfId="8642"/>
    <cellStyle name="Separador de milhares 3 14 4 4 2 2 2" xfId="20496"/>
    <cellStyle name="Separador de milhares 3 14 4 4 2 2 2 2" xfId="46975"/>
    <cellStyle name="Separador de milhares 3 14 4 4 2 2 3" xfId="14569"/>
    <cellStyle name="Separador de milhares 3 14 4 4 2 2 3 2" xfId="41067"/>
    <cellStyle name="Separador de milhares 3 14 4 4 2 2 4" xfId="35159"/>
    <cellStyle name="Separador de milhares 3 14 4 4 2 2 5" xfId="28625"/>
    <cellStyle name="Separador de milhares 3 14 4 4 2 3" xfId="17532"/>
    <cellStyle name="Separador de milhares 3 14 4 4 2 3 2" xfId="44021"/>
    <cellStyle name="Separador de milhares 3 14 4 4 2 4" xfId="11605"/>
    <cellStyle name="Separador de milhares 3 14 4 4 2 4 2" xfId="38113"/>
    <cellStyle name="Separador de milhares 3 14 4 4 2 5" xfId="31954"/>
    <cellStyle name="Separador de milhares 3 14 4 4 2 6" xfId="25420"/>
    <cellStyle name="Separador de milhares 3 14 4 4 3" xfId="7169"/>
    <cellStyle name="Separador de milhares 3 14 4 4 3 2" xfId="19023"/>
    <cellStyle name="Separador de milhares 3 14 4 4 3 2 2" xfId="45507"/>
    <cellStyle name="Separador de milhares 3 14 4 4 3 3" xfId="13096"/>
    <cellStyle name="Separador de milhares 3 14 4 4 3 3 2" xfId="39599"/>
    <cellStyle name="Separador de milhares 3 14 4 4 3 4" xfId="33691"/>
    <cellStyle name="Separador de milhares 3 14 4 4 3 5" xfId="27157"/>
    <cellStyle name="Separador de milhares 3 14 4 4 4" xfId="16059"/>
    <cellStyle name="Separador de milhares 3 14 4 4 4 2" xfId="42553"/>
    <cellStyle name="Separador de milhares 3 14 4 4 4 3" xfId="23648"/>
    <cellStyle name="Separador de milhares 3 14 4 4 5" xfId="10132"/>
    <cellStyle name="Separador de milhares 3 14 4 4 5 2" xfId="36645"/>
    <cellStyle name="Separador de milhares 3 14 4 4 6" xfId="30182"/>
    <cellStyle name="Separador de milhares 3 14 4 4 7" xfId="21876"/>
    <cellStyle name="Separador de milhares 3 14 4 5" xfId="2414"/>
    <cellStyle name="Separador de milhares 3 14 4 5 2" xfId="5577"/>
    <cellStyle name="Separador de milhares 3 14 4 5 2 2" xfId="8789"/>
    <cellStyle name="Separador de milhares 3 14 4 5 2 2 2" xfId="20643"/>
    <cellStyle name="Separador de milhares 3 14 4 5 2 2 2 2" xfId="47122"/>
    <cellStyle name="Separador de milhares 3 14 4 5 2 2 3" xfId="14716"/>
    <cellStyle name="Separador de milhares 3 14 4 5 2 2 3 2" xfId="41214"/>
    <cellStyle name="Separador de milhares 3 14 4 5 2 2 4" xfId="35306"/>
    <cellStyle name="Separador de milhares 3 14 4 5 2 2 5" xfId="28772"/>
    <cellStyle name="Separador de milhares 3 14 4 5 2 3" xfId="17679"/>
    <cellStyle name="Separador de milhares 3 14 4 5 2 3 2" xfId="44168"/>
    <cellStyle name="Separador de milhares 3 14 4 5 2 4" xfId="11752"/>
    <cellStyle name="Separador de milhares 3 14 4 5 2 4 2" xfId="38260"/>
    <cellStyle name="Separador de milhares 3 14 4 5 2 5" xfId="32104"/>
    <cellStyle name="Separador de milhares 3 14 4 5 2 6" xfId="25570"/>
    <cellStyle name="Separador de milhares 3 14 4 5 3" xfId="7317"/>
    <cellStyle name="Separador de milhares 3 14 4 5 3 2" xfId="19171"/>
    <cellStyle name="Separador de milhares 3 14 4 5 3 2 2" xfId="45654"/>
    <cellStyle name="Separador de milhares 3 14 4 5 3 3" xfId="13244"/>
    <cellStyle name="Separador de milhares 3 14 4 5 3 3 2" xfId="39746"/>
    <cellStyle name="Separador de milhares 3 14 4 5 3 4" xfId="33838"/>
    <cellStyle name="Separador de milhares 3 14 4 5 3 5" xfId="27304"/>
    <cellStyle name="Separador de milhares 3 14 4 5 4" xfId="16207"/>
    <cellStyle name="Separador de milhares 3 14 4 5 4 2" xfId="42700"/>
    <cellStyle name="Separador de milhares 3 14 4 5 4 3" xfId="23798"/>
    <cellStyle name="Separador de milhares 3 14 4 5 5" xfId="10280"/>
    <cellStyle name="Separador de milhares 3 14 4 5 5 2" xfId="36792"/>
    <cellStyle name="Separador de milhares 3 14 4 5 6" xfId="30332"/>
    <cellStyle name="Separador de milhares 3 14 4 5 7" xfId="22026"/>
    <cellStyle name="Separador de milhares 3 14 4 6" xfId="2942"/>
    <cellStyle name="Separador de milhares 3 14 4 6 2" xfId="5724"/>
    <cellStyle name="Separador de milhares 3 14 4 6 2 2" xfId="8936"/>
    <cellStyle name="Separador de milhares 3 14 4 6 2 2 2" xfId="20790"/>
    <cellStyle name="Separador de milhares 3 14 4 6 2 2 2 2" xfId="47269"/>
    <cellStyle name="Separador de milhares 3 14 4 6 2 2 3" xfId="14863"/>
    <cellStyle name="Separador de milhares 3 14 4 6 2 2 3 2" xfId="41361"/>
    <cellStyle name="Separador de milhares 3 14 4 6 2 2 4" xfId="35453"/>
    <cellStyle name="Separador de milhares 3 14 4 6 2 2 5" xfId="28919"/>
    <cellStyle name="Separador de milhares 3 14 4 6 2 3" xfId="17826"/>
    <cellStyle name="Separador de milhares 3 14 4 6 2 3 2" xfId="44315"/>
    <cellStyle name="Separador de milhares 3 14 4 6 2 4" xfId="11899"/>
    <cellStyle name="Separador de milhares 3 14 4 6 2 4 2" xfId="38407"/>
    <cellStyle name="Separador de milhares 3 14 4 6 2 5" xfId="32251"/>
    <cellStyle name="Separador de milhares 3 14 4 6 2 6" xfId="25717"/>
    <cellStyle name="Separador de milhares 3 14 4 6 3" xfId="7465"/>
    <cellStyle name="Separador de milhares 3 14 4 6 3 2" xfId="19319"/>
    <cellStyle name="Separador de milhares 3 14 4 6 3 2 2" xfId="45801"/>
    <cellStyle name="Separador de milhares 3 14 4 6 3 3" xfId="13392"/>
    <cellStyle name="Separador de milhares 3 14 4 6 3 3 2" xfId="39893"/>
    <cellStyle name="Separador de milhares 3 14 4 6 3 4" xfId="33985"/>
    <cellStyle name="Separador de milhares 3 14 4 6 3 5" xfId="27451"/>
    <cellStyle name="Separador de milhares 3 14 4 6 4" xfId="16355"/>
    <cellStyle name="Separador de milhares 3 14 4 6 4 2" xfId="42847"/>
    <cellStyle name="Separador de milhares 3 14 4 6 4 3" xfId="23945"/>
    <cellStyle name="Separador de milhares 3 14 4 6 5" xfId="10428"/>
    <cellStyle name="Separador de milhares 3 14 4 6 5 2" xfId="36939"/>
    <cellStyle name="Separador de milhares 3 14 4 6 6" xfId="30479"/>
    <cellStyle name="Separador de milhares 3 14 4 6 7" xfId="22173"/>
    <cellStyle name="Separador de milhares 3 14 4 7" xfId="3470"/>
    <cellStyle name="Separador de milhares 3 14 4 7 2" xfId="5871"/>
    <cellStyle name="Separador de milhares 3 14 4 7 2 2" xfId="9083"/>
    <cellStyle name="Separador de milhares 3 14 4 7 2 2 2" xfId="20937"/>
    <cellStyle name="Separador de milhares 3 14 4 7 2 2 2 2" xfId="47416"/>
    <cellStyle name="Separador de milhares 3 14 4 7 2 2 3" xfId="15010"/>
    <cellStyle name="Separador de milhares 3 14 4 7 2 2 3 2" xfId="41508"/>
    <cellStyle name="Separador de milhares 3 14 4 7 2 2 4" xfId="35600"/>
    <cellStyle name="Separador de milhares 3 14 4 7 2 2 5" xfId="29066"/>
    <cellStyle name="Separador de milhares 3 14 4 7 2 3" xfId="17973"/>
    <cellStyle name="Separador de milhares 3 14 4 7 2 3 2" xfId="44462"/>
    <cellStyle name="Separador de milhares 3 14 4 7 2 4" xfId="12046"/>
    <cellStyle name="Separador de milhares 3 14 4 7 2 4 2" xfId="38554"/>
    <cellStyle name="Separador de milhares 3 14 4 7 2 5" xfId="32398"/>
    <cellStyle name="Separador de milhares 3 14 4 7 2 6" xfId="25864"/>
    <cellStyle name="Separador de milhares 3 14 4 7 3" xfId="7613"/>
    <cellStyle name="Separador de milhares 3 14 4 7 3 2" xfId="19467"/>
    <cellStyle name="Separador de milhares 3 14 4 7 3 2 2" xfId="45948"/>
    <cellStyle name="Separador de milhares 3 14 4 7 3 3" xfId="13540"/>
    <cellStyle name="Separador de milhares 3 14 4 7 3 3 2" xfId="40040"/>
    <cellStyle name="Separador de milhares 3 14 4 7 3 4" xfId="34132"/>
    <cellStyle name="Separador de milhares 3 14 4 7 3 5" xfId="27598"/>
    <cellStyle name="Separador de milhares 3 14 4 7 4" xfId="16503"/>
    <cellStyle name="Separador de milhares 3 14 4 7 4 2" xfId="42994"/>
    <cellStyle name="Separador de milhares 3 14 4 7 4 3" xfId="24092"/>
    <cellStyle name="Separador de milhares 3 14 4 7 5" xfId="10576"/>
    <cellStyle name="Separador de milhares 3 14 4 7 5 2" xfId="37086"/>
    <cellStyle name="Separador de milhares 3 14 4 7 6" xfId="30626"/>
    <cellStyle name="Separador de milhares 3 14 4 7 7" xfId="22320"/>
    <cellStyle name="Separador de milhares 3 14 4 8" xfId="3998"/>
    <cellStyle name="Separador de milhares 3 14 4 8 2" xfId="6018"/>
    <cellStyle name="Separador de milhares 3 14 4 8 2 2" xfId="9230"/>
    <cellStyle name="Separador de milhares 3 14 4 8 2 2 2" xfId="21084"/>
    <cellStyle name="Separador de milhares 3 14 4 8 2 2 2 2" xfId="47563"/>
    <cellStyle name="Separador de milhares 3 14 4 8 2 2 3" xfId="15157"/>
    <cellStyle name="Separador de milhares 3 14 4 8 2 2 3 2" xfId="41655"/>
    <cellStyle name="Separador de milhares 3 14 4 8 2 2 4" xfId="35747"/>
    <cellStyle name="Separador de milhares 3 14 4 8 2 2 5" xfId="29213"/>
    <cellStyle name="Separador de milhares 3 14 4 8 2 3" xfId="18120"/>
    <cellStyle name="Separador de milhares 3 14 4 8 2 3 2" xfId="44609"/>
    <cellStyle name="Separador de milhares 3 14 4 8 2 4" xfId="12193"/>
    <cellStyle name="Separador de milhares 3 14 4 8 2 4 2" xfId="38701"/>
    <cellStyle name="Separador de milhares 3 14 4 8 2 5" xfId="32545"/>
    <cellStyle name="Separador de milhares 3 14 4 8 2 6" xfId="26011"/>
    <cellStyle name="Separador de milhares 3 14 4 8 3" xfId="7761"/>
    <cellStyle name="Separador de milhares 3 14 4 8 3 2" xfId="19615"/>
    <cellStyle name="Separador de milhares 3 14 4 8 3 2 2" xfId="46095"/>
    <cellStyle name="Separador de milhares 3 14 4 8 3 3" xfId="13688"/>
    <cellStyle name="Separador de milhares 3 14 4 8 3 3 2" xfId="40187"/>
    <cellStyle name="Separador de milhares 3 14 4 8 3 4" xfId="34279"/>
    <cellStyle name="Separador de milhares 3 14 4 8 3 5" xfId="27745"/>
    <cellStyle name="Separador de milhares 3 14 4 8 4" xfId="16651"/>
    <cellStyle name="Separador de milhares 3 14 4 8 4 2" xfId="43141"/>
    <cellStyle name="Separador de milhares 3 14 4 8 4 3" xfId="24239"/>
    <cellStyle name="Separador de milhares 3 14 4 8 5" xfId="10724"/>
    <cellStyle name="Separador de milhares 3 14 4 8 5 2" xfId="37233"/>
    <cellStyle name="Separador de milhares 3 14 4 8 6" xfId="30773"/>
    <cellStyle name="Separador de milhares 3 14 4 8 7" xfId="22467"/>
    <cellStyle name="Separador de milhares 3 14 4 9" xfId="799"/>
    <cellStyle name="Separador de milhares 3 14 4 9 2" xfId="5112"/>
    <cellStyle name="Separador de milhares 3 14 4 9 2 2" xfId="8327"/>
    <cellStyle name="Separador de milhares 3 14 4 9 2 2 2" xfId="20181"/>
    <cellStyle name="Separador de milhares 3 14 4 9 2 2 2 2" xfId="46660"/>
    <cellStyle name="Separador de milhares 3 14 4 9 2 2 3" xfId="14254"/>
    <cellStyle name="Separador de milhares 3 14 4 9 2 2 3 2" xfId="40752"/>
    <cellStyle name="Separador de milhares 3 14 4 9 2 2 4" xfId="34844"/>
    <cellStyle name="Separador de milhares 3 14 4 9 2 2 5" xfId="28310"/>
    <cellStyle name="Separador de milhares 3 14 4 9 2 3" xfId="17217"/>
    <cellStyle name="Separador de milhares 3 14 4 9 2 3 2" xfId="43706"/>
    <cellStyle name="Separador de milhares 3 14 4 9 2 4" xfId="11290"/>
    <cellStyle name="Separador de milhares 3 14 4 9 2 4 2" xfId="37798"/>
    <cellStyle name="Separador de milhares 3 14 4 9 2 5" xfId="31639"/>
    <cellStyle name="Separador de milhares 3 14 4 9 2 6" xfId="25105"/>
    <cellStyle name="Separador de milhares 3 14 4 9 3" xfId="6854"/>
    <cellStyle name="Separador de milhares 3 14 4 9 3 2" xfId="18708"/>
    <cellStyle name="Separador de milhares 3 14 4 9 3 2 2" xfId="45192"/>
    <cellStyle name="Separador de milhares 3 14 4 9 3 3" xfId="12781"/>
    <cellStyle name="Separador de milhares 3 14 4 9 3 3 2" xfId="39284"/>
    <cellStyle name="Separador de milhares 3 14 4 9 3 4" xfId="33376"/>
    <cellStyle name="Separador de milhares 3 14 4 9 3 5" xfId="26842"/>
    <cellStyle name="Separador de milhares 3 14 4 9 4" xfId="15744"/>
    <cellStyle name="Separador de milhares 3 14 4 9 4 2" xfId="42238"/>
    <cellStyle name="Separador de milhares 3 14 4 9 4 3" xfId="23333"/>
    <cellStyle name="Separador de milhares 3 14 4 9 5" xfId="9817"/>
    <cellStyle name="Separador de milhares 3 14 4 9 5 2" xfId="36330"/>
    <cellStyle name="Separador de milhares 3 14 4 9 6" xfId="29867"/>
    <cellStyle name="Separador de milhares 3 14 4 9 7" xfId="21561"/>
    <cellStyle name="Separador de milhares 3 14 5" xfId="707"/>
    <cellStyle name="Separador de milhares 3 14 5 10" xfId="15707"/>
    <cellStyle name="Separador de milhares 3 14 5 10 2" xfId="42204"/>
    <cellStyle name="Separador de milhares 3 14 5 10 3" xfId="23299"/>
    <cellStyle name="Separador de milhares 3 14 5 11" xfId="9780"/>
    <cellStyle name="Separador de milhares 3 14 5 11 2" xfId="36296"/>
    <cellStyle name="Separador de milhares 3 14 5 12" xfId="29833"/>
    <cellStyle name="Separador de milhares 3 14 5 13" xfId="21527"/>
    <cellStyle name="Separador de milhares 3 14 5 2" xfId="1530"/>
    <cellStyle name="Separador de milhares 3 14 5 2 2" xfId="5329"/>
    <cellStyle name="Separador de milhares 3 14 5 2 2 2" xfId="8544"/>
    <cellStyle name="Separador de milhares 3 14 5 2 2 2 2" xfId="20398"/>
    <cellStyle name="Separador de milhares 3 14 5 2 2 2 2 2" xfId="46877"/>
    <cellStyle name="Separador de milhares 3 14 5 2 2 2 3" xfId="14471"/>
    <cellStyle name="Separador de milhares 3 14 5 2 2 2 3 2" xfId="40969"/>
    <cellStyle name="Separador de milhares 3 14 5 2 2 2 4" xfId="35061"/>
    <cellStyle name="Separador de milhares 3 14 5 2 2 2 5" xfId="28527"/>
    <cellStyle name="Separador de milhares 3 14 5 2 2 3" xfId="17434"/>
    <cellStyle name="Separador de milhares 3 14 5 2 2 3 2" xfId="43923"/>
    <cellStyle name="Separador de milhares 3 14 5 2 2 4" xfId="11507"/>
    <cellStyle name="Separador de milhares 3 14 5 2 2 4 2" xfId="38015"/>
    <cellStyle name="Separador de milhares 3 14 5 2 2 5" xfId="31856"/>
    <cellStyle name="Separador de milhares 3 14 5 2 2 6" xfId="25322"/>
    <cellStyle name="Separador de milhares 3 14 5 2 3" xfId="7071"/>
    <cellStyle name="Separador de milhares 3 14 5 2 3 2" xfId="18925"/>
    <cellStyle name="Separador de milhares 3 14 5 2 3 2 2" xfId="45409"/>
    <cellStyle name="Separador de milhares 3 14 5 2 3 3" xfId="12998"/>
    <cellStyle name="Separador de milhares 3 14 5 2 3 3 2" xfId="39501"/>
    <cellStyle name="Separador de milhares 3 14 5 2 3 4" xfId="33593"/>
    <cellStyle name="Separador de milhares 3 14 5 2 3 5" xfId="27059"/>
    <cellStyle name="Separador de milhares 3 14 5 2 4" xfId="15961"/>
    <cellStyle name="Separador de milhares 3 14 5 2 4 2" xfId="42455"/>
    <cellStyle name="Separador de milhares 3 14 5 2 4 3" xfId="23550"/>
    <cellStyle name="Separador de milhares 3 14 5 2 5" xfId="10034"/>
    <cellStyle name="Separador de milhares 3 14 5 2 5 2" xfId="36547"/>
    <cellStyle name="Separador de milhares 3 14 5 2 6" xfId="30084"/>
    <cellStyle name="Separador de milhares 3 14 5 2 7" xfId="21778"/>
    <cellStyle name="Separador de milhares 3 14 5 3" xfId="1965"/>
    <cellStyle name="Separador de milhares 3 14 5 3 2" xfId="5448"/>
    <cellStyle name="Separador de milhares 3 14 5 3 2 2" xfId="8663"/>
    <cellStyle name="Separador de milhares 3 14 5 3 2 2 2" xfId="20517"/>
    <cellStyle name="Separador de milhares 3 14 5 3 2 2 2 2" xfId="46996"/>
    <cellStyle name="Separador de milhares 3 14 5 3 2 2 3" xfId="14590"/>
    <cellStyle name="Separador de milhares 3 14 5 3 2 2 3 2" xfId="41088"/>
    <cellStyle name="Separador de milhares 3 14 5 3 2 2 4" xfId="35180"/>
    <cellStyle name="Separador de milhares 3 14 5 3 2 2 5" xfId="28646"/>
    <cellStyle name="Separador de milhares 3 14 5 3 2 3" xfId="17553"/>
    <cellStyle name="Separador de milhares 3 14 5 3 2 3 2" xfId="44042"/>
    <cellStyle name="Separador de milhares 3 14 5 3 2 4" xfId="11626"/>
    <cellStyle name="Separador de milhares 3 14 5 3 2 4 2" xfId="38134"/>
    <cellStyle name="Separador de milhares 3 14 5 3 2 5" xfId="31975"/>
    <cellStyle name="Separador de milhares 3 14 5 3 2 6" xfId="25441"/>
    <cellStyle name="Separador de milhares 3 14 5 3 3" xfId="7190"/>
    <cellStyle name="Separador de milhares 3 14 5 3 3 2" xfId="19044"/>
    <cellStyle name="Separador de milhares 3 14 5 3 3 2 2" xfId="45528"/>
    <cellStyle name="Separador de milhares 3 14 5 3 3 3" xfId="13117"/>
    <cellStyle name="Separador de milhares 3 14 5 3 3 3 2" xfId="39620"/>
    <cellStyle name="Separador de milhares 3 14 5 3 3 4" xfId="33712"/>
    <cellStyle name="Separador de milhares 3 14 5 3 3 5" xfId="27178"/>
    <cellStyle name="Separador de milhares 3 14 5 3 4" xfId="16080"/>
    <cellStyle name="Separador de milhares 3 14 5 3 4 2" xfId="42574"/>
    <cellStyle name="Separador de milhares 3 14 5 3 4 3" xfId="23669"/>
    <cellStyle name="Separador de milhares 3 14 5 3 5" xfId="10153"/>
    <cellStyle name="Separador de milhares 3 14 5 3 5 2" xfId="36666"/>
    <cellStyle name="Separador de milhares 3 14 5 3 6" xfId="30203"/>
    <cellStyle name="Separador de milhares 3 14 5 3 7" xfId="21897"/>
    <cellStyle name="Separador de milhares 3 14 5 4" xfId="2498"/>
    <cellStyle name="Separador de milhares 3 14 5 4 2" xfId="5598"/>
    <cellStyle name="Separador de milhares 3 14 5 4 2 2" xfId="8810"/>
    <cellStyle name="Separador de milhares 3 14 5 4 2 2 2" xfId="20664"/>
    <cellStyle name="Separador de milhares 3 14 5 4 2 2 2 2" xfId="47143"/>
    <cellStyle name="Separador de milhares 3 14 5 4 2 2 3" xfId="14737"/>
    <cellStyle name="Separador de milhares 3 14 5 4 2 2 3 2" xfId="41235"/>
    <cellStyle name="Separador de milhares 3 14 5 4 2 2 4" xfId="35327"/>
    <cellStyle name="Separador de milhares 3 14 5 4 2 2 5" xfId="28793"/>
    <cellStyle name="Separador de milhares 3 14 5 4 2 3" xfId="17700"/>
    <cellStyle name="Separador de milhares 3 14 5 4 2 3 2" xfId="44189"/>
    <cellStyle name="Separador de milhares 3 14 5 4 2 4" xfId="11773"/>
    <cellStyle name="Separador de milhares 3 14 5 4 2 4 2" xfId="38281"/>
    <cellStyle name="Separador de milhares 3 14 5 4 2 5" xfId="32125"/>
    <cellStyle name="Separador de milhares 3 14 5 4 2 6" xfId="25591"/>
    <cellStyle name="Separador de milhares 3 14 5 4 3" xfId="7338"/>
    <cellStyle name="Separador de milhares 3 14 5 4 3 2" xfId="19192"/>
    <cellStyle name="Separador de milhares 3 14 5 4 3 2 2" xfId="45675"/>
    <cellStyle name="Separador de milhares 3 14 5 4 3 3" xfId="13265"/>
    <cellStyle name="Separador de milhares 3 14 5 4 3 3 2" xfId="39767"/>
    <cellStyle name="Separador de milhares 3 14 5 4 3 4" xfId="33859"/>
    <cellStyle name="Separador de milhares 3 14 5 4 3 5" xfId="27325"/>
    <cellStyle name="Separador de milhares 3 14 5 4 4" xfId="16228"/>
    <cellStyle name="Separador de milhares 3 14 5 4 4 2" xfId="42721"/>
    <cellStyle name="Separador de milhares 3 14 5 4 4 3" xfId="23819"/>
    <cellStyle name="Separador de milhares 3 14 5 4 5" xfId="10301"/>
    <cellStyle name="Separador de milhares 3 14 5 4 5 2" xfId="36813"/>
    <cellStyle name="Separador de milhares 3 14 5 4 6" xfId="30353"/>
    <cellStyle name="Separador de milhares 3 14 5 4 7" xfId="22047"/>
    <cellStyle name="Separador de milhares 3 14 5 5" xfId="3026"/>
    <cellStyle name="Separador de milhares 3 14 5 5 2" xfId="5745"/>
    <cellStyle name="Separador de milhares 3 14 5 5 2 2" xfId="8957"/>
    <cellStyle name="Separador de milhares 3 14 5 5 2 2 2" xfId="20811"/>
    <cellStyle name="Separador de milhares 3 14 5 5 2 2 2 2" xfId="47290"/>
    <cellStyle name="Separador de milhares 3 14 5 5 2 2 3" xfId="14884"/>
    <cellStyle name="Separador de milhares 3 14 5 5 2 2 3 2" xfId="41382"/>
    <cellStyle name="Separador de milhares 3 14 5 5 2 2 4" xfId="35474"/>
    <cellStyle name="Separador de milhares 3 14 5 5 2 2 5" xfId="28940"/>
    <cellStyle name="Separador de milhares 3 14 5 5 2 3" xfId="17847"/>
    <cellStyle name="Separador de milhares 3 14 5 5 2 3 2" xfId="44336"/>
    <cellStyle name="Separador de milhares 3 14 5 5 2 4" xfId="11920"/>
    <cellStyle name="Separador de milhares 3 14 5 5 2 4 2" xfId="38428"/>
    <cellStyle name="Separador de milhares 3 14 5 5 2 5" xfId="32272"/>
    <cellStyle name="Separador de milhares 3 14 5 5 2 6" xfId="25738"/>
    <cellStyle name="Separador de milhares 3 14 5 5 3" xfId="7486"/>
    <cellStyle name="Separador de milhares 3 14 5 5 3 2" xfId="19340"/>
    <cellStyle name="Separador de milhares 3 14 5 5 3 2 2" xfId="45822"/>
    <cellStyle name="Separador de milhares 3 14 5 5 3 3" xfId="13413"/>
    <cellStyle name="Separador de milhares 3 14 5 5 3 3 2" xfId="39914"/>
    <cellStyle name="Separador de milhares 3 14 5 5 3 4" xfId="34006"/>
    <cellStyle name="Separador de milhares 3 14 5 5 3 5" xfId="27472"/>
    <cellStyle name="Separador de milhares 3 14 5 5 4" xfId="16376"/>
    <cellStyle name="Separador de milhares 3 14 5 5 4 2" xfId="42868"/>
    <cellStyle name="Separador de milhares 3 14 5 5 4 3" xfId="23966"/>
    <cellStyle name="Separador de milhares 3 14 5 5 5" xfId="10449"/>
    <cellStyle name="Separador de milhares 3 14 5 5 5 2" xfId="36960"/>
    <cellStyle name="Separador de milhares 3 14 5 5 6" xfId="30500"/>
    <cellStyle name="Separador de milhares 3 14 5 5 7" xfId="22194"/>
    <cellStyle name="Separador de milhares 3 14 5 6" xfId="3554"/>
    <cellStyle name="Separador de milhares 3 14 5 6 2" xfId="5892"/>
    <cellStyle name="Separador de milhares 3 14 5 6 2 2" xfId="9104"/>
    <cellStyle name="Separador de milhares 3 14 5 6 2 2 2" xfId="20958"/>
    <cellStyle name="Separador de milhares 3 14 5 6 2 2 2 2" xfId="47437"/>
    <cellStyle name="Separador de milhares 3 14 5 6 2 2 3" xfId="15031"/>
    <cellStyle name="Separador de milhares 3 14 5 6 2 2 3 2" xfId="41529"/>
    <cellStyle name="Separador de milhares 3 14 5 6 2 2 4" xfId="35621"/>
    <cellStyle name="Separador de milhares 3 14 5 6 2 2 5" xfId="29087"/>
    <cellStyle name="Separador de milhares 3 14 5 6 2 3" xfId="17994"/>
    <cellStyle name="Separador de milhares 3 14 5 6 2 3 2" xfId="44483"/>
    <cellStyle name="Separador de milhares 3 14 5 6 2 4" xfId="12067"/>
    <cellStyle name="Separador de milhares 3 14 5 6 2 4 2" xfId="38575"/>
    <cellStyle name="Separador de milhares 3 14 5 6 2 5" xfId="32419"/>
    <cellStyle name="Separador de milhares 3 14 5 6 2 6" xfId="25885"/>
    <cellStyle name="Separador de milhares 3 14 5 6 3" xfId="7634"/>
    <cellStyle name="Separador de milhares 3 14 5 6 3 2" xfId="19488"/>
    <cellStyle name="Separador de milhares 3 14 5 6 3 2 2" xfId="45969"/>
    <cellStyle name="Separador de milhares 3 14 5 6 3 3" xfId="13561"/>
    <cellStyle name="Separador de milhares 3 14 5 6 3 3 2" xfId="40061"/>
    <cellStyle name="Separador de milhares 3 14 5 6 3 4" xfId="34153"/>
    <cellStyle name="Separador de milhares 3 14 5 6 3 5" xfId="27619"/>
    <cellStyle name="Separador de milhares 3 14 5 6 4" xfId="16524"/>
    <cellStyle name="Separador de milhares 3 14 5 6 4 2" xfId="43015"/>
    <cellStyle name="Separador de milhares 3 14 5 6 4 3" xfId="24113"/>
    <cellStyle name="Separador de milhares 3 14 5 6 5" xfId="10597"/>
    <cellStyle name="Separador de milhares 3 14 5 6 5 2" xfId="37107"/>
    <cellStyle name="Separador de milhares 3 14 5 6 6" xfId="30647"/>
    <cellStyle name="Separador de milhares 3 14 5 6 7" xfId="22341"/>
    <cellStyle name="Separador de milhares 3 14 5 7" xfId="4082"/>
    <cellStyle name="Separador de milhares 3 14 5 7 2" xfId="6039"/>
    <cellStyle name="Separador de milhares 3 14 5 7 2 2" xfId="9251"/>
    <cellStyle name="Separador de milhares 3 14 5 7 2 2 2" xfId="21105"/>
    <cellStyle name="Separador de milhares 3 14 5 7 2 2 2 2" xfId="47584"/>
    <cellStyle name="Separador de milhares 3 14 5 7 2 2 3" xfId="15178"/>
    <cellStyle name="Separador de milhares 3 14 5 7 2 2 3 2" xfId="41676"/>
    <cellStyle name="Separador de milhares 3 14 5 7 2 2 4" xfId="35768"/>
    <cellStyle name="Separador de milhares 3 14 5 7 2 2 5" xfId="29234"/>
    <cellStyle name="Separador de milhares 3 14 5 7 2 3" xfId="18141"/>
    <cellStyle name="Separador de milhares 3 14 5 7 2 3 2" xfId="44630"/>
    <cellStyle name="Separador de milhares 3 14 5 7 2 4" xfId="12214"/>
    <cellStyle name="Separador de milhares 3 14 5 7 2 4 2" xfId="38722"/>
    <cellStyle name="Separador de milhares 3 14 5 7 2 5" xfId="32566"/>
    <cellStyle name="Separador de milhares 3 14 5 7 2 6" xfId="26032"/>
    <cellStyle name="Separador de milhares 3 14 5 7 3" xfId="7782"/>
    <cellStyle name="Separador de milhares 3 14 5 7 3 2" xfId="19636"/>
    <cellStyle name="Separador de milhares 3 14 5 7 3 2 2" xfId="46116"/>
    <cellStyle name="Separador de milhares 3 14 5 7 3 3" xfId="13709"/>
    <cellStyle name="Separador de milhares 3 14 5 7 3 3 2" xfId="40208"/>
    <cellStyle name="Separador de milhares 3 14 5 7 3 4" xfId="34300"/>
    <cellStyle name="Separador de milhares 3 14 5 7 3 5" xfId="27766"/>
    <cellStyle name="Separador de milhares 3 14 5 7 4" xfId="16672"/>
    <cellStyle name="Separador de milhares 3 14 5 7 4 2" xfId="43162"/>
    <cellStyle name="Separador de milhares 3 14 5 7 4 3" xfId="24260"/>
    <cellStyle name="Separador de milhares 3 14 5 7 5" xfId="10745"/>
    <cellStyle name="Separador de milhares 3 14 5 7 5 2" xfId="37254"/>
    <cellStyle name="Separador de milhares 3 14 5 7 6" xfId="30794"/>
    <cellStyle name="Separador de milhares 3 14 5 7 7" xfId="22488"/>
    <cellStyle name="Separador de milhares 3 14 5 8" xfId="5078"/>
    <cellStyle name="Separador de milhares 3 14 5 8 2" xfId="8293"/>
    <cellStyle name="Separador de milhares 3 14 5 8 2 2" xfId="20147"/>
    <cellStyle name="Separador de milhares 3 14 5 8 2 2 2" xfId="46626"/>
    <cellStyle name="Separador de milhares 3 14 5 8 2 3" xfId="14220"/>
    <cellStyle name="Separador de milhares 3 14 5 8 2 3 2" xfId="40718"/>
    <cellStyle name="Separador de milhares 3 14 5 8 2 4" xfId="34810"/>
    <cellStyle name="Separador de milhares 3 14 5 8 2 5" xfId="28276"/>
    <cellStyle name="Separador de milhares 3 14 5 8 3" xfId="17183"/>
    <cellStyle name="Separador de milhares 3 14 5 8 3 2" xfId="43672"/>
    <cellStyle name="Separador de milhares 3 14 5 8 4" xfId="11256"/>
    <cellStyle name="Separador de milhares 3 14 5 8 4 2" xfId="37764"/>
    <cellStyle name="Separador de milhares 3 14 5 8 5" xfId="31605"/>
    <cellStyle name="Separador de milhares 3 14 5 8 6" xfId="25071"/>
    <cellStyle name="Separador de milhares 3 14 5 9" xfId="6817"/>
    <cellStyle name="Separador de milhares 3 14 5 9 2" xfId="18671"/>
    <cellStyle name="Separador de milhares 3 14 5 9 2 2" xfId="45158"/>
    <cellStyle name="Separador de milhares 3 14 5 9 3" xfId="12744"/>
    <cellStyle name="Separador de milhares 3 14 5 9 3 2" xfId="39250"/>
    <cellStyle name="Separador de milhares 3 14 5 9 4" xfId="33342"/>
    <cellStyle name="Separador de milhares 3 14 5 9 5" xfId="26808"/>
    <cellStyle name="Separador de milhares 3 14 6" xfId="828"/>
    <cellStyle name="Separador de milhares 3 14 6 2" xfId="4259"/>
    <cellStyle name="Separador de milhares 3 14 6 2 2" xfId="6088"/>
    <cellStyle name="Separador de milhares 3 14 6 2 2 2" xfId="9300"/>
    <cellStyle name="Separador de milhares 3 14 6 2 2 2 2" xfId="21154"/>
    <cellStyle name="Separador de milhares 3 14 6 2 2 2 2 2" xfId="47633"/>
    <cellStyle name="Separador de milhares 3 14 6 2 2 2 3" xfId="15227"/>
    <cellStyle name="Separador de milhares 3 14 6 2 2 2 3 2" xfId="41725"/>
    <cellStyle name="Separador de milhares 3 14 6 2 2 2 4" xfId="35817"/>
    <cellStyle name="Separador de milhares 3 14 6 2 2 2 5" xfId="29283"/>
    <cellStyle name="Separador de milhares 3 14 6 2 2 3" xfId="18190"/>
    <cellStyle name="Separador de milhares 3 14 6 2 2 3 2" xfId="44679"/>
    <cellStyle name="Separador de milhares 3 14 6 2 2 4" xfId="12263"/>
    <cellStyle name="Separador de milhares 3 14 6 2 2 4 2" xfId="38771"/>
    <cellStyle name="Separador de milhares 3 14 6 2 2 5" xfId="32615"/>
    <cellStyle name="Separador de milhares 3 14 6 2 2 6" xfId="26081"/>
    <cellStyle name="Separador de milhares 3 14 6 2 3" xfId="7832"/>
    <cellStyle name="Separador de milhares 3 14 6 2 3 2" xfId="19686"/>
    <cellStyle name="Separador de milhares 3 14 6 2 3 2 2" xfId="46165"/>
    <cellStyle name="Separador de milhares 3 14 6 2 3 3" xfId="13759"/>
    <cellStyle name="Separador de milhares 3 14 6 2 3 3 2" xfId="40257"/>
    <cellStyle name="Separador de milhares 3 14 6 2 3 4" xfId="34349"/>
    <cellStyle name="Separador de milhares 3 14 6 2 3 5" xfId="27815"/>
    <cellStyle name="Separador de milhares 3 14 6 2 4" xfId="16722"/>
    <cellStyle name="Separador de milhares 3 14 6 2 4 2" xfId="43211"/>
    <cellStyle name="Separador de milhares 3 14 6 2 4 3" xfId="24309"/>
    <cellStyle name="Separador de milhares 3 14 6 2 5" xfId="10795"/>
    <cellStyle name="Separador de milhares 3 14 6 2 5 2" xfId="37303"/>
    <cellStyle name="Separador de milhares 3 14 6 2 6" xfId="30843"/>
    <cellStyle name="Separador de milhares 3 14 6 2 7" xfId="22537"/>
    <cellStyle name="Separador de milhares 3 14 6 3" xfId="5133"/>
    <cellStyle name="Separador de milhares 3 14 6 3 2" xfId="8348"/>
    <cellStyle name="Separador de milhares 3 14 6 3 2 2" xfId="20202"/>
    <cellStyle name="Separador de milhares 3 14 6 3 2 2 2" xfId="46681"/>
    <cellStyle name="Separador de milhares 3 14 6 3 2 3" xfId="14275"/>
    <cellStyle name="Separador de milhares 3 14 6 3 2 3 2" xfId="40773"/>
    <cellStyle name="Separador de milhares 3 14 6 3 2 4" xfId="34865"/>
    <cellStyle name="Separador de milhares 3 14 6 3 2 5" xfId="28331"/>
    <cellStyle name="Separador de milhares 3 14 6 3 3" xfId="17238"/>
    <cellStyle name="Separador de milhares 3 14 6 3 3 2" xfId="43727"/>
    <cellStyle name="Separador de milhares 3 14 6 3 4" xfId="11311"/>
    <cellStyle name="Separador de milhares 3 14 6 3 4 2" xfId="37819"/>
    <cellStyle name="Separador de milhares 3 14 6 3 5" xfId="31660"/>
    <cellStyle name="Separador de milhares 3 14 6 3 6" xfId="25126"/>
    <cellStyle name="Separador de milhares 3 14 6 4" xfId="6875"/>
    <cellStyle name="Separador de milhares 3 14 6 4 2" xfId="18729"/>
    <cellStyle name="Separador de milhares 3 14 6 4 2 2" xfId="45213"/>
    <cellStyle name="Separador de milhares 3 14 6 4 3" xfId="12802"/>
    <cellStyle name="Separador de milhares 3 14 6 4 3 2" xfId="39305"/>
    <cellStyle name="Separador de milhares 3 14 6 4 4" xfId="33397"/>
    <cellStyle name="Separador de milhares 3 14 6 4 5" xfId="26863"/>
    <cellStyle name="Separador de milhares 3 14 6 5" xfId="15765"/>
    <cellStyle name="Separador de milhares 3 14 6 5 2" xfId="42259"/>
    <cellStyle name="Separador de milhares 3 14 6 5 3" xfId="23354"/>
    <cellStyle name="Separador de milhares 3 14 6 6" xfId="9838"/>
    <cellStyle name="Separador de milhares 3 14 6 6 2" xfId="36351"/>
    <cellStyle name="Separador de milhares 3 14 6 7" xfId="29888"/>
    <cellStyle name="Separador de milhares 3 14 6 8" xfId="21582"/>
    <cellStyle name="Separador de milhares 3 14 7" xfId="1179"/>
    <cellStyle name="Separador de milhares 3 14 7 2" xfId="5231"/>
    <cellStyle name="Separador de milhares 3 14 7 2 2" xfId="8446"/>
    <cellStyle name="Separador de milhares 3 14 7 2 2 2" xfId="20300"/>
    <cellStyle name="Separador de milhares 3 14 7 2 2 2 2" xfId="46779"/>
    <cellStyle name="Separador de milhares 3 14 7 2 2 3" xfId="14373"/>
    <cellStyle name="Separador de milhares 3 14 7 2 2 3 2" xfId="40871"/>
    <cellStyle name="Separador de milhares 3 14 7 2 2 4" xfId="34963"/>
    <cellStyle name="Separador de milhares 3 14 7 2 2 5" xfId="28429"/>
    <cellStyle name="Separador de milhares 3 14 7 2 3" xfId="17336"/>
    <cellStyle name="Separador de milhares 3 14 7 2 3 2" xfId="43825"/>
    <cellStyle name="Separador de milhares 3 14 7 2 4" xfId="11409"/>
    <cellStyle name="Separador de milhares 3 14 7 2 4 2" xfId="37917"/>
    <cellStyle name="Separador de milhares 3 14 7 2 5" xfId="31758"/>
    <cellStyle name="Separador de milhares 3 14 7 2 6" xfId="25224"/>
    <cellStyle name="Separador de milhares 3 14 7 3" xfId="6973"/>
    <cellStyle name="Separador de milhares 3 14 7 3 2" xfId="18827"/>
    <cellStyle name="Separador de milhares 3 14 7 3 2 2" xfId="45311"/>
    <cellStyle name="Separador de milhares 3 14 7 3 3" xfId="12900"/>
    <cellStyle name="Separador de milhares 3 14 7 3 3 2" xfId="39403"/>
    <cellStyle name="Separador de milhares 3 14 7 3 4" xfId="33495"/>
    <cellStyle name="Separador de milhares 3 14 7 3 5" xfId="26961"/>
    <cellStyle name="Separador de milhares 3 14 7 4" xfId="15863"/>
    <cellStyle name="Separador de milhares 3 14 7 4 2" xfId="42357"/>
    <cellStyle name="Separador de milhares 3 14 7 4 3" xfId="23452"/>
    <cellStyle name="Separador de milhares 3 14 7 5" xfId="9936"/>
    <cellStyle name="Separador de milhares 3 14 7 5 2" xfId="36449"/>
    <cellStyle name="Separador de milhares 3 14 7 6" xfId="29986"/>
    <cellStyle name="Separador de milhares 3 14 7 7" xfId="21680"/>
    <cellStyle name="Separador de milhares 3 14 8" xfId="1614"/>
    <cellStyle name="Separador de milhares 3 14 8 2" xfId="5350"/>
    <cellStyle name="Separador de milhares 3 14 8 2 2" xfId="8565"/>
    <cellStyle name="Separador de milhares 3 14 8 2 2 2" xfId="20419"/>
    <cellStyle name="Separador de milhares 3 14 8 2 2 2 2" xfId="46898"/>
    <cellStyle name="Separador de milhares 3 14 8 2 2 3" xfId="14492"/>
    <cellStyle name="Separador de milhares 3 14 8 2 2 3 2" xfId="40990"/>
    <cellStyle name="Separador de milhares 3 14 8 2 2 4" xfId="35082"/>
    <cellStyle name="Separador de milhares 3 14 8 2 2 5" xfId="28548"/>
    <cellStyle name="Separador de milhares 3 14 8 2 3" xfId="17455"/>
    <cellStyle name="Separador de milhares 3 14 8 2 3 2" xfId="43944"/>
    <cellStyle name="Separador de milhares 3 14 8 2 4" xfId="11528"/>
    <cellStyle name="Separador de milhares 3 14 8 2 4 2" xfId="38036"/>
    <cellStyle name="Separador de milhares 3 14 8 2 5" xfId="31877"/>
    <cellStyle name="Separador de milhares 3 14 8 2 6" xfId="25343"/>
    <cellStyle name="Separador de milhares 3 14 8 3" xfId="7092"/>
    <cellStyle name="Separador de milhares 3 14 8 3 2" xfId="18946"/>
    <cellStyle name="Separador de milhares 3 14 8 3 2 2" xfId="45430"/>
    <cellStyle name="Separador de milhares 3 14 8 3 3" xfId="13019"/>
    <cellStyle name="Separador de milhares 3 14 8 3 3 2" xfId="39522"/>
    <cellStyle name="Separador de milhares 3 14 8 3 4" xfId="33614"/>
    <cellStyle name="Separador de milhares 3 14 8 3 5" xfId="27080"/>
    <cellStyle name="Separador de milhares 3 14 8 4" xfId="15982"/>
    <cellStyle name="Separador de milhares 3 14 8 4 2" xfId="42476"/>
    <cellStyle name="Separador de milhares 3 14 8 4 3" xfId="23571"/>
    <cellStyle name="Separador de milhares 3 14 8 5" xfId="10055"/>
    <cellStyle name="Separador de milhares 3 14 8 5 2" xfId="36568"/>
    <cellStyle name="Separador de milhares 3 14 8 6" xfId="30105"/>
    <cellStyle name="Separador de milhares 3 14 8 7" xfId="21799"/>
    <cellStyle name="Separador de milhares 3 14 9" xfId="2147"/>
    <cellStyle name="Separador de milhares 3 14 9 2" xfId="5500"/>
    <cellStyle name="Separador de milhares 3 14 9 2 2" xfId="8712"/>
    <cellStyle name="Separador de milhares 3 14 9 2 2 2" xfId="20566"/>
    <cellStyle name="Separador de milhares 3 14 9 2 2 2 2" xfId="47045"/>
    <cellStyle name="Separador de milhares 3 14 9 2 2 3" xfId="14639"/>
    <cellStyle name="Separador de milhares 3 14 9 2 2 3 2" xfId="41137"/>
    <cellStyle name="Separador de milhares 3 14 9 2 2 4" xfId="35229"/>
    <cellStyle name="Separador de milhares 3 14 9 2 2 5" xfId="28695"/>
    <cellStyle name="Separador de milhares 3 14 9 2 3" xfId="17602"/>
    <cellStyle name="Separador de milhares 3 14 9 2 3 2" xfId="44091"/>
    <cellStyle name="Separador de milhares 3 14 9 2 4" xfId="11675"/>
    <cellStyle name="Separador de milhares 3 14 9 2 4 2" xfId="38183"/>
    <cellStyle name="Separador de milhares 3 14 9 2 5" xfId="32027"/>
    <cellStyle name="Separador de milhares 3 14 9 2 6" xfId="25493"/>
    <cellStyle name="Separador de milhares 3 14 9 3" xfId="7240"/>
    <cellStyle name="Separador de milhares 3 14 9 3 2" xfId="19094"/>
    <cellStyle name="Separador de milhares 3 14 9 3 2 2" xfId="45577"/>
    <cellStyle name="Separador de milhares 3 14 9 3 3" xfId="13167"/>
    <cellStyle name="Separador de milhares 3 14 9 3 3 2" xfId="39669"/>
    <cellStyle name="Separador de milhares 3 14 9 3 4" xfId="33761"/>
    <cellStyle name="Separador de milhares 3 14 9 3 5" xfId="27227"/>
    <cellStyle name="Separador de milhares 3 14 9 4" xfId="16130"/>
    <cellStyle name="Separador de milhares 3 14 9 4 2" xfId="42623"/>
    <cellStyle name="Separador de milhares 3 14 9 4 3" xfId="23721"/>
    <cellStyle name="Separador de milhares 3 14 9 5" xfId="10203"/>
    <cellStyle name="Separador de milhares 3 14 9 5 2" xfId="36715"/>
    <cellStyle name="Separador de milhares 3 14 9 6" xfId="30255"/>
    <cellStyle name="Separador de milhares 3 14 9 7" xfId="21949"/>
    <cellStyle name="Separador de milhares 3 15" xfId="237"/>
    <cellStyle name="Separador de milhares 3 15 10" xfId="2747"/>
    <cellStyle name="Separador de milhares 3 15 10 2" xfId="5665"/>
    <cellStyle name="Separador de milhares 3 15 10 2 2" xfId="8877"/>
    <cellStyle name="Separador de milhares 3 15 10 2 2 2" xfId="20731"/>
    <cellStyle name="Separador de milhares 3 15 10 2 2 2 2" xfId="47210"/>
    <cellStyle name="Separador de milhares 3 15 10 2 2 3" xfId="14804"/>
    <cellStyle name="Separador de milhares 3 15 10 2 2 3 2" xfId="41302"/>
    <cellStyle name="Separador de milhares 3 15 10 2 2 4" xfId="35394"/>
    <cellStyle name="Separador de milhares 3 15 10 2 2 5" xfId="28860"/>
    <cellStyle name="Separador de milhares 3 15 10 2 3" xfId="17767"/>
    <cellStyle name="Separador de milhares 3 15 10 2 3 2" xfId="44256"/>
    <cellStyle name="Separador de milhares 3 15 10 2 4" xfId="11840"/>
    <cellStyle name="Separador de milhares 3 15 10 2 4 2" xfId="38348"/>
    <cellStyle name="Separador de milhares 3 15 10 2 5" xfId="32192"/>
    <cellStyle name="Separador de milhares 3 15 10 2 6" xfId="25658"/>
    <cellStyle name="Separador de milhares 3 15 10 3" xfId="7406"/>
    <cellStyle name="Separador de milhares 3 15 10 3 2" xfId="19260"/>
    <cellStyle name="Separador de milhares 3 15 10 3 2 2" xfId="45742"/>
    <cellStyle name="Separador de milhares 3 15 10 3 3" xfId="13333"/>
    <cellStyle name="Separador de milhares 3 15 10 3 3 2" xfId="39834"/>
    <cellStyle name="Separador de milhares 3 15 10 3 4" xfId="33926"/>
    <cellStyle name="Separador de milhares 3 15 10 3 5" xfId="27392"/>
    <cellStyle name="Separador de milhares 3 15 10 4" xfId="16296"/>
    <cellStyle name="Separador de milhares 3 15 10 4 2" xfId="42788"/>
    <cellStyle name="Separador de milhares 3 15 10 4 3" xfId="23886"/>
    <cellStyle name="Separador de milhares 3 15 10 5" xfId="10369"/>
    <cellStyle name="Separador de milhares 3 15 10 5 2" xfId="36880"/>
    <cellStyle name="Separador de milhares 3 15 10 6" xfId="30420"/>
    <cellStyle name="Separador de milhares 3 15 10 7" xfId="22114"/>
    <cellStyle name="Separador de milhares 3 15 11" xfId="3275"/>
    <cellStyle name="Separador de milhares 3 15 11 2" xfId="5812"/>
    <cellStyle name="Separador de milhares 3 15 11 2 2" xfId="9024"/>
    <cellStyle name="Separador de milhares 3 15 11 2 2 2" xfId="20878"/>
    <cellStyle name="Separador de milhares 3 15 11 2 2 2 2" xfId="47357"/>
    <cellStyle name="Separador de milhares 3 15 11 2 2 3" xfId="14951"/>
    <cellStyle name="Separador de milhares 3 15 11 2 2 3 2" xfId="41449"/>
    <cellStyle name="Separador de milhares 3 15 11 2 2 4" xfId="35541"/>
    <cellStyle name="Separador de milhares 3 15 11 2 2 5" xfId="29007"/>
    <cellStyle name="Separador de milhares 3 15 11 2 3" xfId="17914"/>
    <cellStyle name="Separador de milhares 3 15 11 2 3 2" xfId="44403"/>
    <cellStyle name="Separador de milhares 3 15 11 2 4" xfId="11987"/>
    <cellStyle name="Separador de milhares 3 15 11 2 4 2" xfId="38495"/>
    <cellStyle name="Separador de milhares 3 15 11 2 5" xfId="32339"/>
    <cellStyle name="Separador de milhares 3 15 11 2 6" xfId="25805"/>
    <cellStyle name="Separador de milhares 3 15 11 3" xfId="7554"/>
    <cellStyle name="Separador de milhares 3 15 11 3 2" xfId="19408"/>
    <cellStyle name="Separador de milhares 3 15 11 3 2 2" xfId="45889"/>
    <cellStyle name="Separador de milhares 3 15 11 3 3" xfId="13481"/>
    <cellStyle name="Separador de milhares 3 15 11 3 3 2" xfId="39981"/>
    <cellStyle name="Separador de milhares 3 15 11 3 4" xfId="34073"/>
    <cellStyle name="Separador de milhares 3 15 11 3 5" xfId="27539"/>
    <cellStyle name="Separador de milhares 3 15 11 4" xfId="16444"/>
    <cellStyle name="Separador de milhares 3 15 11 4 2" xfId="42935"/>
    <cellStyle name="Separador de milhares 3 15 11 4 3" xfId="24033"/>
    <cellStyle name="Separador de milhares 3 15 11 5" xfId="10517"/>
    <cellStyle name="Separador de milhares 3 15 11 5 2" xfId="37027"/>
    <cellStyle name="Separador de milhares 3 15 11 6" xfId="30567"/>
    <cellStyle name="Separador de milhares 3 15 11 7" xfId="22261"/>
    <cellStyle name="Separador de milhares 3 15 12" xfId="3803"/>
    <cellStyle name="Separador de milhares 3 15 12 2" xfId="5959"/>
    <cellStyle name="Separador de milhares 3 15 12 2 2" xfId="9171"/>
    <cellStyle name="Separador de milhares 3 15 12 2 2 2" xfId="21025"/>
    <cellStyle name="Separador de milhares 3 15 12 2 2 2 2" xfId="47504"/>
    <cellStyle name="Separador de milhares 3 15 12 2 2 3" xfId="15098"/>
    <cellStyle name="Separador de milhares 3 15 12 2 2 3 2" xfId="41596"/>
    <cellStyle name="Separador de milhares 3 15 12 2 2 4" xfId="35688"/>
    <cellStyle name="Separador de milhares 3 15 12 2 2 5" xfId="29154"/>
    <cellStyle name="Separador de milhares 3 15 12 2 3" xfId="18061"/>
    <cellStyle name="Separador de milhares 3 15 12 2 3 2" xfId="44550"/>
    <cellStyle name="Separador de milhares 3 15 12 2 4" xfId="12134"/>
    <cellStyle name="Separador de milhares 3 15 12 2 4 2" xfId="38642"/>
    <cellStyle name="Separador de milhares 3 15 12 2 5" xfId="32486"/>
    <cellStyle name="Separador de milhares 3 15 12 2 6" xfId="25952"/>
    <cellStyle name="Separador de milhares 3 15 12 3" xfId="7702"/>
    <cellStyle name="Separador de milhares 3 15 12 3 2" xfId="19556"/>
    <cellStyle name="Separador de milhares 3 15 12 3 2 2" xfId="46036"/>
    <cellStyle name="Separador de milhares 3 15 12 3 3" xfId="13629"/>
    <cellStyle name="Separador de milhares 3 15 12 3 3 2" xfId="40128"/>
    <cellStyle name="Separador de milhares 3 15 12 3 4" xfId="34220"/>
    <cellStyle name="Separador de milhares 3 15 12 3 5" xfId="27686"/>
    <cellStyle name="Separador de milhares 3 15 12 4" xfId="16592"/>
    <cellStyle name="Separador de milhares 3 15 12 4 2" xfId="43082"/>
    <cellStyle name="Separador de milhares 3 15 12 4 3" xfId="24180"/>
    <cellStyle name="Separador de milhares 3 15 12 5" xfId="10665"/>
    <cellStyle name="Separador de milhares 3 15 12 5 2" xfId="37174"/>
    <cellStyle name="Separador de milhares 3 15 12 6" xfId="30714"/>
    <cellStyle name="Separador de milhares 3 15 12 7" xfId="22408"/>
    <cellStyle name="Separador de milhares 3 15 13" xfId="4943"/>
    <cellStyle name="Separador de milhares 3 15 13 2" xfId="8167"/>
    <cellStyle name="Separador de milhares 3 15 13 2 2" xfId="20021"/>
    <cellStyle name="Separador de milhares 3 15 13 2 2 2" xfId="46500"/>
    <cellStyle name="Separador de milhares 3 15 13 2 3" xfId="14094"/>
    <cellStyle name="Separador de milhares 3 15 13 2 3 2" xfId="40592"/>
    <cellStyle name="Separador de milhares 3 15 13 2 4" xfId="34684"/>
    <cellStyle name="Separador de milhares 3 15 13 2 5" xfId="28150"/>
    <cellStyle name="Separador de milhares 3 15 13 3" xfId="17057"/>
    <cellStyle name="Separador de milhares 3 15 13 3 2" xfId="43546"/>
    <cellStyle name="Separador de milhares 3 15 13 4" xfId="11130"/>
    <cellStyle name="Separador de milhares 3 15 13 4 2" xfId="37638"/>
    <cellStyle name="Separador de milhares 3 15 13 5" xfId="31470"/>
    <cellStyle name="Separador de milhares 3 15 13 6" xfId="24936"/>
    <cellStyle name="Separador de milhares 3 15 14" xfId="6691"/>
    <cellStyle name="Separador de milhares 3 15 14 2" xfId="18545"/>
    <cellStyle name="Separador de milhares 3 15 14 2 2" xfId="45032"/>
    <cellStyle name="Separador de milhares 3 15 14 3" xfId="12618"/>
    <cellStyle name="Separador de milhares 3 15 14 3 2" xfId="39124"/>
    <cellStyle name="Separador de milhares 3 15 14 4" xfId="33216"/>
    <cellStyle name="Separador de milhares 3 15 14 5" xfId="26682"/>
    <cellStyle name="Separador de milhares 3 15 15" xfId="15581"/>
    <cellStyle name="Separador de milhares 3 15 15 2" xfId="42078"/>
    <cellStyle name="Separador de milhares 3 15 15 3" xfId="23164"/>
    <cellStyle name="Separador de milhares 3 15 16" xfId="9654"/>
    <cellStyle name="Separador de milhares 3 15 16 2" xfId="36170"/>
    <cellStyle name="Separador de milhares 3 15 17" xfId="29698"/>
    <cellStyle name="Separador de milhares 3 15 2" xfId="331"/>
    <cellStyle name="Separador de milhares 3 15 2 10" xfId="4972"/>
    <cellStyle name="Separador de milhares 3 15 2 10 2" xfId="8194"/>
    <cellStyle name="Separador de milhares 3 15 2 10 2 2" xfId="20048"/>
    <cellStyle name="Separador de milhares 3 15 2 10 2 2 2" xfId="46527"/>
    <cellStyle name="Separador de milhares 3 15 2 10 2 3" xfId="14121"/>
    <cellStyle name="Separador de milhares 3 15 2 10 2 3 2" xfId="40619"/>
    <cellStyle name="Separador de milhares 3 15 2 10 2 4" xfId="34711"/>
    <cellStyle name="Separador de milhares 3 15 2 10 2 5" xfId="28177"/>
    <cellStyle name="Separador de milhares 3 15 2 10 3" xfId="17084"/>
    <cellStyle name="Separador de milhares 3 15 2 10 3 2" xfId="43573"/>
    <cellStyle name="Separador de milhares 3 15 2 10 4" xfId="11157"/>
    <cellStyle name="Separador de milhares 3 15 2 10 4 2" xfId="37665"/>
    <cellStyle name="Separador de milhares 3 15 2 10 5" xfId="31499"/>
    <cellStyle name="Separador de milhares 3 15 2 10 6" xfId="24965"/>
    <cellStyle name="Separador de milhares 3 15 2 11" xfId="6718"/>
    <cellStyle name="Separador de milhares 3 15 2 11 2" xfId="18572"/>
    <cellStyle name="Separador de milhares 3 15 2 11 2 2" xfId="45059"/>
    <cellStyle name="Separador de milhares 3 15 2 11 3" xfId="12645"/>
    <cellStyle name="Separador de milhares 3 15 2 11 3 2" xfId="39151"/>
    <cellStyle name="Separador de milhares 3 15 2 11 4" xfId="33243"/>
    <cellStyle name="Separador de milhares 3 15 2 11 5" xfId="26709"/>
    <cellStyle name="Separador de milhares 3 15 2 12" xfId="15608"/>
    <cellStyle name="Separador de milhares 3 15 2 12 2" xfId="42105"/>
    <cellStyle name="Separador de milhares 3 15 2 12 3" xfId="23193"/>
    <cellStyle name="Separador de milhares 3 15 2 13" xfId="9681"/>
    <cellStyle name="Separador de milhares 3 15 2 13 2" xfId="36197"/>
    <cellStyle name="Separador de milhares 3 15 2 14" xfId="29727"/>
    <cellStyle name="Separador de milhares 3 15 2 15" xfId="21445"/>
    <cellStyle name="Separador de milhares 3 15 2 2" xfId="606"/>
    <cellStyle name="Separador de milhares 3 15 2 2 10" xfId="9755"/>
    <cellStyle name="Separador de milhares 3 15 2 2 10 2" xfId="36271"/>
    <cellStyle name="Separador de milhares 3 15 2 2 11" xfId="29808"/>
    <cellStyle name="Separador de milhares 3 15 2 2 12" xfId="21503"/>
    <cellStyle name="Separador de milhares 3 15 2 2 2" xfId="2127"/>
    <cellStyle name="Separador de milhares 3 15 2 2 2 2" xfId="5491"/>
    <cellStyle name="Separador de milhares 3 15 2 2 2 2 2" xfId="8706"/>
    <cellStyle name="Separador de milhares 3 15 2 2 2 2 2 2" xfId="20560"/>
    <cellStyle name="Separador de milhares 3 15 2 2 2 2 2 2 2" xfId="47039"/>
    <cellStyle name="Separador de milhares 3 15 2 2 2 2 2 3" xfId="14633"/>
    <cellStyle name="Separador de milhares 3 15 2 2 2 2 2 3 2" xfId="41131"/>
    <cellStyle name="Separador de milhares 3 15 2 2 2 2 2 4" xfId="35223"/>
    <cellStyle name="Separador de milhares 3 15 2 2 2 2 2 5" xfId="28689"/>
    <cellStyle name="Separador de milhares 3 15 2 2 2 2 3" xfId="17596"/>
    <cellStyle name="Separador de milhares 3 15 2 2 2 2 3 2" xfId="44085"/>
    <cellStyle name="Separador de milhares 3 15 2 2 2 2 4" xfId="11669"/>
    <cellStyle name="Separador de milhares 3 15 2 2 2 2 4 2" xfId="38177"/>
    <cellStyle name="Separador de milhares 3 15 2 2 2 2 5" xfId="32018"/>
    <cellStyle name="Separador de milhares 3 15 2 2 2 2 6" xfId="25484"/>
    <cellStyle name="Separador de milhares 3 15 2 2 2 3" xfId="7234"/>
    <cellStyle name="Separador de milhares 3 15 2 2 2 3 2" xfId="19088"/>
    <cellStyle name="Separador de milhares 3 15 2 2 2 3 2 2" xfId="45571"/>
    <cellStyle name="Separador de milhares 3 15 2 2 2 3 3" xfId="13161"/>
    <cellStyle name="Separador de milhares 3 15 2 2 2 3 3 2" xfId="39663"/>
    <cellStyle name="Separador de milhares 3 15 2 2 2 3 4" xfId="33755"/>
    <cellStyle name="Separador de milhares 3 15 2 2 2 3 5" xfId="27221"/>
    <cellStyle name="Separador de milhares 3 15 2 2 2 4" xfId="16124"/>
    <cellStyle name="Separador de milhares 3 15 2 2 2 4 2" xfId="42617"/>
    <cellStyle name="Separador de milhares 3 15 2 2 2 4 3" xfId="23712"/>
    <cellStyle name="Separador de milhares 3 15 2 2 2 5" xfId="10197"/>
    <cellStyle name="Separador de milhares 3 15 2 2 2 5 2" xfId="36709"/>
    <cellStyle name="Separador de milhares 3 15 2 2 2 6" xfId="30246"/>
    <cellStyle name="Separador de milhares 3 15 2 2 2 7" xfId="21940"/>
    <cellStyle name="Separador de milhares 3 15 2 2 3" xfId="2660"/>
    <cellStyle name="Separador de milhares 3 15 2 2 3 2" xfId="5641"/>
    <cellStyle name="Separador de milhares 3 15 2 2 3 2 2" xfId="8853"/>
    <cellStyle name="Separador de milhares 3 15 2 2 3 2 2 2" xfId="20707"/>
    <cellStyle name="Separador de milhares 3 15 2 2 3 2 2 2 2" xfId="47186"/>
    <cellStyle name="Separador de milhares 3 15 2 2 3 2 2 3" xfId="14780"/>
    <cellStyle name="Separador de milhares 3 15 2 2 3 2 2 3 2" xfId="41278"/>
    <cellStyle name="Separador de milhares 3 15 2 2 3 2 2 4" xfId="35370"/>
    <cellStyle name="Separador de milhares 3 15 2 2 3 2 2 5" xfId="28836"/>
    <cellStyle name="Separador de milhares 3 15 2 2 3 2 3" xfId="17743"/>
    <cellStyle name="Separador de milhares 3 15 2 2 3 2 3 2" xfId="44232"/>
    <cellStyle name="Separador de milhares 3 15 2 2 3 2 4" xfId="11816"/>
    <cellStyle name="Separador de milhares 3 15 2 2 3 2 4 2" xfId="38324"/>
    <cellStyle name="Separador de milhares 3 15 2 2 3 2 5" xfId="32168"/>
    <cellStyle name="Separador de milhares 3 15 2 2 3 2 6" xfId="25634"/>
    <cellStyle name="Separador de milhares 3 15 2 2 3 3" xfId="7382"/>
    <cellStyle name="Separador de milhares 3 15 2 2 3 3 2" xfId="19236"/>
    <cellStyle name="Separador de milhares 3 15 2 2 3 3 2 2" xfId="45718"/>
    <cellStyle name="Separador de milhares 3 15 2 2 3 3 3" xfId="13309"/>
    <cellStyle name="Separador de milhares 3 15 2 2 3 3 3 2" xfId="39810"/>
    <cellStyle name="Separador de milhares 3 15 2 2 3 3 4" xfId="33902"/>
    <cellStyle name="Separador de milhares 3 15 2 2 3 3 5" xfId="27368"/>
    <cellStyle name="Separador de milhares 3 15 2 2 3 4" xfId="16272"/>
    <cellStyle name="Separador de milhares 3 15 2 2 3 4 2" xfId="42764"/>
    <cellStyle name="Separador de milhares 3 15 2 2 3 4 3" xfId="23862"/>
    <cellStyle name="Separador de milhares 3 15 2 2 3 5" xfId="10345"/>
    <cellStyle name="Separador de milhares 3 15 2 2 3 5 2" xfId="36856"/>
    <cellStyle name="Separador de milhares 3 15 2 2 3 6" xfId="30396"/>
    <cellStyle name="Separador de milhares 3 15 2 2 3 7" xfId="22090"/>
    <cellStyle name="Separador de milhares 3 15 2 2 4" xfId="3188"/>
    <cellStyle name="Separador de milhares 3 15 2 2 4 2" xfId="5788"/>
    <cellStyle name="Separador de milhares 3 15 2 2 4 2 2" xfId="9000"/>
    <cellStyle name="Separador de milhares 3 15 2 2 4 2 2 2" xfId="20854"/>
    <cellStyle name="Separador de milhares 3 15 2 2 4 2 2 2 2" xfId="47333"/>
    <cellStyle name="Separador de milhares 3 15 2 2 4 2 2 3" xfId="14927"/>
    <cellStyle name="Separador de milhares 3 15 2 2 4 2 2 3 2" xfId="41425"/>
    <cellStyle name="Separador de milhares 3 15 2 2 4 2 2 4" xfId="35517"/>
    <cellStyle name="Separador de milhares 3 15 2 2 4 2 2 5" xfId="28983"/>
    <cellStyle name="Separador de milhares 3 15 2 2 4 2 3" xfId="17890"/>
    <cellStyle name="Separador de milhares 3 15 2 2 4 2 3 2" xfId="44379"/>
    <cellStyle name="Separador de milhares 3 15 2 2 4 2 4" xfId="11963"/>
    <cellStyle name="Separador de milhares 3 15 2 2 4 2 4 2" xfId="38471"/>
    <cellStyle name="Separador de milhares 3 15 2 2 4 2 5" xfId="32315"/>
    <cellStyle name="Separador de milhares 3 15 2 2 4 2 6" xfId="25781"/>
    <cellStyle name="Separador de milhares 3 15 2 2 4 3" xfId="7530"/>
    <cellStyle name="Separador de milhares 3 15 2 2 4 3 2" xfId="19384"/>
    <cellStyle name="Separador de milhares 3 15 2 2 4 3 2 2" xfId="45865"/>
    <cellStyle name="Separador de milhares 3 15 2 2 4 3 3" xfId="13457"/>
    <cellStyle name="Separador de milhares 3 15 2 2 4 3 3 2" xfId="39957"/>
    <cellStyle name="Separador de milhares 3 15 2 2 4 3 4" xfId="34049"/>
    <cellStyle name="Separador de milhares 3 15 2 2 4 3 5" xfId="27515"/>
    <cellStyle name="Separador de milhares 3 15 2 2 4 4" xfId="16420"/>
    <cellStyle name="Separador de milhares 3 15 2 2 4 4 2" xfId="42911"/>
    <cellStyle name="Separador de milhares 3 15 2 2 4 4 3" xfId="24009"/>
    <cellStyle name="Separador de milhares 3 15 2 2 4 5" xfId="10493"/>
    <cellStyle name="Separador de milhares 3 15 2 2 4 5 2" xfId="37003"/>
    <cellStyle name="Separador de milhares 3 15 2 2 4 6" xfId="30543"/>
    <cellStyle name="Separador de milhares 3 15 2 2 4 7" xfId="22237"/>
    <cellStyle name="Separador de milhares 3 15 2 2 5" xfId="3716"/>
    <cellStyle name="Separador de milhares 3 15 2 2 5 2" xfId="5935"/>
    <cellStyle name="Separador de milhares 3 15 2 2 5 2 2" xfId="9147"/>
    <cellStyle name="Separador de milhares 3 15 2 2 5 2 2 2" xfId="21001"/>
    <cellStyle name="Separador de milhares 3 15 2 2 5 2 2 2 2" xfId="47480"/>
    <cellStyle name="Separador de milhares 3 15 2 2 5 2 2 3" xfId="15074"/>
    <cellStyle name="Separador de milhares 3 15 2 2 5 2 2 3 2" xfId="41572"/>
    <cellStyle name="Separador de milhares 3 15 2 2 5 2 2 4" xfId="35664"/>
    <cellStyle name="Separador de milhares 3 15 2 2 5 2 2 5" xfId="29130"/>
    <cellStyle name="Separador de milhares 3 15 2 2 5 2 3" xfId="18037"/>
    <cellStyle name="Separador de milhares 3 15 2 2 5 2 3 2" xfId="44526"/>
    <cellStyle name="Separador de milhares 3 15 2 2 5 2 4" xfId="12110"/>
    <cellStyle name="Separador de milhares 3 15 2 2 5 2 4 2" xfId="38618"/>
    <cellStyle name="Separador de milhares 3 15 2 2 5 2 5" xfId="32462"/>
    <cellStyle name="Separador de milhares 3 15 2 2 5 2 6" xfId="25928"/>
    <cellStyle name="Separador de milhares 3 15 2 2 5 3" xfId="7678"/>
    <cellStyle name="Separador de milhares 3 15 2 2 5 3 2" xfId="19532"/>
    <cellStyle name="Separador de milhares 3 15 2 2 5 3 2 2" xfId="46012"/>
    <cellStyle name="Separador de milhares 3 15 2 2 5 3 3" xfId="13605"/>
    <cellStyle name="Separador de milhares 3 15 2 2 5 3 3 2" xfId="40104"/>
    <cellStyle name="Separador de milhares 3 15 2 2 5 3 4" xfId="34196"/>
    <cellStyle name="Separador de milhares 3 15 2 2 5 3 5" xfId="27662"/>
    <cellStyle name="Separador de milhares 3 15 2 2 5 4" xfId="16568"/>
    <cellStyle name="Separador de milhares 3 15 2 2 5 4 2" xfId="43058"/>
    <cellStyle name="Separador de milhares 3 15 2 2 5 4 3" xfId="24156"/>
    <cellStyle name="Separador de milhares 3 15 2 2 5 5" xfId="10641"/>
    <cellStyle name="Separador de milhares 3 15 2 2 5 5 2" xfId="37150"/>
    <cellStyle name="Separador de milhares 3 15 2 2 5 6" xfId="30690"/>
    <cellStyle name="Separador de milhares 3 15 2 2 5 7" xfId="22384"/>
    <cellStyle name="Separador de milhares 3 15 2 2 6" xfId="4244"/>
    <cellStyle name="Separador de milhares 3 15 2 2 6 2" xfId="6082"/>
    <cellStyle name="Separador de milhares 3 15 2 2 6 2 2" xfId="9294"/>
    <cellStyle name="Separador de milhares 3 15 2 2 6 2 2 2" xfId="21148"/>
    <cellStyle name="Separador de milhares 3 15 2 2 6 2 2 2 2" xfId="47627"/>
    <cellStyle name="Separador de milhares 3 15 2 2 6 2 2 3" xfId="15221"/>
    <cellStyle name="Separador de milhares 3 15 2 2 6 2 2 3 2" xfId="41719"/>
    <cellStyle name="Separador de milhares 3 15 2 2 6 2 2 4" xfId="35811"/>
    <cellStyle name="Separador de milhares 3 15 2 2 6 2 2 5" xfId="29277"/>
    <cellStyle name="Separador de milhares 3 15 2 2 6 2 3" xfId="18184"/>
    <cellStyle name="Separador de milhares 3 15 2 2 6 2 3 2" xfId="44673"/>
    <cellStyle name="Separador de milhares 3 15 2 2 6 2 4" xfId="12257"/>
    <cellStyle name="Separador de milhares 3 15 2 2 6 2 4 2" xfId="38765"/>
    <cellStyle name="Separador de milhares 3 15 2 2 6 2 5" xfId="32609"/>
    <cellStyle name="Separador de milhares 3 15 2 2 6 2 6" xfId="26075"/>
    <cellStyle name="Separador de milhares 3 15 2 2 6 3" xfId="7826"/>
    <cellStyle name="Separador de milhares 3 15 2 2 6 3 2" xfId="19680"/>
    <cellStyle name="Separador de milhares 3 15 2 2 6 3 2 2" xfId="46159"/>
    <cellStyle name="Separador de milhares 3 15 2 2 6 3 3" xfId="13753"/>
    <cellStyle name="Separador de milhares 3 15 2 2 6 3 3 2" xfId="40251"/>
    <cellStyle name="Separador de milhares 3 15 2 2 6 3 4" xfId="34343"/>
    <cellStyle name="Separador de milhares 3 15 2 2 6 3 5" xfId="27809"/>
    <cellStyle name="Separador de milhares 3 15 2 2 6 4" xfId="16716"/>
    <cellStyle name="Separador de milhares 3 15 2 2 6 4 2" xfId="43205"/>
    <cellStyle name="Separador de milhares 3 15 2 2 6 4 3" xfId="24303"/>
    <cellStyle name="Separador de milhares 3 15 2 2 6 5" xfId="10789"/>
    <cellStyle name="Separador de milhares 3 15 2 2 6 5 2" xfId="37297"/>
    <cellStyle name="Separador de milhares 3 15 2 2 6 6" xfId="30837"/>
    <cellStyle name="Separador de milhares 3 15 2 2 6 7" xfId="22531"/>
    <cellStyle name="Separador de milhares 3 15 2 2 7" xfId="5053"/>
    <cellStyle name="Separador de milhares 3 15 2 2 7 2" xfId="8268"/>
    <cellStyle name="Separador de milhares 3 15 2 2 7 2 2" xfId="20122"/>
    <cellStyle name="Separador de milhares 3 15 2 2 7 2 2 2" xfId="46601"/>
    <cellStyle name="Separador de milhares 3 15 2 2 7 2 3" xfId="14195"/>
    <cellStyle name="Separador de milhares 3 15 2 2 7 2 3 2" xfId="40693"/>
    <cellStyle name="Separador de milhares 3 15 2 2 7 2 4" xfId="34785"/>
    <cellStyle name="Separador de milhares 3 15 2 2 7 2 5" xfId="28251"/>
    <cellStyle name="Separador de milhares 3 15 2 2 7 3" xfId="17158"/>
    <cellStyle name="Separador de milhares 3 15 2 2 7 3 2" xfId="43647"/>
    <cellStyle name="Separador de milhares 3 15 2 2 7 4" xfId="11231"/>
    <cellStyle name="Separador de milhares 3 15 2 2 7 4 2" xfId="37739"/>
    <cellStyle name="Separador de milhares 3 15 2 2 7 5" xfId="31580"/>
    <cellStyle name="Separador de milhares 3 15 2 2 7 6" xfId="25046"/>
    <cellStyle name="Separador de milhares 3 15 2 2 8" xfId="6792"/>
    <cellStyle name="Separador de milhares 3 15 2 2 8 2" xfId="18646"/>
    <cellStyle name="Separador de milhares 3 15 2 2 8 2 2" xfId="45133"/>
    <cellStyle name="Separador de milhares 3 15 2 2 8 3" xfId="12719"/>
    <cellStyle name="Separador de milhares 3 15 2 2 8 3 2" xfId="39225"/>
    <cellStyle name="Separador de milhares 3 15 2 2 8 4" xfId="33317"/>
    <cellStyle name="Separador de milhares 3 15 2 2 8 5" xfId="26783"/>
    <cellStyle name="Separador de milhares 3 15 2 2 9" xfId="15682"/>
    <cellStyle name="Separador de milhares 3 15 2 2 9 2" xfId="42179"/>
    <cellStyle name="Separador de milhares 3 15 2 2 9 3" xfId="23274"/>
    <cellStyle name="Separador de milhares 3 15 2 3" xfId="1080"/>
    <cellStyle name="Separador de milhares 3 15 2 3 2" xfId="5204"/>
    <cellStyle name="Separador de milhares 3 15 2 3 2 2" xfId="8419"/>
    <cellStyle name="Separador de milhares 3 15 2 3 2 2 2" xfId="20273"/>
    <cellStyle name="Separador de milhares 3 15 2 3 2 2 2 2" xfId="46752"/>
    <cellStyle name="Separador de milhares 3 15 2 3 2 2 3" xfId="14346"/>
    <cellStyle name="Separador de milhares 3 15 2 3 2 2 3 2" xfId="40844"/>
    <cellStyle name="Separador de milhares 3 15 2 3 2 2 4" xfId="34936"/>
    <cellStyle name="Separador de milhares 3 15 2 3 2 2 5" xfId="28402"/>
    <cellStyle name="Separador de milhares 3 15 2 3 2 3" xfId="17309"/>
    <cellStyle name="Separador de milhares 3 15 2 3 2 3 2" xfId="43798"/>
    <cellStyle name="Separador de milhares 3 15 2 3 2 4" xfId="11382"/>
    <cellStyle name="Separador de milhares 3 15 2 3 2 4 2" xfId="37890"/>
    <cellStyle name="Separador de milhares 3 15 2 3 2 5" xfId="31731"/>
    <cellStyle name="Separador de milhares 3 15 2 3 2 6" xfId="25197"/>
    <cellStyle name="Separador de milhares 3 15 2 3 3" xfId="6946"/>
    <cellStyle name="Separador de milhares 3 15 2 3 3 2" xfId="18800"/>
    <cellStyle name="Separador de milhares 3 15 2 3 3 2 2" xfId="45284"/>
    <cellStyle name="Separador de milhares 3 15 2 3 3 3" xfId="12873"/>
    <cellStyle name="Separador de milhares 3 15 2 3 3 3 2" xfId="39376"/>
    <cellStyle name="Separador de milhares 3 15 2 3 3 4" xfId="33468"/>
    <cellStyle name="Separador de milhares 3 15 2 3 3 5" xfId="26934"/>
    <cellStyle name="Separador de milhares 3 15 2 3 4" xfId="15836"/>
    <cellStyle name="Separador de milhares 3 15 2 3 4 2" xfId="42330"/>
    <cellStyle name="Separador de milhares 3 15 2 3 4 3" xfId="23425"/>
    <cellStyle name="Separador de milhares 3 15 2 3 5" xfId="9909"/>
    <cellStyle name="Separador de milhares 3 15 2 3 5 2" xfId="36422"/>
    <cellStyle name="Separador de milhares 3 15 2 3 6" xfId="29959"/>
    <cellStyle name="Separador de milhares 3 15 2 3 7" xfId="21653"/>
    <cellStyle name="Separador de milhares 3 15 2 4" xfId="1431"/>
    <cellStyle name="Separador de milhares 3 15 2 4 2" xfId="5302"/>
    <cellStyle name="Separador de milhares 3 15 2 4 2 2" xfId="8517"/>
    <cellStyle name="Separador de milhares 3 15 2 4 2 2 2" xfId="20371"/>
    <cellStyle name="Separador de milhares 3 15 2 4 2 2 2 2" xfId="46850"/>
    <cellStyle name="Separador de milhares 3 15 2 4 2 2 3" xfId="14444"/>
    <cellStyle name="Separador de milhares 3 15 2 4 2 2 3 2" xfId="40942"/>
    <cellStyle name="Separador de milhares 3 15 2 4 2 2 4" xfId="35034"/>
    <cellStyle name="Separador de milhares 3 15 2 4 2 2 5" xfId="28500"/>
    <cellStyle name="Separador de milhares 3 15 2 4 2 3" xfId="17407"/>
    <cellStyle name="Separador de milhares 3 15 2 4 2 3 2" xfId="43896"/>
    <cellStyle name="Separador de milhares 3 15 2 4 2 4" xfId="11480"/>
    <cellStyle name="Separador de milhares 3 15 2 4 2 4 2" xfId="37988"/>
    <cellStyle name="Separador de milhares 3 15 2 4 2 5" xfId="31829"/>
    <cellStyle name="Separador de milhares 3 15 2 4 2 6" xfId="25295"/>
    <cellStyle name="Separador de milhares 3 15 2 4 3" xfId="7044"/>
    <cellStyle name="Separador de milhares 3 15 2 4 3 2" xfId="18898"/>
    <cellStyle name="Separador de milhares 3 15 2 4 3 2 2" xfId="45382"/>
    <cellStyle name="Separador de milhares 3 15 2 4 3 3" xfId="12971"/>
    <cellStyle name="Separador de milhares 3 15 2 4 3 3 2" xfId="39474"/>
    <cellStyle name="Separador de milhares 3 15 2 4 3 4" xfId="33566"/>
    <cellStyle name="Separador de milhares 3 15 2 4 3 5" xfId="27032"/>
    <cellStyle name="Separador de milhares 3 15 2 4 4" xfId="15934"/>
    <cellStyle name="Separador de milhares 3 15 2 4 4 2" xfId="42428"/>
    <cellStyle name="Separador de milhares 3 15 2 4 4 3" xfId="23523"/>
    <cellStyle name="Separador de milhares 3 15 2 4 5" xfId="10007"/>
    <cellStyle name="Separador de milhares 3 15 2 4 5 2" xfId="36520"/>
    <cellStyle name="Separador de milhares 3 15 2 4 6" xfId="30057"/>
    <cellStyle name="Separador de milhares 3 15 2 4 7" xfId="21751"/>
    <cellStyle name="Separador de milhares 3 15 2 5" xfId="1866"/>
    <cellStyle name="Separador de milhares 3 15 2 5 2" xfId="5421"/>
    <cellStyle name="Separador de milhares 3 15 2 5 2 2" xfId="8636"/>
    <cellStyle name="Separador de milhares 3 15 2 5 2 2 2" xfId="20490"/>
    <cellStyle name="Separador de milhares 3 15 2 5 2 2 2 2" xfId="46969"/>
    <cellStyle name="Separador de milhares 3 15 2 5 2 2 3" xfId="14563"/>
    <cellStyle name="Separador de milhares 3 15 2 5 2 2 3 2" xfId="41061"/>
    <cellStyle name="Separador de milhares 3 15 2 5 2 2 4" xfId="35153"/>
    <cellStyle name="Separador de milhares 3 15 2 5 2 2 5" xfId="28619"/>
    <cellStyle name="Separador de milhares 3 15 2 5 2 3" xfId="17526"/>
    <cellStyle name="Separador de milhares 3 15 2 5 2 3 2" xfId="44015"/>
    <cellStyle name="Separador de milhares 3 15 2 5 2 4" xfId="11599"/>
    <cellStyle name="Separador de milhares 3 15 2 5 2 4 2" xfId="38107"/>
    <cellStyle name="Separador de milhares 3 15 2 5 2 5" xfId="31948"/>
    <cellStyle name="Separador de milhares 3 15 2 5 2 6" xfId="25414"/>
    <cellStyle name="Separador de milhares 3 15 2 5 3" xfId="7163"/>
    <cellStyle name="Separador de milhares 3 15 2 5 3 2" xfId="19017"/>
    <cellStyle name="Separador de milhares 3 15 2 5 3 2 2" xfId="45501"/>
    <cellStyle name="Separador de milhares 3 15 2 5 3 3" xfId="13090"/>
    <cellStyle name="Separador de milhares 3 15 2 5 3 3 2" xfId="39593"/>
    <cellStyle name="Separador de milhares 3 15 2 5 3 4" xfId="33685"/>
    <cellStyle name="Separador de milhares 3 15 2 5 3 5" xfId="27151"/>
    <cellStyle name="Separador de milhares 3 15 2 5 4" xfId="16053"/>
    <cellStyle name="Separador de milhares 3 15 2 5 4 2" xfId="42547"/>
    <cellStyle name="Separador de milhares 3 15 2 5 4 3" xfId="23642"/>
    <cellStyle name="Separador de milhares 3 15 2 5 5" xfId="10126"/>
    <cellStyle name="Separador de milhares 3 15 2 5 5 2" xfId="36639"/>
    <cellStyle name="Separador de milhares 3 15 2 5 6" xfId="30176"/>
    <cellStyle name="Separador de milhares 3 15 2 5 7" xfId="21870"/>
    <cellStyle name="Separador de milhares 3 15 2 6" xfId="2399"/>
    <cellStyle name="Separador de milhares 3 15 2 6 2" xfId="5571"/>
    <cellStyle name="Separador de milhares 3 15 2 6 2 2" xfId="8783"/>
    <cellStyle name="Separador de milhares 3 15 2 6 2 2 2" xfId="20637"/>
    <cellStyle name="Separador de milhares 3 15 2 6 2 2 2 2" xfId="47116"/>
    <cellStyle name="Separador de milhares 3 15 2 6 2 2 3" xfId="14710"/>
    <cellStyle name="Separador de milhares 3 15 2 6 2 2 3 2" xfId="41208"/>
    <cellStyle name="Separador de milhares 3 15 2 6 2 2 4" xfId="35300"/>
    <cellStyle name="Separador de milhares 3 15 2 6 2 2 5" xfId="28766"/>
    <cellStyle name="Separador de milhares 3 15 2 6 2 3" xfId="17673"/>
    <cellStyle name="Separador de milhares 3 15 2 6 2 3 2" xfId="44162"/>
    <cellStyle name="Separador de milhares 3 15 2 6 2 4" xfId="11746"/>
    <cellStyle name="Separador de milhares 3 15 2 6 2 4 2" xfId="38254"/>
    <cellStyle name="Separador de milhares 3 15 2 6 2 5" xfId="32098"/>
    <cellStyle name="Separador de milhares 3 15 2 6 2 6" xfId="25564"/>
    <cellStyle name="Separador de milhares 3 15 2 6 3" xfId="7311"/>
    <cellStyle name="Separador de milhares 3 15 2 6 3 2" xfId="19165"/>
    <cellStyle name="Separador de milhares 3 15 2 6 3 2 2" xfId="45648"/>
    <cellStyle name="Separador de milhares 3 15 2 6 3 3" xfId="13238"/>
    <cellStyle name="Separador de milhares 3 15 2 6 3 3 2" xfId="39740"/>
    <cellStyle name="Separador de milhares 3 15 2 6 3 4" xfId="33832"/>
    <cellStyle name="Separador de milhares 3 15 2 6 3 5" xfId="27298"/>
    <cellStyle name="Separador de milhares 3 15 2 6 4" xfId="16201"/>
    <cellStyle name="Separador de milhares 3 15 2 6 4 2" xfId="42694"/>
    <cellStyle name="Separador de milhares 3 15 2 6 4 3" xfId="23792"/>
    <cellStyle name="Separador de milhares 3 15 2 6 5" xfId="10274"/>
    <cellStyle name="Separador de milhares 3 15 2 6 5 2" xfId="36786"/>
    <cellStyle name="Separador de milhares 3 15 2 6 6" xfId="30326"/>
    <cellStyle name="Separador de milhares 3 15 2 6 7" xfId="22020"/>
    <cellStyle name="Separador de milhares 3 15 2 7" xfId="2927"/>
    <cellStyle name="Separador de milhares 3 15 2 7 2" xfId="5718"/>
    <cellStyle name="Separador de milhares 3 15 2 7 2 2" xfId="8930"/>
    <cellStyle name="Separador de milhares 3 15 2 7 2 2 2" xfId="20784"/>
    <cellStyle name="Separador de milhares 3 15 2 7 2 2 2 2" xfId="47263"/>
    <cellStyle name="Separador de milhares 3 15 2 7 2 2 3" xfId="14857"/>
    <cellStyle name="Separador de milhares 3 15 2 7 2 2 3 2" xfId="41355"/>
    <cellStyle name="Separador de milhares 3 15 2 7 2 2 4" xfId="35447"/>
    <cellStyle name="Separador de milhares 3 15 2 7 2 2 5" xfId="28913"/>
    <cellStyle name="Separador de milhares 3 15 2 7 2 3" xfId="17820"/>
    <cellStyle name="Separador de milhares 3 15 2 7 2 3 2" xfId="44309"/>
    <cellStyle name="Separador de milhares 3 15 2 7 2 4" xfId="11893"/>
    <cellStyle name="Separador de milhares 3 15 2 7 2 4 2" xfId="38401"/>
    <cellStyle name="Separador de milhares 3 15 2 7 2 5" xfId="32245"/>
    <cellStyle name="Separador de milhares 3 15 2 7 2 6" xfId="25711"/>
    <cellStyle name="Separador de milhares 3 15 2 7 3" xfId="7459"/>
    <cellStyle name="Separador de milhares 3 15 2 7 3 2" xfId="19313"/>
    <cellStyle name="Separador de milhares 3 15 2 7 3 2 2" xfId="45795"/>
    <cellStyle name="Separador de milhares 3 15 2 7 3 3" xfId="13386"/>
    <cellStyle name="Separador de milhares 3 15 2 7 3 3 2" xfId="39887"/>
    <cellStyle name="Separador de milhares 3 15 2 7 3 4" xfId="33979"/>
    <cellStyle name="Separador de milhares 3 15 2 7 3 5" xfId="27445"/>
    <cellStyle name="Separador de milhares 3 15 2 7 4" xfId="16349"/>
    <cellStyle name="Separador de milhares 3 15 2 7 4 2" xfId="42841"/>
    <cellStyle name="Separador de milhares 3 15 2 7 4 3" xfId="23939"/>
    <cellStyle name="Separador de milhares 3 15 2 7 5" xfId="10422"/>
    <cellStyle name="Separador de milhares 3 15 2 7 5 2" xfId="36933"/>
    <cellStyle name="Separador de milhares 3 15 2 7 6" xfId="30473"/>
    <cellStyle name="Separador de milhares 3 15 2 7 7" xfId="22167"/>
    <cellStyle name="Separador de milhares 3 15 2 8" xfId="3455"/>
    <cellStyle name="Separador de milhares 3 15 2 8 2" xfId="5865"/>
    <cellStyle name="Separador de milhares 3 15 2 8 2 2" xfId="9077"/>
    <cellStyle name="Separador de milhares 3 15 2 8 2 2 2" xfId="20931"/>
    <cellStyle name="Separador de milhares 3 15 2 8 2 2 2 2" xfId="47410"/>
    <cellStyle name="Separador de milhares 3 15 2 8 2 2 3" xfId="15004"/>
    <cellStyle name="Separador de milhares 3 15 2 8 2 2 3 2" xfId="41502"/>
    <cellStyle name="Separador de milhares 3 15 2 8 2 2 4" xfId="35594"/>
    <cellStyle name="Separador de milhares 3 15 2 8 2 2 5" xfId="29060"/>
    <cellStyle name="Separador de milhares 3 15 2 8 2 3" xfId="17967"/>
    <cellStyle name="Separador de milhares 3 15 2 8 2 3 2" xfId="44456"/>
    <cellStyle name="Separador de milhares 3 15 2 8 2 4" xfId="12040"/>
    <cellStyle name="Separador de milhares 3 15 2 8 2 4 2" xfId="38548"/>
    <cellStyle name="Separador de milhares 3 15 2 8 2 5" xfId="32392"/>
    <cellStyle name="Separador de milhares 3 15 2 8 2 6" xfId="25858"/>
    <cellStyle name="Separador de milhares 3 15 2 8 3" xfId="7607"/>
    <cellStyle name="Separador de milhares 3 15 2 8 3 2" xfId="19461"/>
    <cellStyle name="Separador de milhares 3 15 2 8 3 2 2" xfId="45942"/>
    <cellStyle name="Separador de milhares 3 15 2 8 3 3" xfId="13534"/>
    <cellStyle name="Separador de milhares 3 15 2 8 3 3 2" xfId="40034"/>
    <cellStyle name="Separador de milhares 3 15 2 8 3 4" xfId="34126"/>
    <cellStyle name="Separador de milhares 3 15 2 8 3 5" xfId="27592"/>
    <cellStyle name="Separador de milhares 3 15 2 8 4" xfId="16497"/>
    <cellStyle name="Separador de milhares 3 15 2 8 4 2" xfId="42988"/>
    <cellStyle name="Separador de milhares 3 15 2 8 4 3" xfId="24086"/>
    <cellStyle name="Separador de milhares 3 15 2 8 5" xfId="10570"/>
    <cellStyle name="Separador de milhares 3 15 2 8 5 2" xfId="37080"/>
    <cellStyle name="Separador de milhares 3 15 2 8 6" xfId="30620"/>
    <cellStyle name="Separador de milhares 3 15 2 8 7" xfId="22314"/>
    <cellStyle name="Separador de milhares 3 15 2 9" xfId="3983"/>
    <cellStyle name="Separador de milhares 3 15 2 9 2" xfId="6012"/>
    <cellStyle name="Separador de milhares 3 15 2 9 2 2" xfId="9224"/>
    <cellStyle name="Separador de milhares 3 15 2 9 2 2 2" xfId="21078"/>
    <cellStyle name="Separador de milhares 3 15 2 9 2 2 2 2" xfId="47557"/>
    <cellStyle name="Separador de milhares 3 15 2 9 2 2 3" xfId="15151"/>
    <cellStyle name="Separador de milhares 3 15 2 9 2 2 3 2" xfId="41649"/>
    <cellStyle name="Separador de milhares 3 15 2 9 2 2 4" xfId="35741"/>
    <cellStyle name="Separador de milhares 3 15 2 9 2 2 5" xfId="29207"/>
    <cellStyle name="Separador de milhares 3 15 2 9 2 3" xfId="18114"/>
    <cellStyle name="Separador de milhares 3 15 2 9 2 3 2" xfId="44603"/>
    <cellStyle name="Separador de milhares 3 15 2 9 2 4" xfId="12187"/>
    <cellStyle name="Separador de milhares 3 15 2 9 2 4 2" xfId="38695"/>
    <cellStyle name="Separador de milhares 3 15 2 9 2 5" xfId="32539"/>
    <cellStyle name="Separador de milhares 3 15 2 9 2 6" xfId="26005"/>
    <cellStyle name="Separador de milhares 3 15 2 9 3" xfId="7755"/>
    <cellStyle name="Separador de milhares 3 15 2 9 3 2" xfId="19609"/>
    <cellStyle name="Separador de milhares 3 15 2 9 3 2 2" xfId="46089"/>
    <cellStyle name="Separador de milhares 3 15 2 9 3 3" xfId="13682"/>
    <cellStyle name="Separador de milhares 3 15 2 9 3 3 2" xfId="40181"/>
    <cellStyle name="Separador de milhares 3 15 2 9 3 4" xfId="34273"/>
    <cellStyle name="Separador de milhares 3 15 2 9 3 5" xfId="27739"/>
    <cellStyle name="Separador de milhares 3 15 2 9 4" xfId="16645"/>
    <cellStyle name="Separador de milhares 3 15 2 9 4 2" xfId="43135"/>
    <cellStyle name="Separador de milhares 3 15 2 9 4 3" xfId="24233"/>
    <cellStyle name="Separador de milhares 3 15 2 9 5" xfId="10718"/>
    <cellStyle name="Separador de milhares 3 15 2 9 5 2" xfId="37227"/>
    <cellStyle name="Separador de milhares 3 15 2 9 6" xfId="30767"/>
    <cellStyle name="Separador de milhares 3 15 2 9 7" xfId="22461"/>
    <cellStyle name="Separador de milhares 3 15 3" xfId="428"/>
    <cellStyle name="Separador de milhares 3 15 3 10" xfId="5003"/>
    <cellStyle name="Separador de milhares 3 15 3 10 2" xfId="8222"/>
    <cellStyle name="Separador de milhares 3 15 3 10 2 2" xfId="20076"/>
    <cellStyle name="Separador de milhares 3 15 3 10 2 2 2" xfId="46555"/>
    <cellStyle name="Separador de milhares 3 15 3 10 2 3" xfId="14149"/>
    <cellStyle name="Separador de milhares 3 15 3 10 2 3 2" xfId="40647"/>
    <cellStyle name="Separador de milhares 3 15 3 10 2 4" xfId="34739"/>
    <cellStyle name="Separador de milhares 3 15 3 10 2 5" xfId="28205"/>
    <cellStyle name="Separador de milhares 3 15 3 10 3" xfId="17112"/>
    <cellStyle name="Separador de milhares 3 15 3 10 3 2" xfId="43601"/>
    <cellStyle name="Separador de milhares 3 15 3 10 4" xfId="11185"/>
    <cellStyle name="Separador de milhares 3 15 3 10 4 2" xfId="37693"/>
    <cellStyle name="Separador de milhares 3 15 3 10 5" xfId="31530"/>
    <cellStyle name="Separador de milhares 3 15 3 10 6" xfId="24996"/>
    <cellStyle name="Separador de milhares 3 15 3 11" xfId="6746"/>
    <cellStyle name="Separador de milhares 3 15 3 11 2" xfId="18600"/>
    <cellStyle name="Separador de milhares 3 15 3 11 2 2" xfId="45087"/>
    <cellStyle name="Separador de milhares 3 15 3 11 3" xfId="12673"/>
    <cellStyle name="Separador de milhares 3 15 3 11 3 2" xfId="39179"/>
    <cellStyle name="Separador de milhares 3 15 3 11 4" xfId="33271"/>
    <cellStyle name="Separador de milhares 3 15 3 11 5" xfId="26737"/>
    <cellStyle name="Separador de milhares 3 15 3 12" xfId="15636"/>
    <cellStyle name="Separador de milhares 3 15 3 12 2" xfId="42133"/>
    <cellStyle name="Separador de milhares 3 15 3 12 3" xfId="23224"/>
    <cellStyle name="Separador de milhares 3 15 3 13" xfId="9709"/>
    <cellStyle name="Separador de milhares 3 15 3 13 2" xfId="36225"/>
    <cellStyle name="Separador de milhares 3 15 3 14" xfId="29758"/>
    <cellStyle name="Separador de milhares 3 15 3 15" xfId="21476"/>
    <cellStyle name="Separador de milhares 3 15 3 2" xfId="691"/>
    <cellStyle name="Separador de milhares 3 15 3 2 2" xfId="5074"/>
    <cellStyle name="Separador de milhares 3 15 3 2 2 2" xfId="8289"/>
    <cellStyle name="Separador de milhares 3 15 3 2 2 2 2" xfId="20143"/>
    <cellStyle name="Separador de milhares 3 15 3 2 2 2 2 2" xfId="46622"/>
    <cellStyle name="Separador de milhares 3 15 3 2 2 2 3" xfId="14216"/>
    <cellStyle name="Separador de milhares 3 15 3 2 2 2 3 2" xfId="40714"/>
    <cellStyle name="Separador de milhares 3 15 3 2 2 2 4" xfId="34806"/>
    <cellStyle name="Separador de milhares 3 15 3 2 2 2 5" xfId="28272"/>
    <cellStyle name="Separador de milhares 3 15 3 2 2 3" xfId="17179"/>
    <cellStyle name="Separador de milhares 3 15 3 2 2 3 2" xfId="43668"/>
    <cellStyle name="Separador de milhares 3 15 3 2 2 4" xfId="11252"/>
    <cellStyle name="Separador de milhares 3 15 3 2 2 4 2" xfId="37760"/>
    <cellStyle name="Separador de milhares 3 15 3 2 2 5" xfId="31601"/>
    <cellStyle name="Separador de milhares 3 15 3 2 2 6" xfId="25067"/>
    <cellStyle name="Separador de milhares 3 15 3 2 3" xfId="6813"/>
    <cellStyle name="Separador de milhares 3 15 3 2 3 2" xfId="18667"/>
    <cellStyle name="Separador de milhares 3 15 3 2 3 2 2" xfId="45154"/>
    <cellStyle name="Separador de milhares 3 15 3 2 3 3" xfId="12740"/>
    <cellStyle name="Separador de milhares 3 15 3 2 3 3 2" xfId="39246"/>
    <cellStyle name="Separador de milhares 3 15 3 2 3 4" xfId="33338"/>
    <cellStyle name="Separador de milhares 3 15 3 2 3 5" xfId="26804"/>
    <cellStyle name="Separador de milhares 3 15 3 2 4" xfId="15703"/>
    <cellStyle name="Separador de milhares 3 15 3 2 4 2" xfId="42200"/>
    <cellStyle name="Separador de milhares 3 15 3 2 4 3" xfId="23295"/>
    <cellStyle name="Separador de milhares 3 15 3 2 5" xfId="9776"/>
    <cellStyle name="Separador de milhares 3 15 3 2 5 2" xfId="36292"/>
    <cellStyle name="Separador de milhares 3 15 3 2 6" xfId="29829"/>
    <cellStyle name="Separador de milhares 3 15 3 2 7" xfId="21524"/>
    <cellStyle name="Separador de milhares 3 15 3 3" xfId="989"/>
    <cellStyle name="Separador de milhares 3 15 3 3 2" xfId="5176"/>
    <cellStyle name="Separador de milhares 3 15 3 3 2 2" xfId="8391"/>
    <cellStyle name="Separador de milhares 3 15 3 3 2 2 2" xfId="20245"/>
    <cellStyle name="Separador de milhares 3 15 3 3 2 2 2 2" xfId="46724"/>
    <cellStyle name="Separador de milhares 3 15 3 3 2 2 3" xfId="14318"/>
    <cellStyle name="Separador de milhares 3 15 3 3 2 2 3 2" xfId="40816"/>
    <cellStyle name="Separador de milhares 3 15 3 3 2 2 4" xfId="34908"/>
    <cellStyle name="Separador de milhares 3 15 3 3 2 2 5" xfId="28374"/>
    <cellStyle name="Separador de milhares 3 15 3 3 2 3" xfId="17281"/>
    <cellStyle name="Separador de milhares 3 15 3 3 2 3 2" xfId="43770"/>
    <cellStyle name="Separador de milhares 3 15 3 3 2 4" xfId="11354"/>
    <cellStyle name="Separador de milhares 3 15 3 3 2 4 2" xfId="37862"/>
    <cellStyle name="Separador de milhares 3 15 3 3 2 5" xfId="31703"/>
    <cellStyle name="Separador de milhares 3 15 3 3 2 6" xfId="25169"/>
    <cellStyle name="Separador de milhares 3 15 3 3 3" xfId="6918"/>
    <cellStyle name="Separador de milhares 3 15 3 3 3 2" xfId="18772"/>
    <cellStyle name="Separador de milhares 3 15 3 3 3 2 2" xfId="45256"/>
    <cellStyle name="Separador de milhares 3 15 3 3 3 3" xfId="12845"/>
    <cellStyle name="Separador de milhares 3 15 3 3 3 3 2" xfId="39348"/>
    <cellStyle name="Separador de milhares 3 15 3 3 3 4" xfId="33440"/>
    <cellStyle name="Separador de milhares 3 15 3 3 3 5" xfId="26906"/>
    <cellStyle name="Separador de milhares 3 15 3 3 4" xfId="15808"/>
    <cellStyle name="Separador de milhares 3 15 3 3 4 2" xfId="42302"/>
    <cellStyle name="Separador de milhares 3 15 3 3 4 3" xfId="23397"/>
    <cellStyle name="Separador de milhares 3 15 3 3 5" xfId="9881"/>
    <cellStyle name="Separador de milhares 3 15 3 3 5 2" xfId="36394"/>
    <cellStyle name="Separador de milhares 3 15 3 3 6" xfId="29931"/>
    <cellStyle name="Separador de milhares 3 15 3 3 7" xfId="21625"/>
    <cellStyle name="Separador de milhares 3 15 3 4" xfId="1340"/>
    <cellStyle name="Separador de milhares 3 15 3 4 2" xfId="5274"/>
    <cellStyle name="Separador de milhares 3 15 3 4 2 2" xfId="8489"/>
    <cellStyle name="Separador de milhares 3 15 3 4 2 2 2" xfId="20343"/>
    <cellStyle name="Separador de milhares 3 15 3 4 2 2 2 2" xfId="46822"/>
    <cellStyle name="Separador de milhares 3 15 3 4 2 2 3" xfId="14416"/>
    <cellStyle name="Separador de milhares 3 15 3 4 2 2 3 2" xfId="40914"/>
    <cellStyle name="Separador de milhares 3 15 3 4 2 2 4" xfId="35006"/>
    <cellStyle name="Separador de milhares 3 15 3 4 2 2 5" xfId="28472"/>
    <cellStyle name="Separador de milhares 3 15 3 4 2 3" xfId="17379"/>
    <cellStyle name="Separador de milhares 3 15 3 4 2 3 2" xfId="43868"/>
    <cellStyle name="Separador de milhares 3 15 3 4 2 4" xfId="11452"/>
    <cellStyle name="Separador de milhares 3 15 3 4 2 4 2" xfId="37960"/>
    <cellStyle name="Separador de milhares 3 15 3 4 2 5" xfId="31801"/>
    <cellStyle name="Separador de milhares 3 15 3 4 2 6" xfId="25267"/>
    <cellStyle name="Separador de milhares 3 15 3 4 3" xfId="7016"/>
    <cellStyle name="Separador de milhares 3 15 3 4 3 2" xfId="18870"/>
    <cellStyle name="Separador de milhares 3 15 3 4 3 2 2" xfId="45354"/>
    <cellStyle name="Separador de milhares 3 15 3 4 3 3" xfId="12943"/>
    <cellStyle name="Separador de milhares 3 15 3 4 3 3 2" xfId="39446"/>
    <cellStyle name="Separador de milhares 3 15 3 4 3 4" xfId="33538"/>
    <cellStyle name="Separador de milhares 3 15 3 4 3 5" xfId="27004"/>
    <cellStyle name="Separador de milhares 3 15 3 4 4" xfId="15906"/>
    <cellStyle name="Separador de milhares 3 15 3 4 4 2" xfId="42400"/>
    <cellStyle name="Separador de milhares 3 15 3 4 4 3" xfId="23495"/>
    <cellStyle name="Separador de milhares 3 15 3 4 5" xfId="9979"/>
    <cellStyle name="Separador de milhares 3 15 3 4 5 2" xfId="36492"/>
    <cellStyle name="Separador de milhares 3 15 3 4 6" xfId="30029"/>
    <cellStyle name="Separador de milhares 3 15 3 4 7" xfId="21723"/>
    <cellStyle name="Separador de milhares 3 15 3 5" xfId="1775"/>
    <cellStyle name="Separador de milhares 3 15 3 5 2" xfId="5393"/>
    <cellStyle name="Separador de milhares 3 15 3 5 2 2" xfId="8608"/>
    <cellStyle name="Separador de milhares 3 15 3 5 2 2 2" xfId="20462"/>
    <cellStyle name="Separador de milhares 3 15 3 5 2 2 2 2" xfId="46941"/>
    <cellStyle name="Separador de milhares 3 15 3 5 2 2 3" xfId="14535"/>
    <cellStyle name="Separador de milhares 3 15 3 5 2 2 3 2" xfId="41033"/>
    <cellStyle name="Separador de milhares 3 15 3 5 2 2 4" xfId="35125"/>
    <cellStyle name="Separador de milhares 3 15 3 5 2 2 5" xfId="28591"/>
    <cellStyle name="Separador de milhares 3 15 3 5 2 3" xfId="17498"/>
    <cellStyle name="Separador de milhares 3 15 3 5 2 3 2" xfId="43987"/>
    <cellStyle name="Separador de milhares 3 15 3 5 2 4" xfId="11571"/>
    <cellStyle name="Separador de milhares 3 15 3 5 2 4 2" xfId="38079"/>
    <cellStyle name="Separador de milhares 3 15 3 5 2 5" xfId="31920"/>
    <cellStyle name="Separador de milhares 3 15 3 5 2 6" xfId="25386"/>
    <cellStyle name="Separador de milhares 3 15 3 5 3" xfId="7135"/>
    <cellStyle name="Separador de milhares 3 15 3 5 3 2" xfId="18989"/>
    <cellStyle name="Separador de milhares 3 15 3 5 3 2 2" xfId="45473"/>
    <cellStyle name="Separador de milhares 3 15 3 5 3 3" xfId="13062"/>
    <cellStyle name="Separador de milhares 3 15 3 5 3 3 2" xfId="39565"/>
    <cellStyle name="Separador de milhares 3 15 3 5 3 4" xfId="33657"/>
    <cellStyle name="Separador de milhares 3 15 3 5 3 5" xfId="27123"/>
    <cellStyle name="Separador de milhares 3 15 3 5 4" xfId="16025"/>
    <cellStyle name="Separador de milhares 3 15 3 5 4 2" xfId="42519"/>
    <cellStyle name="Separador de milhares 3 15 3 5 4 3" xfId="23614"/>
    <cellStyle name="Separador de milhares 3 15 3 5 5" xfId="10098"/>
    <cellStyle name="Separador de milhares 3 15 3 5 5 2" xfId="36611"/>
    <cellStyle name="Separador de milhares 3 15 3 5 6" xfId="30148"/>
    <cellStyle name="Separador de milhares 3 15 3 5 7" xfId="21842"/>
    <cellStyle name="Separador de milhares 3 15 3 6" xfId="2308"/>
    <cellStyle name="Separador de milhares 3 15 3 6 2" xfId="5543"/>
    <cellStyle name="Separador de milhares 3 15 3 6 2 2" xfId="8755"/>
    <cellStyle name="Separador de milhares 3 15 3 6 2 2 2" xfId="20609"/>
    <cellStyle name="Separador de milhares 3 15 3 6 2 2 2 2" xfId="47088"/>
    <cellStyle name="Separador de milhares 3 15 3 6 2 2 3" xfId="14682"/>
    <cellStyle name="Separador de milhares 3 15 3 6 2 2 3 2" xfId="41180"/>
    <cellStyle name="Separador de milhares 3 15 3 6 2 2 4" xfId="35272"/>
    <cellStyle name="Separador de milhares 3 15 3 6 2 2 5" xfId="28738"/>
    <cellStyle name="Separador de milhares 3 15 3 6 2 3" xfId="17645"/>
    <cellStyle name="Separador de milhares 3 15 3 6 2 3 2" xfId="44134"/>
    <cellStyle name="Separador de milhares 3 15 3 6 2 4" xfId="11718"/>
    <cellStyle name="Separador de milhares 3 15 3 6 2 4 2" xfId="38226"/>
    <cellStyle name="Separador de milhares 3 15 3 6 2 5" xfId="32070"/>
    <cellStyle name="Separador de milhares 3 15 3 6 2 6" xfId="25536"/>
    <cellStyle name="Separador de milhares 3 15 3 6 3" xfId="7283"/>
    <cellStyle name="Separador de milhares 3 15 3 6 3 2" xfId="19137"/>
    <cellStyle name="Separador de milhares 3 15 3 6 3 2 2" xfId="45620"/>
    <cellStyle name="Separador de milhares 3 15 3 6 3 3" xfId="13210"/>
    <cellStyle name="Separador de milhares 3 15 3 6 3 3 2" xfId="39712"/>
    <cellStyle name="Separador de milhares 3 15 3 6 3 4" xfId="33804"/>
    <cellStyle name="Separador de milhares 3 15 3 6 3 5" xfId="27270"/>
    <cellStyle name="Separador de milhares 3 15 3 6 4" xfId="16173"/>
    <cellStyle name="Separador de milhares 3 15 3 6 4 2" xfId="42666"/>
    <cellStyle name="Separador de milhares 3 15 3 6 4 3" xfId="23764"/>
    <cellStyle name="Separador de milhares 3 15 3 6 5" xfId="10246"/>
    <cellStyle name="Separador de milhares 3 15 3 6 5 2" xfId="36758"/>
    <cellStyle name="Separador de milhares 3 15 3 6 6" xfId="30298"/>
    <cellStyle name="Separador de milhares 3 15 3 6 7" xfId="21992"/>
    <cellStyle name="Separador de milhares 3 15 3 7" xfId="2836"/>
    <cellStyle name="Separador de milhares 3 15 3 7 2" xfId="5690"/>
    <cellStyle name="Separador de milhares 3 15 3 7 2 2" xfId="8902"/>
    <cellStyle name="Separador de milhares 3 15 3 7 2 2 2" xfId="20756"/>
    <cellStyle name="Separador de milhares 3 15 3 7 2 2 2 2" xfId="47235"/>
    <cellStyle name="Separador de milhares 3 15 3 7 2 2 3" xfId="14829"/>
    <cellStyle name="Separador de milhares 3 15 3 7 2 2 3 2" xfId="41327"/>
    <cellStyle name="Separador de milhares 3 15 3 7 2 2 4" xfId="35419"/>
    <cellStyle name="Separador de milhares 3 15 3 7 2 2 5" xfId="28885"/>
    <cellStyle name="Separador de milhares 3 15 3 7 2 3" xfId="17792"/>
    <cellStyle name="Separador de milhares 3 15 3 7 2 3 2" xfId="44281"/>
    <cellStyle name="Separador de milhares 3 15 3 7 2 4" xfId="11865"/>
    <cellStyle name="Separador de milhares 3 15 3 7 2 4 2" xfId="38373"/>
    <cellStyle name="Separador de milhares 3 15 3 7 2 5" xfId="32217"/>
    <cellStyle name="Separador de milhares 3 15 3 7 2 6" xfId="25683"/>
    <cellStyle name="Separador de milhares 3 15 3 7 3" xfId="7431"/>
    <cellStyle name="Separador de milhares 3 15 3 7 3 2" xfId="19285"/>
    <cellStyle name="Separador de milhares 3 15 3 7 3 2 2" xfId="45767"/>
    <cellStyle name="Separador de milhares 3 15 3 7 3 3" xfId="13358"/>
    <cellStyle name="Separador de milhares 3 15 3 7 3 3 2" xfId="39859"/>
    <cellStyle name="Separador de milhares 3 15 3 7 3 4" xfId="33951"/>
    <cellStyle name="Separador de milhares 3 15 3 7 3 5" xfId="27417"/>
    <cellStyle name="Separador de milhares 3 15 3 7 4" xfId="16321"/>
    <cellStyle name="Separador de milhares 3 15 3 7 4 2" xfId="42813"/>
    <cellStyle name="Separador de milhares 3 15 3 7 4 3" xfId="23911"/>
    <cellStyle name="Separador de milhares 3 15 3 7 5" xfId="10394"/>
    <cellStyle name="Separador de milhares 3 15 3 7 5 2" xfId="36905"/>
    <cellStyle name="Separador de milhares 3 15 3 7 6" xfId="30445"/>
    <cellStyle name="Separador de milhares 3 15 3 7 7" xfId="22139"/>
    <cellStyle name="Separador de milhares 3 15 3 8" xfId="3364"/>
    <cellStyle name="Separador de milhares 3 15 3 8 2" xfId="5837"/>
    <cellStyle name="Separador de milhares 3 15 3 8 2 2" xfId="9049"/>
    <cellStyle name="Separador de milhares 3 15 3 8 2 2 2" xfId="20903"/>
    <cellStyle name="Separador de milhares 3 15 3 8 2 2 2 2" xfId="47382"/>
    <cellStyle name="Separador de milhares 3 15 3 8 2 2 3" xfId="14976"/>
    <cellStyle name="Separador de milhares 3 15 3 8 2 2 3 2" xfId="41474"/>
    <cellStyle name="Separador de milhares 3 15 3 8 2 2 4" xfId="35566"/>
    <cellStyle name="Separador de milhares 3 15 3 8 2 2 5" xfId="29032"/>
    <cellStyle name="Separador de milhares 3 15 3 8 2 3" xfId="17939"/>
    <cellStyle name="Separador de milhares 3 15 3 8 2 3 2" xfId="44428"/>
    <cellStyle name="Separador de milhares 3 15 3 8 2 4" xfId="12012"/>
    <cellStyle name="Separador de milhares 3 15 3 8 2 4 2" xfId="38520"/>
    <cellStyle name="Separador de milhares 3 15 3 8 2 5" xfId="32364"/>
    <cellStyle name="Separador de milhares 3 15 3 8 2 6" xfId="25830"/>
    <cellStyle name="Separador de milhares 3 15 3 8 3" xfId="7579"/>
    <cellStyle name="Separador de milhares 3 15 3 8 3 2" xfId="19433"/>
    <cellStyle name="Separador de milhares 3 15 3 8 3 2 2" xfId="45914"/>
    <cellStyle name="Separador de milhares 3 15 3 8 3 3" xfId="13506"/>
    <cellStyle name="Separador de milhares 3 15 3 8 3 3 2" xfId="40006"/>
    <cellStyle name="Separador de milhares 3 15 3 8 3 4" xfId="34098"/>
    <cellStyle name="Separador de milhares 3 15 3 8 3 5" xfId="27564"/>
    <cellStyle name="Separador de milhares 3 15 3 8 4" xfId="16469"/>
    <cellStyle name="Separador de milhares 3 15 3 8 4 2" xfId="42960"/>
    <cellStyle name="Separador de milhares 3 15 3 8 4 3" xfId="24058"/>
    <cellStyle name="Separador de milhares 3 15 3 8 5" xfId="10542"/>
    <cellStyle name="Separador de milhares 3 15 3 8 5 2" xfId="37052"/>
    <cellStyle name="Separador de milhares 3 15 3 8 6" xfId="30592"/>
    <cellStyle name="Separador de milhares 3 15 3 8 7" xfId="22286"/>
    <cellStyle name="Separador de milhares 3 15 3 9" xfId="3892"/>
    <cellStyle name="Separador de milhares 3 15 3 9 2" xfId="5984"/>
    <cellStyle name="Separador de milhares 3 15 3 9 2 2" xfId="9196"/>
    <cellStyle name="Separador de milhares 3 15 3 9 2 2 2" xfId="21050"/>
    <cellStyle name="Separador de milhares 3 15 3 9 2 2 2 2" xfId="47529"/>
    <cellStyle name="Separador de milhares 3 15 3 9 2 2 3" xfId="15123"/>
    <cellStyle name="Separador de milhares 3 15 3 9 2 2 3 2" xfId="41621"/>
    <cellStyle name="Separador de milhares 3 15 3 9 2 2 4" xfId="35713"/>
    <cellStyle name="Separador de milhares 3 15 3 9 2 2 5" xfId="29179"/>
    <cellStyle name="Separador de milhares 3 15 3 9 2 3" xfId="18086"/>
    <cellStyle name="Separador de milhares 3 15 3 9 2 3 2" xfId="44575"/>
    <cellStyle name="Separador de milhares 3 15 3 9 2 4" xfId="12159"/>
    <cellStyle name="Separador de milhares 3 15 3 9 2 4 2" xfId="38667"/>
    <cellStyle name="Separador de milhares 3 15 3 9 2 5" xfId="32511"/>
    <cellStyle name="Separador de milhares 3 15 3 9 2 6" xfId="25977"/>
    <cellStyle name="Separador de milhares 3 15 3 9 3" xfId="7727"/>
    <cellStyle name="Separador de milhares 3 15 3 9 3 2" xfId="19581"/>
    <cellStyle name="Separador de milhares 3 15 3 9 3 2 2" xfId="46061"/>
    <cellStyle name="Separador de milhares 3 15 3 9 3 3" xfId="13654"/>
    <cellStyle name="Separador de milhares 3 15 3 9 3 3 2" xfId="40153"/>
    <cellStyle name="Separador de milhares 3 15 3 9 3 4" xfId="34245"/>
    <cellStyle name="Separador de milhares 3 15 3 9 3 5" xfId="27711"/>
    <cellStyle name="Separador de milhares 3 15 3 9 4" xfId="16617"/>
    <cellStyle name="Separador de milhares 3 15 3 9 4 2" xfId="43107"/>
    <cellStyle name="Separador de milhares 3 15 3 9 4 3" xfId="24205"/>
    <cellStyle name="Separador de milhares 3 15 3 9 5" xfId="10690"/>
    <cellStyle name="Separador de milhares 3 15 3 9 5 2" xfId="37199"/>
    <cellStyle name="Separador de milhares 3 15 3 9 6" xfId="30739"/>
    <cellStyle name="Separador de milhares 3 15 3 9 7" xfId="22433"/>
    <cellStyle name="Separador de milhares 3 15 4" xfId="521"/>
    <cellStyle name="Separador de milhares 3 15 4 10" xfId="5031"/>
    <cellStyle name="Separador de milhares 3 15 4 10 2" xfId="8247"/>
    <cellStyle name="Separador de milhares 3 15 4 10 2 2" xfId="20101"/>
    <cellStyle name="Separador de milhares 3 15 4 10 2 2 2" xfId="46580"/>
    <cellStyle name="Separador de milhares 3 15 4 10 2 3" xfId="14174"/>
    <cellStyle name="Separador de milhares 3 15 4 10 2 3 2" xfId="40672"/>
    <cellStyle name="Separador de milhares 3 15 4 10 2 4" xfId="34764"/>
    <cellStyle name="Separador de milhares 3 15 4 10 2 5" xfId="28230"/>
    <cellStyle name="Separador de milhares 3 15 4 10 3" xfId="17137"/>
    <cellStyle name="Separador de milhares 3 15 4 10 3 2" xfId="43626"/>
    <cellStyle name="Separador de milhares 3 15 4 10 4" xfId="11210"/>
    <cellStyle name="Separador de milhares 3 15 4 10 4 2" xfId="37718"/>
    <cellStyle name="Separador de milhares 3 15 4 10 5" xfId="31558"/>
    <cellStyle name="Separador de milhares 3 15 4 10 6" xfId="25024"/>
    <cellStyle name="Separador de milhares 3 15 4 11" xfId="6771"/>
    <cellStyle name="Separador de milhares 3 15 4 11 2" xfId="18625"/>
    <cellStyle name="Separador de milhares 3 15 4 11 2 2" xfId="45112"/>
    <cellStyle name="Separador de milhares 3 15 4 11 3" xfId="12698"/>
    <cellStyle name="Separador de milhares 3 15 4 11 3 2" xfId="39204"/>
    <cellStyle name="Separador de milhares 3 15 4 11 4" xfId="33296"/>
    <cellStyle name="Separador de milhares 3 15 4 11 5" xfId="26762"/>
    <cellStyle name="Separador de milhares 3 15 4 12" xfId="15661"/>
    <cellStyle name="Separador de milhares 3 15 4 12 2" xfId="42158"/>
    <cellStyle name="Separador de milhares 3 15 4 12 3" xfId="23252"/>
    <cellStyle name="Separador de milhares 3 15 4 13" xfId="9734"/>
    <cellStyle name="Separador de milhares 3 15 4 13 2" xfId="36250"/>
    <cellStyle name="Separador de milhares 3 15 4 14" xfId="29786"/>
    <cellStyle name="Separador de milhares 3 15 4 2" xfId="1167"/>
    <cellStyle name="Separador de milhares 3 15 4 2 2" xfId="5228"/>
    <cellStyle name="Separador de milhares 3 15 4 2 2 2" xfId="8443"/>
    <cellStyle name="Separador de milhares 3 15 4 2 2 2 2" xfId="20297"/>
    <cellStyle name="Separador de milhares 3 15 4 2 2 2 2 2" xfId="46776"/>
    <cellStyle name="Separador de milhares 3 15 4 2 2 2 3" xfId="14370"/>
    <cellStyle name="Separador de milhares 3 15 4 2 2 2 3 2" xfId="40868"/>
    <cellStyle name="Separador de milhares 3 15 4 2 2 2 4" xfId="34960"/>
    <cellStyle name="Separador de milhares 3 15 4 2 2 2 5" xfId="28426"/>
    <cellStyle name="Separador de milhares 3 15 4 2 2 3" xfId="17333"/>
    <cellStyle name="Separador de milhares 3 15 4 2 2 3 2" xfId="43822"/>
    <cellStyle name="Separador de milhares 3 15 4 2 2 4" xfId="11406"/>
    <cellStyle name="Separador de milhares 3 15 4 2 2 4 2" xfId="37914"/>
    <cellStyle name="Separador de milhares 3 15 4 2 2 5" xfId="31755"/>
    <cellStyle name="Separador de milhares 3 15 4 2 2 6" xfId="25221"/>
    <cellStyle name="Separador de milhares 3 15 4 2 3" xfId="6970"/>
    <cellStyle name="Separador de milhares 3 15 4 2 3 2" xfId="18824"/>
    <cellStyle name="Separador de milhares 3 15 4 2 3 2 2" xfId="45308"/>
    <cellStyle name="Separador de milhares 3 15 4 2 3 3" xfId="12897"/>
    <cellStyle name="Separador de milhares 3 15 4 2 3 3 2" xfId="39400"/>
    <cellStyle name="Separador de milhares 3 15 4 2 3 4" xfId="33492"/>
    <cellStyle name="Separador de milhares 3 15 4 2 3 5" xfId="26958"/>
    <cellStyle name="Separador de milhares 3 15 4 2 4" xfId="15860"/>
    <cellStyle name="Separador de milhares 3 15 4 2 4 2" xfId="42354"/>
    <cellStyle name="Separador de milhares 3 15 4 2 4 3" xfId="23449"/>
    <cellStyle name="Separador de milhares 3 15 4 2 5" xfId="9933"/>
    <cellStyle name="Separador de milhares 3 15 4 2 5 2" xfId="36446"/>
    <cellStyle name="Separador de milhares 3 15 4 2 6" xfId="29983"/>
    <cellStyle name="Separador de milhares 3 15 4 2 7" xfId="21677"/>
    <cellStyle name="Separador de milhares 3 15 4 3" xfId="1518"/>
    <cellStyle name="Separador de milhares 3 15 4 3 2" xfId="5326"/>
    <cellStyle name="Separador de milhares 3 15 4 3 2 2" xfId="8541"/>
    <cellStyle name="Separador de milhares 3 15 4 3 2 2 2" xfId="20395"/>
    <cellStyle name="Separador de milhares 3 15 4 3 2 2 2 2" xfId="46874"/>
    <cellStyle name="Separador de milhares 3 15 4 3 2 2 3" xfId="14468"/>
    <cellStyle name="Separador de milhares 3 15 4 3 2 2 3 2" xfId="40966"/>
    <cellStyle name="Separador de milhares 3 15 4 3 2 2 4" xfId="35058"/>
    <cellStyle name="Separador de milhares 3 15 4 3 2 2 5" xfId="28524"/>
    <cellStyle name="Separador de milhares 3 15 4 3 2 3" xfId="17431"/>
    <cellStyle name="Separador de milhares 3 15 4 3 2 3 2" xfId="43920"/>
    <cellStyle name="Separador de milhares 3 15 4 3 2 4" xfId="11504"/>
    <cellStyle name="Separador de milhares 3 15 4 3 2 4 2" xfId="38012"/>
    <cellStyle name="Separador de milhares 3 15 4 3 2 5" xfId="31853"/>
    <cellStyle name="Separador de milhares 3 15 4 3 2 6" xfId="25319"/>
    <cellStyle name="Separador de milhares 3 15 4 3 3" xfId="7068"/>
    <cellStyle name="Separador de milhares 3 15 4 3 3 2" xfId="18922"/>
    <cellStyle name="Separador de milhares 3 15 4 3 3 2 2" xfId="45406"/>
    <cellStyle name="Separador de milhares 3 15 4 3 3 3" xfId="12995"/>
    <cellStyle name="Separador de milhares 3 15 4 3 3 3 2" xfId="39498"/>
    <cellStyle name="Separador de milhares 3 15 4 3 3 4" xfId="33590"/>
    <cellStyle name="Separador de milhares 3 15 4 3 3 5" xfId="27056"/>
    <cellStyle name="Separador de milhares 3 15 4 3 4" xfId="15958"/>
    <cellStyle name="Separador de milhares 3 15 4 3 4 2" xfId="42452"/>
    <cellStyle name="Separador de milhares 3 15 4 3 4 3" xfId="23547"/>
    <cellStyle name="Separador de milhares 3 15 4 3 5" xfId="10031"/>
    <cellStyle name="Separador de milhares 3 15 4 3 5 2" xfId="36544"/>
    <cellStyle name="Separador de milhares 3 15 4 3 6" xfId="30081"/>
    <cellStyle name="Separador de milhares 3 15 4 3 7" xfId="21775"/>
    <cellStyle name="Separador de milhares 3 15 4 4" xfId="1953"/>
    <cellStyle name="Separador de milhares 3 15 4 4 2" xfId="5445"/>
    <cellStyle name="Separador de milhares 3 15 4 4 2 2" xfId="8660"/>
    <cellStyle name="Separador de milhares 3 15 4 4 2 2 2" xfId="20514"/>
    <cellStyle name="Separador de milhares 3 15 4 4 2 2 2 2" xfId="46993"/>
    <cellStyle name="Separador de milhares 3 15 4 4 2 2 3" xfId="14587"/>
    <cellStyle name="Separador de milhares 3 15 4 4 2 2 3 2" xfId="41085"/>
    <cellStyle name="Separador de milhares 3 15 4 4 2 2 4" xfId="35177"/>
    <cellStyle name="Separador de milhares 3 15 4 4 2 2 5" xfId="28643"/>
    <cellStyle name="Separador de milhares 3 15 4 4 2 3" xfId="17550"/>
    <cellStyle name="Separador de milhares 3 15 4 4 2 3 2" xfId="44039"/>
    <cellStyle name="Separador de milhares 3 15 4 4 2 4" xfId="11623"/>
    <cellStyle name="Separador de milhares 3 15 4 4 2 4 2" xfId="38131"/>
    <cellStyle name="Separador de milhares 3 15 4 4 2 5" xfId="31972"/>
    <cellStyle name="Separador de milhares 3 15 4 4 2 6" xfId="25438"/>
    <cellStyle name="Separador de milhares 3 15 4 4 3" xfId="7187"/>
    <cellStyle name="Separador de milhares 3 15 4 4 3 2" xfId="19041"/>
    <cellStyle name="Separador de milhares 3 15 4 4 3 2 2" xfId="45525"/>
    <cellStyle name="Separador de milhares 3 15 4 4 3 3" xfId="13114"/>
    <cellStyle name="Separador de milhares 3 15 4 4 3 3 2" xfId="39617"/>
    <cellStyle name="Separador de milhares 3 15 4 4 3 4" xfId="33709"/>
    <cellStyle name="Separador de milhares 3 15 4 4 3 5" xfId="27175"/>
    <cellStyle name="Separador de milhares 3 15 4 4 4" xfId="16077"/>
    <cellStyle name="Separador de milhares 3 15 4 4 4 2" xfId="42571"/>
    <cellStyle name="Separador de milhares 3 15 4 4 4 3" xfId="23666"/>
    <cellStyle name="Separador de milhares 3 15 4 4 5" xfId="10150"/>
    <cellStyle name="Separador de milhares 3 15 4 4 5 2" xfId="36663"/>
    <cellStyle name="Separador de milhares 3 15 4 4 6" xfId="30200"/>
    <cellStyle name="Separador de milhares 3 15 4 4 7" xfId="21894"/>
    <cellStyle name="Separador de milhares 3 15 4 5" xfId="2486"/>
    <cellStyle name="Separador de milhares 3 15 4 5 2" xfId="5595"/>
    <cellStyle name="Separador de milhares 3 15 4 5 2 2" xfId="8807"/>
    <cellStyle name="Separador de milhares 3 15 4 5 2 2 2" xfId="20661"/>
    <cellStyle name="Separador de milhares 3 15 4 5 2 2 2 2" xfId="47140"/>
    <cellStyle name="Separador de milhares 3 15 4 5 2 2 3" xfId="14734"/>
    <cellStyle name="Separador de milhares 3 15 4 5 2 2 3 2" xfId="41232"/>
    <cellStyle name="Separador de milhares 3 15 4 5 2 2 4" xfId="35324"/>
    <cellStyle name="Separador de milhares 3 15 4 5 2 2 5" xfId="28790"/>
    <cellStyle name="Separador de milhares 3 15 4 5 2 3" xfId="17697"/>
    <cellStyle name="Separador de milhares 3 15 4 5 2 3 2" xfId="44186"/>
    <cellStyle name="Separador de milhares 3 15 4 5 2 4" xfId="11770"/>
    <cellStyle name="Separador de milhares 3 15 4 5 2 4 2" xfId="38278"/>
    <cellStyle name="Separador de milhares 3 15 4 5 2 5" xfId="32122"/>
    <cellStyle name="Separador de milhares 3 15 4 5 2 6" xfId="25588"/>
    <cellStyle name="Separador de milhares 3 15 4 5 3" xfId="7335"/>
    <cellStyle name="Separador de milhares 3 15 4 5 3 2" xfId="19189"/>
    <cellStyle name="Separador de milhares 3 15 4 5 3 2 2" xfId="45672"/>
    <cellStyle name="Separador de milhares 3 15 4 5 3 3" xfId="13262"/>
    <cellStyle name="Separador de milhares 3 15 4 5 3 3 2" xfId="39764"/>
    <cellStyle name="Separador de milhares 3 15 4 5 3 4" xfId="33856"/>
    <cellStyle name="Separador de milhares 3 15 4 5 3 5" xfId="27322"/>
    <cellStyle name="Separador de milhares 3 15 4 5 4" xfId="16225"/>
    <cellStyle name="Separador de milhares 3 15 4 5 4 2" xfId="42718"/>
    <cellStyle name="Separador de milhares 3 15 4 5 4 3" xfId="23816"/>
    <cellStyle name="Separador de milhares 3 15 4 5 5" xfId="10298"/>
    <cellStyle name="Separador de milhares 3 15 4 5 5 2" xfId="36810"/>
    <cellStyle name="Separador de milhares 3 15 4 5 6" xfId="30350"/>
    <cellStyle name="Separador de milhares 3 15 4 5 7" xfId="22044"/>
    <cellStyle name="Separador de milhares 3 15 4 6" xfId="3014"/>
    <cellStyle name="Separador de milhares 3 15 4 6 2" xfId="5742"/>
    <cellStyle name="Separador de milhares 3 15 4 6 2 2" xfId="8954"/>
    <cellStyle name="Separador de milhares 3 15 4 6 2 2 2" xfId="20808"/>
    <cellStyle name="Separador de milhares 3 15 4 6 2 2 2 2" xfId="47287"/>
    <cellStyle name="Separador de milhares 3 15 4 6 2 2 3" xfId="14881"/>
    <cellStyle name="Separador de milhares 3 15 4 6 2 2 3 2" xfId="41379"/>
    <cellStyle name="Separador de milhares 3 15 4 6 2 2 4" xfId="35471"/>
    <cellStyle name="Separador de milhares 3 15 4 6 2 2 5" xfId="28937"/>
    <cellStyle name="Separador de milhares 3 15 4 6 2 3" xfId="17844"/>
    <cellStyle name="Separador de milhares 3 15 4 6 2 3 2" xfId="44333"/>
    <cellStyle name="Separador de milhares 3 15 4 6 2 4" xfId="11917"/>
    <cellStyle name="Separador de milhares 3 15 4 6 2 4 2" xfId="38425"/>
    <cellStyle name="Separador de milhares 3 15 4 6 2 5" xfId="32269"/>
    <cellStyle name="Separador de milhares 3 15 4 6 2 6" xfId="25735"/>
    <cellStyle name="Separador de milhares 3 15 4 6 3" xfId="7483"/>
    <cellStyle name="Separador de milhares 3 15 4 6 3 2" xfId="19337"/>
    <cellStyle name="Separador de milhares 3 15 4 6 3 2 2" xfId="45819"/>
    <cellStyle name="Separador de milhares 3 15 4 6 3 3" xfId="13410"/>
    <cellStyle name="Separador de milhares 3 15 4 6 3 3 2" xfId="39911"/>
    <cellStyle name="Separador de milhares 3 15 4 6 3 4" xfId="34003"/>
    <cellStyle name="Separador de milhares 3 15 4 6 3 5" xfId="27469"/>
    <cellStyle name="Separador de milhares 3 15 4 6 4" xfId="16373"/>
    <cellStyle name="Separador de milhares 3 15 4 6 4 2" xfId="42865"/>
    <cellStyle name="Separador de milhares 3 15 4 6 4 3" xfId="23963"/>
    <cellStyle name="Separador de milhares 3 15 4 6 5" xfId="10446"/>
    <cellStyle name="Separador de milhares 3 15 4 6 5 2" xfId="36957"/>
    <cellStyle name="Separador de milhares 3 15 4 6 6" xfId="30497"/>
    <cellStyle name="Separador de milhares 3 15 4 6 7" xfId="22191"/>
    <cellStyle name="Separador de milhares 3 15 4 7" xfId="3542"/>
    <cellStyle name="Separador de milhares 3 15 4 7 2" xfId="5889"/>
    <cellStyle name="Separador de milhares 3 15 4 7 2 2" xfId="9101"/>
    <cellStyle name="Separador de milhares 3 15 4 7 2 2 2" xfId="20955"/>
    <cellStyle name="Separador de milhares 3 15 4 7 2 2 2 2" xfId="47434"/>
    <cellStyle name="Separador de milhares 3 15 4 7 2 2 3" xfId="15028"/>
    <cellStyle name="Separador de milhares 3 15 4 7 2 2 3 2" xfId="41526"/>
    <cellStyle name="Separador de milhares 3 15 4 7 2 2 4" xfId="35618"/>
    <cellStyle name="Separador de milhares 3 15 4 7 2 2 5" xfId="29084"/>
    <cellStyle name="Separador de milhares 3 15 4 7 2 3" xfId="17991"/>
    <cellStyle name="Separador de milhares 3 15 4 7 2 3 2" xfId="44480"/>
    <cellStyle name="Separador de milhares 3 15 4 7 2 4" xfId="12064"/>
    <cellStyle name="Separador de milhares 3 15 4 7 2 4 2" xfId="38572"/>
    <cellStyle name="Separador de milhares 3 15 4 7 2 5" xfId="32416"/>
    <cellStyle name="Separador de milhares 3 15 4 7 2 6" xfId="25882"/>
    <cellStyle name="Separador de milhares 3 15 4 7 3" xfId="7631"/>
    <cellStyle name="Separador de milhares 3 15 4 7 3 2" xfId="19485"/>
    <cellStyle name="Separador de milhares 3 15 4 7 3 2 2" xfId="45966"/>
    <cellStyle name="Separador de milhares 3 15 4 7 3 3" xfId="13558"/>
    <cellStyle name="Separador de milhares 3 15 4 7 3 3 2" xfId="40058"/>
    <cellStyle name="Separador de milhares 3 15 4 7 3 4" xfId="34150"/>
    <cellStyle name="Separador de milhares 3 15 4 7 3 5" xfId="27616"/>
    <cellStyle name="Separador de milhares 3 15 4 7 4" xfId="16521"/>
    <cellStyle name="Separador de milhares 3 15 4 7 4 2" xfId="43012"/>
    <cellStyle name="Separador de milhares 3 15 4 7 4 3" xfId="24110"/>
    <cellStyle name="Separador de milhares 3 15 4 7 5" xfId="10594"/>
    <cellStyle name="Separador de milhares 3 15 4 7 5 2" xfId="37104"/>
    <cellStyle name="Separador de milhares 3 15 4 7 6" xfId="30644"/>
    <cellStyle name="Separador de milhares 3 15 4 7 7" xfId="22338"/>
    <cellStyle name="Separador de milhares 3 15 4 8" xfId="4070"/>
    <cellStyle name="Separador de milhares 3 15 4 8 2" xfId="6036"/>
    <cellStyle name="Separador de milhares 3 15 4 8 2 2" xfId="9248"/>
    <cellStyle name="Separador de milhares 3 15 4 8 2 2 2" xfId="21102"/>
    <cellStyle name="Separador de milhares 3 15 4 8 2 2 2 2" xfId="47581"/>
    <cellStyle name="Separador de milhares 3 15 4 8 2 2 3" xfId="15175"/>
    <cellStyle name="Separador de milhares 3 15 4 8 2 2 3 2" xfId="41673"/>
    <cellStyle name="Separador de milhares 3 15 4 8 2 2 4" xfId="35765"/>
    <cellStyle name="Separador de milhares 3 15 4 8 2 2 5" xfId="29231"/>
    <cellStyle name="Separador de milhares 3 15 4 8 2 3" xfId="18138"/>
    <cellStyle name="Separador de milhares 3 15 4 8 2 3 2" xfId="44627"/>
    <cellStyle name="Separador de milhares 3 15 4 8 2 4" xfId="12211"/>
    <cellStyle name="Separador de milhares 3 15 4 8 2 4 2" xfId="38719"/>
    <cellStyle name="Separador de milhares 3 15 4 8 2 5" xfId="32563"/>
    <cellStyle name="Separador de milhares 3 15 4 8 2 6" xfId="26029"/>
    <cellStyle name="Separador de milhares 3 15 4 8 3" xfId="7779"/>
    <cellStyle name="Separador de milhares 3 15 4 8 3 2" xfId="19633"/>
    <cellStyle name="Separador de milhares 3 15 4 8 3 2 2" xfId="46113"/>
    <cellStyle name="Separador de milhares 3 15 4 8 3 3" xfId="13706"/>
    <cellStyle name="Separador de milhares 3 15 4 8 3 3 2" xfId="40205"/>
    <cellStyle name="Separador de milhares 3 15 4 8 3 4" xfId="34297"/>
    <cellStyle name="Separador de milhares 3 15 4 8 3 5" xfId="27763"/>
    <cellStyle name="Separador de milhares 3 15 4 8 4" xfId="16669"/>
    <cellStyle name="Separador de milhares 3 15 4 8 4 2" xfId="43159"/>
    <cellStyle name="Separador de milhares 3 15 4 8 4 3" xfId="24257"/>
    <cellStyle name="Separador de milhares 3 15 4 8 5" xfId="10742"/>
    <cellStyle name="Separador de milhares 3 15 4 8 5 2" xfId="37251"/>
    <cellStyle name="Separador de milhares 3 15 4 8 6" xfId="30791"/>
    <cellStyle name="Separador de milhares 3 15 4 8 7" xfId="22485"/>
    <cellStyle name="Separador de milhares 3 15 4 9" xfId="817"/>
    <cellStyle name="Separador de milhares 3 15 4 9 2" xfId="5130"/>
    <cellStyle name="Separador de milhares 3 15 4 9 2 2" xfId="8345"/>
    <cellStyle name="Separador de milhares 3 15 4 9 2 2 2" xfId="20199"/>
    <cellStyle name="Separador de milhares 3 15 4 9 2 2 2 2" xfId="46678"/>
    <cellStyle name="Separador de milhares 3 15 4 9 2 2 3" xfId="14272"/>
    <cellStyle name="Separador de milhares 3 15 4 9 2 2 3 2" xfId="40770"/>
    <cellStyle name="Separador de milhares 3 15 4 9 2 2 4" xfId="34862"/>
    <cellStyle name="Separador de milhares 3 15 4 9 2 2 5" xfId="28328"/>
    <cellStyle name="Separador de milhares 3 15 4 9 2 3" xfId="17235"/>
    <cellStyle name="Separador de milhares 3 15 4 9 2 3 2" xfId="43724"/>
    <cellStyle name="Separador de milhares 3 15 4 9 2 4" xfId="11308"/>
    <cellStyle name="Separador de milhares 3 15 4 9 2 4 2" xfId="37816"/>
    <cellStyle name="Separador de milhares 3 15 4 9 2 5" xfId="31657"/>
    <cellStyle name="Separador de milhares 3 15 4 9 2 6" xfId="25123"/>
    <cellStyle name="Separador de milhares 3 15 4 9 3" xfId="6872"/>
    <cellStyle name="Separador de milhares 3 15 4 9 3 2" xfId="18726"/>
    <cellStyle name="Separador de milhares 3 15 4 9 3 2 2" xfId="45210"/>
    <cellStyle name="Separador de milhares 3 15 4 9 3 3" xfId="12799"/>
    <cellStyle name="Separador de milhares 3 15 4 9 3 3 2" xfId="39302"/>
    <cellStyle name="Separador de milhares 3 15 4 9 3 4" xfId="33394"/>
    <cellStyle name="Separador de milhares 3 15 4 9 3 5" xfId="26860"/>
    <cellStyle name="Separador de milhares 3 15 4 9 4" xfId="15762"/>
    <cellStyle name="Separador de milhares 3 15 4 9 4 2" xfId="42256"/>
    <cellStyle name="Separador de milhares 3 15 4 9 4 3" xfId="23351"/>
    <cellStyle name="Separador de milhares 3 15 4 9 5" xfId="9835"/>
    <cellStyle name="Separador de milhares 3 15 4 9 5 2" xfId="36348"/>
    <cellStyle name="Separador de milhares 3 15 4 9 6" xfId="29885"/>
    <cellStyle name="Separador de milhares 3 15 4 9 7" xfId="21579"/>
    <cellStyle name="Separador de milhares 3 15 5" xfId="779"/>
    <cellStyle name="Separador de milhares 3 15 5 10" xfId="15725"/>
    <cellStyle name="Separador de milhares 3 15 5 10 2" xfId="42222"/>
    <cellStyle name="Separador de milhares 3 15 5 10 3" xfId="23317"/>
    <cellStyle name="Separador de milhares 3 15 5 11" xfId="9798"/>
    <cellStyle name="Separador de milhares 3 15 5 11 2" xfId="36314"/>
    <cellStyle name="Separador de milhares 3 15 5 12" xfId="29851"/>
    <cellStyle name="Separador de milhares 3 15 5 13" xfId="21545"/>
    <cellStyle name="Separador de milhares 3 15 5 2" xfId="1602"/>
    <cellStyle name="Separador de milhares 3 15 5 2 2" xfId="5347"/>
    <cellStyle name="Separador de milhares 3 15 5 2 2 2" xfId="8562"/>
    <cellStyle name="Separador de milhares 3 15 5 2 2 2 2" xfId="20416"/>
    <cellStyle name="Separador de milhares 3 15 5 2 2 2 2 2" xfId="46895"/>
    <cellStyle name="Separador de milhares 3 15 5 2 2 2 3" xfId="14489"/>
    <cellStyle name="Separador de milhares 3 15 5 2 2 2 3 2" xfId="40987"/>
    <cellStyle name="Separador de milhares 3 15 5 2 2 2 4" xfId="35079"/>
    <cellStyle name="Separador de milhares 3 15 5 2 2 2 5" xfId="28545"/>
    <cellStyle name="Separador de milhares 3 15 5 2 2 3" xfId="17452"/>
    <cellStyle name="Separador de milhares 3 15 5 2 2 3 2" xfId="43941"/>
    <cellStyle name="Separador de milhares 3 15 5 2 2 4" xfId="11525"/>
    <cellStyle name="Separador de milhares 3 15 5 2 2 4 2" xfId="38033"/>
    <cellStyle name="Separador de milhares 3 15 5 2 2 5" xfId="31874"/>
    <cellStyle name="Separador de milhares 3 15 5 2 2 6" xfId="25340"/>
    <cellStyle name="Separador de milhares 3 15 5 2 3" xfId="7089"/>
    <cellStyle name="Separador de milhares 3 15 5 2 3 2" xfId="18943"/>
    <cellStyle name="Separador de milhares 3 15 5 2 3 2 2" xfId="45427"/>
    <cellStyle name="Separador de milhares 3 15 5 2 3 3" xfId="13016"/>
    <cellStyle name="Separador de milhares 3 15 5 2 3 3 2" xfId="39519"/>
    <cellStyle name="Separador de milhares 3 15 5 2 3 4" xfId="33611"/>
    <cellStyle name="Separador de milhares 3 15 5 2 3 5" xfId="27077"/>
    <cellStyle name="Separador de milhares 3 15 5 2 4" xfId="15979"/>
    <cellStyle name="Separador de milhares 3 15 5 2 4 2" xfId="42473"/>
    <cellStyle name="Separador de milhares 3 15 5 2 4 3" xfId="23568"/>
    <cellStyle name="Separador de milhares 3 15 5 2 5" xfId="10052"/>
    <cellStyle name="Separador de milhares 3 15 5 2 5 2" xfId="36565"/>
    <cellStyle name="Separador de milhares 3 15 5 2 6" xfId="30102"/>
    <cellStyle name="Separador de milhares 3 15 5 2 7" xfId="21796"/>
    <cellStyle name="Separador de milhares 3 15 5 3" xfId="2037"/>
    <cellStyle name="Separador de milhares 3 15 5 3 2" xfId="5466"/>
    <cellStyle name="Separador de milhares 3 15 5 3 2 2" xfId="8681"/>
    <cellStyle name="Separador de milhares 3 15 5 3 2 2 2" xfId="20535"/>
    <cellStyle name="Separador de milhares 3 15 5 3 2 2 2 2" xfId="47014"/>
    <cellStyle name="Separador de milhares 3 15 5 3 2 2 3" xfId="14608"/>
    <cellStyle name="Separador de milhares 3 15 5 3 2 2 3 2" xfId="41106"/>
    <cellStyle name="Separador de milhares 3 15 5 3 2 2 4" xfId="35198"/>
    <cellStyle name="Separador de milhares 3 15 5 3 2 2 5" xfId="28664"/>
    <cellStyle name="Separador de milhares 3 15 5 3 2 3" xfId="17571"/>
    <cellStyle name="Separador de milhares 3 15 5 3 2 3 2" xfId="44060"/>
    <cellStyle name="Separador de milhares 3 15 5 3 2 4" xfId="11644"/>
    <cellStyle name="Separador de milhares 3 15 5 3 2 4 2" xfId="38152"/>
    <cellStyle name="Separador de milhares 3 15 5 3 2 5" xfId="31993"/>
    <cellStyle name="Separador de milhares 3 15 5 3 2 6" xfId="25459"/>
    <cellStyle name="Separador de milhares 3 15 5 3 3" xfId="7208"/>
    <cellStyle name="Separador de milhares 3 15 5 3 3 2" xfId="19062"/>
    <cellStyle name="Separador de milhares 3 15 5 3 3 2 2" xfId="45546"/>
    <cellStyle name="Separador de milhares 3 15 5 3 3 3" xfId="13135"/>
    <cellStyle name="Separador de milhares 3 15 5 3 3 3 2" xfId="39638"/>
    <cellStyle name="Separador de milhares 3 15 5 3 3 4" xfId="33730"/>
    <cellStyle name="Separador de milhares 3 15 5 3 3 5" xfId="27196"/>
    <cellStyle name="Separador de milhares 3 15 5 3 4" xfId="16098"/>
    <cellStyle name="Separador de milhares 3 15 5 3 4 2" xfId="42592"/>
    <cellStyle name="Separador de milhares 3 15 5 3 4 3" xfId="23687"/>
    <cellStyle name="Separador de milhares 3 15 5 3 5" xfId="10171"/>
    <cellStyle name="Separador de milhares 3 15 5 3 5 2" xfId="36684"/>
    <cellStyle name="Separador de milhares 3 15 5 3 6" xfId="30221"/>
    <cellStyle name="Separador de milhares 3 15 5 3 7" xfId="21915"/>
    <cellStyle name="Separador de milhares 3 15 5 4" xfId="2570"/>
    <cellStyle name="Separador de milhares 3 15 5 4 2" xfId="5616"/>
    <cellStyle name="Separador de milhares 3 15 5 4 2 2" xfId="8828"/>
    <cellStyle name="Separador de milhares 3 15 5 4 2 2 2" xfId="20682"/>
    <cellStyle name="Separador de milhares 3 15 5 4 2 2 2 2" xfId="47161"/>
    <cellStyle name="Separador de milhares 3 15 5 4 2 2 3" xfId="14755"/>
    <cellStyle name="Separador de milhares 3 15 5 4 2 2 3 2" xfId="41253"/>
    <cellStyle name="Separador de milhares 3 15 5 4 2 2 4" xfId="35345"/>
    <cellStyle name="Separador de milhares 3 15 5 4 2 2 5" xfId="28811"/>
    <cellStyle name="Separador de milhares 3 15 5 4 2 3" xfId="17718"/>
    <cellStyle name="Separador de milhares 3 15 5 4 2 3 2" xfId="44207"/>
    <cellStyle name="Separador de milhares 3 15 5 4 2 4" xfId="11791"/>
    <cellStyle name="Separador de milhares 3 15 5 4 2 4 2" xfId="38299"/>
    <cellStyle name="Separador de milhares 3 15 5 4 2 5" xfId="32143"/>
    <cellStyle name="Separador de milhares 3 15 5 4 2 6" xfId="25609"/>
    <cellStyle name="Separador de milhares 3 15 5 4 3" xfId="7356"/>
    <cellStyle name="Separador de milhares 3 15 5 4 3 2" xfId="19210"/>
    <cellStyle name="Separador de milhares 3 15 5 4 3 2 2" xfId="45693"/>
    <cellStyle name="Separador de milhares 3 15 5 4 3 3" xfId="13283"/>
    <cellStyle name="Separador de milhares 3 15 5 4 3 3 2" xfId="39785"/>
    <cellStyle name="Separador de milhares 3 15 5 4 3 4" xfId="33877"/>
    <cellStyle name="Separador de milhares 3 15 5 4 3 5" xfId="27343"/>
    <cellStyle name="Separador de milhares 3 15 5 4 4" xfId="16246"/>
    <cellStyle name="Separador de milhares 3 15 5 4 4 2" xfId="42739"/>
    <cellStyle name="Separador de milhares 3 15 5 4 4 3" xfId="23837"/>
    <cellStyle name="Separador de milhares 3 15 5 4 5" xfId="10319"/>
    <cellStyle name="Separador de milhares 3 15 5 4 5 2" xfId="36831"/>
    <cellStyle name="Separador de milhares 3 15 5 4 6" xfId="30371"/>
    <cellStyle name="Separador de milhares 3 15 5 4 7" xfId="22065"/>
    <cellStyle name="Separador de milhares 3 15 5 5" xfId="3098"/>
    <cellStyle name="Separador de milhares 3 15 5 5 2" xfId="5763"/>
    <cellStyle name="Separador de milhares 3 15 5 5 2 2" xfId="8975"/>
    <cellStyle name="Separador de milhares 3 15 5 5 2 2 2" xfId="20829"/>
    <cellStyle name="Separador de milhares 3 15 5 5 2 2 2 2" xfId="47308"/>
    <cellStyle name="Separador de milhares 3 15 5 5 2 2 3" xfId="14902"/>
    <cellStyle name="Separador de milhares 3 15 5 5 2 2 3 2" xfId="41400"/>
    <cellStyle name="Separador de milhares 3 15 5 5 2 2 4" xfId="35492"/>
    <cellStyle name="Separador de milhares 3 15 5 5 2 2 5" xfId="28958"/>
    <cellStyle name="Separador de milhares 3 15 5 5 2 3" xfId="17865"/>
    <cellStyle name="Separador de milhares 3 15 5 5 2 3 2" xfId="44354"/>
    <cellStyle name="Separador de milhares 3 15 5 5 2 4" xfId="11938"/>
    <cellStyle name="Separador de milhares 3 15 5 5 2 4 2" xfId="38446"/>
    <cellStyle name="Separador de milhares 3 15 5 5 2 5" xfId="32290"/>
    <cellStyle name="Separador de milhares 3 15 5 5 2 6" xfId="25756"/>
    <cellStyle name="Separador de milhares 3 15 5 5 3" xfId="7504"/>
    <cellStyle name="Separador de milhares 3 15 5 5 3 2" xfId="19358"/>
    <cellStyle name="Separador de milhares 3 15 5 5 3 2 2" xfId="45840"/>
    <cellStyle name="Separador de milhares 3 15 5 5 3 3" xfId="13431"/>
    <cellStyle name="Separador de milhares 3 15 5 5 3 3 2" xfId="39932"/>
    <cellStyle name="Separador de milhares 3 15 5 5 3 4" xfId="34024"/>
    <cellStyle name="Separador de milhares 3 15 5 5 3 5" xfId="27490"/>
    <cellStyle name="Separador de milhares 3 15 5 5 4" xfId="16394"/>
    <cellStyle name="Separador de milhares 3 15 5 5 4 2" xfId="42886"/>
    <cellStyle name="Separador de milhares 3 15 5 5 4 3" xfId="23984"/>
    <cellStyle name="Separador de milhares 3 15 5 5 5" xfId="10467"/>
    <cellStyle name="Separador de milhares 3 15 5 5 5 2" xfId="36978"/>
    <cellStyle name="Separador de milhares 3 15 5 5 6" xfId="30518"/>
    <cellStyle name="Separador de milhares 3 15 5 5 7" xfId="22212"/>
    <cellStyle name="Separador de milhares 3 15 5 6" xfId="3626"/>
    <cellStyle name="Separador de milhares 3 15 5 6 2" xfId="5910"/>
    <cellStyle name="Separador de milhares 3 15 5 6 2 2" xfId="9122"/>
    <cellStyle name="Separador de milhares 3 15 5 6 2 2 2" xfId="20976"/>
    <cellStyle name="Separador de milhares 3 15 5 6 2 2 2 2" xfId="47455"/>
    <cellStyle name="Separador de milhares 3 15 5 6 2 2 3" xfId="15049"/>
    <cellStyle name="Separador de milhares 3 15 5 6 2 2 3 2" xfId="41547"/>
    <cellStyle name="Separador de milhares 3 15 5 6 2 2 4" xfId="35639"/>
    <cellStyle name="Separador de milhares 3 15 5 6 2 2 5" xfId="29105"/>
    <cellStyle name="Separador de milhares 3 15 5 6 2 3" xfId="18012"/>
    <cellStyle name="Separador de milhares 3 15 5 6 2 3 2" xfId="44501"/>
    <cellStyle name="Separador de milhares 3 15 5 6 2 4" xfId="12085"/>
    <cellStyle name="Separador de milhares 3 15 5 6 2 4 2" xfId="38593"/>
    <cellStyle name="Separador de milhares 3 15 5 6 2 5" xfId="32437"/>
    <cellStyle name="Separador de milhares 3 15 5 6 2 6" xfId="25903"/>
    <cellStyle name="Separador de milhares 3 15 5 6 3" xfId="7652"/>
    <cellStyle name="Separador de milhares 3 15 5 6 3 2" xfId="19506"/>
    <cellStyle name="Separador de milhares 3 15 5 6 3 2 2" xfId="45987"/>
    <cellStyle name="Separador de milhares 3 15 5 6 3 3" xfId="13579"/>
    <cellStyle name="Separador de milhares 3 15 5 6 3 3 2" xfId="40079"/>
    <cellStyle name="Separador de milhares 3 15 5 6 3 4" xfId="34171"/>
    <cellStyle name="Separador de milhares 3 15 5 6 3 5" xfId="27637"/>
    <cellStyle name="Separador de milhares 3 15 5 6 4" xfId="16542"/>
    <cellStyle name="Separador de milhares 3 15 5 6 4 2" xfId="43033"/>
    <cellStyle name="Separador de milhares 3 15 5 6 4 3" xfId="24131"/>
    <cellStyle name="Separador de milhares 3 15 5 6 5" xfId="10615"/>
    <cellStyle name="Separador de milhares 3 15 5 6 5 2" xfId="37125"/>
    <cellStyle name="Separador de milhares 3 15 5 6 6" xfId="30665"/>
    <cellStyle name="Separador de milhares 3 15 5 6 7" xfId="22359"/>
    <cellStyle name="Separador de milhares 3 15 5 7" xfId="4154"/>
    <cellStyle name="Separador de milhares 3 15 5 7 2" xfId="6057"/>
    <cellStyle name="Separador de milhares 3 15 5 7 2 2" xfId="9269"/>
    <cellStyle name="Separador de milhares 3 15 5 7 2 2 2" xfId="21123"/>
    <cellStyle name="Separador de milhares 3 15 5 7 2 2 2 2" xfId="47602"/>
    <cellStyle name="Separador de milhares 3 15 5 7 2 2 3" xfId="15196"/>
    <cellStyle name="Separador de milhares 3 15 5 7 2 2 3 2" xfId="41694"/>
    <cellStyle name="Separador de milhares 3 15 5 7 2 2 4" xfId="35786"/>
    <cellStyle name="Separador de milhares 3 15 5 7 2 2 5" xfId="29252"/>
    <cellStyle name="Separador de milhares 3 15 5 7 2 3" xfId="18159"/>
    <cellStyle name="Separador de milhares 3 15 5 7 2 3 2" xfId="44648"/>
    <cellStyle name="Separador de milhares 3 15 5 7 2 4" xfId="12232"/>
    <cellStyle name="Separador de milhares 3 15 5 7 2 4 2" xfId="38740"/>
    <cellStyle name="Separador de milhares 3 15 5 7 2 5" xfId="32584"/>
    <cellStyle name="Separador de milhares 3 15 5 7 2 6" xfId="26050"/>
    <cellStyle name="Separador de milhares 3 15 5 7 3" xfId="7800"/>
    <cellStyle name="Separador de milhares 3 15 5 7 3 2" xfId="19654"/>
    <cellStyle name="Separador de milhares 3 15 5 7 3 2 2" xfId="46134"/>
    <cellStyle name="Separador de milhares 3 15 5 7 3 3" xfId="13727"/>
    <cellStyle name="Separador de milhares 3 15 5 7 3 3 2" xfId="40226"/>
    <cellStyle name="Separador de milhares 3 15 5 7 3 4" xfId="34318"/>
    <cellStyle name="Separador de milhares 3 15 5 7 3 5" xfId="27784"/>
    <cellStyle name="Separador de milhares 3 15 5 7 4" xfId="16690"/>
    <cellStyle name="Separador de milhares 3 15 5 7 4 2" xfId="43180"/>
    <cellStyle name="Separador de milhares 3 15 5 7 4 3" xfId="24278"/>
    <cellStyle name="Separador de milhares 3 15 5 7 5" xfId="10763"/>
    <cellStyle name="Separador de milhares 3 15 5 7 5 2" xfId="37272"/>
    <cellStyle name="Separador de milhares 3 15 5 7 6" xfId="30812"/>
    <cellStyle name="Separador de milhares 3 15 5 7 7" xfId="22506"/>
    <cellStyle name="Separador de milhares 3 15 5 8" xfId="5096"/>
    <cellStyle name="Separador de milhares 3 15 5 8 2" xfId="8311"/>
    <cellStyle name="Separador de milhares 3 15 5 8 2 2" xfId="20165"/>
    <cellStyle name="Separador de milhares 3 15 5 8 2 2 2" xfId="46644"/>
    <cellStyle name="Separador de milhares 3 15 5 8 2 3" xfId="14238"/>
    <cellStyle name="Separador de milhares 3 15 5 8 2 3 2" xfId="40736"/>
    <cellStyle name="Separador de milhares 3 15 5 8 2 4" xfId="34828"/>
    <cellStyle name="Separador de milhares 3 15 5 8 2 5" xfId="28294"/>
    <cellStyle name="Separador de milhares 3 15 5 8 3" xfId="17201"/>
    <cellStyle name="Separador de milhares 3 15 5 8 3 2" xfId="43690"/>
    <cellStyle name="Separador de milhares 3 15 5 8 4" xfId="11274"/>
    <cellStyle name="Separador de milhares 3 15 5 8 4 2" xfId="37782"/>
    <cellStyle name="Separador de milhares 3 15 5 8 5" xfId="31623"/>
    <cellStyle name="Separador de milhares 3 15 5 8 6" xfId="25089"/>
    <cellStyle name="Separador de milhares 3 15 5 9" xfId="6835"/>
    <cellStyle name="Separador de milhares 3 15 5 9 2" xfId="18689"/>
    <cellStyle name="Separador de milhares 3 15 5 9 2 2" xfId="45176"/>
    <cellStyle name="Separador de milhares 3 15 5 9 3" xfId="12762"/>
    <cellStyle name="Separador de milhares 3 15 5 9 3 2" xfId="39268"/>
    <cellStyle name="Separador de milhares 3 15 5 9 4" xfId="33360"/>
    <cellStyle name="Separador de milhares 3 15 5 9 5" xfId="26826"/>
    <cellStyle name="Separador de milhares 3 15 6" xfId="900"/>
    <cellStyle name="Separador de milhares 3 15 6 2" xfId="4331"/>
    <cellStyle name="Separador de milhares 3 15 6 2 2" xfId="6106"/>
    <cellStyle name="Separador de milhares 3 15 6 2 2 2" xfId="9318"/>
    <cellStyle name="Separador de milhares 3 15 6 2 2 2 2" xfId="21172"/>
    <cellStyle name="Separador de milhares 3 15 6 2 2 2 2 2" xfId="47651"/>
    <cellStyle name="Separador de milhares 3 15 6 2 2 2 3" xfId="15245"/>
    <cellStyle name="Separador de milhares 3 15 6 2 2 2 3 2" xfId="41743"/>
    <cellStyle name="Separador de milhares 3 15 6 2 2 2 4" xfId="35835"/>
    <cellStyle name="Separador de milhares 3 15 6 2 2 2 5" xfId="29301"/>
    <cellStyle name="Separador de milhares 3 15 6 2 2 3" xfId="18208"/>
    <cellStyle name="Separador de milhares 3 15 6 2 2 3 2" xfId="44697"/>
    <cellStyle name="Separador de milhares 3 15 6 2 2 4" xfId="12281"/>
    <cellStyle name="Separador de milhares 3 15 6 2 2 4 2" xfId="38789"/>
    <cellStyle name="Separador de milhares 3 15 6 2 2 5" xfId="32633"/>
    <cellStyle name="Separador de milhares 3 15 6 2 2 6" xfId="26099"/>
    <cellStyle name="Separador de milhares 3 15 6 2 3" xfId="7850"/>
    <cellStyle name="Separador de milhares 3 15 6 2 3 2" xfId="19704"/>
    <cellStyle name="Separador de milhares 3 15 6 2 3 2 2" xfId="46183"/>
    <cellStyle name="Separador de milhares 3 15 6 2 3 3" xfId="13777"/>
    <cellStyle name="Separador de milhares 3 15 6 2 3 3 2" xfId="40275"/>
    <cellStyle name="Separador de milhares 3 15 6 2 3 4" xfId="34367"/>
    <cellStyle name="Separador de milhares 3 15 6 2 3 5" xfId="27833"/>
    <cellStyle name="Separador de milhares 3 15 6 2 4" xfId="16740"/>
    <cellStyle name="Separador de milhares 3 15 6 2 4 2" xfId="43229"/>
    <cellStyle name="Separador de milhares 3 15 6 2 4 3" xfId="24327"/>
    <cellStyle name="Separador de milhares 3 15 6 2 5" xfId="10813"/>
    <cellStyle name="Separador de milhares 3 15 6 2 5 2" xfId="37321"/>
    <cellStyle name="Separador de milhares 3 15 6 2 6" xfId="30861"/>
    <cellStyle name="Separador de milhares 3 15 6 2 7" xfId="22555"/>
    <cellStyle name="Separador de milhares 3 15 6 3" xfId="5151"/>
    <cellStyle name="Separador de milhares 3 15 6 3 2" xfId="8366"/>
    <cellStyle name="Separador de milhares 3 15 6 3 2 2" xfId="20220"/>
    <cellStyle name="Separador de milhares 3 15 6 3 2 2 2" xfId="46699"/>
    <cellStyle name="Separador de milhares 3 15 6 3 2 3" xfId="14293"/>
    <cellStyle name="Separador de milhares 3 15 6 3 2 3 2" xfId="40791"/>
    <cellStyle name="Separador de milhares 3 15 6 3 2 4" xfId="34883"/>
    <cellStyle name="Separador de milhares 3 15 6 3 2 5" xfId="28349"/>
    <cellStyle name="Separador de milhares 3 15 6 3 3" xfId="17256"/>
    <cellStyle name="Separador de milhares 3 15 6 3 3 2" xfId="43745"/>
    <cellStyle name="Separador de milhares 3 15 6 3 4" xfId="11329"/>
    <cellStyle name="Separador de milhares 3 15 6 3 4 2" xfId="37837"/>
    <cellStyle name="Separador de milhares 3 15 6 3 5" xfId="31678"/>
    <cellStyle name="Separador de milhares 3 15 6 3 6" xfId="25144"/>
    <cellStyle name="Separador de milhares 3 15 6 4" xfId="6893"/>
    <cellStyle name="Separador de milhares 3 15 6 4 2" xfId="18747"/>
    <cellStyle name="Separador de milhares 3 15 6 4 2 2" xfId="45231"/>
    <cellStyle name="Separador de milhares 3 15 6 4 3" xfId="12820"/>
    <cellStyle name="Separador de milhares 3 15 6 4 3 2" xfId="39323"/>
    <cellStyle name="Separador de milhares 3 15 6 4 4" xfId="33415"/>
    <cellStyle name="Separador de milhares 3 15 6 4 5" xfId="26881"/>
    <cellStyle name="Separador de milhares 3 15 6 5" xfId="15783"/>
    <cellStyle name="Separador de milhares 3 15 6 5 2" xfId="42277"/>
    <cellStyle name="Separador de milhares 3 15 6 5 3" xfId="23372"/>
    <cellStyle name="Separador de milhares 3 15 6 6" xfId="9856"/>
    <cellStyle name="Separador de milhares 3 15 6 6 2" xfId="36369"/>
    <cellStyle name="Separador de milhares 3 15 6 7" xfId="29906"/>
    <cellStyle name="Separador de milhares 3 15 6 8" xfId="21600"/>
    <cellStyle name="Separador de milhares 3 15 7" xfId="1251"/>
    <cellStyle name="Separador de milhares 3 15 7 2" xfId="5249"/>
    <cellStyle name="Separador de milhares 3 15 7 2 2" xfId="8464"/>
    <cellStyle name="Separador de milhares 3 15 7 2 2 2" xfId="20318"/>
    <cellStyle name="Separador de milhares 3 15 7 2 2 2 2" xfId="46797"/>
    <cellStyle name="Separador de milhares 3 15 7 2 2 3" xfId="14391"/>
    <cellStyle name="Separador de milhares 3 15 7 2 2 3 2" xfId="40889"/>
    <cellStyle name="Separador de milhares 3 15 7 2 2 4" xfId="34981"/>
    <cellStyle name="Separador de milhares 3 15 7 2 2 5" xfId="28447"/>
    <cellStyle name="Separador de milhares 3 15 7 2 3" xfId="17354"/>
    <cellStyle name="Separador de milhares 3 15 7 2 3 2" xfId="43843"/>
    <cellStyle name="Separador de milhares 3 15 7 2 4" xfId="11427"/>
    <cellStyle name="Separador de milhares 3 15 7 2 4 2" xfId="37935"/>
    <cellStyle name="Separador de milhares 3 15 7 2 5" xfId="31776"/>
    <cellStyle name="Separador de milhares 3 15 7 2 6" xfId="25242"/>
    <cellStyle name="Separador de milhares 3 15 7 3" xfId="6991"/>
    <cellStyle name="Separador de milhares 3 15 7 3 2" xfId="18845"/>
    <cellStyle name="Separador de milhares 3 15 7 3 2 2" xfId="45329"/>
    <cellStyle name="Separador de milhares 3 15 7 3 3" xfId="12918"/>
    <cellStyle name="Separador de milhares 3 15 7 3 3 2" xfId="39421"/>
    <cellStyle name="Separador de milhares 3 15 7 3 4" xfId="33513"/>
    <cellStyle name="Separador de milhares 3 15 7 3 5" xfId="26979"/>
    <cellStyle name="Separador de milhares 3 15 7 4" xfId="15881"/>
    <cellStyle name="Separador de milhares 3 15 7 4 2" xfId="42375"/>
    <cellStyle name="Separador de milhares 3 15 7 4 3" xfId="23470"/>
    <cellStyle name="Separador de milhares 3 15 7 5" xfId="9954"/>
    <cellStyle name="Separador de milhares 3 15 7 5 2" xfId="36467"/>
    <cellStyle name="Separador de milhares 3 15 7 6" xfId="30004"/>
    <cellStyle name="Separador de milhares 3 15 7 7" xfId="21698"/>
    <cellStyle name="Separador de milhares 3 15 8" xfId="1686"/>
    <cellStyle name="Separador de milhares 3 15 8 2" xfId="5368"/>
    <cellStyle name="Separador de milhares 3 15 8 2 2" xfId="8583"/>
    <cellStyle name="Separador de milhares 3 15 8 2 2 2" xfId="20437"/>
    <cellStyle name="Separador de milhares 3 15 8 2 2 2 2" xfId="46916"/>
    <cellStyle name="Separador de milhares 3 15 8 2 2 3" xfId="14510"/>
    <cellStyle name="Separador de milhares 3 15 8 2 2 3 2" xfId="41008"/>
    <cellStyle name="Separador de milhares 3 15 8 2 2 4" xfId="35100"/>
    <cellStyle name="Separador de milhares 3 15 8 2 2 5" xfId="28566"/>
    <cellStyle name="Separador de milhares 3 15 8 2 3" xfId="17473"/>
    <cellStyle name="Separador de milhares 3 15 8 2 3 2" xfId="43962"/>
    <cellStyle name="Separador de milhares 3 15 8 2 4" xfId="11546"/>
    <cellStyle name="Separador de milhares 3 15 8 2 4 2" xfId="38054"/>
    <cellStyle name="Separador de milhares 3 15 8 2 5" xfId="31895"/>
    <cellStyle name="Separador de milhares 3 15 8 2 6" xfId="25361"/>
    <cellStyle name="Separador de milhares 3 15 8 3" xfId="7110"/>
    <cellStyle name="Separador de milhares 3 15 8 3 2" xfId="18964"/>
    <cellStyle name="Separador de milhares 3 15 8 3 2 2" xfId="45448"/>
    <cellStyle name="Separador de milhares 3 15 8 3 3" xfId="13037"/>
    <cellStyle name="Separador de milhares 3 15 8 3 3 2" xfId="39540"/>
    <cellStyle name="Separador de milhares 3 15 8 3 4" xfId="33632"/>
    <cellStyle name="Separador de milhares 3 15 8 3 5" xfId="27098"/>
    <cellStyle name="Separador de milhares 3 15 8 4" xfId="16000"/>
    <cellStyle name="Separador de milhares 3 15 8 4 2" xfId="42494"/>
    <cellStyle name="Separador de milhares 3 15 8 4 3" xfId="23589"/>
    <cellStyle name="Separador de milhares 3 15 8 5" xfId="10073"/>
    <cellStyle name="Separador de milhares 3 15 8 5 2" xfId="36586"/>
    <cellStyle name="Separador de milhares 3 15 8 6" xfId="30123"/>
    <cellStyle name="Separador de milhares 3 15 8 7" xfId="21817"/>
    <cellStyle name="Separador de milhares 3 15 9" xfId="2219"/>
    <cellStyle name="Separador de milhares 3 15 9 2" xfId="5518"/>
    <cellStyle name="Separador de milhares 3 15 9 2 2" xfId="8730"/>
    <cellStyle name="Separador de milhares 3 15 9 2 2 2" xfId="20584"/>
    <cellStyle name="Separador de milhares 3 15 9 2 2 2 2" xfId="47063"/>
    <cellStyle name="Separador de milhares 3 15 9 2 2 3" xfId="14657"/>
    <cellStyle name="Separador de milhares 3 15 9 2 2 3 2" xfId="41155"/>
    <cellStyle name="Separador de milhares 3 15 9 2 2 4" xfId="35247"/>
    <cellStyle name="Separador de milhares 3 15 9 2 2 5" xfId="28713"/>
    <cellStyle name="Separador de milhares 3 15 9 2 3" xfId="17620"/>
    <cellStyle name="Separador de milhares 3 15 9 2 3 2" xfId="44109"/>
    <cellStyle name="Separador de milhares 3 15 9 2 4" xfId="11693"/>
    <cellStyle name="Separador de milhares 3 15 9 2 4 2" xfId="38201"/>
    <cellStyle name="Separador de milhares 3 15 9 2 5" xfId="32045"/>
    <cellStyle name="Separador de milhares 3 15 9 2 6" xfId="25511"/>
    <cellStyle name="Separador de milhares 3 15 9 3" xfId="7258"/>
    <cellStyle name="Separador de milhares 3 15 9 3 2" xfId="19112"/>
    <cellStyle name="Separador de milhares 3 15 9 3 2 2" xfId="45595"/>
    <cellStyle name="Separador de milhares 3 15 9 3 3" xfId="13185"/>
    <cellStyle name="Separador de milhares 3 15 9 3 3 2" xfId="39687"/>
    <cellStyle name="Separador de milhares 3 15 9 3 4" xfId="33779"/>
    <cellStyle name="Separador de milhares 3 15 9 3 5" xfId="27245"/>
    <cellStyle name="Separador de milhares 3 15 9 4" xfId="16148"/>
    <cellStyle name="Separador de milhares 3 15 9 4 2" xfId="42641"/>
    <cellStyle name="Separador de milhares 3 15 9 4 3" xfId="23739"/>
    <cellStyle name="Separador de milhares 3 15 9 5" xfId="10221"/>
    <cellStyle name="Separador de milhares 3 15 9 5 2" xfId="36733"/>
    <cellStyle name="Separador de milhares 3 15 9 6" xfId="30273"/>
    <cellStyle name="Separador de milhares 3 15 9 7" xfId="21967"/>
    <cellStyle name="Separador de milhares 3 16" xfId="251"/>
    <cellStyle name="Separador de milhares 3 16 10" xfId="4952"/>
    <cellStyle name="Separador de milhares 3 16 10 2" xfId="8174"/>
    <cellStyle name="Separador de milhares 3 16 10 2 2" xfId="20028"/>
    <cellStyle name="Separador de milhares 3 16 10 2 2 2" xfId="46507"/>
    <cellStyle name="Separador de milhares 3 16 10 2 3" xfId="14101"/>
    <cellStyle name="Separador de milhares 3 16 10 2 3 2" xfId="40599"/>
    <cellStyle name="Separador de milhares 3 16 10 2 4" xfId="34691"/>
    <cellStyle name="Separador de milhares 3 16 10 2 5" xfId="28157"/>
    <cellStyle name="Separador de milhares 3 16 10 3" xfId="17064"/>
    <cellStyle name="Separador de milhares 3 16 10 3 2" xfId="43553"/>
    <cellStyle name="Separador de milhares 3 16 10 4" xfId="11137"/>
    <cellStyle name="Separador de milhares 3 16 10 4 2" xfId="37645"/>
    <cellStyle name="Separador de milhares 3 16 10 5" xfId="31479"/>
    <cellStyle name="Separador de milhares 3 16 10 6" xfId="24945"/>
    <cellStyle name="Separador de milhares 3 16 11" xfId="6698"/>
    <cellStyle name="Separador de milhares 3 16 11 2" xfId="18552"/>
    <cellStyle name="Separador de milhares 3 16 11 2 2" xfId="45039"/>
    <cellStyle name="Separador de milhares 3 16 11 3" xfId="12625"/>
    <cellStyle name="Separador de milhares 3 16 11 3 2" xfId="39131"/>
    <cellStyle name="Separador de milhares 3 16 11 4" xfId="33223"/>
    <cellStyle name="Separador de milhares 3 16 11 5" xfId="26689"/>
    <cellStyle name="Separador de milhares 3 16 12" xfId="15588"/>
    <cellStyle name="Separador de milhares 3 16 12 2" xfId="42085"/>
    <cellStyle name="Separador de milhares 3 16 12 3" xfId="23173"/>
    <cellStyle name="Separador de milhares 3 16 13" xfId="9661"/>
    <cellStyle name="Separador de milhares 3 16 13 2" xfId="36177"/>
    <cellStyle name="Separador de milhares 3 16 14" xfId="29707"/>
    <cellStyle name="Separador de milhares 3 16 15" xfId="21425"/>
    <cellStyle name="Separador de milhares 3 16 2" xfId="526"/>
    <cellStyle name="Separador de milhares 3 16 2 10" xfId="9735"/>
    <cellStyle name="Separador de milhares 3 16 2 10 2" xfId="36251"/>
    <cellStyle name="Separador de milhares 3 16 2 11" xfId="29788"/>
    <cellStyle name="Separador de milhares 3 16 2 12" xfId="21483"/>
    <cellStyle name="Separador de milhares 3 16 2 2" xfId="2047"/>
    <cellStyle name="Separador de milhares 3 16 2 2 2" xfId="5471"/>
    <cellStyle name="Separador de milhares 3 16 2 2 2 2" xfId="8686"/>
    <cellStyle name="Separador de milhares 3 16 2 2 2 2 2" xfId="20540"/>
    <cellStyle name="Separador de milhares 3 16 2 2 2 2 2 2" xfId="47019"/>
    <cellStyle name="Separador de milhares 3 16 2 2 2 2 3" xfId="14613"/>
    <cellStyle name="Separador de milhares 3 16 2 2 2 2 3 2" xfId="41111"/>
    <cellStyle name="Separador de milhares 3 16 2 2 2 2 4" xfId="35203"/>
    <cellStyle name="Separador de milhares 3 16 2 2 2 2 5" xfId="28669"/>
    <cellStyle name="Separador de milhares 3 16 2 2 2 3" xfId="17576"/>
    <cellStyle name="Separador de milhares 3 16 2 2 2 3 2" xfId="44065"/>
    <cellStyle name="Separador de milhares 3 16 2 2 2 4" xfId="11649"/>
    <cellStyle name="Separador de milhares 3 16 2 2 2 4 2" xfId="38157"/>
    <cellStyle name="Separador de milhares 3 16 2 2 2 5" xfId="31998"/>
    <cellStyle name="Separador de milhares 3 16 2 2 2 6" xfId="25464"/>
    <cellStyle name="Separador de milhares 3 16 2 2 3" xfId="7214"/>
    <cellStyle name="Separador de milhares 3 16 2 2 3 2" xfId="19068"/>
    <cellStyle name="Separador de milhares 3 16 2 2 3 2 2" xfId="45551"/>
    <cellStyle name="Separador de milhares 3 16 2 2 3 3" xfId="13141"/>
    <cellStyle name="Separador de milhares 3 16 2 2 3 3 2" xfId="39643"/>
    <cellStyle name="Separador de milhares 3 16 2 2 3 4" xfId="33735"/>
    <cellStyle name="Separador de milhares 3 16 2 2 3 5" xfId="27201"/>
    <cellStyle name="Separador de milhares 3 16 2 2 4" xfId="16104"/>
    <cellStyle name="Separador de milhares 3 16 2 2 4 2" xfId="42597"/>
    <cellStyle name="Separador de milhares 3 16 2 2 4 3" xfId="23692"/>
    <cellStyle name="Separador de milhares 3 16 2 2 5" xfId="10177"/>
    <cellStyle name="Separador de milhares 3 16 2 2 5 2" xfId="36689"/>
    <cellStyle name="Separador de milhares 3 16 2 2 6" xfId="30226"/>
    <cellStyle name="Separador de milhares 3 16 2 2 7" xfId="21920"/>
    <cellStyle name="Separador de milhares 3 16 2 3" xfId="2580"/>
    <cellStyle name="Separador de milhares 3 16 2 3 2" xfId="5621"/>
    <cellStyle name="Separador de milhares 3 16 2 3 2 2" xfId="8833"/>
    <cellStyle name="Separador de milhares 3 16 2 3 2 2 2" xfId="20687"/>
    <cellStyle name="Separador de milhares 3 16 2 3 2 2 2 2" xfId="47166"/>
    <cellStyle name="Separador de milhares 3 16 2 3 2 2 3" xfId="14760"/>
    <cellStyle name="Separador de milhares 3 16 2 3 2 2 3 2" xfId="41258"/>
    <cellStyle name="Separador de milhares 3 16 2 3 2 2 4" xfId="35350"/>
    <cellStyle name="Separador de milhares 3 16 2 3 2 2 5" xfId="28816"/>
    <cellStyle name="Separador de milhares 3 16 2 3 2 3" xfId="17723"/>
    <cellStyle name="Separador de milhares 3 16 2 3 2 3 2" xfId="44212"/>
    <cellStyle name="Separador de milhares 3 16 2 3 2 4" xfId="11796"/>
    <cellStyle name="Separador de milhares 3 16 2 3 2 4 2" xfId="38304"/>
    <cellStyle name="Separador de milhares 3 16 2 3 2 5" xfId="32148"/>
    <cellStyle name="Separador de milhares 3 16 2 3 2 6" xfId="25614"/>
    <cellStyle name="Separador de milhares 3 16 2 3 3" xfId="7362"/>
    <cellStyle name="Separador de milhares 3 16 2 3 3 2" xfId="19216"/>
    <cellStyle name="Separador de milhares 3 16 2 3 3 2 2" xfId="45698"/>
    <cellStyle name="Separador de milhares 3 16 2 3 3 3" xfId="13289"/>
    <cellStyle name="Separador de milhares 3 16 2 3 3 3 2" xfId="39790"/>
    <cellStyle name="Separador de milhares 3 16 2 3 3 4" xfId="33882"/>
    <cellStyle name="Separador de milhares 3 16 2 3 3 5" xfId="27348"/>
    <cellStyle name="Separador de milhares 3 16 2 3 4" xfId="16252"/>
    <cellStyle name="Separador de milhares 3 16 2 3 4 2" xfId="42744"/>
    <cellStyle name="Separador de milhares 3 16 2 3 4 3" xfId="23842"/>
    <cellStyle name="Separador de milhares 3 16 2 3 5" xfId="10325"/>
    <cellStyle name="Separador de milhares 3 16 2 3 5 2" xfId="36836"/>
    <cellStyle name="Separador de milhares 3 16 2 3 6" xfId="30376"/>
    <cellStyle name="Separador de milhares 3 16 2 3 7" xfId="22070"/>
    <cellStyle name="Separador de milhares 3 16 2 4" xfId="3108"/>
    <cellStyle name="Separador de milhares 3 16 2 4 2" xfId="5768"/>
    <cellStyle name="Separador de milhares 3 16 2 4 2 2" xfId="8980"/>
    <cellStyle name="Separador de milhares 3 16 2 4 2 2 2" xfId="20834"/>
    <cellStyle name="Separador de milhares 3 16 2 4 2 2 2 2" xfId="47313"/>
    <cellStyle name="Separador de milhares 3 16 2 4 2 2 3" xfId="14907"/>
    <cellStyle name="Separador de milhares 3 16 2 4 2 2 3 2" xfId="41405"/>
    <cellStyle name="Separador de milhares 3 16 2 4 2 2 4" xfId="35497"/>
    <cellStyle name="Separador de milhares 3 16 2 4 2 2 5" xfId="28963"/>
    <cellStyle name="Separador de milhares 3 16 2 4 2 3" xfId="17870"/>
    <cellStyle name="Separador de milhares 3 16 2 4 2 3 2" xfId="44359"/>
    <cellStyle name="Separador de milhares 3 16 2 4 2 4" xfId="11943"/>
    <cellStyle name="Separador de milhares 3 16 2 4 2 4 2" xfId="38451"/>
    <cellStyle name="Separador de milhares 3 16 2 4 2 5" xfId="32295"/>
    <cellStyle name="Separador de milhares 3 16 2 4 2 6" xfId="25761"/>
    <cellStyle name="Separador de milhares 3 16 2 4 3" xfId="7510"/>
    <cellStyle name="Separador de milhares 3 16 2 4 3 2" xfId="19364"/>
    <cellStyle name="Separador de milhares 3 16 2 4 3 2 2" xfId="45845"/>
    <cellStyle name="Separador de milhares 3 16 2 4 3 3" xfId="13437"/>
    <cellStyle name="Separador de milhares 3 16 2 4 3 3 2" xfId="39937"/>
    <cellStyle name="Separador de milhares 3 16 2 4 3 4" xfId="34029"/>
    <cellStyle name="Separador de milhares 3 16 2 4 3 5" xfId="27495"/>
    <cellStyle name="Separador de milhares 3 16 2 4 4" xfId="16400"/>
    <cellStyle name="Separador de milhares 3 16 2 4 4 2" xfId="42891"/>
    <cellStyle name="Separador de milhares 3 16 2 4 4 3" xfId="23989"/>
    <cellStyle name="Separador de milhares 3 16 2 4 5" xfId="10473"/>
    <cellStyle name="Separador de milhares 3 16 2 4 5 2" xfId="36983"/>
    <cellStyle name="Separador de milhares 3 16 2 4 6" xfId="30523"/>
    <cellStyle name="Separador de milhares 3 16 2 4 7" xfId="22217"/>
    <cellStyle name="Separador de milhares 3 16 2 5" xfId="3636"/>
    <cellStyle name="Separador de milhares 3 16 2 5 2" xfId="5915"/>
    <cellStyle name="Separador de milhares 3 16 2 5 2 2" xfId="9127"/>
    <cellStyle name="Separador de milhares 3 16 2 5 2 2 2" xfId="20981"/>
    <cellStyle name="Separador de milhares 3 16 2 5 2 2 2 2" xfId="47460"/>
    <cellStyle name="Separador de milhares 3 16 2 5 2 2 3" xfId="15054"/>
    <cellStyle name="Separador de milhares 3 16 2 5 2 2 3 2" xfId="41552"/>
    <cellStyle name="Separador de milhares 3 16 2 5 2 2 4" xfId="35644"/>
    <cellStyle name="Separador de milhares 3 16 2 5 2 2 5" xfId="29110"/>
    <cellStyle name="Separador de milhares 3 16 2 5 2 3" xfId="18017"/>
    <cellStyle name="Separador de milhares 3 16 2 5 2 3 2" xfId="44506"/>
    <cellStyle name="Separador de milhares 3 16 2 5 2 4" xfId="12090"/>
    <cellStyle name="Separador de milhares 3 16 2 5 2 4 2" xfId="38598"/>
    <cellStyle name="Separador de milhares 3 16 2 5 2 5" xfId="32442"/>
    <cellStyle name="Separador de milhares 3 16 2 5 2 6" xfId="25908"/>
    <cellStyle name="Separador de milhares 3 16 2 5 3" xfId="7658"/>
    <cellStyle name="Separador de milhares 3 16 2 5 3 2" xfId="19512"/>
    <cellStyle name="Separador de milhares 3 16 2 5 3 2 2" xfId="45992"/>
    <cellStyle name="Separador de milhares 3 16 2 5 3 3" xfId="13585"/>
    <cellStyle name="Separador de milhares 3 16 2 5 3 3 2" xfId="40084"/>
    <cellStyle name="Separador de milhares 3 16 2 5 3 4" xfId="34176"/>
    <cellStyle name="Separador de milhares 3 16 2 5 3 5" xfId="27642"/>
    <cellStyle name="Separador de milhares 3 16 2 5 4" xfId="16548"/>
    <cellStyle name="Separador de milhares 3 16 2 5 4 2" xfId="43038"/>
    <cellStyle name="Separador de milhares 3 16 2 5 4 3" xfId="24136"/>
    <cellStyle name="Separador de milhares 3 16 2 5 5" xfId="10621"/>
    <cellStyle name="Separador de milhares 3 16 2 5 5 2" xfId="37130"/>
    <cellStyle name="Separador de milhares 3 16 2 5 6" xfId="30670"/>
    <cellStyle name="Separador de milhares 3 16 2 5 7" xfId="22364"/>
    <cellStyle name="Separador de milhares 3 16 2 6" xfId="4164"/>
    <cellStyle name="Separador de milhares 3 16 2 6 2" xfId="6062"/>
    <cellStyle name="Separador de milhares 3 16 2 6 2 2" xfId="9274"/>
    <cellStyle name="Separador de milhares 3 16 2 6 2 2 2" xfId="21128"/>
    <cellStyle name="Separador de milhares 3 16 2 6 2 2 2 2" xfId="47607"/>
    <cellStyle name="Separador de milhares 3 16 2 6 2 2 3" xfId="15201"/>
    <cellStyle name="Separador de milhares 3 16 2 6 2 2 3 2" xfId="41699"/>
    <cellStyle name="Separador de milhares 3 16 2 6 2 2 4" xfId="35791"/>
    <cellStyle name="Separador de milhares 3 16 2 6 2 2 5" xfId="29257"/>
    <cellStyle name="Separador de milhares 3 16 2 6 2 3" xfId="18164"/>
    <cellStyle name="Separador de milhares 3 16 2 6 2 3 2" xfId="44653"/>
    <cellStyle name="Separador de milhares 3 16 2 6 2 4" xfId="12237"/>
    <cellStyle name="Separador de milhares 3 16 2 6 2 4 2" xfId="38745"/>
    <cellStyle name="Separador de milhares 3 16 2 6 2 5" xfId="32589"/>
    <cellStyle name="Separador de milhares 3 16 2 6 2 6" xfId="26055"/>
    <cellStyle name="Separador de milhares 3 16 2 6 3" xfId="7806"/>
    <cellStyle name="Separador de milhares 3 16 2 6 3 2" xfId="19660"/>
    <cellStyle name="Separador de milhares 3 16 2 6 3 2 2" xfId="46139"/>
    <cellStyle name="Separador de milhares 3 16 2 6 3 3" xfId="13733"/>
    <cellStyle name="Separador de milhares 3 16 2 6 3 3 2" xfId="40231"/>
    <cellStyle name="Separador de milhares 3 16 2 6 3 4" xfId="34323"/>
    <cellStyle name="Separador de milhares 3 16 2 6 3 5" xfId="27789"/>
    <cellStyle name="Separador de milhares 3 16 2 6 4" xfId="16696"/>
    <cellStyle name="Separador de milhares 3 16 2 6 4 2" xfId="43185"/>
    <cellStyle name="Separador de milhares 3 16 2 6 4 3" xfId="24283"/>
    <cellStyle name="Separador de milhares 3 16 2 6 5" xfId="10769"/>
    <cellStyle name="Separador de milhares 3 16 2 6 5 2" xfId="37277"/>
    <cellStyle name="Separador de milhares 3 16 2 6 6" xfId="30817"/>
    <cellStyle name="Separador de milhares 3 16 2 6 7" xfId="22511"/>
    <cellStyle name="Separador de milhares 3 16 2 7" xfId="5033"/>
    <cellStyle name="Separador de milhares 3 16 2 7 2" xfId="8248"/>
    <cellStyle name="Separador de milhares 3 16 2 7 2 2" xfId="20102"/>
    <cellStyle name="Separador de milhares 3 16 2 7 2 2 2" xfId="46581"/>
    <cellStyle name="Separador de milhares 3 16 2 7 2 3" xfId="14175"/>
    <cellStyle name="Separador de milhares 3 16 2 7 2 3 2" xfId="40673"/>
    <cellStyle name="Separador de milhares 3 16 2 7 2 4" xfId="34765"/>
    <cellStyle name="Separador de milhares 3 16 2 7 2 5" xfId="28231"/>
    <cellStyle name="Separador de milhares 3 16 2 7 3" xfId="17138"/>
    <cellStyle name="Separador de milhares 3 16 2 7 3 2" xfId="43627"/>
    <cellStyle name="Separador de milhares 3 16 2 7 4" xfId="11211"/>
    <cellStyle name="Separador de milhares 3 16 2 7 4 2" xfId="37719"/>
    <cellStyle name="Separador de milhares 3 16 2 7 5" xfId="31560"/>
    <cellStyle name="Separador de milhares 3 16 2 7 6" xfId="25026"/>
    <cellStyle name="Separador de milhares 3 16 2 8" xfId="6772"/>
    <cellStyle name="Separador de milhares 3 16 2 8 2" xfId="18626"/>
    <cellStyle name="Separador de milhares 3 16 2 8 2 2" xfId="45113"/>
    <cellStyle name="Separador de milhares 3 16 2 8 3" xfId="12699"/>
    <cellStyle name="Separador de milhares 3 16 2 8 3 2" xfId="39205"/>
    <cellStyle name="Separador de milhares 3 16 2 8 4" xfId="33297"/>
    <cellStyle name="Separador de milhares 3 16 2 8 5" xfId="26763"/>
    <cellStyle name="Separador de milhares 3 16 2 9" xfId="15662"/>
    <cellStyle name="Separador de milhares 3 16 2 9 2" xfId="42159"/>
    <cellStyle name="Separador de milhares 3 16 2 9 3" xfId="23254"/>
    <cellStyle name="Separador de milhares 3 16 3" xfId="1000"/>
    <cellStyle name="Separador de milhares 3 16 3 2" xfId="5184"/>
    <cellStyle name="Separador de milhares 3 16 3 2 2" xfId="8399"/>
    <cellStyle name="Separador de milhares 3 16 3 2 2 2" xfId="20253"/>
    <cellStyle name="Separador de milhares 3 16 3 2 2 2 2" xfId="46732"/>
    <cellStyle name="Separador de milhares 3 16 3 2 2 3" xfId="14326"/>
    <cellStyle name="Separador de milhares 3 16 3 2 2 3 2" xfId="40824"/>
    <cellStyle name="Separador de milhares 3 16 3 2 2 4" xfId="34916"/>
    <cellStyle name="Separador de milhares 3 16 3 2 2 5" xfId="28382"/>
    <cellStyle name="Separador de milhares 3 16 3 2 3" xfId="17289"/>
    <cellStyle name="Separador de milhares 3 16 3 2 3 2" xfId="43778"/>
    <cellStyle name="Separador de milhares 3 16 3 2 4" xfId="11362"/>
    <cellStyle name="Separador de milhares 3 16 3 2 4 2" xfId="37870"/>
    <cellStyle name="Separador de milhares 3 16 3 2 5" xfId="31711"/>
    <cellStyle name="Separador de milhares 3 16 3 2 6" xfId="25177"/>
    <cellStyle name="Separador de milhares 3 16 3 3" xfId="6926"/>
    <cellStyle name="Separador de milhares 3 16 3 3 2" xfId="18780"/>
    <cellStyle name="Separador de milhares 3 16 3 3 2 2" xfId="45264"/>
    <cellStyle name="Separador de milhares 3 16 3 3 3" xfId="12853"/>
    <cellStyle name="Separador de milhares 3 16 3 3 3 2" xfId="39356"/>
    <cellStyle name="Separador de milhares 3 16 3 3 4" xfId="33448"/>
    <cellStyle name="Separador de milhares 3 16 3 3 5" xfId="26914"/>
    <cellStyle name="Separador de milhares 3 16 3 4" xfId="15816"/>
    <cellStyle name="Separador de milhares 3 16 3 4 2" xfId="42310"/>
    <cellStyle name="Separador de milhares 3 16 3 4 3" xfId="23405"/>
    <cellStyle name="Separador de milhares 3 16 3 5" xfId="9889"/>
    <cellStyle name="Separador de milhares 3 16 3 5 2" xfId="36402"/>
    <cellStyle name="Separador de milhares 3 16 3 6" xfId="29939"/>
    <cellStyle name="Separador de milhares 3 16 3 7" xfId="21633"/>
    <cellStyle name="Separador de milhares 3 16 4" xfId="1351"/>
    <cellStyle name="Separador de milhares 3 16 4 2" xfId="5282"/>
    <cellStyle name="Separador de milhares 3 16 4 2 2" xfId="8497"/>
    <cellStyle name="Separador de milhares 3 16 4 2 2 2" xfId="20351"/>
    <cellStyle name="Separador de milhares 3 16 4 2 2 2 2" xfId="46830"/>
    <cellStyle name="Separador de milhares 3 16 4 2 2 3" xfId="14424"/>
    <cellStyle name="Separador de milhares 3 16 4 2 2 3 2" xfId="40922"/>
    <cellStyle name="Separador de milhares 3 16 4 2 2 4" xfId="35014"/>
    <cellStyle name="Separador de milhares 3 16 4 2 2 5" xfId="28480"/>
    <cellStyle name="Separador de milhares 3 16 4 2 3" xfId="17387"/>
    <cellStyle name="Separador de milhares 3 16 4 2 3 2" xfId="43876"/>
    <cellStyle name="Separador de milhares 3 16 4 2 4" xfId="11460"/>
    <cellStyle name="Separador de milhares 3 16 4 2 4 2" xfId="37968"/>
    <cellStyle name="Separador de milhares 3 16 4 2 5" xfId="31809"/>
    <cellStyle name="Separador de milhares 3 16 4 2 6" xfId="25275"/>
    <cellStyle name="Separador de milhares 3 16 4 3" xfId="7024"/>
    <cellStyle name="Separador de milhares 3 16 4 3 2" xfId="18878"/>
    <cellStyle name="Separador de milhares 3 16 4 3 2 2" xfId="45362"/>
    <cellStyle name="Separador de milhares 3 16 4 3 3" xfId="12951"/>
    <cellStyle name="Separador de milhares 3 16 4 3 3 2" xfId="39454"/>
    <cellStyle name="Separador de milhares 3 16 4 3 4" xfId="33546"/>
    <cellStyle name="Separador de milhares 3 16 4 3 5" xfId="27012"/>
    <cellStyle name="Separador de milhares 3 16 4 4" xfId="15914"/>
    <cellStyle name="Separador de milhares 3 16 4 4 2" xfId="42408"/>
    <cellStyle name="Separador de milhares 3 16 4 4 3" xfId="23503"/>
    <cellStyle name="Separador de milhares 3 16 4 5" xfId="9987"/>
    <cellStyle name="Separador de milhares 3 16 4 5 2" xfId="36500"/>
    <cellStyle name="Separador de milhares 3 16 4 6" xfId="30037"/>
    <cellStyle name="Separador de milhares 3 16 4 7" xfId="21731"/>
    <cellStyle name="Separador de milhares 3 16 5" xfId="1786"/>
    <cellStyle name="Separador de milhares 3 16 5 2" xfId="5401"/>
    <cellStyle name="Separador de milhares 3 16 5 2 2" xfId="8616"/>
    <cellStyle name="Separador de milhares 3 16 5 2 2 2" xfId="20470"/>
    <cellStyle name="Separador de milhares 3 16 5 2 2 2 2" xfId="46949"/>
    <cellStyle name="Separador de milhares 3 16 5 2 2 3" xfId="14543"/>
    <cellStyle name="Separador de milhares 3 16 5 2 2 3 2" xfId="41041"/>
    <cellStyle name="Separador de milhares 3 16 5 2 2 4" xfId="35133"/>
    <cellStyle name="Separador de milhares 3 16 5 2 2 5" xfId="28599"/>
    <cellStyle name="Separador de milhares 3 16 5 2 3" xfId="17506"/>
    <cellStyle name="Separador de milhares 3 16 5 2 3 2" xfId="43995"/>
    <cellStyle name="Separador de milhares 3 16 5 2 4" xfId="11579"/>
    <cellStyle name="Separador de milhares 3 16 5 2 4 2" xfId="38087"/>
    <cellStyle name="Separador de milhares 3 16 5 2 5" xfId="31928"/>
    <cellStyle name="Separador de milhares 3 16 5 2 6" xfId="25394"/>
    <cellStyle name="Separador de milhares 3 16 5 3" xfId="7143"/>
    <cellStyle name="Separador de milhares 3 16 5 3 2" xfId="18997"/>
    <cellStyle name="Separador de milhares 3 16 5 3 2 2" xfId="45481"/>
    <cellStyle name="Separador de milhares 3 16 5 3 3" xfId="13070"/>
    <cellStyle name="Separador de milhares 3 16 5 3 3 2" xfId="39573"/>
    <cellStyle name="Separador de milhares 3 16 5 3 4" xfId="33665"/>
    <cellStyle name="Separador de milhares 3 16 5 3 5" xfId="27131"/>
    <cellStyle name="Separador de milhares 3 16 5 4" xfId="16033"/>
    <cellStyle name="Separador de milhares 3 16 5 4 2" xfId="42527"/>
    <cellStyle name="Separador de milhares 3 16 5 4 3" xfId="23622"/>
    <cellStyle name="Separador de milhares 3 16 5 5" xfId="10106"/>
    <cellStyle name="Separador de milhares 3 16 5 5 2" xfId="36619"/>
    <cellStyle name="Separador de milhares 3 16 5 6" xfId="30156"/>
    <cellStyle name="Separador de milhares 3 16 5 7" xfId="21850"/>
    <cellStyle name="Separador de milhares 3 16 6" xfId="2319"/>
    <cellStyle name="Separador de milhares 3 16 6 2" xfId="5551"/>
    <cellStyle name="Separador de milhares 3 16 6 2 2" xfId="8763"/>
    <cellStyle name="Separador de milhares 3 16 6 2 2 2" xfId="20617"/>
    <cellStyle name="Separador de milhares 3 16 6 2 2 2 2" xfId="47096"/>
    <cellStyle name="Separador de milhares 3 16 6 2 2 3" xfId="14690"/>
    <cellStyle name="Separador de milhares 3 16 6 2 2 3 2" xfId="41188"/>
    <cellStyle name="Separador de milhares 3 16 6 2 2 4" xfId="35280"/>
    <cellStyle name="Separador de milhares 3 16 6 2 2 5" xfId="28746"/>
    <cellStyle name="Separador de milhares 3 16 6 2 3" xfId="17653"/>
    <cellStyle name="Separador de milhares 3 16 6 2 3 2" xfId="44142"/>
    <cellStyle name="Separador de milhares 3 16 6 2 4" xfId="11726"/>
    <cellStyle name="Separador de milhares 3 16 6 2 4 2" xfId="38234"/>
    <cellStyle name="Separador de milhares 3 16 6 2 5" xfId="32078"/>
    <cellStyle name="Separador de milhares 3 16 6 2 6" xfId="25544"/>
    <cellStyle name="Separador de milhares 3 16 6 3" xfId="7291"/>
    <cellStyle name="Separador de milhares 3 16 6 3 2" xfId="19145"/>
    <cellStyle name="Separador de milhares 3 16 6 3 2 2" xfId="45628"/>
    <cellStyle name="Separador de milhares 3 16 6 3 3" xfId="13218"/>
    <cellStyle name="Separador de milhares 3 16 6 3 3 2" xfId="39720"/>
    <cellStyle name="Separador de milhares 3 16 6 3 4" xfId="33812"/>
    <cellStyle name="Separador de milhares 3 16 6 3 5" xfId="27278"/>
    <cellStyle name="Separador de milhares 3 16 6 4" xfId="16181"/>
    <cellStyle name="Separador de milhares 3 16 6 4 2" xfId="42674"/>
    <cellStyle name="Separador de milhares 3 16 6 4 3" xfId="23772"/>
    <cellStyle name="Separador de milhares 3 16 6 5" xfId="10254"/>
    <cellStyle name="Separador de milhares 3 16 6 5 2" xfId="36766"/>
    <cellStyle name="Separador de milhares 3 16 6 6" xfId="30306"/>
    <cellStyle name="Separador de milhares 3 16 6 7" xfId="22000"/>
    <cellStyle name="Separador de milhares 3 16 7" xfId="2847"/>
    <cellStyle name="Separador de milhares 3 16 7 2" xfId="5698"/>
    <cellStyle name="Separador de milhares 3 16 7 2 2" xfId="8910"/>
    <cellStyle name="Separador de milhares 3 16 7 2 2 2" xfId="20764"/>
    <cellStyle name="Separador de milhares 3 16 7 2 2 2 2" xfId="47243"/>
    <cellStyle name="Separador de milhares 3 16 7 2 2 3" xfId="14837"/>
    <cellStyle name="Separador de milhares 3 16 7 2 2 3 2" xfId="41335"/>
    <cellStyle name="Separador de milhares 3 16 7 2 2 4" xfId="35427"/>
    <cellStyle name="Separador de milhares 3 16 7 2 2 5" xfId="28893"/>
    <cellStyle name="Separador de milhares 3 16 7 2 3" xfId="17800"/>
    <cellStyle name="Separador de milhares 3 16 7 2 3 2" xfId="44289"/>
    <cellStyle name="Separador de milhares 3 16 7 2 4" xfId="11873"/>
    <cellStyle name="Separador de milhares 3 16 7 2 4 2" xfId="38381"/>
    <cellStyle name="Separador de milhares 3 16 7 2 5" xfId="32225"/>
    <cellStyle name="Separador de milhares 3 16 7 2 6" xfId="25691"/>
    <cellStyle name="Separador de milhares 3 16 7 3" xfId="7439"/>
    <cellStyle name="Separador de milhares 3 16 7 3 2" xfId="19293"/>
    <cellStyle name="Separador de milhares 3 16 7 3 2 2" xfId="45775"/>
    <cellStyle name="Separador de milhares 3 16 7 3 3" xfId="13366"/>
    <cellStyle name="Separador de milhares 3 16 7 3 3 2" xfId="39867"/>
    <cellStyle name="Separador de milhares 3 16 7 3 4" xfId="33959"/>
    <cellStyle name="Separador de milhares 3 16 7 3 5" xfId="27425"/>
    <cellStyle name="Separador de milhares 3 16 7 4" xfId="16329"/>
    <cellStyle name="Separador de milhares 3 16 7 4 2" xfId="42821"/>
    <cellStyle name="Separador de milhares 3 16 7 4 3" xfId="23919"/>
    <cellStyle name="Separador de milhares 3 16 7 5" xfId="10402"/>
    <cellStyle name="Separador de milhares 3 16 7 5 2" xfId="36913"/>
    <cellStyle name="Separador de milhares 3 16 7 6" xfId="30453"/>
    <cellStyle name="Separador de milhares 3 16 7 7" xfId="22147"/>
    <cellStyle name="Separador de milhares 3 16 8" xfId="3375"/>
    <cellStyle name="Separador de milhares 3 16 8 2" xfId="5845"/>
    <cellStyle name="Separador de milhares 3 16 8 2 2" xfId="9057"/>
    <cellStyle name="Separador de milhares 3 16 8 2 2 2" xfId="20911"/>
    <cellStyle name="Separador de milhares 3 16 8 2 2 2 2" xfId="47390"/>
    <cellStyle name="Separador de milhares 3 16 8 2 2 3" xfId="14984"/>
    <cellStyle name="Separador de milhares 3 16 8 2 2 3 2" xfId="41482"/>
    <cellStyle name="Separador de milhares 3 16 8 2 2 4" xfId="35574"/>
    <cellStyle name="Separador de milhares 3 16 8 2 2 5" xfId="29040"/>
    <cellStyle name="Separador de milhares 3 16 8 2 3" xfId="17947"/>
    <cellStyle name="Separador de milhares 3 16 8 2 3 2" xfId="44436"/>
    <cellStyle name="Separador de milhares 3 16 8 2 4" xfId="12020"/>
    <cellStyle name="Separador de milhares 3 16 8 2 4 2" xfId="38528"/>
    <cellStyle name="Separador de milhares 3 16 8 2 5" xfId="32372"/>
    <cellStyle name="Separador de milhares 3 16 8 2 6" xfId="25838"/>
    <cellStyle name="Separador de milhares 3 16 8 3" xfId="7587"/>
    <cellStyle name="Separador de milhares 3 16 8 3 2" xfId="19441"/>
    <cellStyle name="Separador de milhares 3 16 8 3 2 2" xfId="45922"/>
    <cellStyle name="Separador de milhares 3 16 8 3 3" xfId="13514"/>
    <cellStyle name="Separador de milhares 3 16 8 3 3 2" xfId="40014"/>
    <cellStyle name="Separador de milhares 3 16 8 3 4" xfId="34106"/>
    <cellStyle name="Separador de milhares 3 16 8 3 5" xfId="27572"/>
    <cellStyle name="Separador de milhares 3 16 8 4" xfId="16477"/>
    <cellStyle name="Separador de milhares 3 16 8 4 2" xfId="42968"/>
    <cellStyle name="Separador de milhares 3 16 8 4 3" xfId="24066"/>
    <cellStyle name="Separador de milhares 3 16 8 5" xfId="10550"/>
    <cellStyle name="Separador de milhares 3 16 8 5 2" xfId="37060"/>
    <cellStyle name="Separador de milhares 3 16 8 6" xfId="30600"/>
    <cellStyle name="Separador de milhares 3 16 8 7" xfId="22294"/>
    <cellStyle name="Separador de milhares 3 16 9" xfId="3903"/>
    <cellStyle name="Separador de milhares 3 16 9 2" xfId="5992"/>
    <cellStyle name="Separador de milhares 3 16 9 2 2" xfId="9204"/>
    <cellStyle name="Separador de milhares 3 16 9 2 2 2" xfId="21058"/>
    <cellStyle name="Separador de milhares 3 16 9 2 2 2 2" xfId="47537"/>
    <cellStyle name="Separador de milhares 3 16 9 2 2 3" xfId="15131"/>
    <cellStyle name="Separador de milhares 3 16 9 2 2 3 2" xfId="41629"/>
    <cellStyle name="Separador de milhares 3 16 9 2 2 4" xfId="35721"/>
    <cellStyle name="Separador de milhares 3 16 9 2 2 5" xfId="29187"/>
    <cellStyle name="Separador de milhares 3 16 9 2 3" xfId="18094"/>
    <cellStyle name="Separador de milhares 3 16 9 2 3 2" xfId="44583"/>
    <cellStyle name="Separador de milhares 3 16 9 2 4" xfId="12167"/>
    <cellStyle name="Separador de milhares 3 16 9 2 4 2" xfId="38675"/>
    <cellStyle name="Separador de milhares 3 16 9 2 5" xfId="32519"/>
    <cellStyle name="Separador de milhares 3 16 9 2 6" xfId="25985"/>
    <cellStyle name="Separador de milhares 3 16 9 3" xfId="7735"/>
    <cellStyle name="Separador de milhares 3 16 9 3 2" xfId="19589"/>
    <cellStyle name="Separador de milhares 3 16 9 3 2 2" xfId="46069"/>
    <cellStyle name="Separador de milhares 3 16 9 3 3" xfId="13662"/>
    <cellStyle name="Separador de milhares 3 16 9 3 3 2" xfId="40161"/>
    <cellStyle name="Separador de milhares 3 16 9 3 4" xfId="34253"/>
    <cellStyle name="Separador de milhares 3 16 9 3 5" xfId="27719"/>
    <cellStyle name="Separador de milhares 3 16 9 4" xfId="16625"/>
    <cellStyle name="Separador de milhares 3 16 9 4 2" xfId="43115"/>
    <cellStyle name="Separador de milhares 3 16 9 4 3" xfId="24213"/>
    <cellStyle name="Separador de milhares 3 16 9 5" xfId="10698"/>
    <cellStyle name="Separador de milhares 3 16 9 5 2" xfId="37207"/>
    <cellStyle name="Separador de milhares 3 16 9 6" xfId="30747"/>
    <cellStyle name="Separador de milhares 3 16 9 7" xfId="22441"/>
    <cellStyle name="Separador de milhares 3 17" xfId="348"/>
    <cellStyle name="Separador de milhares 3 17 10" xfId="4983"/>
    <cellStyle name="Separador de milhares 3 17 10 2" xfId="8202"/>
    <cellStyle name="Separador de milhares 3 17 10 2 2" xfId="20056"/>
    <cellStyle name="Separador de milhares 3 17 10 2 2 2" xfId="46535"/>
    <cellStyle name="Separador de milhares 3 17 10 2 3" xfId="14129"/>
    <cellStyle name="Separador de milhares 3 17 10 2 3 2" xfId="40627"/>
    <cellStyle name="Separador de milhares 3 17 10 2 4" xfId="34719"/>
    <cellStyle name="Separador de milhares 3 17 10 2 5" xfId="28185"/>
    <cellStyle name="Separador de milhares 3 17 10 3" xfId="17092"/>
    <cellStyle name="Separador de milhares 3 17 10 3 2" xfId="43581"/>
    <cellStyle name="Separador de milhares 3 17 10 4" xfId="11165"/>
    <cellStyle name="Separador de milhares 3 17 10 4 2" xfId="37673"/>
    <cellStyle name="Separador de milhares 3 17 10 5" xfId="31510"/>
    <cellStyle name="Separador de milhares 3 17 10 6" xfId="24976"/>
    <cellStyle name="Separador de milhares 3 17 11" xfId="6726"/>
    <cellStyle name="Separador de milhares 3 17 11 2" xfId="18580"/>
    <cellStyle name="Separador de milhares 3 17 11 2 2" xfId="45067"/>
    <cellStyle name="Separador de milhares 3 17 11 3" xfId="12653"/>
    <cellStyle name="Separador de milhares 3 17 11 3 2" xfId="39159"/>
    <cellStyle name="Separador de milhares 3 17 11 4" xfId="33251"/>
    <cellStyle name="Separador de milhares 3 17 11 5" xfId="26717"/>
    <cellStyle name="Separador de milhares 3 17 12" xfId="15616"/>
    <cellStyle name="Separador de milhares 3 17 12 2" xfId="42113"/>
    <cellStyle name="Separador de milhares 3 17 12 3" xfId="23204"/>
    <cellStyle name="Separador de milhares 3 17 13" xfId="9689"/>
    <cellStyle name="Separador de milhares 3 17 13 2" xfId="36205"/>
    <cellStyle name="Separador de milhares 3 17 14" xfId="29738"/>
    <cellStyle name="Separador de milhares 3 17 15" xfId="21456"/>
    <cellStyle name="Separador de milhares 3 17 2" xfId="611"/>
    <cellStyle name="Separador de milhares 3 17 2 2" xfId="5054"/>
    <cellStyle name="Separador de milhares 3 17 2 2 2" xfId="8269"/>
    <cellStyle name="Separador de milhares 3 17 2 2 2 2" xfId="20123"/>
    <cellStyle name="Separador de milhares 3 17 2 2 2 2 2" xfId="46602"/>
    <cellStyle name="Separador de milhares 3 17 2 2 2 3" xfId="14196"/>
    <cellStyle name="Separador de milhares 3 17 2 2 2 3 2" xfId="40694"/>
    <cellStyle name="Separador de milhares 3 17 2 2 2 4" xfId="34786"/>
    <cellStyle name="Separador de milhares 3 17 2 2 2 5" xfId="28252"/>
    <cellStyle name="Separador de milhares 3 17 2 2 3" xfId="17159"/>
    <cellStyle name="Separador de milhares 3 17 2 2 3 2" xfId="43648"/>
    <cellStyle name="Separador de milhares 3 17 2 2 4" xfId="11232"/>
    <cellStyle name="Separador de milhares 3 17 2 2 4 2" xfId="37740"/>
    <cellStyle name="Separador de milhares 3 17 2 2 5" xfId="31581"/>
    <cellStyle name="Separador de milhares 3 17 2 2 6" xfId="25047"/>
    <cellStyle name="Separador de milhares 3 17 2 3" xfId="6793"/>
    <cellStyle name="Separador de milhares 3 17 2 3 2" xfId="18647"/>
    <cellStyle name="Separador de milhares 3 17 2 3 2 2" xfId="45134"/>
    <cellStyle name="Separador de milhares 3 17 2 3 3" xfId="12720"/>
    <cellStyle name="Separador de milhares 3 17 2 3 3 2" xfId="39226"/>
    <cellStyle name="Separador de milhares 3 17 2 3 4" xfId="33318"/>
    <cellStyle name="Separador de milhares 3 17 2 3 5" xfId="26784"/>
    <cellStyle name="Separador de milhares 3 17 2 4" xfId="15683"/>
    <cellStyle name="Separador de milhares 3 17 2 4 2" xfId="42180"/>
    <cellStyle name="Separador de milhares 3 17 2 4 3" xfId="23275"/>
    <cellStyle name="Separador de milhares 3 17 2 5" xfId="9756"/>
    <cellStyle name="Separador de milhares 3 17 2 5 2" xfId="36272"/>
    <cellStyle name="Separador de milhares 3 17 2 6" xfId="29809"/>
    <cellStyle name="Separador de milhares 3 17 2 7" xfId="21504"/>
    <cellStyle name="Separador de milhares 3 17 3" xfId="909"/>
    <cellStyle name="Separador de milhares 3 17 3 2" xfId="5156"/>
    <cellStyle name="Separador de milhares 3 17 3 2 2" xfId="8371"/>
    <cellStyle name="Separador de milhares 3 17 3 2 2 2" xfId="20225"/>
    <cellStyle name="Separador de milhares 3 17 3 2 2 2 2" xfId="46704"/>
    <cellStyle name="Separador de milhares 3 17 3 2 2 3" xfId="14298"/>
    <cellStyle name="Separador de milhares 3 17 3 2 2 3 2" xfId="40796"/>
    <cellStyle name="Separador de milhares 3 17 3 2 2 4" xfId="34888"/>
    <cellStyle name="Separador de milhares 3 17 3 2 2 5" xfId="28354"/>
    <cellStyle name="Separador de milhares 3 17 3 2 3" xfId="17261"/>
    <cellStyle name="Separador de milhares 3 17 3 2 3 2" xfId="43750"/>
    <cellStyle name="Separador de milhares 3 17 3 2 4" xfId="11334"/>
    <cellStyle name="Separador de milhares 3 17 3 2 4 2" xfId="37842"/>
    <cellStyle name="Separador de milhares 3 17 3 2 5" xfId="31683"/>
    <cellStyle name="Separador de milhares 3 17 3 2 6" xfId="25149"/>
    <cellStyle name="Separador de milhares 3 17 3 3" xfId="6898"/>
    <cellStyle name="Separador de milhares 3 17 3 3 2" xfId="18752"/>
    <cellStyle name="Separador de milhares 3 17 3 3 2 2" xfId="45236"/>
    <cellStyle name="Separador de milhares 3 17 3 3 3" xfId="12825"/>
    <cellStyle name="Separador de milhares 3 17 3 3 3 2" xfId="39328"/>
    <cellStyle name="Separador de milhares 3 17 3 3 4" xfId="33420"/>
    <cellStyle name="Separador de milhares 3 17 3 3 5" xfId="26886"/>
    <cellStyle name="Separador de milhares 3 17 3 4" xfId="15788"/>
    <cellStyle name="Separador de milhares 3 17 3 4 2" xfId="42282"/>
    <cellStyle name="Separador de milhares 3 17 3 4 3" xfId="23377"/>
    <cellStyle name="Separador de milhares 3 17 3 5" xfId="9861"/>
    <cellStyle name="Separador de milhares 3 17 3 5 2" xfId="36374"/>
    <cellStyle name="Separador de milhares 3 17 3 6" xfId="29911"/>
    <cellStyle name="Separador de milhares 3 17 3 7" xfId="21605"/>
    <cellStyle name="Separador de milhares 3 17 4" xfId="1260"/>
    <cellStyle name="Separador de milhares 3 17 4 2" xfId="5254"/>
    <cellStyle name="Separador de milhares 3 17 4 2 2" xfId="8469"/>
    <cellStyle name="Separador de milhares 3 17 4 2 2 2" xfId="20323"/>
    <cellStyle name="Separador de milhares 3 17 4 2 2 2 2" xfId="46802"/>
    <cellStyle name="Separador de milhares 3 17 4 2 2 3" xfId="14396"/>
    <cellStyle name="Separador de milhares 3 17 4 2 2 3 2" xfId="40894"/>
    <cellStyle name="Separador de milhares 3 17 4 2 2 4" xfId="34986"/>
    <cellStyle name="Separador de milhares 3 17 4 2 2 5" xfId="28452"/>
    <cellStyle name="Separador de milhares 3 17 4 2 3" xfId="17359"/>
    <cellStyle name="Separador de milhares 3 17 4 2 3 2" xfId="43848"/>
    <cellStyle name="Separador de milhares 3 17 4 2 4" xfId="11432"/>
    <cellStyle name="Separador de milhares 3 17 4 2 4 2" xfId="37940"/>
    <cellStyle name="Separador de milhares 3 17 4 2 5" xfId="31781"/>
    <cellStyle name="Separador de milhares 3 17 4 2 6" xfId="25247"/>
    <cellStyle name="Separador de milhares 3 17 4 3" xfId="6996"/>
    <cellStyle name="Separador de milhares 3 17 4 3 2" xfId="18850"/>
    <cellStyle name="Separador de milhares 3 17 4 3 2 2" xfId="45334"/>
    <cellStyle name="Separador de milhares 3 17 4 3 3" xfId="12923"/>
    <cellStyle name="Separador de milhares 3 17 4 3 3 2" xfId="39426"/>
    <cellStyle name="Separador de milhares 3 17 4 3 4" xfId="33518"/>
    <cellStyle name="Separador de milhares 3 17 4 3 5" xfId="26984"/>
    <cellStyle name="Separador de milhares 3 17 4 4" xfId="15886"/>
    <cellStyle name="Separador de milhares 3 17 4 4 2" xfId="42380"/>
    <cellStyle name="Separador de milhares 3 17 4 4 3" xfId="23475"/>
    <cellStyle name="Separador de milhares 3 17 4 5" xfId="9959"/>
    <cellStyle name="Separador de milhares 3 17 4 5 2" xfId="36472"/>
    <cellStyle name="Separador de milhares 3 17 4 6" xfId="30009"/>
    <cellStyle name="Separador de milhares 3 17 4 7" xfId="21703"/>
    <cellStyle name="Separador de milhares 3 17 5" xfId="1695"/>
    <cellStyle name="Separador de milhares 3 17 5 2" xfId="5373"/>
    <cellStyle name="Separador de milhares 3 17 5 2 2" xfId="8588"/>
    <cellStyle name="Separador de milhares 3 17 5 2 2 2" xfId="20442"/>
    <cellStyle name="Separador de milhares 3 17 5 2 2 2 2" xfId="46921"/>
    <cellStyle name="Separador de milhares 3 17 5 2 2 3" xfId="14515"/>
    <cellStyle name="Separador de milhares 3 17 5 2 2 3 2" xfId="41013"/>
    <cellStyle name="Separador de milhares 3 17 5 2 2 4" xfId="35105"/>
    <cellStyle name="Separador de milhares 3 17 5 2 2 5" xfId="28571"/>
    <cellStyle name="Separador de milhares 3 17 5 2 3" xfId="17478"/>
    <cellStyle name="Separador de milhares 3 17 5 2 3 2" xfId="43967"/>
    <cellStyle name="Separador de milhares 3 17 5 2 4" xfId="11551"/>
    <cellStyle name="Separador de milhares 3 17 5 2 4 2" xfId="38059"/>
    <cellStyle name="Separador de milhares 3 17 5 2 5" xfId="31900"/>
    <cellStyle name="Separador de milhares 3 17 5 2 6" xfId="25366"/>
    <cellStyle name="Separador de milhares 3 17 5 3" xfId="7115"/>
    <cellStyle name="Separador de milhares 3 17 5 3 2" xfId="18969"/>
    <cellStyle name="Separador de milhares 3 17 5 3 2 2" xfId="45453"/>
    <cellStyle name="Separador de milhares 3 17 5 3 3" xfId="13042"/>
    <cellStyle name="Separador de milhares 3 17 5 3 3 2" xfId="39545"/>
    <cellStyle name="Separador de milhares 3 17 5 3 4" xfId="33637"/>
    <cellStyle name="Separador de milhares 3 17 5 3 5" xfId="27103"/>
    <cellStyle name="Separador de milhares 3 17 5 4" xfId="16005"/>
    <cellStyle name="Separador de milhares 3 17 5 4 2" xfId="42499"/>
    <cellStyle name="Separador de milhares 3 17 5 4 3" xfId="23594"/>
    <cellStyle name="Separador de milhares 3 17 5 5" xfId="10078"/>
    <cellStyle name="Separador de milhares 3 17 5 5 2" xfId="36591"/>
    <cellStyle name="Separador de milhares 3 17 5 6" xfId="30128"/>
    <cellStyle name="Separador de milhares 3 17 5 7" xfId="21822"/>
    <cellStyle name="Separador de milhares 3 17 6" xfId="2228"/>
    <cellStyle name="Separador de milhares 3 17 6 2" xfId="5523"/>
    <cellStyle name="Separador de milhares 3 17 6 2 2" xfId="8735"/>
    <cellStyle name="Separador de milhares 3 17 6 2 2 2" xfId="20589"/>
    <cellStyle name="Separador de milhares 3 17 6 2 2 2 2" xfId="47068"/>
    <cellStyle name="Separador de milhares 3 17 6 2 2 3" xfId="14662"/>
    <cellStyle name="Separador de milhares 3 17 6 2 2 3 2" xfId="41160"/>
    <cellStyle name="Separador de milhares 3 17 6 2 2 4" xfId="35252"/>
    <cellStyle name="Separador de milhares 3 17 6 2 2 5" xfId="28718"/>
    <cellStyle name="Separador de milhares 3 17 6 2 3" xfId="17625"/>
    <cellStyle name="Separador de milhares 3 17 6 2 3 2" xfId="44114"/>
    <cellStyle name="Separador de milhares 3 17 6 2 4" xfId="11698"/>
    <cellStyle name="Separador de milhares 3 17 6 2 4 2" xfId="38206"/>
    <cellStyle name="Separador de milhares 3 17 6 2 5" xfId="32050"/>
    <cellStyle name="Separador de milhares 3 17 6 2 6" xfId="25516"/>
    <cellStyle name="Separador de milhares 3 17 6 3" xfId="7263"/>
    <cellStyle name="Separador de milhares 3 17 6 3 2" xfId="19117"/>
    <cellStyle name="Separador de milhares 3 17 6 3 2 2" xfId="45600"/>
    <cellStyle name="Separador de milhares 3 17 6 3 3" xfId="13190"/>
    <cellStyle name="Separador de milhares 3 17 6 3 3 2" xfId="39692"/>
    <cellStyle name="Separador de milhares 3 17 6 3 4" xfId="33784"/>
    <cellStyle name="Separador de milhares 3 17 6 3 5" xfId="27250"/>
    <cellStyle name="Separador de milhares 3 17 6 4" xfId="16153"/>
    <cellStyle name="Separador de milhares 3 17 6 4 2" xfId="42646"/>
    <cellStyle name="Separador de milhares 3 17 6 4 3" xfId="23744"/>
    <cellStyle name="Separador de milhares 3 17 6 5" xfId="10226"/>
    <cellStyle name="Separador de milhares 3 17 6 5 2" xfId="36738"/>
    <cellStyle name="Separador de milhares 3 17 6 6" xfId="30278"/>
    <cellStyle name="Separador de milhares 3 17 6 7" xfId="21972"/>
    <cellStyle name="Separador de milhares 3 17 7" xfId="2756"/>
    <cellStyle name="Separador de milhares 3 17 7 2" xfId="5670"/>
    <cellStyle name="Separador de milhares 3 17 7 2 2" xfId="8882"/>
    <cellStyle name="Separador de milhares 3 17 7 2 2 2" xfId="20736"/>
    <cellStyle name="Separador de milhares 3 17 7 2 2 2 2" xfId="47215"/>
    <cellStyle name="Separador de milhares 3 17 7 2 2 3" xfId="14809"/>
    <cellStyle name="Separador de milhares 3 17 7 2 2 3 2" xfId="41307"/>
    <cellStyle name="Separador de milhares 3 17 7 2 2 4" xfId="35399"/>
    <cellStyle name="Separador de milhares 3 17 7 2 2 5" xfId="28865"/>
    <cellStyle name="Separador de milhares 3 17 7 2 3" xfId="17772"/>
    <cellStyle name="Separador de milhares 3 17 7 2 3 2" xfId="44261"/>
    <cellStyle name="Separador de milhares 3 17 7 2 4" xfId="11845"/>
    <cellStyle name="Separador de milhares 3 17 7 2 4 2" xfId="38353"/>
    <cellStyle name="Separador de milhares 3 17 7 2 5" xfId="32197"/>
    <cellStyle name="Separador de milhares 3 17 7 2 6" xfId="25663"/>
    <cellStyle name="Separador de milhares 3 17 7 3" xfId="7411"/>
    <cellStyle name="Separador de milhares 3 17 7 3 2" xfId="19265"/>
    <cellStyle name="Separador de milhares 3 17 7 3 2 2" xfId="45747"/>
    <cellStyle name="Separador de milhares 3 17 7 3 3" xfId="13338"/>
    <cellStyle name="Separador de milhares 3 17 7 3 3 2" xfId="39839"/>
    <cellStyle name="Separador de milhares 3 17 7 3 4" xfId="33931"/>
    <cellStyle name="Separador de milhares 3 17 7 3 5" xfId="27397"/>
    <cellStyle name="Separador de milhares 3 17 7 4" xfId="16301"/>
    <cellStyle name="Separador de milhares 3 17 7 4 2" xfId="42793"/>
    <cellStyle name="Separador de milhares 3 17 7 4 3" xfId="23891"/>
    <cellStyle name="Separador de milhares 3 17 7 5" xfId="10374"/>
    <cellStyle name="Separador de milhares 3 17 7 5 2" xfId="36885"/>
    <cellStyle name="Separador de milhares 3 17 7 6" xfId="30425"/>
    <cellStyle name="Separador de milhares 3 17 7 7" xfId="22119"/>
    <cellStyle name="Separador de milhares 3 17 8" xfId="3284"/>
    <cellStyle name="Separador de milhares 3 17 8 2" xfId="5817"/>
    <cellStyle name="Separador de milhares 3 17 8 2 2" xfId="9029"/>
    <cellStyle name="Separador de milhares 3 17 8 2 2 2" xfId="20883"/>
    <cellStyle name="Separador de milhares 3 17 8 2 2 2 2" xfId="47362"/>
    <cellStyle name="Separador de milhares 3 17 8 2 2 3" xfId="14956"/>
    <cellStyle name="Separador de milhares 3 17 8 2 2 3 2" xfId="41454"/>
    <cellStyle name="Separador de milhares 3 17 8 2 2 4" xfId="35546"/>
    <cellStyle name="Separador de milhares 3 17 8 2 2 5" xfId="29012"/>
    <cellStyle name="Separador de milhares 3 17 8 2 3" xfId="17919"/>
    <cellStyle name="Separador de milhares 3 17 8 2 3 2" xfId="44408"/>
    <cellStyle name="Separador de milhares 3 17 8 2 4" xfId="11992"/>
    <cellStyle name="Separador de milhares 3 17 8 2 4 2" xfId="38500"/>
    <cellStyle name="Separador de milhares 3 17 8 2 5" xfId="32344"/>
    <cellStyle name="Separador de milhares 3 17 8 2 6" xfId="25810"/>
    <cellStyle name="Separador de milhares 3 17 8 3" xfId="7559"/>
    <cellStyle name="Separador de milhares 3 17 8 3 2" xfId="19413"/>
    <cellStyle name="Separador de milhares 3 17 8 3 2 2" xfId="45894"/>
    <cellStyle name="Separador de milhares 3 17 8 3 3" xfId="13486"/>
    <cellStyle name="Separador de milhares 3 17 8 3 3 2" xfId="39986"/>
    <cellStyle name="Separador de milhares 3 17 8 3 4" xfId="34078"/>
    <cellStyle name="Separador de milhares 3 17 8 3 5" xfId="27544"/>
    <cellStyle name="Separador de milhares 3 17 8 4" xfId="16449"/>
    <cellStyle name="Separador de milhares 3 17 8 4 2" xfId="42940"/>
    <cellStyle name="Separador de milhares 3 17 8 4 3" xfId="24038"/>
    <cellStyle name="Separador de milhares 3 17 8 5" xfId="10522"/>
    <cellStyle name="Separador de milhares 3 17 8 5 2" xfId="37032"/>
    <cellStyle name="Separador de milhares 3 17 8 6" xfId="30572"/>
    <cellStyle name="Separador de milhares 3 17 8 7" xfId="22266"/>
    <cellStyle name="Separador de milhares 3 17 9" xfId="3812"/>
    <cellStyle name="Separador de milhares 3 17 9 2" xfId="5964"/>
    <cellStyle name="Separador de milhares 3 17 9 2 2" xfId="9176"/>
    <cellStyle name="Separador de milhares 3 17 9 2 2 2" xfId="21030"/>
    <cellStyle name="Separador de milhares 3 17 9 2 2 2 2" xfId="47509"/>
    <cellStyle name="Separador de milhares 3 17 9 2 2 3" xfId="15103"/>
    <cellStyle name="Separador de milhares 3 17 9 2 2 3 2" xfId="41601"/>
    <cellStyle name="Separador de milhares 3 17 9 2 2 4" xfId="35693"/>
    <cellStyle name="Separador de milhares 3 17 9 2 2 5" xfId="29159"/>
    <cellStyle name="Separador de milhares 3 17 9 2 3" xfId="18066"/>
    <cellStyle name="Separador de milhares 3 17 9 2 3 2" xfId="44555"/>
    <cellStyle name="Separador de milhares 3 17 9 2 4" xfId="12139"/>
    <cellStyle name="Separador de milhares 3 17 9 2 4 2" xfId="38647"/>
    <cellStyle name="Separador de milhares 3 17 9 2 5" xfId="32491"/>
    <cellStyle name="Separador de milhares 3 17 9 2 6" xfId="25957"/>
    <cellStyle name="Separador de milhares 3 17 9 3" xfId="7707"/>
    <cellStyle name="Separador de milhares 3 17 9 3 2" xfId="19561"/>
    <cellStyle name="Separador de milhares 3 17 9 3 2 2" xfId="46041"/>
    <cellStyle name="Separador de milhares 3 17 9 3 3" xfId="13634"/>
    <cellStyle name="Separador de milhares 3 17 9 3 3 2" xfId="40133"/>
    <cellStyle name="Separador de milhares 3 17 9 3 4" xfId="34225"/>
    <cellStyle name="Separador de milhares 3 17 9 3 5" xfId="27691"/>
    <cellStyle name="Separador de milhares 3 17 9 4" xfId="16597"/>
    <cellStyle name="Separador de milhares 3 17 9 4 2" xfId="43087"/>
    <cellStyle name="Separador de milhares 3 17 9 4 3" xfId="24185"/>
    <cellStyle name="Separador de milhares 3 17 9 5" xfId="10670"/>
    <cellStyle name="Separador de milhares 3 17 9 5 2" xfId="37179"/>
    <cellStyle name="Separador de milhares 3 17 9 6" xfId="30719"/>
    <cellStyle name="Separador de milhares 3 17 9 7" xfId="22413"/>
    <cellStyle name="Separador de milhares 3 18" xfId="441"/>
    <cellStyle name="Separador de milhares 3 18 10" xfId="5011"/>
    <cellStyle name="Separador de milhares 3 18 10 2" xfId="8227"/>
    <cellStyle name="Separador de milhares 3 18 10 2 2" xfId="20081"/>
    <cellStyle name="Separador de milhares 3 18 10 2 2 2" xfId="46560"/>
    <cellStyle name="Separador de milhares 3 18 10 2 3" xfId="14154"/>
    <cellStyle name="Separador de milhares 3 18 10 2 3 2" xfId="40652"/>
    <cellStyle name="Separador de milhares 3 18 10 2 4" xfId="34744"/>
    <cellStyle name="Separador de milhares 3 18 10 2 5" xfId="28210"/>
    <cellStyle name="Separador de milhares 3 18 10 3" xfId="17117"/>
    <cellStyle name="Separador de milhares 3 18 10 3 2" xfId="43606"/>
    <cellStyle name="Separador de milhares 3 18 10 4" xfId="11190"/>
    <cellStyle name="Separador de milhares 3 18 10 4 2" xfId="37698"/>
    <cellStyle name="Separador de milhares 3 18 10 5" xfId="31538"/>
    <cellStyle name="Separador de milhares 3 18 10 6" xfId="25004"/>
    <cellStyle name="Separador de milhares 3 18 11" xfId="6751"/>
    <cellStyle name="Separador de milhares 3 18 11 2" xfId="18605"/>
    <cellStyle name="Separador de milhares 3 18 11 2 2" xfId="45092"/>
    <cellStyle name="Separador de milhares 3 18 11 3" xfId="12678"/>
    <cellStyle name="Separador de milhares 3 18 11 3 2" xfId="39184"/>
    <cellStyle name="Separador de milhares 3 18 11 4" xfId="33276"/>
    <cellStyle name="Separador de milhares 3 18 11 5" xfId="26742"/>
    <cellStyle name="Separador de milhares 3 18 12" xfId="15641"/>
    <cellStyle name="Separador de milhares 3 18 12 2" xfId="42138"/>
    <cellStyle name="Separador de milhares 3 18 12 3" xfId="23232"/>
    <cellStyle name="Separador de milhares 3 18 13" xfId="9714"/>
    <cellStyle name="Separador de milhares 3 18 13 2" xfId="36230"/>
    <cellStyle name="Separador de milhares 3 18 14" xfId="29766"/>
    <cellStyle name="Separador de milhares 3 18 2" xfId="1087"/>
    <cellStyle name="Separador de milhares 3 18 2 2" xfId="5208"/>
    <cellStyle name="Separador de milhares 3 18 2 2 2" xfId="8423"/>
    <cellStyle name="Separador de milhares 3 18 2 2 2 2" xfId="20277"/>
    <cellStyle name="Separador de milhares 3 18 2 2 2 2 2" xfId="46756"/>
    <cellStyle name="Separador de milhares 3 18 2 2 2 3" xfId="14350"/>
    <cellStyle name="Separador de milhares 3 18 2 2 2 3 2" xfId="40848"/>
    <cellStyle name="Separador de milhares 3 18 2 2 2 4" xfId="34940"/>
    <cellStyle name="Separador de milhares 3 18 2 2 2 5" xfId="28406"/>
    <cellStyle name="Separador de milhares 3 18 2 2 3" xfId="17313"/>
    <cellStyle name="Separador de milhares 3 18 2 2 3 2" xfId="43802"/>
    <cellStyle name="Separador de milhares 3 18 2 2 4" xfId="11386"/>
    <cellStyle name="Separador de milhares 3 18 2 2 4 2" xfId="37894"/>
    <cellStyle name="Separador de milhares 3 18 2 2 5" xfId="31735"/>
    <cellStyle name="Separador de milhares 3 18 2 2 6" xfId="25201"/>
    <cellStyle name="Separador de milhares 3 18 2 3" xfId="6950"/>
    <cellStyle name="Separador de milhares 3 18 2 3 2" xfId="18804"/>
    <cellStyle name="Separador de milhares 3 18 2 3 2 2" xfId="45288"/>
    <cellStyle name="Separador de milhares 3 18 2 3 3" xfId="12877"/>
    <cellStyle name="Separador de milhares 3 18 2 3 3 2" xfId="39380"/>
    <cellStyle name="Separador de milhares 3 18 2 3 4" xfId="33472"/>
    <cellStyle name="Separador de milhares 3 18 2 3 5" xfId="26938"/>
    <cellStyle name="Separador de milhares 3 18 2 4" xfId="15840"/>
    <cellStyle name="Separador de milhares 3 18 2 4 2" xfId="42334"/>
    <cellStyle name="Separador de milhares 3 18 2 4 3" xfId="23429"/>
    <cellStyle name="Separador de milhares 3 18 2 5" xfId="9913"/>
    <cellStyle name="Separador de milhares 3 18 2 5 2" xfId="36426"/>
    <cellStyle name="Separador de milhares 3 18 2 6" xfId="29963"/>
    <cellStyle name="Separador de milhares 3 18 2 7" xfId="21657"/>
    <cellStyle name="Separador de milhares 3 18 3" xfId="1438"/>
    <cellStyle name="Separador de milhares 3 18 3 2" xfId="5306"/>
    <cellStyle name="Separador de milhares 3 18 3 2 2" xfId="8521"/>
    <cellStyle name="Separador de milhares 3 18 3 2 2 2" xfId="20375"/>
    <cellStyle name="Separador de milhares 3 18 3 2 2 2 2" xfId="46854"/>
    <cellStyle name="Separador de milhares 3 18 3 2 2 3" xfId="14448"/>
    <cellStyle name="Separador de milhares 3 18 3 2 2 3 2" xfId="40946"/>
    <cellStyle name="Separador de milhares 3 18 3 2 2 4" xfId="35038"/>
    <cellStyle name="Separador de milhares 3 18 3 2 2 5" xfId="28504"/>
    <cellStyle name="Separador de milhares 3 18 3 2 3" xfId="17411"/>
    <cellStyle name="Separador de milhares 3 18 3 2 3 2" xfId="43900"/>
    <cellStyle name="Separador de milhares 3 18 3 2 4" xfId="11484"/>
    <cellStyle name="Separador de milhares 3 18 3 2 4 2" xfId="37992"/>
    <cellStyle name="Separador de milhares 3 18 3 2 5" xfId="31833"/>
    <cellStyle name="Separador de milhares 3 18 3 2 6" xfId="25299"/>
    <cellStyle name="Separador de milhares 3 18 3 3" xfId="7048"/>
    <cellStyle name="Separador de milhares 3 18 3 3 2" xfId="18902"/>
    <cellStyle name="Separador de milhares 3 18 3 3 2 2" xfId="45386"/>
    <cellStyle name="Separador de milhares 3 18 3 3 3" xfId="12975"/>
    <cellStyle name="Separador de milhares 3 18 3 3 3 2" xfId="39478"/>
    <cellStyle name="Separador de milhares 3 18 3 3 4" xfId="33570"/>
    <cellStyle name="Separador de milhares 3 18 3 3 5" xfId="27036"/>
    <cellStyle name="Separador de milhares 3 18 3 4" xfId="15938"/>
    <cellStyle name="Separador de milhares 3 18 3 4 2" xfId="42432"/>
    <cellStyle name="Separador de milhares 3 18 3 4 3" xfId="23527"/>
    <cellStyle name="Separador de milhares 3 18 3 5" xfId="10011"/>
    <cellStyle name="Separador de milhares 3 18 3 5 2" xfId="36524"/>
    <cellStyle name="Separador de milhares 3 18 3 6" xfId="30061"/>
    <cellStyle name="Separador de milhares 3 18 3 7" xfId="21755"/>
    <cellStyle name="Separador de milhares 3 18 4" xfId="1873"/>
    <cellStyle name="Separador de milhares 3 18 4 2" xfId="5425"/>
    <cellStyle name="Separador de milhares 3 18 4 2 2" xfId="8640"/>
    <cellStyle name="Separador de milhares 3 18 4 2 2 2" xfId="20494"/>
    <cellStyle name="Separador de milhares 3 18 4 2 2 2 2" xfId="46973"/>
    <cellStyle name="Separador de milhares 3 18 4 2 2 3" xfId="14567"/>
    <cellStyle name="Separador de milhares 3 18 4 2 2 3 2" xfId="41065"/>
    <cellStyle name="Separador de milhares 3 18 4 2 2 4" xfId="35157"/>
    <cellStyle name="Separador de milhares 3 18 4 2 2 5" xfId="28623"/>
    <cellStyle name="Separador de milhares 3 18 4 2 3" xfId="17530"/>
    <cellStyle name="Separador de milhares 3 18 4 2 3 2" xfId="44019"/>
    <cellStyle name="Separador de milhares 3 18 4 2 4" xfId="11603"/>
    <cellStyle name="Separador de milhares 3 18 4 2 4 2" xfId="38111"/>
    <cellStyle name="Separador de milhares 3 18 4 2 5" xfId="31952"/>
    <cellStyle name="Separador de milhares 3 18 4 2 6" xfId="25418"/>
    <cellStyle name="Separador de milhares 3 18 4 3" xfId="7167"/>
    <cellStyle name="Separador de milhares 3 18 4 3 2" xfId="19021"/>
    <cellStyle name="Separador de milhares 3 18 4 3 2 2" xfId="45505"/>
    <cellStyle name="Separador de milhares 3 18 4 3 3" xfId="13094"/>
    <cellStyle name="Separador de milhares 3 18 4 3 3 2" xfId="39597"/>
    <cellStyle name="Separador de milhares 3 18 4 3 4" xfId="33689"/>
    <cellStyle name="Separador de milhares 3 18 4 3 5" xfId="27155"/>
    <cellStyle name="Separador de milhares 3 18 4 4" xfId="16057"/>
    <cellStyle name="Separador de milhares 3 18 4 4 2" xfId="42551"/>
    <cellStyle name="Separador de milhares 3 18 4 4 3" xfId="23646"/>
    <cellStyle name="Separador de milhares 3 18 4 5" xfId="10130"/>
    <cellStyle name="Separador de milhares 3 18 4 5 2" xfId="36643"/>
    <cellStyle name="Separador de milhares 3 18 4 6" xfId="30180"/>
    <cellStyle name="Separador de milhares 3 18 4 7" xfId="21874"/>
    <cellStyle name="Separador de milhares 3 18 5" xfId="2406"/>
    <cellStyle name="Separador de milhares 3 18 5 2" xfId="5575"/>
    <cellStyle name="Separador de milhares 3 18 5 2 2" xfId="8787"/>
    <cellStyle name="Separador de milhares 3 18 5 2 2 2" xfId="20641"/>
    <cellStyle name="Separador de milhares 3 18 5 2 2 2 2" xfId="47120"/>
    <cellStyle name="Separador de milhares 3 18 5 2 2 3" xfId="14714"/>
    <cellStyle name="Separador de milhares 3 18 5 2 2 3 2" xfId="41212"/>
    <cellStyle name="Separador de milhares 3 18 5 2 2 4" xfId="35304"/>
    <cellStyle name="Separador de milhares 3 18 5 2 2 5" xfId="28770"/>
    <cellStyle name="Separador de milhares 3 18 5 2 3" xfId="17677"/>
    <cellStyle name="Separador de milhares 3 18 5 2 3 2" xfId="44166"/>
    <cellStyle name="Separador de milhares 3 18 5 2 4" xfId="11750"/>
    <cellStyle name="Separador de milhares 3 18 5 2 4 2" xfId="38258"/>
    <cellStyle name="Separador de milhares 3 18 5 2 5" xfId="32102"/>
    <cellStyle name="Separador de milhares 3 18 5 2 6" xfId="25568"/>
    <cellStyle name="Separador de milhares 3 18 5 3" xfId="7315"/>
    <cellStyle name="Separador de milhares 3 18 5 3 2" xfId="19169"/>
    <cellStyle name="Separador de milhares 3 18 5 3 2 2" xfId="45652"/>
    <cellStyle name="Separador de milhares 3 18 5 3 3" xfId="13242"/>
    <cellStyle name="Separador de milhares 3 18 5 3 3 2" xfId="39744"/>
    <cellStyle name="Separador de milhares 3 18 5 3 4" xfId="33836"/>
    <cellStyle name="Separador de milhares 3 18 5 3 5" xfId="27302"/>
    <cellStyle name="Separador de milhares 3 18 5 4" xfId="16205"/>
    <cellStyle name="Separador de milhares 3 18 5 4 2" xfId="42698"/>
    <cellStyle name="Separador de milhares 3 18 5 4 3" xfId="23796"/>
    <cellStyle name="Separador de milhares 3 18 5 5" xfId="10278"/>
    <cellStyle name="Separador de milhares 3 18 5 5 2" xfId="36790"/>
    <cellStyle name="Separador de milhares 3 18 5 6" xfId="30330"/>
    <cellStyle name="Separador de milhares 3 18 5 7" xfId="22024"/>
    <cellStyle name="Separador de milhares 3 18 6" xfId="2934"/>
    <cellStyle name="Separador de milhares 3 18 6 2" xfId="5722"/>
    <cellStyle name="Separador de milhares 3 18 6 2 2" xfId="8934"/>
    <cellStyle name="Separador de milhares 3 18 6 2 2 2" xfId="20788"/>
    <cellStyle name="Separador de milhares 3 18 6 2 2 2 2" xfId="47267"/>
    <cellStyle name="Separador de milhares 3 18 6 2 2 3" xfId="14861"/>
    <cellStyle name="Separador de milhares 3 18 6 2 2 3 2" xfId="41359"/>
    <cellStyle name="Separador de milhares 3 18 6 2 2 4" xfId="35451"/>
    <cellStyle name="Separador de milhares 3 18 6 2 2 5" xfId="28917"/>
    <cellStyle name="Separador de milhares 3 18 6 2 3" xfId="17824"/>
    <cellStyle name="Separador de milhares 3 18 6 2 3 2" xfId="44313"/>
    <cellStyle name="Separador de milhares 3 18 6 2 4" xfId="11897"/>
    <cellStyle name="Separador de milhares 3 18 6 2 4 2" xfId="38405"/>
    <cellStyle name="Separador de milhares 3 18 6 2 5" xfId="32249"/>
    <cellStyle name="Separador de milhares 3 18 6 2 6" xfId="25715"/>
    <cellStyle name="Separador de milhares 3 18 6 3" xfId="7463"/>
    <cellStyle name="Separador de milhares 3 18 6 3 2" xfId="19317"/>
    <cellStyle name="Separador de milhares 3 18 6 3 2 2" xfId="45799"/>
    <cellStyle name="Separador de milhares 3 18 6 3 3" xfId="13390"/>
    <cellStyle name="Separador de milhares 3 18 6 3 3 2" xfId="39891"/>
    <cellStyle name="Separador de milhares 3 18 6 3 4" xfId="33983"/>
    <cellStyle name="Separador de milhares 3 18 6 3 5" xfId="27449"/>
    <cellStyle name="Separador de milhares 3 18 6 4" xfId="16353"/>
    <cellStyle name="Separador de milhares 3 18 6 4 2" xfId="42845"/>
    <cellStyle name="Separador de milhares 3 18 6 4 3" xfId="23943"/>
    <cellStyle name="Separador de milhares 3 18 6 5" xfId="10426"/>
    <cellStyle name="Separador de milhares 3 18 6 5 2" xfId="36937"/>
    <cellStyle name="Separador de milhares 3 18 6 6" xfId="30477"/>
    <cellStyle name="Separador de milhares 3 18 6 7" xfId="22171"/>
    <cellStyle name="Separador de milhares 3 18 7" xfId="3462"/>
    <cellStyle name="Separador de milhares 3 18 7 2" xfId="5869"/>
    <cellStyle name="Separador de milhares 3 18 7 2 2" xfId="9081"/>
    <cellStyle name="Separador de milhares 3 18 7 2 2 2" xfId="20935"/>
    <cellStyle name="Separador de milhares 3 18 7 2 2 2 2" xfId="47414"/>
    <cellStyle name="Separador de milhares 3 18 7 2 2 3" xfId="15008"/>
    <cellStyle name="Separador de milhares 3 18 7 2 2 3 2" xfId="41506"/>
    <cellStyle name="Separador de milhares 3 18 7 2 2 4" xfId="35598"/>
    <cellStyle name="Separador de milhares 3 18 7 2 2 5" xfId="29064"/>
    <cellStyle name="Separador de milhares 3 18 7 2 3" xfId="17971"/>
    <cellStyle name="Separador de milhares 3 18 7 2 3 2" xfId="44460"/>
    <cellStyle name="Separador de milhares 3 18 7 2 4" xfId="12044"/>
    <cellStyle name="Separador de milhares 3 18 7 2 4 2" xfId="38552"/>
    <cellStyle name="Separador de milhares 3 18 7 2 5" xfId="32396"/>
    <cellStyle name="Separador de milhares 3 18 7 2 6" xfId="25862"/>
    <cellStyle name="Separador de milhares 3 18 7 3" xfId="7611"/>
    <cellStyle name="Separador de milhares 3 18 7 3 2" xfId="19465"/>
    <cellStyle name="Separador de milhares 3 18 7 3 2 2" xfId="45946"/>
    <cellStyle name="Separador de milhares 3 18 7 3 3" xfId="13538"/>
    <cellStyle name="Separador de milhares 3 18 7 3 3 2" xfId="40038"/>
    <cellStyle name="Separador de milhares 3 18 7 3 4" xfId="34130"/>
    <cellStyle name="Separador de milhares 3 18 7 3 5" xfId="27596"/>
    <cellStyle name="Separador de milhares 3 18 7 4" xfId="16501"/>
    <cellStyle name="Separador de milhares 3 18 7 4 2" xfId="42992"/>
    <cellStyle name="Separador de milhares 3 18 7 4 3" xfId="24090"/>
    <cellStyle name="Separador de milhares 3 18 7 5" xfId="10574"/>
    <cellStyle name="Separador de milhares 3 18 7 5 2" xfId="37084"/>
    <cellStyle name="Separador de milhares 3 18 7 6" xfId="30624"/>
    <cellStyle name="Separador de milhares 3 18 7 7" xfId="22318"/>
    <cellStyle name="Separador de milhares 3 18 8" xfId="3990"/>
    <cellStyle name="Separador de milhares 3 18 8 2" xfId="6016"/>
    <cellStyle name="Separador de milhares 3 18 8 2 2" xfId="9228"/>
    <cellStyle name="Separador de milhares 3 18 8 2 2 2" xfId="21082"/>
    <cellStyle name="Separador de milhares 3 18 8 2 2 2 2" xfId="47561"/>
    <cellStyle name="Separador de milhares 3 18 8 2 2 3" xfId="15155"/>
    <cellStyle name="Separador de milhares 3 18 8 2 2 3 2" xfId="41653"/>
    <cellStyle name="Separador de milhares 3 18 8 2 2 4" xfId="35745"/>
    <cellStyle name="Separador de milhares 3 18 8 2 2 5" xfId="29211"/>
    <cellStyle name="Separador de milhares 3 18 8 2 3" xfId="18118"/>
    <cellStyle name="Separador de milhares 3 18 8 2 3 2" xfId="44607"/>
    <cellStyle name="Separador de milhares 3 18 8 2 4" xfId="12191"/>
    <cellStyle name="Separador de milhares 3 18 8 2 4 2" xfId="38699"/>
    <cellStyle name="Separador de milhares 3 18 8 2 5" xfId="32543"/>
    <cellStyle name="Separador de milhares 3 18 8 2 6" xfId="26009"/>
    <cellStyle name="Separador de milhares 3 18 8 3" xfId="7759"/>
    <cellStyle name="Separador de milhares 3 18 8 3 2" xfId="19613"/>
    <cellStyle name="Separador de milhares 3 18 8 3 2 2" xfId="46093"/>
    <cellStyle name="Separador de milhares 3 18 8 3 3" xfId="13686"/>
    <cellStyle name="Separador de milhares 3 18 8 3 3 2" xfId="40185"/>
    <cellStyle name="Separador de milhares 3 18 8 3 4" xfId="34277"/>
    <cellStyle name="Separador de milhares 3 18 8 3 5" xfId="27743"/>
    <cellStyle name="Separador de milhares 3 18 8 4" xfId="16649"/>
    <cellStyle name="Separador de milhares 3 18 8 4 2" xfId="43139"/>
    <cellStyle name="Separador de milhares 3 18 8 4 3" xfId="24237"/>
    <cellStyle name="Separador de milhares 3 18 8 5" xfId="10722"/>
    <cellStyle name="Separador de milhares 3 18 8 5 2" xfId="37231"/>
    <cellStyle name="Separador de milhares 3 18 8 6" xfId="30771"/>
    <cellStyle name="Separador de milhares 3 18 8 7" xfId="22465"/>
    <cellStyle name="Separador de milhares 3 18 9" xfId="797"/>
    <cellStyle name="Separador de milhares 3 18 9 2" xfId="5110"/>
    <cellStyle name="Separador de milhares 3 18 9 2 2" xfId="8325"/>
    <cellStyle name="Separador de milhares 3 18 9 2 2 2" xfId="20179"/>
    <cellStyle name="Separador de milhares 3 18 9 2 2 2 2" xfId="46658"/>
    <cellStyle name="Separador de milhares 3 18 9 2 2 3" xfId="14252"/>
    <cellStyle name="Separador de milhares 3 18 9 2 2 3 2" xfId="40750"/>
    <cellStyle name="Separador de milhares 3 18 9 2 2 4" xfId="34842"/>
    <cellStyle name="Separador de milhares 3 18 9 2 2 5" xfId="28308"/>
    <cellStyle name="Separador de milhares 3 18 9 2 3" xfId="17215"/>
    <cellStyle name="Separador de milhares 3 18 9 2 3 2" xfId="43704"/>
    <cellStyle name="Separador de milhares 3 18 9 2 4" xfId="11288"/>
    <cellStyle name="Separador de milhares 3 18 9 2 4 2" xfId="37796"/>
    <cellStyle name="Separador de milhares 3 18 9 2 5" xfId="31637"/>
    <cellStyle name="Separador de milhares 3 18 9 2 6" xfId="25103"/>
    <cellStyle name="Separador de milhares 3 18 9 3" xfId="6852"/>
    <cellStyle name="Separador de milhares 3 18 9 3 2" xfId="18706"/>
    <cellStyle name="Separador de milhares 3 18 9 3 2 2" xfId="45190"/>
    <cellStyle name="Separador de milhares 3 18 9 3 3" xfId="12779"/>
    <cellStyle name="Separador de milhares 3 18 9 3 3 2" xfId="39282"/>
    <cellStyle name="Separador de milhares 3 18 9 3 4" xfId="33374"/>
    <cellStyle name="Separador de milhares 3 18 9 3 5" xfId="26840"/>
    <cellStyle name="Separador de milhares 3 18 9 4" xfId="15742"/>
    <cellStyle name="Separador de milhares 3 18 9 4 2" xfId="42236"/>
    <cellStyle name="Separador de milhares 3 18 9 4 3" xfId="23331"/>
    <cellStyle name="Separador de milhares 3 18 9 5" xfId="9815"/>
    <cellStyle name="Separador de milhares 3 18 9 5 2" xfId="36328"/>
    <cellStyle name="Separador de milhares 3 18 9 6" xfId="29865"/>
    <cellStyle name="Separador de milhares 3 18 9 7" xfId="21559"/>
    <cellStyle name="Separador de milhares 3 19" xfId="699"/>
    <cellStyle name="Separador de milhares 3 19 10" xfId="15705"/>
    <cellStyle name="Separador de milhares 3 19 10 2" xfId="42202"/>
    <cellStyle name="Separador de milhares 3 19 10 3" xfId="23297"/>
    <cellStyle name="Separador de milhares 3 19 11" xfId="9778"/>
    <cellStyle name="Separador de milhares 3 19 11 2" xfId="36294"/>
    <cellStyle name="Separador de milhares 3 19 12" xfId="29831"/>
    <cellStyle name="Separador de milhares 3 19 13" xfId="21525"/>
    <cellStyle name="Separador de milhares 3 19 2" xfId="1522"/>
    <cellStyle name="Separador de milhares 3 19 2 2" xfId="5327"/>
    <cellStyle name="Separador de milhares 3 19 2 2 2" xfId="8542"/>
    <cellStyle name="Separador de milhares 3 19 2 2 2 2" xfId="20396"/>
    <cellStyle name="Separador de milhares 3 19 2 2 2 2 2" xfId="46875"/>
    <cellStyle name="Separador de milhares 3 19 2 2 2 3" xfId="14469"/>
    <cellStyle name="Separador de milhares 3 19 2 2 2 3 2" xfId="40967"/>
    <cellStyle name="Separador de milhares 3 19 2 2 2 4" xfId="35059"/>
    <cellStyle name="Separador de milhares 3 19 2 2 2 5" xfId="28525"/>
    <cellStyle name="Separador de milhares 3 19 2 2 3" xfId="17432"/>
    <cellStyle name="Separador de milhares 3 19 2 2 3 2" xfId="43921"/>
    <cellStyle name="Separador de milhares 3 19 2 2 4" xfId="11505"/>
    <cellStyle name="Separador de milhares 3 19 2 2 4 2" xfId="38013"/>
    <cellStyle name="Separador de milhares 3 19 2 2 5" xfId="31854"/>
    <cellStyle name="Separador de milhares 3 19 2 2 6" xfId="25320"/>
    <cellStyle name="Separador de milhares 3 19 2 3" xfId="7069"/>
    <cellStyle name="Separador de milhares 3 19 2 3 2" xfId="18923"/>
    <cellStyle name="Separador de milhares 3 19 2 3 2 2" xfId="45407"/>
    <cellStyle name="Separador de milhares 3 19 2 3 3" xfId="12996"/>
    <cellStyle name="Separador de milhares 3 19 2 3 3 2" xfId="39499"/>
    <cellStyle name="Separador de milhares 3 19 2 3 4" xfId="33591"/>
    <cellStyle name="Separador de milhares 3 19 2 3 5" xfId="27057"/>
    <cellStyle name="Separador de milhares 3 19 2 4" xfId="15959"/>
    <cellStyle name="Separador de milhares 3 19 2 4 2" xfId="42453"/>
    <cellStyle name="Separador de milhares 3 19 2 4 3" xfId="23548"/>
    <cellStyle name="Separador de milhares 3 19 2 5" xfId="10032"/>
    <cellStyle name="Separador de milhares 3 19 2 5 2" xfId="36545"/>
    <cellStyle name="Separador de milhares 3 19 2 6" xfId="30082"/>
    <cellStyle name="Separador de milhares 3 19 2 7" xfId="21776"/>
    <cellStyle name="Separador de milhares 3 19 3" xfId="1957"/>
    <cellStyle name="Separador de milhares 3 19 3 2" xfId="5446"/>
    <cellStyle name="Separador de milhares 3 19 3 2 2" xfId="8661"/>
    <cellStyle name="Separador de milhares 3 19 3 2 2 2" xfId="20515"/>
    <cellStyle name="Separador de milhares 3 19 3 2 2 2 2" xfId="46994"/>
    <cellStyle name="Separador de milhares 3 19 3 2 2 3" xfId="14588"/>
    <cellStyle name="Separador de milhares 3 19 3 2 2 3 2" xfId="41086"/>
    <cellStyle name="Separador de milhares 3 19 3 2 2 4" xfId="35178"/>
    <cellStyle name="Separador de milhares 3 19 3 2 2 5" xfId="28644"/>
    <cellStyle name="Separador de milhares 3 19 3 2 3" xfId="17551"/>
    <cellStyle name="Separador de milhares 3 19 3 2 3 2" xfId="44040"/>
    <cellStyle name="Separador de milhares 3 19 3 2 4" xfId="11624"/>
    <cellStyle name="Separador de milhares 3 19 3 2 4 2" xfId="38132"/>
    <cellStyle name="Separador de milhares 3 19 3 2 5" xfId="31973"/>
    <cellStyle name="Separador de milhares 3 19 3 2 6" xfId="25439"/>
    <cellStyle name="Separador de milhares 3 19 3 3" xfId="7188"/>
    <cellStyle name="Separador de milhares 3 19 3 3 2" xfId="19042"/>
    <cellStyle name="Separador de milhares 3 19 3 3 2 2" xfId="45526"/>
    <cellStyle name="Separador de milhares 3 19 3 3 3" xfId="13115"/>
    <cellStyle name="Separador de milhares 3 19 3 3 3 2" xfId="39618"/>
    <cellStyle name="Separador de milhares 3 19 3 3 4" xfId="33710"/>
    <cellStyle name="Separador de milhares 3 19 3 3 5" xfId="27176"/>
    <cellStyle name="Separador de milhares 3 19 3 4" xfId="16078"/>
    <cellStyle name="Separador de milhares 3 19 3 4 2" xfId="42572"/>
    <cellStyle name="Separador de milhares 3 19 3 4 3" xfId="23667"/>
    <cellStyle name="Separador de milhares 3 19 3 5" xfId="10151"/>
    <cellStyle name="Separador de milhares 3 19 3 5 2" xfId="36664"/>
    <cellStyle name="Separador de milhares 3 19 3 6" xfId="30201"/>
    <cellStyle name="Separador de milhares 3 19 3 7" xfId="21895"/>
    <cellStyle name="Separador de milhares 3 19 4" xfId="2490"/>
    <cellStyle name="Separador de milhares 3 19 4 2" xfId="5596"/>
    <cellStyle name="Separador de milhares 3 19 4 2 2" xfId="8808"/>
    <cellStyle name="Separador de milhares 3 19 4 2 2 2" xfId="20662"/>
    <cellStyle name="Separador de milhares 3 19 4 2 2 2 2" xfId="47141"/>
    <cellStyle name="Separador de milhares 3 19 4 2 2 3" xfId="14735"/>
    <cellStyle name="Separador de milhares 3 19 4 2 2 3 2" xfId="41233"/>
    <cellStyle name="Separador de milhares 3 19 4 2 2 4" xfId="35325"/>
    <cellStyle name="Separador de milhares 3 19 4 2 2 5" xfId="28791"/>
    <cellStyle name="Separador de milhares 3 19 4 2 3" xfId="17698"/>
    <cellStyle name="Separador de milhares 3 19 4 2 3 2" xfId="44187"/>
    <cellStyle name="Separador de milhares 3 19 4 2 4" xfId="11771"/>
    <cellStyle name="Separador de milhares 3 19 4 2 4 2" xfId="38279"/>
    <cellStyle name="Separador de milhares 3 19 4 2 5" xfId="32123"/>
    <cellStyle name="Separador de milhares 3 19 4 2 6" xfId="25589"/>
    <cellStyle name="Separador de milhares 3 19 4 3" xfId="7336"/>
    <cellStyle name="Separador de milhares 3 19 4 3 2" xfId="19190"/>
    <cellStyle name="Separador de milhares 3 19 4 3 2 2" xfId="45673"/>
    <cellStyle name="Separador de milhares 3 19 4 3 3" xfId="13263"/>
    <cellStyle name="Separador de milhares 3 19 4 3 3 2" xfId="39765"/>
    <cellStyle name="Separador de milhares 3 19 4 3 4" xfId="33857"/>
    <cellStyle name="Separador de milhares 3 19 4 3 5" xfId="27323"/>
    <cellStyle name="Separador de milhares 3 19 4 4" xfId="16226"/>
    <cellStyle name="Separador de milhares 3 19 4 4 2" xfId="42719"/>
    <cellStyle name="Separador de milhares 3 19 4 4 3" xfId="23817"/>
    <cellStyle name="Separador de milhares 3 19 4 5" xfId="10299"/>
    <cellStyle name="Separador de milhares 3 19 4 5 2" xfId="36811"/>
    <cellStyle name="Separador de milhares 3 19 4 6" xfId="30351"/>
    <cellStyle name="Separador de milhares 3 19 4 7" xfId="22045"/>
    <cellStyle name="Separador de milhares 3 19 5" xfId="3018"/>
    <cellStyle name="Separador de milhares 3 19 5 2" xfId="5743"/>
    <cellStyle name="Separador de milhares 3 19 5 2 2" xfId="8955"/>
    <cellStyle name="Separador de milhares 3 19 5 2 2 2" xfId="20809"/>
    <cellStyle name="Separador de milhares 3 19 5 2 2 2 2" xfId="47288"/>
    <cellStyle name="Separador de milhares 3 19 5 2 2 3" xfId="14882"/>
    <cellStyle name="Separador de milhares 3 19 5 2 2 3 2" xfId="41380"/>
    <cellStyle name="Separador de milhares 3 19 5 2 2 4" xfId="35472"/>
    <cellStyle name="Separador de milhares 3 19 5 2 2 5" xfId="28938"/>
    <cellStyle name="Separador de milhares 3 19 5 2 3" xfId="17845"/>
    <cellStyle name="Separador de milhares 3 19 5 2 3 2" xfId="44334"/>
    <cellStyle name="Separador de milhares 3 19 5 2 4" xfId="11918"/>
    <cellStyle name="Separador de milhares 3 19 5 2 4 2" xfId="38426"/>
    <cellStyle name="Separador de milhares 3 19 5 2 5" xfId="32270"/>
    <cellStyle name="Separador de milhares 3 19 5 2 6" xfId="25736"/>
    <cellStyle name="Separador de milhares 3 19 5 3" xfId="7484"/>
    <cellStyle name="Separador de milhares 3 19 5 3 2" xfId="19338"/>
    <cellStyle name="Separador de milhares 3 19 5 3 2 2" xfId="45820"/>
    <cellStyle name="Separador de milhares 3 19 5 3 3" xfId="13411"/>
    <cellStyle name="Separador de milhares 3 19 5 3 3 2" xfId="39912"/>
    <cellStyle name="Separador de milhares 3 19 5 3 4" xfId="34004"/>
    <cellStyle name="Separador de milhares 3 19 5 3 5" xfId="27470"/>
    <cellStyle name="Separador de milhares 3 19 5 4" xfId="16374"/>
    <cellStyle name="Separador de milhares 3 19 5 4 2" xfId="42866"/>
    <cellStyle name="Separador de milhares 3 19 5 4 3" xfId="23964"/>
    <cellStyle name="Separador de milhares 3 19 5 5" xfId="10447"/>
    <cellStyle name="Separador de milhares 3 19 5 5 2" xfId="36958"/>
    <cellStyle name="Separador de milhares 3 19 5 6" xfId="30498"/>
    <cellStyle name="Separador de milhares 3 19 5 7" xfId="22192"/>
    <cellStyle name="Separador de milhares 3 19 6" xfId="3546"/>
    <cellStyle name="Separador de milhares 3 19 6 2" xfId="5890"/>
    <cellStyle name="Separador de milhares 3 19 6 2 2" xfId="9102"/>
    <cellStyle name="Separador de milhares 3 19 6 2 2 2" xfId="20956"/>
    <cellStyle name="Separador de milhares 3 19 6 2 2 2 2" xfId="47435"/>
    <cellStyle name="Separador de milhares 3 19 6 2 2 3" xfId="15029"/>
    <cellStyle name="Separador de milhares 3 19 6 2 2 3 2" xfId="41527"/>
    <cellStyle name="Separador de milhares 3 19 6 2 2 4" xfId="35619"/>
    <cellStyle name="Separador de milhares 3 19 6 2 2 5" xfId="29085"/>
    <cellStyle name="Separador de milhares 3 19 6 2 3" xfId="17992"/>
    <cellStyle name="Separador de milhares 3 19 6 2 3 2" xfId="44481"/>
    <cellStyle name="Separador de milhares 3 19 6 2 4" xfId="12065"/>
    <cellStyle name="Separador de milhares 3 19 6 2 4 2" xfId="38573"/>
    <cellStyle name="Separador de milhares 3 19 6 2 5" xfId="32417"/>
    <cellStyle name="Separador de milhares 3 19 6 2 6" xfId="25883"/>
    <cellStyle name="Separador de milhares 3 19 6 3" xfId="7632"/>
    <cellStyle name="Separador de milhares 3 19 6 3 2" xfId="19486"/>
    <cellStyle name="Separador de milhares 3 19 6 3 2 2" xfId="45967"/>
    <cellStyle name="Separador de milhares 3 19 6 3 3" xfId="13559"/>
    <cellStyle name="Separador de milhares 3 19 6 3 3 2" xfId="40059"/>
    <cellStyle name="Separador de milhares 3 19 6 3 4" xfId="34151"/>
    <cellStyle name="Separador de milhares 3 19 6 3 5" xfId="27617"/>
    <cellStyle name="Separador de milhares 3 19 6 4" xfId="16522"/>
    <cellStyle name="Separador de milhares 3 19 6 4 2" xfId="43013"/>
    <cellStyle name="Separador de milhares 3 19 6 4 3" xfId="24111"/>
    <cellStyle name="Separador de milhares 3 19 6 5" xfId="10595"/>
    <cellStyle name="Separador de milhares 3 19 6 5 2" xfId="37105"/>
    <cellStyle name="Separador de milhares 3 19 6 6" xfId="30645"/>
    <cellStyle name="Separador de milhares 3 19 6 7" xfId="22339"/>
    <cellStyle name="Separador de milhares 3 19 7" xfId="4074"/>
    <cellStyle name="Separador de milhares 3 19 7 2" xfId="6037"/>
    <cellStyle name="Separador de milhares 3 19 7 2 2" xfId="9249"/>
    <cellStyle name="Separador de milhares 3 19 7 2 2 2" xfId="21103"/>
    <cellStyle name="Separador de milhares 3 19 7 2 2 2 2" xfId="47582"/>
    <cellStyle name="Separador de milhares 3 19 7 2 2 3" xfId="15176"/>
    <cellStyle name="Separador de milhares 3 19 7 2 2 3 2" xfId="41674"/>
    <cellStyle name="Separador de milhares 3 19 7 2 2 4" xfId="35766"/>
    <cellStyle name="Separador de milhares 3 19 7 2 2 5" xfId="29232"/>
    <cellStyle name="Separador de milhares 3 19 7 2 3" xfId="18139"/>
    <cellStyle name="Separador de milhares 3 19 7 2 3 2" xfId="44628"/>
    <cellStyle name="Separador de milhares 3 19 7 2 4" xfId="12212"/>
    <cellStyle name="Separador de milhares 3 19 7 2 4 2" xfId="38720"/>
    <cellStyle name="Separador de milhares 3 19 7 2 5" xfId="32564"/>
    <cellStyle name="Separador de milhares 3 19 7 2 6" xfId="26030"/>
    <cellStyle name="Separador de milhares 3 19 7 3" xfId="7780"/>
    <cellStyle name="Separador de milhares 3 19 7 3 2" xfId="19634"/>
    <cellStyle name="Separador de milhares 3 19 7 3 2 2" xfId="46114"/>
    <cellStyle name="Separador de milhares 3 19 7 3 3" xfId="13707"/>
    <cellStyle name="Separador de milhares 3 19 7 3 3 2" xfId="40206"/>
    <cellStyle name="Separador de milhares 3 19 7 3 4" xfId="34298"/>
    <cellStyle name="Separador de milhares 3 19 7 3 5" xfId="27764"/>
    <cellStyle name="Separador de milhares 3 19 7 4" xfId="16670"/>
    <cellStyle name="Separador de milhares 3 19 7 4 2" xfId="43160"/>
    <cellStyle name="Separador de milhares 3 19 7 4 3" xfId="24258"/>
    <cellStyle name="Separador de milhares 3 19 7 5" xfId="10743"/>
    <cellStyle name="Separador de milhares 3 19 7 5 2" xfId="37252"/>
    <cellStyle name="Separador de milhares 3 19 7 6" xfId="30792"/>
    <cellStyle name="Separador de milhares 3 19 7 7" xfId="22486"/>
    <cellStyle name="Separador de milhares 3 19 8" xfId="5076"/>
    <cellStyle name="Separador de milhares 3 19 8 2" xfId="8291"/>
    <cellStyle name="Separador de milhares 3 19 8 2 2" xfId="20145"/>
    <cellStyle name="Separador de milhares 3 19 8 2 2 2" xfId="46624"/>
    <cellStyle name="Separador de milhares 3 19 8 2 3" xfId="14218"/>
    <cellStyle name="Separador de milhares 3 19 8 2 3 2" xfId="40716"/>
    <cellStyle name="Separador de milhares 3 19 8 2 4" xfId="34808"/>
    <cellStyle name="Separador de milhares 3 19 8 2 5" xfId="28274"/>
    <cellStyle name="Separador de milhares 3 19 8 3" xfId="17181"/>
    <cellStyle name="Separador de milhares 3 19 8 3 2" xfId="43670"/>
    <cellStyle name="Separador de milhares 3 19 8 4" xfId="11254"/>
    <cellStyle name="Separador de milhares 3 19 8 4 2" xfId="37762"/>
    <cellStyle name="Separador de milhares 3 19 8 5" xfId="31603"/>
    <cellStyle name="Separador de milhares 3 19 8 6" xfId="25069"/>
    <cellStyle name="Separador de milhares 3 19 9" xfId="6815"/>
    <cellStyle name="Separador de milhares 3 19 9 2" xfId="18669"/>
    <cellStyle name="Separador de milhares 3 19 9 2 2" xfId="45156"/>
    <cellStyle name="Separador de milhares 3 19 9 3" xfId="12742"/>
    <cellStyle name="Separador de milhares 3 19 9 3 2" xfId="39248"/>
    <cellStyle name="Separador de milhares 3 19 9 4" xfId="33340"/>
    <cellStyle name="Separador de milhares 3 19 9 5" xfId="26806"/>
    <cellStyle name="Separador de milhares 3 2" xfId="161"/>
    <cellStyle name="Separador de milhares 3 2 10" xfId="445"/>
    <cellStyle name="Separador de milhares 3 2 10 10" xfId="5012"/>
    <cellStyle name="Separador de milhares 3 2 10 10 2" xfId="8228"/>
    <cellStyle name="Separador de milhares 3 2 10 10 2 2" xfId="20082"/>
    <cellStyle name="Separador de milhares 3 2 10 10 2 2 2" xfId="46561"/>
    <cellStyle name="Separador de milhares 3 2 10 10 2 3" xfId="14155"/>
    <cellStyle name="Separador de milhares 3 2 10 10 2 3 2" xfId="40653"/>
    <cellStyle name="Separador de milhares 3 2 10 10 2 4" xfId="34745"/>
    <cellStyle name="Separador de milhares 3 2 10 10 2 5" xfId="28211"/>
    <cellStyle name="Separador de milhares 3 2 10 10 3" xfId="17118"/>
    <cellStyle name="Separador de milhares 3 2 10 10 3 2" xfId="43607"/>
    <cellStyle name="Separador de milhares 3 2 10 10 4" xfId="11191"/>
    <cellStyle name="Separador de milhares 3 2 10 10 4 2" xfId="37699"/>
    <cellStyle name="Separador de milhares 3 2 10 10 5" xfId="31539"/>
    <cellStyle name="Separador de milhares 3 2 10 10 6" xfId="25005"/>
    <cellStyle name="Separador de milhares 3 2 10 11" xfId="6752"/>
    <cellStyle name="Separador de milhares 3 2 10 11 2" xfId="18606"/>
    <cellStyle name="Separador de milhares 3 2 10 11 2 2" xfId="45093"/>
    <cellStyle name="Separador de milhares 3 2 10 11 3" xfId="12679"/>
    <cellStyle name="Separador de milhares 3 2 10 11 3 2" xfId="39185"/>
    <cellStyle name="Separador de milhares 3 2 10 11 4" xfId="33277"/>
    <cellStyle name="Separador de milhares 3 2 10 11 5" xfId="26743"/>
    <cellStyle name="Separador de milhares 3 2 10 12" xfId="15642"/>
    <cellStyle name="Separador de milhares 3 2 10 12 2" xfId="42139"/>
    <cellStyle name="Separador de milhares 3 2 10 12 3" xfId="23233"/>
    <cellStyle name="Separador de milhares 3 2 10 13" xfId="9715"/>
    <cellStyle name="Separador de milhares 3 2 10 13 2" xfId="36231"/>
    <cellStyle name="Separador de milhares 3 2 10 14" xfId="29767"/>
    <cellStyle name="Separador de milhares 3 2 10 2" xfId="1091"/>
    <cellStyle name="Separador de milhares 3 2 10 2 2" xfId="5209"/>
    <cellStyle name="Separador de milhares 3 2 10 2 2 2" xfId="8424"/>
    <cellStyle name="Separador de milhares 3 2 10 2 2 2 2" xfId="20278"/>
    <cellStyle name="Separador de milhares 3 2 10 2 2 2 2 2" xfId="46757"/>
    <cellStyle name="Separador de milhares 3 2 10 2 2 2 3" xfId="14351"/>
    <cellStyle name="Separador de milhares 3 2 10 2 2 2 3 2" xfId="40849"/>
    <cellStyle name="Separador de milhares 3 2 10 2 2 2 4" xfId="34941"/>
    <cellStyle name="Separador de milhares 3 2 10 2 2 2 5" xfId="28407"/>
    <cellStyle name="Separador de milhares 3 2 10 2 2 3" xfId="17314"/>
    <cellStyle name="Separador de milhares 3 2 10 2 2 3 2" xfId="43803"/>
    <cellStyle name="Separador de milhares 3 2 10 2 2 4" xfId="11387"/>
    <cellStyle name="Separador de milhares 3 2 10 2 2 4 2" xfId="37895"/>
    <cellStyle name="Separador de milhares 3 2 10 2 2 5" xfId="31736"/>
    <cellStyle name="Separador de milhares 3 2 10 2 2 6" xfId="25202"/>
    <cellStyle name="Separador de milhares 3 2 10 2 3" xfId="6951"/>
    <cellStyle name="Separador de milhares 3 2 10 2 3 2" xfId="18805"/>
    <cellStyle name="Separador de milhares 3 2 10 2 3 2 2" xfId="45289"/>
    <cellStyle name="Separador de milhares 3 2 10 2 3 3" xfId="12878"/>
    <cellStyle name="Separador de milhares 3 2 10 2 3 3 2" xfId="39381"/>
    <cellStyle name="Separador de milhares 3 2 10 2 3 4" xfId="33473"/>
    <cellStyle name="Separador de milhares 3 2 10 2 3 5" xfId="26939"/>
    <cellStyle name="Separador de milhares 3 2 10 2 4" xfId="15841"/>
    <cellStyle name="Separador de milhares 3 2 10 2 4 2" xfId="42335"/>
    <cellStyle name="Separador de milhares 3 2 10 2 4 3" xfId="23430"/>
    <cellStyle name="Separador de milhares 3 2 10 2 5" xfId="9914"/>
    <cellStyle name="Separador de milhares 3 2 10 2 5 2" xfId="36427"/>
    <cellStyle name="Separador de milhares 3 2 10 2 6" xfId="29964"/>
    <cellStyle name="Separador de milhares 3 2 10 2 7" xfId="21658"/>
    <cellStyle name="Separador de milhares 3 2 10 3" xfId="1442"/>
    <cellStyle name="Separador de milhares 3 2 10 3 2" xfId="5307"/>
    <cellStyle name="Separador de milhares 3 2 10 3 2 2" xfId="8522"/>
    <cellStyle name="Separador de milhares 3 2 10 3 2 2 2" xfId="20376"/>
    <cellStyle name="Separador de milhares 3 2 10 3 2 2 2 2" xfId="46855"/>
    <cellStyle name="Separador de milhares 3 2 10 3 2 2 3" xfId="14449"/>
    <cellStyle name="Separador de milhares 3 2 10 3 2 2 3 2" xfId="40947"/>
    <cellStyle name="Separador de milhares 3 2 10 3 2 2 4" xfId="35039"/>
    <cellStyle name="Separador de milhares 3 2 10 3 2 2 5" xfId="28505"/>
    <cellStyle name="Separador de milhares 3 2 10 3 2 3" xfId="17412"/>
    <cellStyle name="Separador de milhares 3 2 10 3 2 3 2" xfId="43901"/>
    <cellStyle name="Separador de milhares 3 2 10 3 2 4" xfId="11485"/>
    <cellStyle name="Separador de milhares 3 2 10 3 2 4 2" xfId="37993"/>
    <cellStyle name="Separador de milhares 3 2 10 3 2 5" xfId="31834"/>
    <cellStyle name="Separador de milhares 3 2 10 3 2 6" xfId="25300"/>
    <cellStyle name="Separador de milhares 3 2 10 3 3" xfId="7049"/>
    <cellStyle name="Separador de milhares 3 2 10 3 3 2" xfId="18903"/>
    <cellStyle name="Separador de milhares 3 2 10 3 3 2 2" xfId="45387"/>
    <cellStyle name="Separador de milhares 3 2 10 3 3 3" xfId="12976"/>
    <cellStyle name="Separador de milhares 3 2 10 3 3 3 2" xfId="39479"/>
    <cellStyle name="Separador de milhares 3 2 10 3 3 4" xfId="33571"/>
    <cellStyle name="Separador de milhares 3 2 10 3 3 5" xfId="27037"/>
    <cellStyle name="Separador de milhares 3 2 10 3 4" xfId="15939"/>
    <cellStyle name="Separador de milhares 3 2 10 3 4 2" xfId="42433"/>
    <cellStyle name="Separador de milhares 3 2 10 3 4 3" xfId="23528"/>
    <cellStyle name="Separador de milhares 3 2 10 3 5" xfId="10012"/>
    <cellStyle name="Separador de milhares 3 2 10 3 5 2" xfId="36525"/>
    <cellStyle name="Separador de milhares 3 2 10 3 6" xfId="30062"/>
    <cellStyle name="Separador de milhares 3 2 10 3 7" xfId="21756"/>
    <cellStyle name="Separador de milhares 3 2 10 4" xfId="1877"/>
    <cellStyle name="Separador de milhares 3 2 10 4 2" xfId="5426"/>
    <cellStyle name="Separador de milhares 3 2 10 4 2 2" xfId="8641"/>
    <cellStyle name="Separador de milhares 3 2 10 4 2 2 2" xfId="20495"/>
    <cellStyle name="Separador de milhares 3 2 10 4 2 2 2 2" xfId="46974"/>
    <cellStyle name="Separador de milhares 3 2 10 4 2 2 3" xfId="14568"/>
    <cellStyle name="Separador de milhares 3 2 10 4 2 2 3 2" xfId="41066"/>
    <cellStyle name="Separador de milhares 3 2 10 4 2 2 4" xfId="35158"/>
    <cellStyle name="Separador de milhares 3 2 10 4 2 2 5" xfId="28624"/>
    <cellStyle name="Separador de milhares 3 2 10 4 2 3" xfId="17531"/>
    <cellStyle name="Separador de milhares 3 2 10 4 2 3 2" xfId="44020"/>
    <cellStyle name="Separador de milhares 3 2 10 4 2 4" xfId="11604"/>
    <cellStyle name="Separador de milhares 3 2 10 4 2 4 2" xfId="38112"/>
    <cellStyle name="Separador de milhares 3 2 10 4 2 5" xfId="31953"/>
    <cellStyle name="Separador de milhares 3 2 10 4 2 6" xfId="25419"/>
    <cellStyle name="Separador de milhares 3 2 10 4 3" xfId="7168"/>
    <cellStyle name="Separador de milhares 3 2 10 4 3 2" xfId="19022"/>
    <cellStyle name="Separador de milhares 3 2 10 4 3 2 2" xfId="45506"/>
    <cellStyle name="Separador de milhares 3 2 10 4 3 3" xfId="13095"/>
    <cellStyle name="Separador de milhares 3 2 10 4 3 3 2" xfId="39598"/>
    <cellStyle name="Separador de milhares 3 2 10 4 3 4" xfId="33690"/>
    <cellStyle name="Separador de milhares 3 2 10 4 3 5" xfId="27156"/>
    <cellStyle name="Separador de milhares 3 2 10 4 4" xfId="16058"/>
    <cellStyle name="Separador de milhares 3 2 10 4 4 2" xfId="42552"/>
    <cellStyle name="Separador de milhares 3 2 10 4 4 3" xfId="23647"/>
    <cellStyle name="Separador de milhares 3 2 10 4 5" xfId="10131"/>
    <cellStyle name="Separador de milhares 3 2 10 4 5 2" xfId="36644"/>
    <cellStyle name="Separador de milhares 3 2 10 4 6" xfId="30181"/>
    <cellStyle name="Separador de milhares 3 2 10 4 7" xfId="21875"/>
    <cellStyle name="Separador de milhares 3 2 10 5" xfId="2410"/>
    <cellStyle name="Separador de milhares 3 2 10 5 2" xfId="5576"/>
    <cellStyle name="Separador de milhares 3 2 10 5 2 2" xfId="8788"/>
    <cellStyle name="Separador de milhares 3 2 10 5 2 2 2" xfId="20642"/>
    <cellStyle name="Separador de milhares 3 2 10 5 2 2 2 2" xfId="47121"/>
    <cellStyle name="Separador de milhares 3 2 10 5 2 2 3" xfId="14715"/>
    <cellStyle name="Separador de milhares 3 2 10 5 2 2 3 2" xfId="41213"/>
    <cellStyle name="Separador de milhares 3 2 10 5 2 2 4" xfId="35305"/>
    <cellStyle name="Separador de milhares 3 2 10 5 2 2 5" xfId="28771"/>
    <cellStyle name="Separador de milhares 3 2 10 5 2 3" xfId="17678"/>
    <cellStyle name="Separador de milhares 3 2 10 5 2 3 2" xfId="44167"/>
    <cellStyle name="Separador de milhares 3 2 10 5 2 4" xfId="11751"/>
    <cellStyle name="Separador de milhares 3 2 10 5 2 4 2" xfId="38259"/>
    <cellStyle name="Separador de milhares 3 2 10 5 2 5" xfId="32103"/>
    <cellStyle name="Separador de milhares 3 2 10 5 2 6" xfId="25569"/>
    <cellStyle name="Separador de milhares 3 2 10 5 3" xfId="7316"/>
    <cellStyle name="Separador de milhares 3 2 10 5 3 2" xfId="19170"/>
    <cellStyle name="Separador de milhares 3 2 10 5 3 2 2" xfId="45653"/>
    <cellStyle name="Separador de milhares 3 2 10 5 3 3" xfId="13243"/>
    <cellStyle name="Separador de milhares 3 2 10 5 3 3 2" xfId="39745"/>
    <cellStyle name="Separador de milhares 3 2 10 5 3 4" xfId="33837"/>
    <cellStyle name="Separador de milhares 3 2 10 5 3 5" xfId="27303"/>
    <cellStyle name="Separador de milhares 3 2 10 5 4" xfId="16206"/>
    <cellStyle name="Separador de milhares 3 2 10 5 4 2" xfId="42699"/>
    <cellStyle name="Separador de milhares 3 2 10 5 4 3" xfId="23797"/>
    <cellStyle name="Separador de milhares 3 2 10 5 5" xfId="10279"/>
    <cellStyle name="Separador de milhares 3 2 10 5 5 2" xfId="36791"/>
    <cellStyle name="Separador de milhares 3 2 10 5 6" xfId="30331"/>
    <cellStyle name="Separador de milhares 3 2 10 5 7" xfId="22025"/>
    <cellStyle name="Separador de milhares 3 2 10 6" xfId="2938"/>
    <cellStyle name="Separador de milhares 3 2 10 6 2" xfId="5723"/>
    <cellStyle name="Separador de milhares 3 2 10 6 2 2" xfId="8935"/>
    <cellStyle name="Separador de milhares 3 2 10 6 2 2 2" xfId="20789"/>
    <cellStyle name="Separador de milhares 3 2 10 6 2 2 2 2" xfId="47268"/>
    <cellStyle name="Separador de milhares 3 2 10 6 2 2 3" xfId="14862"/>
    <cellStyle name="Separador de milhares 3 2 10 6 2 2 3 2" xfId="41360"/>
    <cellStyle name="Separador de milhares 3 2 10 6 2 2 4" xfId="35452"/>
    <cellStyle name="Separador de milhares 3 2 10 6 2 2 5" xfId="28918"/>
    <cellStyle name="Separador de milhares 3 2 10 6 2 3" xfId="17825"/>
    <cellStyle name="Separador de milhares 3 2 10 6 2 3 2" xfId="44314"/>
    <cellStyle name="Separador de milhares 3 2 10 6 2 4" xfId="11898"/>
    <cellStyle name="Separador de milhares 3 2 10 6 2 4 2" xfId="38406"/>
    <cellStyle name="Separador de milhares 3 2 10 6 2 5" xfId="32250"/>
    <cellStyle name="Separador de milhares 3 2 10 6 2 6" xfId="25716"/>
    <cellStyle name="Separador de milhares 3 2 10 6 3" xfId="7464"/>
    <cellStyle name="Separador de milhares 3 2 10 6 3 2" xfId="19318"/>
    <cellStyle name="Separador de milhares 3 2 10 6 3 2 2" xfId="45800"/>
    <cellStyle name="Separador de milhares 3 2 10 6 3 3" xfId="13391"/>
    <cellStyle name="Separador de milhares 3 2 10 6 3 3 2" xfId="39892"/>
    <cellStyle name="Separador de milhares 3 2 10 6 3 4" xfId="33984"/>
    <cellStyle name="Separador de milhares 3 2 10 6 3 5" xfId="27450"/>
    <cellStyle name="Separador de milhares 3 2 10 6 4" xfId="16354"/>
    <cellStyle name="Separador de milhares 3 2 10 6 4 2" xfId="42846"/>
    <cellStyle name="Separador de milhares 3 2 10 6 4 3" xfId="23944"/>
    <cellStyle name="Separador de milhares 3 2 10 6 5" xfId="10427"/>
    <cellStyle name="Separador de milhares 3 2 10 6 5 2" xfId="36938"/>
    <cellStyle name="Separador de milhares 3 2 10 6 6" xfId="30478"/>
    <cellStyle name="Separador de milhares 3 2 10 6 7" xfId="22172"/>
    <cellStyle name="Separador de milhares 3 2 10 7" xfId="3466"/>
    <cellStyle name="Separador de milhares 3 2 10 7 2" xfId="5870"/>
    <cellStyle name="Separador de milhares 3 2 10 7 2 2" xfId="9082"/>
    <cellStyle name="Separador de milhares 3 2 10 7 2 2 2" xfId="20936"/>
    <cellStyle name="Separador de milhares 3 2 10 7 2 2 2 2" xfId="47415"/>
    <cellStyle name="Separador de milhares 3 2 10 7 2 2 3" xfId="15009"/>
    <cellStyle name="Separador de milhares 3 2 10 7 2 2 3 2" xfId="41507"/>
    <cellStyle name="Separador de milhares 3 2 10 7 2 2 4" xfId="35599"/>
    <cellStyle name="Separador de milhares 3 2 10 7 2 2 5" xfId="29065"/>
    <cellStyle name="Separador de milhares 3 2 10 7 2 3" xfId="17972"/>
    <cellStyle name="Separador de milhares 3 2 10 7 2 3 2" xfId="44461"/>
    <cellStyle name="Separador de milhares 3 2 10 7 2 4" xfId="12045"/>
    <cellStyle name="Separador de milhares 3 2 10 7 2 4 2" xfId="38553"/>
    <cellStyle name="Separador de milhares 3 2 10 7 2 5" xfId="32397"/>
    <cellStyle name="Separador de milhares 3 2 10 7 2 6" xfId="25863"/>
    <cellStyle name="Separador de milhares 3 2 10 7 3" xfId="7612"/>
    <cellStyle name="Separador de milhares 3 2 10 7 3 2" xfId="19466"/>
    <cellStyle name="Separador de milhares 3 2 10 7 3 2 2" xfId="45947"/>
    <cellStyle name="Separador de milhares 3 2 10 7 3 3" xfId="13539"/>
    <cellStyle name="Separador de milhares 3 2 10 7 3 3 2" xfId="40039"/>
    <cellStyle name="Separador de milhares 3 2 10 7 3 4" xfId="34131"/>
    <cellStyle name="Separador de milhares 3 2 10 7 3 5" xfId="27597"/>
    <cellStyle name="Separador de milhares 3 2 10 7 4" xfId="16502"/>
    <cellStyle name="Separador de milhares 3 2 10 7 4 2" xfId="42993"/>
    <cellStyle name="Separador de milhares 3 2 10 7 4 3" xfId="24091"/>
    <cellStyle name="Separador de milhares 3 2 10 7 5" xfId="10575"/>
    <cellStyle name="Separador de milhares 3 2 10 7 5 2" xfId="37085"/>
    <cellStyle name="Separador de milhares 3 2 10 7 6" xfId="30625"/>
    <cellStyle name="Separador de milhares 3 2 10 7 7" xfId="22319"/>
    <cellStyle name="Separador de milhares 3 2 10 8" xfId="3994"/>
    <cellStyle name="Separador de milhares 3 2 10 8 2" xfId="6017"/>
    <cellStyle name="Separador de milhares 3 2 10 8 2 2" xfId="9229"/>
    <cellStyle name="Separador de milhares 3 2 10 8 2 2 2" xfId="21083"/>
    <cellStyle name="Separador de milhares 3 2 10 8 2 2 2 2" xfId="47562"/>
    <cellStyle name="Separador de milhares 3 2 10 8 2 2 3" xfId="15156"/>
    <cellStyle name="Separador de milhares 3 2 10 8 2 2 3 2" xfId="41654"/>
    <cellStyle name="Separador de milhares 3 2 10 8 2 2 4" xfId="35746"/>
    <cellStyle name="Separador de milhares 3 2 10 8 2 2 5" xfId="29212"/>
    <cellStyle name="Separador de milhares 3 2 10 8 2 3" xfId="18119"/>
    <cellStyle name="Separador de milhares 3 2 10 8 2 3 2" xfId="44608"/>
    <cellStyle name="Separador de milhares 3 2 10 8 2 4" xfId="12192"/>
    <cellStyle name="Separador de milhares 3 2 10 8 2 4 2" xfId="38700"/>
    <cellStyle name="Separador de milhares 3 2 10 8 2 5" xfId="32544"/>
    <cellStyle name="Separador de milhares 3 2 10 8 2 6" xfId="26010"/>
    <cellStyle name="Separador de milhares 3 2 10 8 3" xfId="7760"/>
    <cellStyle name="Separador de milhares 3 2 10 8 3 2" xfId="19614"/>
    <cellStyle name="Separador de milhares 3 2 10 8 3 2 2" xfId="46094"/>
    <cellStyle name="Separador de milhares 3 2 10 8 3 3" xfId="13687"/>
    <cellStyle name="Separador de milhares 3 2 10 8 3 3 2" xfId="40186"/>
    <cellStyle name="Separador de milhares 3 2 10 8 3 4" xfId="34278"/>
    <cellStyle name="Separador de milhares 3 2 10 8 3 5" xfId="27744"/>
    <cellStyle name="Separador de milhares 3 2 10 8 4" xfId="16650"/>
    <cellStyle name="Separador de milhares 3 2 10 8 4 2" xfId="43140"/>
    <cellStyle name="Separador de milhares 3 2 10 8 4 3" xfId="24238"/>
    <cellStyle name="Separador de milhares 3 2 10 8 5" xfId="10723"/>
    <cellStyle name="Separador de milhares 3 2 10 8 5 2" xfId="37232"/>
    <cellStyle name="Separador de milhares 3 2 10 8 6" xfId="30772"/>
    <cellStyle name="Separador de milhares 3 2 10 8 7" xfId="22466"/>
    <cellStyle name="Separador de milhares 3 2 10 9" xfId="798"/>
    <cellStyle name="Separador de milhares 3 2 10 9 2" xfId="5111"/>
    <cellStyle name="Separador de milhares 3 2 10 9 2 2" xfId="8326"/>
    <cellStyle name="Separador de milhares 3 2 10 9 2 2 2" xfId="20180"/>
    <cellStyle name="Separador de milhares 3 2 10 9 2 2 2 2" xfId="46659"/>
    <cellStyle name="Separador de milhares 3 2 10 9 2 2 3" xfId="14253"/>
    <cellStyle name="Separador de milhares 3 2 10 9 2 2 3 2" xfId="40751"/>
    <cellStyle name="Separador de milhares 3 2 10 9 2 2 4" xfId="34843"/>
    <cellStyle name="Separador de milhares 3 2 10 9 2 2 5" xfId="28309"/>
    <cellStyle name="Separador de milhares 3 2 10 9 2 3" xfId="17216"/>
    <cellStyle name="Separador de milhares 3 2 10 9 2 3 2" xfId="43705"/>
    <cellStyle name="Separador de milhares 3 2 10 9 2 4" xfId="11289"/>
    <cellStyle name="Separador de milhares 3 2 10 9 2 4 2" xfId="37797"/>
    <cellStyle name="Separador de milhares 3 2 10 9 2 5" xfId="31638"/>
    <cellStyle name="Separador de milhares 3 2 10 9 2 6" xfId="25104"/>
    <cellStyle name="Separador de milhares 3 2 10 9 3" xfId="6853"/>
    <cellStyle name="Separador de milhares 3 2 10 9 3 2" xfId="18707"/>
    <cellStyle name="Separador de milhares 3 2 10 9 3 2 2" xfId="45191"/>
    <cellStyle name="Separador de milhares 3 2 10 9 3 3" xfId="12780"/>
    <cellStyle name="Separador de milhares 3 2 10 9 3 3 2" xfId="39283"/>
    <cellStyle name="Separador de milhares 3 2 10 9 3 4" xfId="33375"/>
    <cellStyle name="Separador de milhares 3 2 10 9 3 5" xfId="26841"/>
    <cellStyle name="Separador de milhares 3 2 10 9 4" xfId="15743"/>
    <cellStyle name="Separador de milhares 3 2 10 9 4 2" xfId="42237"/>
    <cellStyle name="Separador de milhares 3 2 10 9 4 3" xfId="23332"/>
    <cellStyle name="Separador de milhares 3 2 10 9 5" xfId="9816"/>
    <cellStyle name="Separador de milhares 3 2 10 9 5 2" xfId="36329"/>
    <cellStyle name="Separador de milhares 3 2 10 9 6" xfId="29866"/>
    <cellStyle name="Separador de milhares 3 2 10 9 7" xfId="21560"/>
    <cellStyle name="Separador de milhares 3 2 11" xfId="703"/>
    <cellStyle name="Separador de milhares 3 2 11 10" xfId="15706"/>
    <cellStyle name="Separador de milhares 3 2 11 10 2" xfId="42203"/>
    <cellStyle name="Separador de milhares 3 2 11 10 3" xfId="23298"/>
    <cellStyle name="Separador de milhares 3 2 11 11" xfId="9779"/>
    <cellStyle name="Separador de milhares 3 2 11 11 2" xfId="36295"/>
    <cellStyle name="Separador de milhares 3 2 11 12" xfId="29832"/>
    <cellStyle name="Separador de milhares 3 2 11 13" xfId="21526"/>
    <cellStyle name="Separador de milhares 3 2 11 2" xfId="1526"/>
    <cellStyle name="Separador de milhares 3 2 11 2 2" xfId="5328"/>
    <cellStyle name="Separador de milhares 3 2 11 2 2 2" xfId="8543"/>
    <cellStyle name="Separador de milhares 3 2 11 2 2 2 2" xfId="20397"/>
    <cellStyle name="Separador de milhares 3 2 11 2 2 2 2 2" xfId="46876"/>
    <cellStyle name="Separador de milhares 3 2 11 2 2 2 3" xfId="14470"/>
    <cellStyle name="Separador de milhares 3 2 11 2 2 2 3 2" xfId="40968"/>
    <cellStyle name="Separador de milhares 3 2 11 2 2 2 4" xfId="35060"/>
    <cellStyle name="Separador de milhares 3 2 11 2 2 2 5" xfId="28526"/>
    <cellStyle name="Separador de milhares 3 2 11 2 2 3" xfId="17433"/>
    <cellStyle name="Separador de milhares 3 2 11 2 2 3 2" xfId="43922"/>
    <cellStyle name="Separador de milhares 3 2 11 2 2 4" xfId="11506"/>
    <cellStyle name="Separador de milhares 3 2 11 2 2 4 2" xfId="38014"/>
    <cellStyle name="Separador de milhares 3 2 11 2 2 5" xfId="31855"/>
    <cellStyle name="Separador de milhares 3 2 11 2 2 6" xfId="25321"/>
    <cellStyle name="Separador de milhares 3 2 11 2 3" xfId="7070"/>
    <cellStyle name="Separador de milhares 3 2 11 2 3 2" xfId="18924"/>
    <cellStyle name="Separador de milhares 3 2 11 2 3 2 2" xfId="45408"/>
    <cellStyle name="Separador de milhares 3 2 11 2 3 3" xfId="12997"/>
    <cellStyle name="Separador de milhares 3 2 11 2 3 3 2" xfId="39500"/>
    <cellStyle name="Separador de milhares 3 2 11 2 3 4" xfId="33592"/>
    <cellStyle name="Separador de milhares 3 2 11 2 3 5" xfId="27058"/>
    <cellStyle name="Separador de milhares 3 2 11 2 4" xfId="15960"/>
    <cellStyle name="Separador de milhares 3 2 11 2 4 2" xfId="42454"/>
    <cellStyle name="Separador de milhares 3 2 11 2 4 3" xfId="23549"/>
    <cellStyle name="Separador de milhares 3 2 11 2 5" xfId="10033"/>
    <cellStyle name="Separador de milhares 3 2 11 2 5 2" xfId="36546"/>
    <cellStyle name="Separador de milhares 3 2 11 2 6" xfId="30083"/>
    <cellStyle name="Separador de milhares 3 2 11 2 7" xfId="21777"/>
    <cellStyle name="Separador de milhares 3 2 11 3" xfId="1961"/>
    <cellStyle name="Separador de milhares 3 2 11 3 2" xfId="5447"/>
    <cellStyle name="Separador de milhares 3 2 11 3 2 2" xfId="8662"/>
    <cellStyle name="Separador de milhares 3 2 11 3 2 2 2" xfId="20516"/>
    <cellStyle name="Separador de milhares 3 2 11 3 2 2 2 2" xfId="46995"/>
    <cellStyle name="Separador de milhares 3 2 11 3 2 2 3" xfId="14589"/>
    <cellStyle name="Separador de milhares 3 2 11 3 2 2 3 2" xfId="41087"/>
    <cellStyle name="Separador de milhares 3 2 11 3 2 2 4" xfId="35179"/>
    <cellStyle name="Separador de milhares 3 2 11 3 2 2 5" xfId="28645"/>
    <cellStyle name="Separador de milhares 3 2 11 3 2 3" xfId="17552"/>
    <cellStyle name="Separador de milhares 3 2 11 3 2 3 2" xfId="44041"/>
    <cellStyle name="Separador de milhares 3 2 11 3 2 4" xfId="11625"/>
    <cellStyle name="Separador de milhares 3 2 11 3 2 4 2" xfId="38133"/>
    <cellStyle name="Separador de milhares 3 2 11 3 2 5" xfId="31974"/>
    <cellStyle name="Separador de milhares 3 2 11 3 2 6" xfId="25440"/>
    <cellStyle name="Separador de milhares 3 2 11 3 3" xfId="7189"/>
    <cellStyle name="Separador de milhares 3 2 11 3 3 2" xfId="19043"/>
    <cellStyle name="Separador de milhares 3 2 11 3 3 2 2" xfId="45527"/>
    <cellStyle name="Separador de milhares 3 2 11 3 3 3" xfId="13116"/>
    <cellStyle name="Separador de milhares 3 2 11 3 3 3 2" xfId="39619"/>
    <cellStyle name="Separador de milhares 3 2 11 3 3 4" xfId="33711"/>
    <cellStyle name="Separador de milhares 3 2 11 3 3 5" xfId="27177"/>
    <cellStyle name="Separador de milhares 3 2 11 3 4" xfId="16079"/>
    <cellStyle name="Separador de milhares 3 2 11 3 4 2" xfId="42573"/>
    <cellStyle name="Separador de milhares 3 2 11 3 4 3" xfId="23668"/>
    <cellStyle name="Separador de milhares 3 2 11 3 5" xfId="10152"/>
    <cellStyle name="Separador de milhares 3 2 11 3 5 2" xfId="36665"/>
    <cellStyle name="Separador de milhares 3 2 11 3 6" xfId="30202"/>
    <cellStyle name="Separador de milhares 3 2 11 3 7" xfId="21896"/>
    <cellStyle name="Separador de milhares 3 2 11 4" xfId="2494"/>
    <cellStyle name="Separador de milhares 3 2 11 4 2" xfId="5597"/>
    <cellStyle name="Separador de milhares 3 2 11 4 2 2" xfId="8809"/>
    <cellStyle name="Separador de milhares 3 2 11 4 2 2 2" xfId="20663"/>
    <cellStyle name="Separador de milhares 3 2 11 4 2 2 2 2" xfId="47142"/>
    <cellStyle name="Separador de milhares 3 2 11 4 2 2 3" xfId="14736"/>
    <cellStyle name="Separador de milhares 3 2 11 4 2 2 3 2" xfId="41234"/>
    <cellStyle name="Separador de milhares 3 2 11 4 2 2 4" xfId="35326"/>
    <cellStyle name="Separador de milhares 3 2 11 4 2 2 5" xfId="28792"/>
    <cellStyle name="Separador de milhares 3 2 11 4 2 3" xfId="17699"/>
    <cellStyle name="Separador de milhares 3 2 11 4 2 3 2" xfId="44188"/>
    <cellStyle name="Separador de milhares 3 2 11 4 2 4" xfId="11772"/>
    <cellStyle name="Separador de milhares 3 2 11 4 2 4 2" xfId="38280"/>
    <cellStyle name="Separador de milhares 3 2 11 4 2 5" xfId="32124"/>
    <cellStyle name="Separador de milhares 3 2 11 4 2 6" xfId="25590"/>
    <cellStyle name="Separador de milhares 3 2 11 4 3" xfId="7337"/>
    <cellStyle name="Separador de milhares 3 2 11 4 3 2" xfId="19191"/>
    <cellStyle name="Separador de milhares 3 2 11 4 3 2 2" xfId="45674"/>
    <cellStyle name="Separador de milhares 3 2 11 4 3 3" xfId="13264"/>
    <cellStyle name="Separador de milhares 3 2 11 4 3 3 2" xfId="39766"/>
    <cellStyle name="Separador de milhares 3 2 11 4 3 4" xfId="33858"/>
    <cellStyle name="Separador de milhares 3 2 11 4 3 5" xfId="27324"/>
    <cellStyle name="Separador de milhares 3 2 11 4 4" xfId="16227"/>
    <cellStyle name="Separador de milhares 3 2 11 4 4 2" xfId="42720"/>
    <cellStyle name="Separador de milhares 3 2 11 4 4 3" xfId="23818"/>
    <cellStyle name="Separador de milhares 3 2 11 4 5" xfId="10300"/>
    <cellStyle name="Separador de milhares 3 2 11 4 5 2" xfId="36812"/>
    <cellStyle name="Separador de milhares 3 2 11 4 6" xfId="30352"/>
    <cellStyle name="Separador de milhares 3 2 11 4 7" xfId="22046"/>
    <cellStyle name="Separador de milhares 3 2 11 5" xfId="3022"/>
    <cellStyle name="Separador de milhares 3 2 11 5 2" xfId="5744"/>
    <cellStyle name="Separador de milhares 3 2 11 5 2 2" xfId="8956"/>
    <cellStyle name="Separador de milhares 3 2 11 5 2 2 2" xfId="20810"/>
    <cellStyle name="Separador de milhares 3 2 11 5 2 2 2 2" xfId="47289"/>
    <cellStyle name="Separador de milhares 3 2 11 5 2 2 3" xfId="14883"/>
    <cellStyle name="Separador de milhares 3 2 11 5 2 2 3 2" xfId="41381"/>
    <cellStyle name="Separador de milhares 3 2 11 5 2 2 4" xfId="35473"/>
    <cellStyle name="Separador de milhares 3 2 11 5 2 2 5" xfId="28939"/>
    <cellStyle name="Separador de milhares 3 2 11 5 2 3" xfId="17846"/>
    <cellStyle name="Separador de milhares 3 2 11 5 2 3 2" xfId="44335"/>
    <cellStyle name="Separador de milhares 3 2 11 5 2 4" xfId="11919"/>
    <cellStyle name="Separador de milhares 3 2 11 5 2 4 2" xfId="38427"/>
    <cellStyle name="Separador de milhares 3 2 11 5 2 5" xfId="32271"/>
    <cellStyle name="Separador de milhares 3 2 11 5 2 6" xfId="25737"/>
    <cellStyle name="Separador de milhares 3 2 11 5 3" xfId="7485"/>
    <cellStyle name="Separador de milhares 3 2 11 5 3 2" xfId="19339"/>
    <cellStyle name="Separador de milhares 3 2 11 5 3 2 2" xfId="45821"/>
    <cellStyle name="Separador de milhares 3 2 11 5 3 3" xfId="13412"/>
    <cellStyle name="Separador de milhares 3 2 11 5 3 3 2" xfId="39913"/>
    <cellStyle name="Separador de milhares 3 2 11 5 3 4" xfId="34005"/>
    <cellStyle name="Separador de milhares 3 2 11 5 3 5" xfId="27471"/>
    <cellStyle name="Separador de milhares 3 2 11 5 4" xfId="16375"/>
    <cellStyle name="Separador de milhares 3 2 11 5 4 2" xfId="42867"/>
    <cellStyle name="Separador de milhares 3 2 11 5 4 3" xfId="23965"/>
    <cellStyle name="Separador de milhares 3 2 11 5 5" xfId="10448"/>
    <cellStyle name="Separador de milhares 3 2 11 5 5 2" xfId="36959"/>
    <cellStyle name="Separador de milhares 3 2 11 5 6" xfId="30499"/>
    <cellStyle name="Separador de milhares 3 2 11 5 7" xfId="22193"/>
    <cellStyle name="Separador de milhares 3 2 11 6" xfId="3550"/>
    <cellStyle name="Separador de milhares 3 2 11 6 2" xfId="5891"/>
    <cellStyle name="Separador de milhares 3 2 11 6 2 2" xfId="9103"/>
    <cellStyle name="Separador de milhares 3 2 11 6 2 2 2" xfId="20957"/>
    <cellStyle name="Separador de milhares 3 2 11 6 2 2 2 2" xfId="47436"/>
    <cellStyle name="Separador de milhares 3 2 11 6 2 2 3" xfId="15030"/>
    <cellStyle name="Separador de milhares 3 2 11 6 2 2 3 2" xfId="41528"/>
    <cellStyle name="Separador de milhares 3 2 11 6 2 2 4" xfId="35620"/>
    <cellStyle name="Separador de milhares 3 2 11 6 2 2 5" xfId="29086"/>
    <cellStyle name="Separador de milhares 3 2 11 6 2 3" xfId="17993"/>
    <cellStyle name="Separador de milhares 3 2 11 6 2 3 2" xfId="44482"/>
    <cellStyle name="Separador de milhares 3 2 11 6 2 4" xfId="12066"/>
    <cellStyle name="Separador de milhares 3 2 11 6 2 4 2" xfId="38574"/>
    <cellStyle name="Separador de milhares 3 2 11 6 2 5" xfId="32418"/>
    <cellStyle name="Separador de milhares 3 2 11 6 2 6" xfId="25884"/>
    <cellStyle name="Separador de milhares 3 2 11 6 3" xfId="7633"/>
    <cellStyle name="Separador de milhares 3 2 11 6 3 2" xfId="19487"/>
    <cellStyle name="Separador de milhares 3 2 11 6 3 2 2" xfId="45968"/>
    <cellStyle name="Separador de milhares 3 2 11 6 3 3" xfId="13560"/>
    <cellStyle name="Separador de milhares 3 2 11 6 3 3 2" xfId="40060"/>
    <cellStyle name="Separador de milhares 3 2 11 6 3 4" xfId="34152"/>
    <cellStyle name="Separador de milhares 3 2 11 6 3 5" xfId="27618"/>
    <cellStyle name="Separador de milhares 3 2 11 6 4" xfId="16523"/>
    <cellStyle name="Separador de milhares 3 2 11 6 4 2" xfId="43014"/>
    <cellStyle name="Separador de milhares 3 2 11 6 4 3" xfId="24112"/>
    <cellStyle name="Separador de milhares 3 2 11 6 5" xfId="10596"/>
    <cellStyle name="Separador de milhares 3 2 11 6 5 2" xfId="37106"/>
    <cellStyle name="Separador de milhares 3 2 11 6 6" xfId="30646"/>
    <cellStyle name="Separador de milhares 3 2 11 6 7" xfId="22340"/>
    <cellStyle name="Separador de milhares 3 2 11 7" xfId="4078"/>
    <cellStyle name="Separador de milhares 3 2 11 7 2" xfId="6038"/>
    <cellStyle name="Separador de milhares 3 2 11 7 2 2" xfId="9250"/>
    <cellStyle name="Separador de milhares 3 2 11 7 2 2 2" xfId="21104"/>
    <cellStyle name="Separador de milhares 3 2 11 7 2 2 2 2" xfId="47583"/>
    <cellStyle name="Separador de milhares 3 2 11 7 2 2 3" xfId="15177"/>
    <cellStyle name="Separador de milhares 3 2 11 7 2 2 3 2" xfId="41675"/>
    <cellStyle name="Separador de milhares 3 2 11 7 2 2 4" xfId="35767"/>
    <cellStyle name="Separador de milhares 3 2 11 7 2 2 5" xfId="29233"/>
    <cellStyle name="Separador de milhares 3 2 11 7 2 3" xfId="18140"/>
    <cellStyle name="Separador de milhares 3 2 11 7 2 3 2" xfId="44629"/>
    <cellStyle name="Separador de milhares 3 2 11 7 2 4" xfId="12213"/>
    <cellStyle name="Separador de milhares 3 2 11 7 2 4 2" xfId="38721"/>
    <cellStyle name="Separador de milhares 3 2 11 7 2 5" xfId="32565"/>
    <cellStyle name="Separador de milhares 3 2 11 7 2 6" xfId="26031"/>
    <cellStyle name="Separador de milhares 3 2 11 7 3" xfId="7781"/>
    <cellStyle name="Separador de milhares 3 2 11 7 3 2" xfId="19635"/>
    <cellStyle name="Separador de milhares 3 2 11 7 3 2 2" xfId="46115"/>
    <cellStyle name="Separador de milhares 3 2 11 7 3 3" xfId="13708"/>
    <cellStyle name="Separador de milhares 3 2 11 7 3 3 2" xfId="40207"/>
    <cellStyle name="Separador de milhares 3 2 11 7 3 4" xfId="34299"/>
    <cellStyle name="Separador de milhares 3 2 11 7 3 5" xfId="27765"/>
    <cellStyle name="Separador de milhares 3 2 11 7 4" xfId="16671"/>
    <cellStyle name="Separador de milhares 3 2 11 7 4 2" xfId="43161"/>
    <cellStyle name="Separador de milhares 3 2 11 7 4 3" xfId="24259"/>
    <cellStyle name="Separador de milhares 3 2 11 7 5" xfId="10744"/>
    <cellStyle name="Separador de milhares 3 2 11 7 5 2" xfId="37253"/>
    <cellStyle name="Separador de milhares 3 2 11 7 6" xfId="30793"/>
    <cellStyle name="Separador de milhares 3 2 11 7 7" xfId="22487"/>
    <cellStyle name="Separador de milhares 3 2 11 8" xfId="5077"/>
    <cellStyle name="Separador de milhares 3 2 11 8 2" xfId="8292"/>
    <cellStyle name="Separador de milhares 3 2 11 8 2 2" xfId="20146"/>
    <cellStyle name="Separador de milhares 3 2 11 8 2 2 2" xfId="46625"/>
    <cellStyle name="Separador de milhares 3 2 11 8 2 3" xfId="14219"/>
    <cellStyle name="Separador de milhares 3 2 11 8 2 3 2" xfId="40717"/>
    <cellStyle name="Separador de milhares 3 2 11 8 2 4" xfId="34809"/>
    <cellStyle name="Separador de milhares 3 2 11 8 2 5" xfId="28275"/>
    <cellStyle name="Separador de milhares 3 2 11 8 3" xfId="17182"/>
    <cellStyle name="Separador de milhares 3 2 11 8 3 2" xfId="43671"/>
    <cellStyle name="Separador de milhares 3 2 11 8 4" xfId="11255"/>
    <cellStyle name="Separador de milhares 3 2 11 8 4 2" xfId="37763"/>
    <cellStyle name="Separador de milhares 3 2 11 8 5" xfId="31604"/>
    <cellStyle name="Separador de milhares 3 2 11 8 6" xfId="25070"/>
    <cellStyle name="Separador de milhares 3 2 11 9" xfId="6816"/>
    <cellStyle name="Separador de milhares 3 2 11 9 2" xfId="18670"/>
    <cellStyle name="Separador de milhares 3 2 11 9 2 2" xfId="45157"/>
    <cellStyle name="Separador de milhares 3 2 11 9 3" xfId="12743"/>
    <cellStyle name="Separador de milhares 3 2 11 9 3 2" xfId="39249"/>
    <cellStyle name="Separador de milhares 3 2 11 9 4" xfId="33341"/>
    <cellStyle name="Separador de milhares 3 2 11 9 5" xfId="26807"/>
    <cellStyle name="Separador de milhares 3 2 12" xfId="824"/>
    <cellStyle name="Separador de milhares 3 2 12 2" xfId="4255"/>
    <cellStyle name="Separador de milhares 3 2 12 2 2" xfId="6087"/>
    <cellStyle name="Separador de milhares 3 2 12 2 2 2" xfId="9299"/>
    <cellStyle name="Separador de milhares 3 2 12 2 2 2 2" xfId="21153"/>
    <cellStyle name="Separador de milhares 3 2 12 2 2 2 2 2" xfId="47632"/>
    <cellStyle name="Separador de milhares 3 2 12 2 2 2 3" xfId="15226"/>
    <cellStyle name="Separador de milhares 3 2 12 2 2 2 3 2" xfId="41724"/>
    <cellStyle name="Separador de milhares 3 2 12 2 2 2 4" xfId="35816"/>
    <cellStyle name="Separador de milhares 3 2 12 2 2 2 5" xfId="29282"/>
    <cellStyle name="Separador de milhares 3 2 12 2 2 3" xfId="18189"/>
    <cellStyle name="Separador de milhares 3 2 12 2 2 3 2" xfId="44678"/>
    <cellStyle name="Separador de milhares 3 2 12 2 2 4" xfId="12262"/>
    <cellStyle name="Separador de milhares 3 2 12 2 2 4 2" xfId="38770"/>
    <cellStyle name="Separador de milhares 3 2 12 2 2 5" xfId="32614"/>
    <cellStyle name="Separador de milhares 3 2 12 2 2 6" xfId="26080"/>
    <cellStyle name="Separador de milhares 3 2 12 2 3" xfId="7831"/>
    <cellStyle name="Separador de milhares 3 2 12 2 3 2" xfId="19685"/>
    <cellStyle name="Separador de milhares 3 2 12 2 3 2 2" xfId="46164"/>
    <cellStyle name="Separador de milhares 3 2 12 2 3 3" xfId="13758"/>
    <cellStyle name="Separador de milhares 3 2 12 2 3 3 2" xfId="40256"/>
    <cellStyle name="Separador de milhares 3 2 12 2 3 4" xfId="34348"/>
    <cellStyle name="Separador de milhares 3 2 12 2 3 5" xfId="27814"/>
    <cellStyle name="Separador de milhares 3 2 12 2 4" xfId="16721"/>
    <cellStyle name="Separador de milhares 3 2 12 2 4 2" xfId="43210"/>
    <cellStyle name="Separador de milhares 3 2 12 2 4 3" xfId="24308"/>
    <cellStyle name="Separador de milhares 3 2 12 2 5" xfId="10794"/>
    <cellStyle name="Separador de milhares 3 2 12 2 5 2" xfId="37302"/>
    <cellStyle name="Separador de milhares 3 2 12 2 6" xfId="30842"/>
    <cellStyle name="Separador de milhares 3 2 12 2 7" xfId="22536"/>
    <cellStyle name="Separador de milhares 3 2 12 3" xfId="5132"/>
    <cellStyle name="Separador de milhares 3 2 12 3 2" xfId="8347"/>
    <cellStyle name="Separador de milhares 3 2 12 3 2 2" xfId="20201"/>
    <cellStyle name="Separador de milhares 3 2 12 3 2 2 2" xfId="46680"/>
    <cellStyle name="Separador de milhares 3 2 12 3 2 3" xfId="14274"/>
    <cellStyle name="Separador de milhares 3 2 12 3 2 3 2" xfId="40772"/>
    <cellStyle name="Separador de milhares 3 2 12 3 2 4" xfId="34864"/>
    <cellStyle name="Separador de milhares 3 2 12 3 2 5" xfId="28330"/>
    <cellStyle name="Separador de milhares 3 2 12 3 3" xfId="17237"/>
    <cellStyle name="Separador de milhares 3 2 12 3 3 2" xfId="43726"/>
    <cellStyle name="Separador de milhares 3 2 12 3 4" xfId="11310"/>
    <cellStyle name="Separador de milhares 3 2 12 3 4 2" xfId="37818"/>
    <cellStyle name="Separador de milhares 3 2 12 3 5" xfId="31659"/>
    <cellStyle name="Separador de milhares 3 2 12 3 6" xfId="25125"/>
    <cellStyle name="Separador de milhares 3 2 12 4" xfId="6874"/>
    <cellStyle name="Separador de milhares 3 2 12 4 2" xfId="18728"/>
    <cellStyle name="Separador de milhares 3 2 12 4 2 2" xfId="45212"/>
    <cellStyle name="Separador de milhares 3 2 12 4 3" xfId="12801"/>
    <cellStyle name="Separador de milhares 3 2 12 4 3 2" xfId="39304"/>
    <cellStyle name="Separador de milhares 3 2 12 4 4" xfId="33396"/>
    <cellStyle name="Separador de milhares 3 2 12 4 5" xfId="26862"/>
    <cellStyle name="Separador de milhares 3 2 12 5" xfId="15764"/>
    <cellStyle name="Separador de milhares 3 2 12 5 2" xfId="42258"/>
    <cellStyle name="Separador de milhares 3 2 12 5 3" xfId="23353"/>
    <cellStyle name="Separador de milhares 3 2 12 6" xfId="9837"/>
    <cellStyle name="Separador de milhares 3 2 12 6 2" xfId="36350"/>
    <cellStyle name="Separador de milhares 3 2 12 7" xfId="29887"/>
    <cellStyle name="Separador de milhares 3 2 12 8" xfId="21581"/>
    <cellStyle name="Separador de milhares 3 2 13" xfId="1175"/>
    <cellStyle name="Separador de milhares 3 2 13 2" xfId="5230"/>
    <cellStyle name="Separador de milhares 3 2 13 2 2" xfId="8445"/>
    <cellStyle name="Separador de milhares 3 2 13 2 2 2" xfId="20299"/>
    <cellStyle name="Separador de milhares 3 2 13 2 2 2 2" xfId="46778"/>
    <cellStyle name="Separador de milhares 3 2 13 2 2 3" xfId="14372"/>
    <cellStyle name="Separador de milhares 3 2 13 2 2 3 2" xfId="40870"/>
    <cellStyle name="Separador de milhares 3 2 13 2 2 4" xfId="34962"/>
    <cellStyle name="Separador de milhares 3 2 13 2 2 5" xfId="28428"/>
    <cellStyle name="Separador de milhares 3 2 13 2 3" xfId="17335"/>
    <cellStyle name="Separador de milhares 3 2 13 2 3 2" xfId="43824"/>
    <cellStyle name="Separador de milhares 3 2 13 2 4" xfId="11408"/>
    <cellStyle name="Separador de milhares 3 2 13 2 4 2" xfId="37916"/>
    <cellStyle name="Separador de milhares 3 2 13 2 5" xfId="31757"/>
    <cellStyle name="Separador de milhares 3 2 13 2 6" xfId="25223"/>
    <cellStyle name="Separador de milhares 3 2 13 3" xfId="6972"/>
    <cellStyle name="Separador de milhares 3 2 13 3 2" xfId="18826"/>
    <cellStyle name="Separador de milhares 3 2 13 3 2 2" xfId="45310"/>
    <cellStyle name="Separador de milhares 3 2 13 3 3" xfId="12899"/>
    <cellStyle name="Separador de milhares 3 2 13 3 3 2" xfId="39402"/>
    <cellStyle name="Separador de milhares 3 2 13 3 4" xfId="33494"/>
    <cellStyle name="Separador de milhares 3 2 13 3 5" xfId="26960"/>
    <cellStyle name="Separador de milhares 3 2 13 4" xfId="15862"/>
    <cellStyle name="Separador de milhares 3 2 13 4 2" xfId="42356"/>
    <cellStyle name="Separador de milhares 3 2 13 4 3" xfId="23451"/>
    <cellStyle name="Separador de milhares 3 2 13 5" xfId="9935"/>
    <cellStyle name="Separador de milhares 3 2 13 5 2" xfId="36448"/>
    <cellStyle name="Separador de milhares 3 2 13 6" xfId="29985"/>
    <cellStyle name="Separador de milhares 3 2 13 7" xfId="21679"/>
    <cellStyle name="Separador de milhares 3 2 14" xfId="1610"/>
    <cellStyle name="Separador de milhares 3 2 14 2" xfId="5349"/>
    <cellStyle name="Separador de milhares 3 2 14 2 2" xfId="8564"/>
    <cellStyle name="Separador de milhares 3 2 14 2 2 2" xfId="20418"/>
    <cellStyle name="Separador de milhares 3 2 14 2 2 2 2" xfId="46897"/>
    <cellStyle name="Separador de milhares 3 2 14 2 2 3" xfId="14491"/>
    <cellStyle name="Separador de milhares 3 2 14 2 2 3 2" xfId="40989"/>
    <cellStyle name="Separador de milhares 3 2 14 2 2 4" xfId="35081"/>
    <cellStyle name="Separador de milhares 3 2 14 2 2 5" xfId="28547"/>
    <cellStyle name="Separador de milhares 3 2 14 2 3" xfId="17454"/>
    <cellStyle name="Separador de milhares 3 2 14 2 3 2" xfId="43943"/>
    <cellStyle name="Separador de milhares 3 2 14 2 4" xfId="11527"/>
    <cellStyle name="Separador de milhares 3 2 14 2 4 2" xfId="38035"/>
    <cellStyle name="Separador de milhares 3 2 14 2 5" xfId="31876"/>
    <cellStyle name="Separador de milhares 3 2 14 2 6" xfId="25342"/>
    <cellStyle name="Separador de milhares 3 2 14 3" xfId="7091"/>
    <cellStyle name="Separador de milhares 3 2 14 3 2" xfId="18945"/>
    <cellStyle name="Separador de milhares 3 2 14 3 2 2" xfId="45429"/>
    <cellStyle name="Separador de milhares 3 2 14 3 3" xfId="13018"/>
    <cellStyle name="Separador de milhares 3 2 14 3 3 2" xfId="39521"/>
    <cellStyle name="Separador de milhares 3 2 14 3 4" xfId="33613"/>
    <cellStyle name="Separador de milhares 3 2 14 3 5" xfId="27079"/>
    <cellStyle name="Separador de milhares 3 2 14 4" xfId="15981"/>
    <cellStyle name="Separador de milhares 3 2 14 4 2" xfId="42475"/>
    <cellStyle name="Separador de milhares 3 2 14 4 3" xfId="23570"/>
    <cellStyle name="Separador de milhares 3 2 14 5" xfId="10054"/>
    <cellStyle name="Separador de milhares 3 2 14 5 2" xfId="36567"/>
    <cellStyle name="Separador de milhares 3 2 14 6" xfId="30104"/>
    <cellStyle name="Separador de milhares 3 2 14 7" xfId="21798"/>
    <cellStyle name="Separador de milhares 3 2 15" xfId="2143"/>
    <cellStyle name="Separador de milhares 3 2 15 2" xfId="5499"/>
    <cellStyle name="Separador de milhares 3 2 15 2 2" xfId="8711"/>
    <cellStyle name="Separador de milhares 3 2 15 2 2 2" xfId="20565"/>
    <cellStyle name="Separador de milhares 3 2 15 2 2 2 2" xfId="47044"/>
    <cellStyle name="Separador de milhares 3 2 15 2 2 3" xfId="14638"/>
    <cellStyle name="Separador de milhares 3 2 15 2 2 3 2" xfId="41136"/>
    <cellStyle name="Separador de milhares 3 2 15 2 2 4" xfId="35228"/>
    <cellStyle name="Separador de milhares 3 2 15 2 2 5" xfId="28694"/>
    <cellStyle name="Separador de milhares 3 2 15 2 3" xfId="17601"/>
    <cellStyle name="Separador de milhares 3 2 15 2 3 2" xfId="44090"/>
    <cellStyle name="Separador de milhares 3 2 15 2 4" xfId="11674"/>
    <cellStyle name="Separador de milhares 3 2 15 2 4 2" xfId="38182"/>
    <cellStyle name="Separador de milhares 3 2 15 2 5" xfId="32026"/>
    <cellStyle name="Separador de milhares 3 2 15 2 6" xfId="25492"/>
    <cellStyle name="Separador de milhares 3 2 15 3" xfId="7239"/>
    <cellStyle name="Separador de milhares 3 2 15 3 2" xfId="19093"/>
    <cellStyle name="Separador de milhares 3 2 15 3 2 2" xfId="45576"/>
    <cellStyle name="Separador de milhares 3 2 15 3 3" xfId="13166"/>
    <cellStyle name="Separador de milhares 3 2 15 3 3 2" xfId="39668"/>
    <cellStyle name="Separador de milhares 3 2 15 3 4" xfId="33760"/>
    <cellStyle name="Separador de milhares 3 2 15 3 5" xfId="27226"/>
    <cellStyle name="Separador de milhares 3 2 15 4" xfId="16129"/>
    <cellStyle name="Separador de milhares 3 2 15 4 2" xfId="42622"/>
    <cellStyle name="Separador de milhares 3 2 15 4 3" xfId="23720"/>
    <cellStyle name="Separador de milhares 3 2 15 5" xfId="10202"/>
    <cellStyle name="Separador de milhares 3 2 15 5 2" xfId="36714"/>
    <cellStyle name="Separador de milhares 3 2 15 6" xfId="30254"/>
    <cellStyle name="Separador de milhares 3 2 15 7" xfId="21948"/>
    <cellStyle name="Separador de milhares 3 2 16" xfId="2671"/>
    <cellStyle name="Separador de milhares 3 2 16 2" xfId="5646"/>
    <cellStyle name="Separador de milhares 3 2 16 2 2" xfId="8858"/>
    <cellStyle name="Separador de milhares 3 2 16 2 2 2" xfId="20712"/>
    <cellStyle name="Separador de milhares 3 2 16 2 2 2 2" xfId="47191"/>
    <cellStyle name="Separador de milhares 3 2 16 2 2 3" xfId="14785"/>
    <cellStyle name="Separador de milhares 3 2 16 2 2 3 2" xfId="41283"/>
    <cellStyle name="Separador de milhares 3 2 16 2 2 4" xfId="35375"/>
    <cellStyle name="Separador de milhares 3 2 16 2 2 5" xfId="28841"/>
    <cellStyle name="Separador de milhares 3 2 16 2 3" xfId="17748"/>
    <cellStyle name="Separador de milhares 3 2 16 2 3 2" xfId="44237"/>
    <cellStyle name="Separador de milhares 3 2 16 2 4" xfId="11821"/>
    <cellStyle name="Separador de milhares 3 2 16 2 4 2" xfId="38329"/>
    <cellStyle name="Separador de milhares 3 2 16 2 5" xfId="32173"/>
    <cellStyle name="Separador de milhares 3 2 16 2 6" xfId="25639"/>
    <cellStyle name="Separador de milhares 3 2 16 3" xfId="7387"/>
    <cellStyle name="Separador de milhares 3 2 16 3 2" xfId="19241"/>
    <cellStyle name="Separador de milhares 3 2 16 3 2 2" xfId="45723"/>
    <cellStyle name="Separador de milhares 3 2 16 3 3" xfId="13314"/>
    <cellStyle name="Separador de milhares 3 2 16 3 3 2" xfId="39815"/>
    <cellStyle name="Separador de milhares 3 2 16 3 4" xfId="33907"/>
    <cellStyle name="Separador de milhares 3 2 16 3 5" xfId="27373"/>
    <cellStyle name="Separador de milhares 3 2 16 4" xfId="16277"/>
    <cellStyle name="Separador de milhares 3 2 16 4 2" xfId="42769"/>
    <cellStyle name="Separador de milhares 3 2 16 4 3" xfId="23867"/>
    <cellStyle name="Separador de milhares 3 2 16 5" xfId="10350"/>
    <cellStyle name="Separador de milhares 3 2 16 5 2" xfId="36861"/>
    <cellStyle name="Separador de milhares 3 2 16 6" xfId="30401"/>
    <cellStyle name="Separador de milhares 3 2 16 7" xfId="22095"/>
    <cellStyle name="Separador de milhares 3 2 17" xfId="3199"/>
    <cellStyle name="Separador de milhares 3 2 17 2" xfId="5793"/>
    <cellStyle name="Separador de milhares 3 2 17 2 2" xfId="9005"/>
    <cellStyle name="Separador de milhares 3 2 17 2 2 2" xfId="20859"/>
    <cellStyle name="Separador de milhares 3 2 17 2 2 2 2" xfId="47338"/>
    <cellStyle name="Separador de milhares 3 2 17 2 2 3" xfId="14932"/>
    <cellStyle name="Separador de milhares 3 2 17 2 2 3 2" xfId="41430"/>
    <cellStyle name="Separador de milhares 3 2 17 2 2 4" xfId="35522"/>
    <cellStyle name="Separador de milhares 3 2 17 2 2 5" xfId="28988"/>
    <cellStyle name="Separador de milhares 3 2 17 2 3" xfId="17895"/>
    <cellStyle name="Separador de milhares 3 2 17 2 3 2" xfId="44384"/>
    <cellStyle name="Separador de milhares 3 2 17 2 4" xfId="11968"/>
    <cellStyle name="Separador de milhares 3 2 17 2 4 2" xfId="38476"/>
    <cellStyle name="Separador de milhares 3 2 17 2 5" xfId="32320"/>
    <cellStyle name="Separador de milhares 3 2 17 2 6" xfId="25786"/>
    <cellStyle name="Separador de milhares 3 2 17 3" xfId="7535"/>
    <cellStyle name="Separador de milhares 3 2 17 3 2" xfId="19389"/>
    <cellStyle name="Separador de milhares 3 2 17 3 2 2" xfId="45870"/>
    <cellStyle name="Separador de milhares 3 2 17 3 3" xfId="13462"/>
    <cellStyle name="Separador de milhares 3 2 17 3 3 2" xfId="39962"/>
    <cellStyle name="Separador de milhares 3 2 17 3 4" xfId="34054"/>
    <cellStyle name="Separador de milhares 3 2 17 3 5" xfId="27520"/>
    <cellStyle name="Separador de milhares 3 2 17 4" xfId="16425"/>
    <cellStyle name="Separador de milhares 3 2 17 4 2" xfId="42916"/>
    <cellStyle name="Separador de milhares 3 2 17 4 3" xfId="24014"/>
    <cellStyle name="Separador de milhares 3 2 17 5" xfId="10498"/>
    <cellStyle name="Separador de milhares 3 2 17 5 2" xfId="37008"/>
    <cellStyle name="Separador de milhares 3 2 17 6" xfId="30548"/>
    <cellStyle name="Separador de milhares 3 2 17 7" xfId="22242"/>
    <cellStyle name="Separador de milhares 3 2 18" xfId="3727"/>
    <cellStyle name="Separador de milhares 3 2 18 2" xfId="5940"/>
    <cellStyle name="Separador de milhares 3 2 18 2 2" xfId="9152"/>
    <cellStyle name="Separador de milhares 3 2 18 2 2 2" xfId="21006"/>
    <cellStyle name="Separador de milhares 3 2 18 2 2 2 2" xfId="47485"/>
    <cellStyle name="Separador de milhares 3 2 18 2 2 3" xfId="15079"/>
    <cellStyle name="Separador de milhares 3 2 18 2 2 3 2" xfId="41577"/>
    <cellStyle name="Separador de milhares 3 2 18 2 2 4" xfId="35669"/>
    <cellStyle name="Separador de milhares 3 2 18 2 2 5" xfId="29135"/>
    <cellStyle name="Separador de milhares 3 2 18 2 3" xfId="18042"/>
    <cellStyle name="Separador de milhares 3 2 18 2 3 2" xfId="44531"/>
    <cellStyle name="Separador de milhares 3 2 18 2 4" xfId="12115"/>
    <cellStyle name="Separador de milhares 3 2 18 2 4 2" xfId="38623"/>
    <cellStyle name="Separador de milhares 3 2 18 2 5" xfId="32467"/>
    <cellStyle name="Separador de milhares 3 2 18 2 6" xfId="25933"/>
    <cellStyle name="Separador de milhares 3 2 18 3" xfId="7683"/>
    <cellStyle name="Separador de milhares 3 2 18 3 2" xfId="19537"/>
    <cellStyle name="Separador de milhares 3 2 18 3 2 2" xfId="46017"/>
    <cellStyle name="Separador de milhares 3 2 18 3 3" xfId="13610"/>
    <cellStyle name="Separador de milhares 3 2 18 3 3 2" xfId="40109"/>
    <cellStyle name="Separador de milhares 3 2 18 3 4" xfId="34201"/>
    <cellStyle name="Separador de milhares 3 2 18 3 5" xfId="27667"/>
    <cellStyle name="Separador de milhares 3 2 18 4" xfId="16573"/>
    <cellStyle name="Separador de milhares 3 2 18 4 2" xfId="43063"/>
    <cellStyle name="Separador de milhares 3 2 18 4 3" xfId="24161"/>
    <cellStyle name="Separador de milhares 3 2 18 5" xfId="10646"/>
    <cellStyle name="Separador de milhares 3 2 18 5 2" xfId="37155"/>
    <cellStyle name="Separador de milhares 3 2 18 6" xfId="30695"/>
    <cellStyle name="Separador de milhares 3 2 18 7" xfId="22389"/>
    <cellStyle name="Separador de milhares 3 2 19" xfId="4924"/>
    <cellStyle name="Separador de milhares 3 2 19 2" xfId="8148"/>
    <cellStyle name="Separador de milhares 3 2 19 2 2" xfId="20002"/>
    <cellStyle name="Separador de milhares 3 2 19 2 2 2" xfId="46481"/>
    <cellStyle name="Separador de milhares 3 2 19 2 3" xfId="14075"/>
    <cellStyle name="Separador de milhares 3 2 19 2 3 2" xfId="40573"/>
    <cellStyle name="Separador de milhares 3 2 19 2 4" xfId="34665"/>
    <cellStyle name="Separador de milhares 3 2 19 2 5" xfId="28131"/>
    <cellStyle name="Separador de milhares 3 2 19 3" xfId="17038"/>
    <cellStyle name="Separador de milhares 3 2 19 3 2" xfId="43527"/>
    <cellStyle name="Separador de milhares 3 2 19 4" xfId="11111"/>
    <cellStyle name="Separador de milhares 3 2 19 4 2" xfId="37619"/>
    <cellStyle name="Separador de milhares 3 2 19 5" xfId="31451"/>
    <cellStyle name="Separador de milhares 3 2 19 6" xfId="24917"/>
    <cellStyle name="Separador de milhares 3 2 2" xfId="197"/>
    <cellStyle name="Separador de milhares 3 2 2 10" xfId="2707"/>
    <cellStyle name="Separador de milhares 3 2 2 10 2" xfId="5655"/>
    <cellStyle name="Separador de milhares 3 2 2 10 2 2" xfId="8867"/>
    <cellStyle name="Separador de milhares 3 2 2 10 2 2 2" xfId="20721"/>
    <cellStyle name="Separador de milhares 3 2 2 10 2 2 2 2" xfId="47200"/>
    <cellStyle name="Separador de milhares 3 2 2 10 2 2 3" xfId="14794"/>
    <cellStyle name="Separador de milhares 3 2 2 10 2 2 3 2" xfId="41292"/>
    <cellStyle name="Separador de milhares 3 2 2 10 2 2 4" xfId="35384"/>
    <cellStyle name="Separador de milhares 3 2 2 10 2 2 5" xfId="28850"/>
    <cellStyle name="Separador de milhares 3 2 2 10 2 3" xfId="17757"/>
    <cellStyle name="Separador de milhares 3 2 2 10 2 3 2" xfId="44246"/>
    <cellStyle name="Separador de milhares 3 2 2 10 2 4" xfId="11830"/>
    <cellStyle name="Separador de milhares 3 2 2 10 2 4 2" xfId="38338"/>
    <cellStyle name="Separador de milhares 3 2 2 10 2 5" xfId="32182"/>
    <cellStyle name="Separador de milhares 3 2 2 10 2 6" xfId="25648"/>
    <cellStyle name="Separador de milhares 3 2 2 10 3" xfId="7396"/>
    <cellStyle name="Separador de milhares 3 2 2 10 3 2" xfId="19250"/>
    <cellStyle name="Separador de milhares 3 2 2 10 3 2 2" xfId="45732"/>
    <cellStyle name="Separador de milhares 3 2 2 10 3 3" xfId="13323"/>
    <cellStyle name="Separador de milhares 3 2 2 10 3 3 2" xfId="39824"/>
    <cellStyle name="Separador de milhares 3 2 2 10 3 4" xfId="33916"/>
    <cellStyle name="Separador de milhares 3 2 2 10 3 5" xfId="27382"/>
    <cellStyle name="Separador de milhares 3 2 2 10 4" xfId="16286"/>
    <cellStyle name="Separador de milhares 3 2 2 10 4 2" xfId="42778"/>
    <cellStyle name="Separador de milhares 3 2 2 10 4 3" xfId="23876"/>
    <cellStyle name="Separador de milhares 3 2 2 10 5" xfId="10359"/>
    <cellStyle name="Separador de milhares 3 2 2 10 5 2" xfId="36870"/>
    <cellStyle name="Separador de milhares 3 2 2 10 6" xfId="30410"/>
    <cellStyle name="Separador de milhares 3 2 2 10 7" xfId="22104"/>
    <cellStyle name="Separador de milhares 3 2 2 11" xfId="3235"/>
    <cellStyle name="Separador de milhares 3 2 2 11 2" xfId="5802"/>
    <cellStyle name="Separador de milhares 3 2 2 11 2 2" xfId="9014"/>
    <cellStyle name="Separador de milhares 3 2 2 11 2 2 2" xfId="20868"/>
    <cellStyle name="Separador de milhares 3 2 2 11 2 2 2 2" xfId="47347"/>
    <cellStyle name="Separador de milhares 3 2 2 11 2 2 3" xfId="14941"/>
    <cellStyle name="Separador de milhares 3 2 2 11 2 2 3 2" xfId="41439"/>
    <cellStyle name="Separador de milhares 3 2 2 11 2 2 4" xfId="35531"/>
    <cellStyle name="Separador de milhares 3 2 2 11 2 2 5" xfId="28997"/>
    <cellStyle name="Separador de milhares 3 2 2 11 2 3" xfId="17904"/>
    <cellStyle name="Separador de milhares 3 2 2 11 2 3 2" xfId="44393"/>
    <cellStyle name="Separador de milhares 3 2 2 11 2 4" xfId="11977"/>
    <cellStyle name="Separador de milhares 3 2 2 11 2 4 2" xfId="38485"/>
    <cellStyle name="Separador de milhares 3 2 2 11 2 5" xfId="32329"/>
    <cellStyle name="Separador de milhares 3 2 2 11 2 6" xfId="25795"/>
    <cellStyle name="Separador de milhares 3 2 2 11 3" xfId="7544"/>
    <cellStyle name="Separador de milhares 3 2 2 11 3 2" xfId="19398"/>
    <cellStyle name="Separador de milhares 3 2 2 11 3 2 2" xfId="45879"/>
    <cellStyle name="Separador de milhares 3 2 2 11 3 3" xfId="13471"/>
    <cellStyle name="Separador de milhares 3 2 2 11 3 3 2" xfId="39971"/>
    <cellStyle name="Separador de milhares 3 2 2 11 3 4" xfId="34063"/>
    <cellStyle name="Separador de milhares 3 2 2 11 3 5" xfId="27529"/>
    <cellStyle name="Separador de milhares 3 2 2 11 4" xfId="16434"/>
    <cellStyle name="Separador de milhares 3 2 2 11 4 2" xfId="42925"/>
    <cellStyle name="Separador de milhares 3 2 2 11 4 3" xfId="24023"/>
    <cellStyle name="Separador de milhares 3 2 2 11 5" xfId="10507"/>
    <cellStyle name="Separador de milhares 3 2 2 11 5 2" xfId="37017"/>
    <cellStyle name="Separador de milhares 3 2 2 11 6" xfId="30557"/>
    <cellStyle name="Separador de milhares 3 2 2 11 7" xfId="22251"/>
    <cellStyle name="Separador de milhares 3 2 2 12" xfId="3763"/>
    <cellStyle name="Separador de milhares 3 2 2 12 2" xfId="5949"/>
    <cellStyle name="Separador de milhares 3 2 2 12 2 2" xfId="9161"/>
    <cellStyle name="Separador de milhares 3 2 2 12 2 2 2" xfId="21015"/>
    <cellStyle name="Separador de milhares 3 2 2 12 2 2 2 2" xfId="47494"/>
    <cellStyle name="Separador de milhares 3 2 2 12 2 2 3" xfId="15088"/>
    <cellStyle name="Separador de milhares 3 2 2 12 2 2 3 2" xfId="41586"/>
    <cellStyle name="Separador de milhares 3 2 2 12 2 2 4" xfId="35678"/>
    <cellStyle name="Separador de milhares 3 2 2 12 2 2 5" xfId="29144"/>
    <cellStyle name="Separador de milhares 3 2 2 12 2 3" xfId="18051"/>
    <cellStyle name="Separador de milhares 3 2 2 12 2 3 2" xfId="44540"/>
    <cellStyle name="Separador de milhares 3 2 2 12 2 4" xfId="12124"/>
    <cellStyle name="Separador de milhares 3 2 2 12 2 4 2" xfId="38632"/>
    <cellStyle name="Separador de milhares 3 2 2 12 2 5" xfId="32476"/>
    <cellStyle name="Separador de milhares 3 2 2 12 2 6" xfId="25942"/>
    <cellStyle name="Separador de milhares 3 2 2 12 3" xfId="7692"/>
    <cellStyle name="Separador de milhares 3 2 2 12 3 2" xfId="19546"/>
    <cellStyle name="Separador de milhares 3 2 2 12 3 2 2" xfId="46026"/>
    <cellStyle name="Separador de milhares 3 2 2 12 3 3" xfId="13619"/>
    <cellStyle name="Separador de milhares 3 2 2 12 3 3 2" xfId="40118"/>
    <cellStyle name="Separador de milhares 3 2 2 12 3 4" xfId="34210"/>
    <cellStyle name="Separador de milhares 3 2 2 12 3 5" xfId="27676"/>
    <cellStyle name="Separador de milhares 3 2 2 12 4" xfId="16582"/>
    <cellStyle name="Separador de milhares 3 2 2 12 4 2" xfId="43072"/>
    <cellStyle name="Separador de milhares 3 2 2 12 4 3" xfId="24170"/>
    <cellStyle name="Separador de milhares 3 2 2 12 5" xfId="10655"/>
    <cellStyle name="Separador de milhares 3 2 2 12 5 2" xfId="37164"/>
    <cellStyle name="Separador de milhares 3 2 2 12 6" xfId="30704"/>
    <cellStyle name="Separador de milhares 3 2 2 12 7" xfId="22398"/>
    <cellStyle name="Separador de milhares 3 2 2 13" xfId="4933"/>
    <cellStyle name="Separador de milhares 3 2 2 13 2" xfId="8157"/>
    <cellStyle name="Separador de milhares 3 2 2 13 2 2" xfId="20011"/>
    <cellStyle name="Separador de milhares 3 2 2 13 2 2 2" xfId="46490"/>
    <cellStyle name="Separador de milhares 3 2 2 13 2 3" xfId="14084"/>
    <cellStyle name="Separador de milhares 3 2 2 13 2 3 2" xfId="40582"/>
    <cellStyle name="Separador de milhares 3 2 2 13 2 4" xfId="34674"/>
    <cellStyle name="Separador de milhares 3 2 2 13 2 5" xfId="28140"/>
    <cellStyle name="Separador de milhares 3 2 2 13 3" xfId="17047"/>
    <cellStyle name="Separador de milhares 3 2 2 13 3 2" xfId="43536"/>
    <cellStyle name="Separador de milhares 3 2 2 13 4" xfId="11120"/>
    <cellStyle name="Separador de milhares 3 2 2 13 4 2" xfId="37628"/>
    <cellStyle name="Separador de milhares 3 2 2 13 5" xfId="31460"/>
    <cellStyle name="Separador de milhares 3 2 2 13 6" xfId="24926"/>
    <cellStyle name="Separador de milhares 3 2 2 14" xfId="6681"/>
    <cellStyle name="Separador de milhares 3 2 2 14 2" xfId="18535"/>
    <cellStyle name="Separador de milhares 3 2 2 14 2 2" xfId="45022"/>
    <cellStyle name="Separador de milhares 3 2 2 14 3" xfId="12608"/>
    <cellStyle name="Separador de milhares 3 2 2 14 3 2" xfId="39114"/>
    <cellStyle name="Separador de milhares 3 2 2 14 4" xfId="33206"/>
    <cellStyle name="Separador de milhares 3 2 2 14 5" xfId="26672"/>
    <cellStyle name="Separador de milhares 3 2 2 15" xfId="15571"/>
    <cellStyle name="Separador de milhares 3 2 2 15 2" xfId="42068"/>
    <cellStyle name="Separador de milhares 3 2 2 15 3" xfId="23154"/>
    <cellStyle name="Separador de milhares 3 2 2 16" xfId="9644"/>
    <cellStyle name="Separador de milhares 3 2 2 16 2" xfId="36160"/>
    <cellStyle name="Separador de milhares 3 2 2 17" xfId="29688"/>
    <cellStyle name="Separador de milhares 3 2 2 2" xfId="291"/>
    <cellStyle name="Separador de milhares 3 2 2 2 10" xfId="4962"/>
    <cellStyle name="Separador de milhares 3 2 2 2 10 2" xfId="8184"/>
    <cellStyle name="Separador de milhares 3 2 2 2 10 2 2" xfId="20038"/>
    <cellStyle name="Separador de milhares 3 2 2 2 10 2 2 2" xfId="46517"/>
    <cellStyle name="Separador de milhares 3 2 2 2 10 2 3" xfId="14111"/>
    <cellStyle name="Separador de milhares 3 2 2 2 10 2 3 2" xfId="40609"/>
    <cellStyle name="Separador de milhares 3 2 2 2 10 2 4" xfId="34701"/>
    <cellStyle name="Separador de milhares 3 2 2 2 10 2 5" xfId="28167"/>
    <cellStyle name="Separador de milhares 3 2 2 2 10 3" xfId="17074"/>
    <cellStyle name="Separador de milhares 3 2 2 2 10 3 2" xfId="43563"/>
    <cellStyle name="Separador de milhares 3 2 2 2 10 4" xfId="11147"/>
    <cellStyle name="Separador de milhares 3 2 2 2 10 4 2" xfId="37655"/>
    <cellStyle name="Separador de milhares 3 2 2 2 10 5" xfId="31489"/>
    <cellStyle name="Separador de milhares 3 2 2 2 10 6" xfId="24955"/>
    <cellStyle name="Separador de milhares 3 2 2 2 11" xfId="6708"/>
    <cellStyle name="Separador de milhares 3 2 2 2 11 2" xfId="18562"/>
    <cellStyle name="Separador de milhares 3 2 2 2 11 2 2" xfId="45049"/>
    <cellStyle name="Separador de milhares 3 2 2 2 11 3" xfId="12635"/>
    <cellStyle name="Separador de milhares 3 2 2 2 11 3 2" xfId="39141"/>
    <cellStyle name="Separador de milhares 3 2 2 2 11 4" xfId="33233"/>
    <cellStyle name="Separador de milhares 3 2 2 2 11 5" xfId="26699"/>
    <cellStyle name="Separador de milhares 3 2 2 2 12" xfId="15598"/>
    <cellStyle name="Separador de milhares 3 2 2 2 12 2" xfId="42095"/>
    <cellStyle name="Separador de milhares 3 2 2 2 12 3" xfId="23183"/>
    <cellStyle name="Separador de milhares 3 2 2 2 13" xfId="9671"/>
    <cellStyle name="Separador de milhares 3 2 2 2 13 2" xfId="36187"/>
    <cellStyle name="Separador de milhares 3 2 2 2 14" xfId="29717"/>
    <cellStyle name="Separador de milhares 3 2 2 2 15" xfId="21435"/>
    <cellStyle name="Separador de milhares 3 2 2 2 2" xfId="566"/>
    <cellStyle name="Separador de milhares 3 2 2 2 2 10" xfId="9745"/>
    <cellStyle name="Separador de milhares 3 2 2 2 2 10 2" xfId="36261"/>
    <cellStyle name="Separador de milhares 3 2 2 2 2 11" xfId="29798"/>
    <cellStyle name="Separador de milhares 3 2 2 2 2 12" xfId="21493"/>
    <cellStyle name="Separador de milhares 3 2 2 2 2 2" xfId="2087"/>
    <cellStyle name="Separador de milhares 3 2 2 2 2 2 2" xfId="5481"/>
    <cellStyle name="Separador de milhares 3 2 2 2 2 2 2 2" xfId="8696"/>
    <cellStyle name="Separador de milhares 3 2 2 2 2 2 2 2 2" xfId="20550"/>
    <cellStyle name="Separador de milhares 3 2 2 2 2 2 2 2 2 2" xfId="47029"/>
    <cellStyle name="Separador de milhares 3 2 2 2 2 2 2 2 3" xfId="14623"/>
    <cellStyle name="Separador de milhares 3 2 2 2 2 2 2 2 3 2" xfId="41121"/>
    <cellStyle name="Separador de milhares 3 2 2 2 2 2 2 2 4" xfId="35213"/>
    <cellStyle name="Separador de milhares 3 2 2 2 2 2 2 2 5" xfId="28679"/>
    <cellStyle name="Separador de milhares 3 2 2 2 2 2 2 3" xfId="17586"/>
    <cellStyle name="Separador de milhares 3 2 2 2 2 2 2 3 2" xfId="44075"/>
    <cellStyle name="Separador de milhares 3 2 2 2 2 2 2 4" xfId="11659"/>
    <cellStyle name="Separador de milhares 3 2 2 2 2 2 2 4 2" xfId="38167"/>
    <cellStyle name="Separador de milhares 3 2 2 2 2 2 2 5" xfId="32008"/>
    <cellStyle name="Separador de milhares 3 2 2 2 2 2 2 6" xfId="25474"/>
    <cellStyle name="Separador de milhares 3 2 2 2 2 2 3" xfId="7224"/>
    <cellStyle name="Separador de milhares 3 2 2 2 2 2 3 2" xfId="19078"/>
    <cellStyle name="Separador de milhares 3 2 2 2 2 2 3 2 2" xfId="45561"/>
    <cellStyle name="Separador de milhares 3 2 2 2 2 2 3 3" xfId="13151"/>
    <cellStyle name="Separador de milhares 3 2 2 2 2 2 3 3 2" xfId="39653"/>
    <cellStyle name="Separador de milhares 3 2 2 2 2 2 3 4" xfId="33745"/>
    <cellStyle name="Separador de milhares 3 2 2 2 2 2 3 5" xfId="27211"/>
    <cellStyle name="Separador de milhares 3 2 2 2 2 2 4" xfId="16114"/>
    <cellStyle name="Separador de milhares 3 2 2 2 2 2 4 2" xfId="42607"/>
    <cellStyle name="Separador de milhares 3 2 2 2 2 2 4 3" xfId="23702"/>
    <cellStyle name="Separador de milhares 3 2 2 2 2 2 5" xfId="10187"/>
    <cellStyle name="Separador de milhares 3 2 2 2 2 2 5 2" xfId="36699"/>
    <cellStyle name="Separador de milhares 3 2 2 2 2 2 6" xfId="30236"/>
    <cellStyle name="Separador de milhares 3 2 2 2 2 2 7" xfId="21930"/>
    <cellStyle name="Separador de milhares 3 2 2 2 2 3" xfId="2620"/>
    <cellStyle name="Separador de milhares 3 2 2 2 2 3 2" xfId="5631"/>
    <cellStyle name="Separador de milhares 3 2 2 2 2 3 2 2" xfId="8843"/>
    <cellStyle name="Separador de milhares 3 2 2 2 2 3 2 2 2" xfId="20697"/>
    <cellStyle name="Separador de milhares 3 2 2 2 2 3 2 2 2 2" xfId="47176"/>
    <cellStyle name="Separador de milhares 3 2 2 2 2 3 2 2 3" xfId="14770"/>
    <cellStyle name="Separador de milhares 3 2 2 2 2 3 2 2 3 2" xfId="41268"/>
    <cellStyle name="Separador de milhares 3 2 2 2 2 3 2 2 4" xfId="35360"/>
    <cellStyle name="Separador de milhares 3 2 2 2 2 3 2 2 5" xfId="28826"/>
    <cellStyle name="Separador de milhares 3 2 2 2 2 3 2 3" xfId="17733"/>
    <cellStyle name="Separador de milhares 3 2 2 2 2 3 2 3 2" xfId="44222"/>
    <cellStyle name="Separador de milhares 3 2 2 2 2 3 2 4" xfId="11806"/>
    <cellStyle name="Separador de milhares 3 2 2 2 2 3 2 4 2" xfId="38314"/>
    <cellStyle name="Separador de milhares 3 2 2 2 2 3 2 5" xfId="32158"/>
    <cellStyle name="Separador de milhares 3 2 2 2 2 3 2 6" xfId="25624"/>
    <cellStyle name="Separador de milhares 3 2 2 2 2 3 3" xfId="7372"/>
    <cellStyle name="Separador de milhares 3 2 2 2 2 3 3 2" xfId="19226"/>
    <cellStyle name="Separador de milhares 3 2 2 2 2 3 3 2 2" xfId="45708"/>
    <cellStyle name="Separador de milhares 3 2 2 2 2 3 3 3" xfId="13299"/>
    <cellStyle name="Separador de milhares 3 2 2 2 2 3 3 3 2" xfId="39800"/>
    <cellStyle name="Separador de milhares 3 2 2 2 2 3 3 4" xfId="33892"/>
    <cellStyle name="Separador de milhares 3 2 2 2 2 3 3 5" xfId="27358"/>
    <cellStyle name="Separador de milhares 3 2 2 2 2 3 4" xfId="16262"/>
    <cellStyle name="Separador de milhares 3 2 2 2 2 3 4 2" xfId="42754"/>
    <cellStyle name="Separador de milhares 3 2 2 2 2 3 4 3" xfId="23852"/>
    <cellStyle name="Separador de milhares 3 2 2 2 2 3 5" xfId="10335"/>
    <cellStyle name="Separador de milhares 3 2 2 2 2 3 5 2" xfId="36846"/>
    <cellStyle name="Separador de milhares 3 2 2 2 2 3 6" xfId="30386"/>
    <cellStyle name="Separador de milhares 3 2 2 2 2 3 7" xfId="22080"/>
    <cellStyle name="Separador de milhares 3 2 2 2 2 4" xfId="3148"/>
    <cellStyle name="Separador de milhares 3 2 2 2 2 4 2" xfId="5778"/>
    <cellStyle name="Separador de milhares 3 2 2 2 2 4 2 2" xfId="8990"/>
    <cellStyle name="Separador de milhares 3 2 2 2 2 4 2 2 2" xfId="20844"/>
    <cellStyle name="Separador de milhares 3 2 2 2 2 4 2 2 2 2" xfId="47323"/>
    <cellStyle name="Separador de milhares 3 2 2 2 2 4 2 2 3" xfId="14917"/>
    <cellStyle name="Separador de milhares 3 2 2 2 2 4 2 2 3 2" xfId="41415"/>
    <cellStyle name="Separador de milhares 3 2 2 2 2 4 2 2 4" xfId="35507"/>
    <cellStyle name="Separador de milhares 3 2 2 2 2 4 2 2 5" xfId="28973"/>
    <cellStyle name="Separador de milhares 3 2 2 2 2 4 2 3" xfId="17880"/>
    <cellStyle name="Separador de milhares 3 2 2 2 2 4 2 3 2" xfId="44369"/>
    <cellStyle name="Separador de milhares 3 2 2 2 2 4 2 4" xfId="11953"/>
    <cellStyle name="Separador de milhares 3 2 2 2 2 4 2 4 2" xfId="38461"/>
    <cellStyle name="Separador de milhares 3 2 2 2 2 4 2 5" xfId="32305"/>
    <cellStyle name="Separador de milhares 3 2 2 2 2 4 2 6" xfId="25771"/>
    <cellStyle name="Separador de milhares 3 2 2 2 2 4 3" xfId="7520"/>
    <cellStyle name="Separador de milhares 3 2 2 2 2 4 3 2" xfId="19374"/>
    <cellStyle name="Separador de milhares 3 2 2 2 2 4 3 2 2" xfId="45855"/>
    <cellStyle name="Separador de milhares 3 2 2 2 2 4 3 3" xfId="13447"/>
    <cellStyle name="Separador de milhares 3 2 2 2 2 4 3 3 2" xfId="39947"/>
    <cellStyle name="Separador de milhares 3 2 2 2 2 4 3 4" xfId="34039"/>
    <cellStyle name="Separador de milhares 3 2 2 2 2 4 3 5" xfId="27505"/>
    <cellStyle name="Separador de milhares 3 2 2 2 2 4 4" xfId="16410"/>
    <cellStyle name="Separador de milhares 3 2 2 2 2 4 4 2" xfId="42901"/>
    <cellStyle name="Separador de milhares 3 2 2 2 2 4 4 3" xfId="23999"/>
    <cellStyle name="Separador de milhares 3 2 2 2 2 4 5" xfId="10483"/>
    <cellStyle name="Separador de milhares 3 2 2 2 2 4 5 2" xfId="36993"/>
    <cellStyle name="Separador de milhares 3 2 2 2 2 4 6" xfId="30533"/>
    <cellStyle name="Separador de milhares 3 2 2 2 2 4 7" xfId="22227"/>
    <cellStyle name="Separador de milhares 3 2 2 2 2 5" xfId="3676"/>
    <cellStyle name="Separador de milhares 3 2 2 2 2 5 2" xfId="5925"/>
    <cellStyle name="Separador de milhares 3 2 2 2 2 5 2 2" xfId="9137"/>
    <cellStyle name="Separador de milhares 3 2 2 2 2 5 2 2 2" xfId="20991"/>
    <cellStyle name="Separador de milhares 3 2 2 2 2 5 2 2 2 2" xfId="47470"/>
    <cellStyle name="Separador de milhares 3 2 2 2 2 5 2 2 3" xfId="15064"/>
    <cellStyle name="Separador de milhares 3 2 2 2 2 5 2 2 3 2" xfId="41562"/>
    <cellStyle name="Separador de milhares 3 2 2 2 2 5 2 2 4" xfId="35654"/>
    <cellStyle name="Separador de milhares 3 2 2 2 2 5 2 2 5" xfId="29120"/>
    <cellStyle name="Separador de milhares 3 2 2 2 2 5 2 3" xfId="18027"/>
    <cellStyle name="Separador de milhares 3 2 2 2 2 5 2 3 2" xfId="44516"/>
    <cellStyle name="Separador de milhares 3 2 2 2 2 5 2 4" xfId="12100"/>
    <cellStyle name="Separador de milhares 3 2 2 2 2 5 2 4 2" xfId="38608"/>
    <cellStyle name="Separador de milhares 3 2 2 2 2 5 2 5" xfId="32452"/>
    <cellStyle name="Separador de milhares 3 2 2 2 2 5 2 6" xfId="25918"/>
    <cellStyle name="Separador de milhares 3 2 2 2 2 5 3" xfId="7668"/>
    <cellStyle name="Separador de milhares 3 2 2 2 2 5 3 2" xfId="19522"/>
    <cellStyle name="Separador de milhares 3 2 2 2 2 5 3 2 2" xfId="46002"/>
    <cellStyle name="Separador de milhares 3 2 2 2 2 5 3 3" xfId="13595"/>
    <cellStyle name="Separador de milhares 3 2 2 2 2 5 3 3 2" xfId="40094"/>
    <cellStyle name="Separador de milhares 3 2 2 2 2 5 3 4" xfId="34186"/>
    <cellStyle name="Separador de milhares 3 2 2 2 2 5 3 5" xfId="27652"/>
    <cellStyle name="Separador de milhares 3 2 2 2 2 5 4" xfId="16558"/>
    <cellStyle name="Separador de milhares 3 2 2 2 2 5 4 2" xfId="43048"/>
    <cellStyle name="Separador de milhares 3 2 2 2 2 5 4 3" xfId="24146"/>
    <cellStyle name="Separador de milhares 3 2 2 2 2 5 5" xfId="10631"/>
    <cellStyle name="Separador de milhares 3 2 2 2 2 5 5 2" xfId="37140"/>
    <cellStyle name="Separador de milhares 3 2 2 2 2 5 6" xfId="30680"/>
    <cellStyle name="Separador de milhares 3 2 2 2 2 5 7" xfId="22374"/>
    <cellStyle name="Separador de milhares 3 2 2 2 2 6" xfId="4204"/>
    <cellStyle name="Separador de milhares 3 2 2 2 2 6 2" xfId="6072"/>
    <cellStyle name="Separador de milhares 3 2 2 2 2 6 2 2" xfId="9284"/>
    <cellStyle name="Separador de milhares 3 2 2 2 2 6 2 2 2" xfId="21138"/>
    <cellStyle name="Separador de milhares 3 2 2 2 2 6 2 2 2 2" xfId="47617"/>
    <cellStyle name="Separador de milhares 3 2 2 2 2 6 2 2 3" xfId="15211"/>
    <cellStyle name="Separador de milhares 3 2 2 2 2 6 2 2 3 2" xfId="41709"/>
    <cellStyle name="Separador de milhares 3 2 2 2 2 6 2 2 4" xfId="35801"/>
    <cellStyle name="Separador de milhares 3 2 2 2 2 6 2 2 5" xfId="29267"/>
    <cellStyle name="Separador de milhares 3 2 2 2 2 6 2 3" xfId="18174"/>
    <cellStyle name="Separador de milhares 3 2 2 2 2 6 2 3 2" xfId="44663"/>
    <cellStyle name="Separador de milhares 3 2 2 2 2 6 2 4" xfId="12247"/>
    <cellStyle name="Separador de milhares 3 2 2 2 2 6 2 4 2" xfId="38755"/>
    <cellStyle name="Separador de milhares 3 2 2 2 2 6 2 5" xfId="32599"/>
    <cellStyle name="Separador de milhares 3 2 2 2 2 6 2 6" xfId="26065"/>
    <cellStyle name="Separador de milhares 3 2 2 2 2 6 3" xfId="7816"/>
    <cellStyle name="Separador de milhares 3 2 2 2 2 6 3 2" xfId="19670"/>
    <cellStyle name="Separador de milhares 3 2 2 2 2 6 3 2 2" xfId="46149"/>
    <cellStyle name="Separador de milhares 3 2 2 2 2 6 3 3" xfId="13743"/>
    <cellStyle name="Separador de milhares 3 2 2 2 2 6 3 3 2" xfId="40241"/>
    <cellStyle name="Separador de milhares 3 2 2 2 2 6 3 4" xfId="34333"/>
    <cellStyle name="Separador de milhares 3 2 2 2 2 6 3 5" xfId="27799"/>
    <cellStyle name="Separador de milhares 3 2 2 2 2 6 4" xfId="16706"/>
    <cellStyle name="Separador de milhares 3 2 2 2 2 6 4 2" xfId="43195"/>
    <cellStyle name="Separador de milhares 3 2 2 2 2 6 4 3" xfId="24293"/>
    <cellStyle name="Separador de milhares 3 2 2 2 2 6 5" xfId="10779"/>
    <cellStyle name="Separador de milhares 3 2 2 2 2 6 5 2" xfId="37287"/>
    <cellStyle name="Separador de milhares 3 2 2 2 2 6 6" xfId="30827"/>
    <cellStyle name="Separador de milhares 3 2 2 2 2 6 7" xfId="22521"/>
    <cellStyle name="Separador de milhares 3 2 2 2 2 7" xfId="5043"/>
    <cellStyle name="Separador de milhares 3 2 2 2 2 7 2" xfId="8258"/>
    <cellStyle name="Separador de milhares 3 2 2 2 2 7 2 2" xfId="20112"/>
    <cellStyle name="Separador de milhares 3 2 2 2 2 7 2 2 2" xfId="46591"/>
    <cellStyle name="Separador de milhares 3 2 2 2 2 7 2 3" xfId="14185"/>
    <cellStyle name="Separador de milhares 3 2 2 2 2 7 2 3 2" xfId="40683"/>
    <cellStyle name="Separador de milhares 3 2 2 2 2 7 2 4" xfId="34775"/>
    <cellStyle name="Separador de milhares 3 2 2 2 2 7 2 5" xfId="28241"/>
    <cellStyle name="Separador de milhares 3 2 2 2 2 7 3" xfId="17148"/>
    <cellStyle name="Separador de milhares 3 2 2 2 2 7 3 2" xfId="43637"/>
    <cellStyle name="Separador de milhares 3 2 2 2 2 7 4" xfId="11221"/>
    <cellStyle name="Separador de milhares 3 2 2 2 2 7 4 2" xfId="37729"/>
    <cellStyle name="Separador de milhares 3 2 2 2 2 7 5" xfId="31570"/>
    <cellStyle name="Separador de milhares 3 2 2 2 2 7 6" xfId="25036"/>
    <cellStyle name="Separador de milhares 3 2 2 2 2 8" xfId="6782"/>
    <cellStyle name="Separador de milhares 3 2 2 2 2 8 2" xfId="18636"/>
    <cellStyle name="Separador de milhares 3 2 2 2 2 8 2 2" xfId="45123"/>
    <cellStyle name="Separador de milhares 3 2 2 2 2 8 3" xfId="12709"/>
    <cellStyle name="Separador de milhares 3 2 2 2 2 8 3 2" xfId="39215"/>
    <cellStyle name="Separador de milhares 3 2 2 2 2 8 4" xfId="33307"/>
    <cellStyle name="Separador de milhares 3 2 2 2 2 8 5" xfId="26773"/>
    <cellStyle name="Separador de milhares 3 2 2 2 2 9" xfId="15672"/>
    <cellStyle name="Separador de milhares 3 2 2 2 2 9 2" xfId="42169"/>
    <cellStyle name="Separador de milhares 3 2 2 2 2 9 3" xfId="23264"/>
    <cellStyle name="Separador de milhares 3 2 2 2 3" xfId="1040"/>
    <cellStyle name="Separador de milhares 3 2 2 2 3 2" xfId="5194"/>
    <cellStyle name="Separador de milhares 3 2 2 2 3 2 2" xfId="8409"/>
    <cellStyle name="Separador de milhares 3 2 2 2 3 2 2 2" xfId="20263"/>
    <cellStyle name="Separador de milhares 3 2 2 2 3 2 2 2 2" xfId="46742"/>
    <cellStyle name="Separador de milhares 3 2 2 2 3 2 2 3" xfId="14336"/>
    <cellStyle name="Separador de milhares 3 2 2 2 3 2 2 3 2" xfId="40834"/>
    <cellStyle name="Separador de milhares 3 2 2 2 3 2 2 4" xfId="34926"/>
    <cellStyle name="Separador de milhares 3 2 2 2 3 2 2 5" xfId="28392"/>
    <cellStyle name="Separador de milhares 3 2 2 2 3 2 3" xfId="17299"/>
    <cellStyle name="Separador de milhares 3 2 2 2 3 2 3 2" xfId="43788"/>
    <cellStyle name="Separador de milhares 3 2 2 2 3 2 4" xfId="11372"/>
    <cellStyle name="Separador de milhares 3 2 2 2 3 2 4 2" xfId="37880"/>
    <cellStyle name="Separador de milhares 3 2 2 2 3 2 5" xfId="31721"/>
    <cellStyle name="Separador de milhares 3 2 2 2 3 2 6" xfId="25187"/>
    <cellStyle name="Separador de milhares 3 2 2 2 3 3" xfId="6936"/>
    <cellStyle name="Separador de milhares 3 2 2 2 3 3 2" xfId="18790"/>
    <cellStyle name="Separador de milhares 3 2 2 2 3 3 2 2" xfId="45274"/>
    <cellStyle name="Separador de milhares 3 2 2 2 3 3 3" xfId="12863"/>
    <cellStyle name="Separador de milhares 3 2 2 2 3 3 3 2" xfId="39366"/>
    <cellStyle name="Separador de milhares 3 2 2 2 3 3 4" xfId="33458"/>
    <cellStyle name="Separador de milhares 3 2 2 2 3 3 5" xfId="26924"/>
    <cellStyle name="Separador de milhares 3 2 2 2 3 4" xfId="15826"/>
    <cellStyle name="Separador de milhares 3 2 2 2 3 4 2" xfId="42320"/>
    <cellStyle name="Separador de milhares 3 2 2 2 3 4 3" xfId="23415"/>
    <cellStyle name="Separador de milhares 3 2 2 2 3 5" xfId="9899"/>
    <cellStyle name="Separador de milhares 3 2 2 2 3 5 2" xfId="36412"/>
    <cellStyle name="Separador de milhares 3 2 2 2 3 6" xfId="29949"/>
    <cellStyle name="Separador de milhares 3 2 2 2 3 7" xfId="21643"/>
    <cellStyle name="Separador de milhares 3 2 2 2 4" xfId="1391"/>
    <cellStyle name="Separador de milhares 3 2 2 2 4 2" xfId="5292"/>
    <cellStyle name="Separador de milhares 3 2 2 2 4 2 2" xfId="8507"/>
    <cellStyle name="Separador de milhares 3 2 2 2 4 2 2 2" xfId="20361"/>
    <cellStyle name="Separador de milhares 3 2 2 2 4 2 2 2 2" xfId="46840"/>
    <cellStyle name="Separador de milhares 3 2 2 2 4 2 2 3" xfId="14434"/>
    <cellStyle name="Separador de milhares 3 2 2 2 4 2 2 3 2" xfId="40932"/>
    <cellStyle name="Separador de milhares 3 2 2 2 4 2 2 4" xfId="35024"/>
    <cellStyle name="Separador de milhares 3 2 2 2 4 2 2 5" xfId="28490"/>
    <cellStyle name="Separador de milhares 3 2 2 2 4 2 3" xfId="17397"/>
    <cellStyle name="Separador de milhares 3 2 2 2 4 2 3 2" xfId="43886"/>
    <cellStyle name="Separador de milhares 3 2 2 2 4 2 4" xfId="11470"/>
    <cellStyle name="Separador de milhares 3 2 2 2 4 2 4 2" xfId="37978"/>
    <cellStyle name="Separador de milhares 3 2 2 2 4 2 5" xfId="31819"/>
    <cellStyle name="Separador de milhares 3 2 2 2 4 2 6" xfId="25285"/>
    <cellStyle name="Separador de milhares 3 2 2 2 4 3" xfId="7034"/>
    <cellStyle name="Separador de milhares 3 2 2 2 4 3 2" xfId="18888"/>
    <cellStyle name="Separador de milhares 3 2 2 2 4 3 2 2" xfId="45372"/>
    <cellStyle name="Separador de milhares 3 2 2 2 4 3 3" xfId="12961"/>
    <cellStyle name="Separador de milhares 3 2 2 2 4 3 3 2" xfId="39464"/>
    <cellStyle name="Separador de milhares 3 2 2 2 4 3 4" xfId="33556"/>
    <cellStyle name="Separador de milhares 3 2 2 2 4 3 5" xfId="27022"/>
    <cellStyle name="Separador de milhares 3 2 2 2 4 4" xfId="15924"/>
    <cellStyle name="Separador de milhares 3 2 2 2 4 4 2" xfId="42418"/>
    <cellStyle name="Separador de milhares 3 2 2 2 4 4 3" xfId="23513"/>
    <cellStyle name="Separador de milhares 3 2 2 2 4 5" xfId="9997"/>
    <cellStyle name="Separador de milhares 3 2 2 2 4 5 2" xfId="36510"/>
    <cellStyle name="Separador de milhares 3 2 2 2 4 6" xfId="30047"/>
    <cellStyle name="Separador de milhares 3 2 2 2 4 7" xfId="21741"/>
    <cellStyle name="Separador de milhares 3 2 2 2 5" xfId="1826"/>
    <cellStyle name="Separador de milhares 3 2 2 2 5 2" xfId="5411"/>
    <cellStyle name="Separador de milhares 3 2 2 2 5 2 2" xfId="8626"/>
    <cellStyle name="Separador de milhares 3 2 2 2 5 2 2 2" xfId="20480"/>
    <cellStyle name="Separador de milhares 3 2 2 2 5 2 2 2 2" xfId="46959"/>
    <cellStyle name="Separador de milhares 3 2 2 2 5 2 2 3" xfId="14553"/>
    <cellStyle name="Separador de milhares 3 2 2 2 5 2 2 3 2" xfId="41051"/>
    <cellStyle name="Separador de milhares 3 2 2 2 5 2 2 4" xfId="35143"/>
    <cellStyle name="Separador de milhares 3 2 2 2 5 2 2 5" xfId="28609"/>
    <cellStyle name="Separador de milhares 3 2 2 2 5 2 3" xfId="17516"/>
    <cellStyle name="Separador de milhares 3 2 2 2 5 2 3 2" xfId="44005"/>
    <cellStyle name="Separador de milhares 3 2 2 2 5 2 4" xfId="11589"/>
    <cellStyle name="Separador de milhares 3 2 2 2 5 2 4 2" xfId="38097"/>
    <cellStyle name="Separador de milhares 3 2 2 2 5 2 5" xfId="31938"/>
    <cellStyle name="Separador de milhares 3 2 2 2 5 2 6" xfId="25404"/>
    <cellStyle name="Separador de milhares 3 2 2 2 5 3" xfId="7153"/>
    <cellStyle name="Separador de milhares 3 2 2 2 5 3 2" xfId="19007"/>
    <cellStyle name="Separador de milhares 3 2 2 2 5 3 2 2" xfId="45491"/>
    <cellStyle name="Separador de milhares 3 2 2 2 5 3 3" xfId="13080"/>
    <cellStyle name="Separador de milhares 3 2 2 2 5 3 3 2" xfId="39583"/>
    <cellStyle name="Separador de milhares 3 2 2 2 5 3 4" xfId="33675"/>
    <cellStyle name="Separador de milhares 3 2 2 2 5 3 5" xfId="27141"/>
    <cellStyle name="Separador de milhares 3 2 2 2 5 4" xfId="16043"/>
    <cellStyle name="Separador de milhares 3 2 2 2 5 4 2" xfId="42537"/>
    <cellStyle name="Separador de milhares 3 2 2 2 5 4 3" xfId="23632"/>
    <cellStyle name="Separador de milhares 3 2 2 2 5 5" xfId="10116"/>
    <cellStyle name="Separador de milhares 3 2 2 2 5 5 2" xfId="36629"/>
    <cellStyle name="Separador de milhares 3 2 2 2 5 6" xfId="30166"/>
    <cellStyle name="Separador de milhares 3 2 2 2 5 7" xfId="21860"/>
    <cellStyle name="Separador de milhares 3 2 2 2 6" xfId="2359"/>
    <cellStyle name="Separador de milhares 3 2 2 2 6 2" xfId="5561"/>
    <cellStyle name="Separador de milhares 3 2 2 2 6 2 2" xfId="8773"/>
    <cellStyle name="Separador de milhares 3 2 2 2 6 2 2 2" xfId="20627"/>
    <cellStyle name="Separador de milhares 3 2 2 2 6 2 2 2 2" xfId="47106"/>
    <cellStyle name="Separador de milhares 3 2 2 2 6 2 2 3" xfId="14700"/>
    <cellStyle name="Separador de milhares 3 2 2 2 6 2 2 3 2" xfId="41198"/>
    <cellStyle name="Separador de milhares 3 2 2 2 6 2 2 4" xfId="35290"/>
    <cellStyle name="Separador de milhares 3 2 2 2 6 2 2 5" xfId="28756"/>
    <cellStyle name="Separador de milhares 3 2 2 2 6 2 3" xfId="17663"/>
    <cellStyle name="Separador de milhares 3 2 2 2 6 2 3 2" xfId="44152"/>
    <cellStyle name="Separador de milhares 3 2 2 2 6 2 4" xfId="11736"/>
    <cellStyle name="Separador de milhares 3 2 2 2 6 2 4 2" xfId="38244"/>
    <cellStyle name="Separador de milhares 3 2 2 2 6 2 5" xfId="32088"/>
    <cellStyle name="Separador de milhares 3 2 2 2 6 2 6" xfId="25554"/>
    <cellStyle name="Separador de milhares 3 2 2 2 6 3" xfId="7301"/>
    <cellStyle name="Separador de milhares 3 2 2 2 6 3 2" xfId="19155"/>
    <cellStyle name="Separador de milhares 3 2 2 2 6 3 2 2" xfId="45638"/>
    <cellStyle name="Separador de milhares 3 2 2 2 6 3 3" xfId="13228"/>
    <cellStyle name="Separador de milhares 3 2 2 2 6 3 3 2" xfId="39730"/>
    <cellStyle name="Separador de milhares 3 2 2 2 6 3 4" xfId="33822"/>
    <cellStyle name="Separador de milhares 3 2 2 2 6 3 5" xfId="27288"/>
    <cellStyle name="Separador de milhares 3 2 2 2 6 4" xfId="16191"/>
    <cellStyle name="Separador de milhares 3 2 2 2 6 4 2" xfId="42684"/>
    <cellStyle name="Separador de milhares 3 2 2 2 6 4 3" xfId="23782"/>
    <cellStyle name="Separador de milhares 3 2 2 2 6 5" xfId="10264"/>
    <cellStyle name="Separador de milhares 3 2 2 2 6 5 2" xfId="36776"/>
    <cellStyle name="Separador de milhares 3 2 2 2 6 6" xfId="30316"/>
    <cellStyle name="Separador de milhares 3 2 2 2 6 7" xfId="22010"/>
    <cellStyle name="Separador de milhares 3 2 2 2 7" xfId="2887"/>
    <cellStyle name="Separador de milhares 3 2 2 2 7 2" xfId="5708"/>
    <cellStyle name="Separador de milhares 3 2 2 2 7 2 2" xfId="8920"/>
    <cellStyle name="Separador de milhares 3 2 2 2 7 2 2 2" xfId="20774"/>
    <cellStyle name="Separador de milhares 3 2 2 2 7 2 2 2 2" xfId="47253"/>
    <cellStyle name="Separador de milhares 3 2 2 2 7 2 2 3" xfId="14847"/>
    <cellStyle name="Separador de milhares 3 2 2 2 7 2 2 3 2" xfId="41345"/>
    <cellStyle name="Separador de milhares 3 2 2 2 7 2 2 4" xfId="35437"/>
    <cellStyle name="Separador de milhares 3 2 2 2 7 2 2 5" xfId="28903"/>
    <cellStyle name="Separador de milhares 3 2 2 2 7 2 3" xfId="17810"/>
    <cellStyle name="Separador de milhares 3 2 2 2 7 2 3 2" xfId="44299"/>
    <cellStyle name="Separador de milhares 3 2 2 2 7 2 4" xfId="11883"/>
    <cellStyle name="Separador de milhares 3 2 2 2 7 2 4 2" xfId="38391"/>
    <cellStyle name="Separador de milhares 3 2 2 2 7 2 5" xfId="32235"/>
    <cellStyle name="Separador de milhares 3 2 2 2 7 2 6" xfId="25701"/>
    <cellStyle name="Separador de milhares 3 2 2 2 7 3" xfId="7449"/>
    <cellStyle name="Separador de milhares 3 2 2 2 7 3 2" xfId="19303"/>
    <cellStyle name="Separador de milhares 3 2 2 2 7 3 2 2" xfId="45785"/>
    <cellStyle name="Separador de milhares 3 2 2 2 7 3 3" xfId="13376"/>
    <cellStyle name="Separador de milhares 3 2 2 2 7 3 3 2" xfId="39877"/>
    <cellStyle name="Separador de milhares 3 2 2 2 7 3 4" xfId="33969"/>
    <cellStyle name="Separador de milhares 3 2 2 2 7 3 5" xfId="27435"/>
    <cellStyle name="Separador de milhares 3 2 2 2 7 4" xfId="16339"/>
    <cellStyle name="Separador de milhares 3 2 2 2 7 4 2" xfId="42831"/>
    <cellStyle name="Separador de milhares 3 2 2 2 7 4 3" xfId="23929"/>
    <cellStyle name="Separador de milhares 3 2 2 2 7 5" xfId="10412"/>
    <cellStyle name="Separador de milhares 3 2 2 2 7 5 2" xfId="36923"/>
    <cellStyle name="Separador de milhares 3 2 2 2 7 6" xfId="30463"/>
    <cellStyle name="Separador de milhares 3 2 2 2 7 7" xfId="22157"/>
    <cellStyle name="Separador de milhares 3 2 2 2 8" xfId="3415"/>
    <cellStyle name="Separador de milhares 3 2 2 2 8 2" xfId="5855"/>
    <cellStyle name="Separador de milhares 3 2 2 2 8 2 2" xfId="9067"/>
    <cellStyle name="Separador de milhares 3 2 2 2 8 2 2 2" xfId="20921"/>
    <cellStyle name="Separador de milhares 3 2 2 2 8 2 2 2 2" xfId="47400"/>
    <cellStyle name="Separador de milhares 3 2 2 2 8 2 2 3" xfId="14994"/>
    <cellStyle name="Separador de milhares 3 2 2 2 8 2 2 3 2" xfId="41492"/>
    <cellStyle name="Separador de milhares 3 2 2 2 8 2 2 4" xfId="35584"/>
    <cellStyle name="Separador de milhares 3 2 2 2 8 2 2 5" xfId="29050"/>
    <cellStyle name="Separador de milhares 3 2 2 2 8 2 3" xfId="17957"/>
    <cellStyle name="Separador de milhares 3 2 2 2 8 2 3 2" xfId="44446"/>
    <cellStyle name="Separador de milhares 3 2 2 2 8 2 4" xfId="12030"/>
    <cellStyle name="Separador de milhares 3 2 2 2 8 2 4 2" xfId="38538"/>
    <cellStyle name="Separador de milhares 3 2 2 2 8 2 5" xfId="32382"/>
    <cellStyle name="Separador de milhares 3 2 2 2 8 2 6" xfId="25848"/>
    <cellStyle name="Separador de milhares 3 2 2 2 8 3" xfId="7597"/>
    <cellStyle name="Separador de milhares 3 2 2 2 8 3 2" xfId="19451"/>
    <cellStyle name="Separador de milhares 3 2 2 2 8 3 2 2" xfId="45932"/>
    <cellStyle name="Separador de milhares 3 2 2 2 8 3 3" xfId="13524"/>
    <cellStyle name="Separador de milhares 3 2 2 2 8 3 3 2" xfId="40024"/>
    <cellStyle name="Separador de milhares 3 2 2 2 8 3 4" xfId="34116"/>
    <cellStyle name="Separador de milhares 3 2 2 2 8 3 5" xfId="27582"/>
    <cellStyle name="Separador de milhares 3 2 2 2 8 4" xfId="16487"/>
    <cellStyle name="Separador de milhares 3 2 2 2 8 4 2" xfId="42978"/>
    <cellStyle name="Separador de milhares 3 2 2 2 8 4 3" xfId="24076"/>
    <cellStyle name="Separador de milhares 3 2 2 2 8 5" xfId="10560"/>
    <cellStyle name="Separador de milhares 3 2 2 2 8 5 2" xfId="37070"/>
    <cellStyle name="Separador de milhares 3 2 2 2 8 6" xfId="30610"/>
    <cellStyle name="Separador de milhares 3 2 2 2 8 7" xfId="22304"/>
    <cellStyle name="Separador de milhares 3 2 2 2 9" xfId="3943"/>
    <cellStyle name="Separador de milhares 3 2 2 2 9 2" xfId="6002"/>
    <cellStyle name="Separador de milhares 3 2 2 2 9 2 2" xfId="9214"/>
    <cellStyle name="Separador de milhares 3 2 2 2 9 2 2 2" xfId="21068"/>
    <cellStyle name="Separador de milhares 3 2 2 2 9 2 2 2 2" xfId="47547"/>
    <cellStyle name="Separador de milhares 3 2 2 2 9 2 2 3" xfId="15141"/>
    <cellStyle name="Separador de milhares 3 2 2 2 9 2 2 3 2" xfId="41639"/>
    <cellStyle name="Separador de milhares 3 2 2 2 9 2 2 4" xfId="35731"/>
    <cellStyle name="Separador de milhares 3 2 2 2 9 2 2 5" xfId="29197"/>
    <cellStyle name="Separador de milhares 3 2 2 2 9 2 3" xfId="18104"/>
    <cellStyle name="Separador de milhares 3 2 2 2 9 2 3 2" xfId="44593"/>
    <cellStyle name="Separador de milhares 3 2 2 2 9 2 4" xfId="12177"/>
    <cellStyle name="Separador de milhares 3 2 2 2 9 2 4 2" xfId="38685"/>
    <cellStyle name="Separador de milhares 3 2 2 2 9 2 5" xfId="32529"/>
    <cellStyle name="Separador de milhares 3 2 2 2 9 2 6" xfId="25995"/>
    <cellStyle name="Separador de milhares 3 2 2 2 9 3" xfId="7745"/>
    <cellStyle name="Separador de milhares 3 2 2 2 9 3 2" xfId="19599"/>
    <cellStyle name="Separador de milhares 3 2 2 2 9 3 2 2" xfId="46079"/>
    <cellStyle name="Separador de milhares 3 2 2 2 9 3 3" xfId="13672"/>
    <cellStyle name="Separador de milhares 3 2 2 2 9 3 3 2" xfId="40171"/>
    <cellStyle name="Separador de milhares 3 2 2 2 9 3 4" xfId="34263"/>
    <cellStyle name="Separador de milhares 3 2 2 2 9 3 5" xfId="27729"/>
    <cellStyle name="Separador de milhares 3 2 2 2 9 4" xfId="16635"/>
    <cellStyle name="Separador de milhares 3 2 2 2 9 4 2" xfId="43125"/>
    <cellStyle name="Separador de milhares 3 2 2 2 9 4 3" xfId="24223"/>
    <cellStyle name="Separador de milhares 3 2 2 2 9 5" xfId="10708"/>
    <cellStyle name="Separador de milhares 3 2 2 2 9 5 2" xfId="37217"/>
    <cellStyle name="Separador de milhares 3 2 2 2 9 6" xfId="30757"/>
    <cellStyle name="Separador de milhares 3 2 2 2 9 7" xfId="22451"/>
    <cellStyle name="Separador de milhares 3 2 2 3" xfId="388"/>
    <cellStyle name="Separador de milhares 3 2 2 3 10" xfId="4993"/>
    <cellStyle name="Separador de milhares 3 2 2 3 10 2" xfId="8212"/>
    <cellStyle name="Separador de milhares 3 2 2 3 10 2 2" xfId="20066"/>
    <cellStyle name="Separador de milhares 3 2 2 3 10 2 2 2" xfId="46545"/>
    <cellStyle name="Separador de milhares 3 2 2 3 10 2 3" xfId="14139"/>
    <cellStyle name="Separador de milhares 3 2 2 3 10 2 3 2" xfId="40637"/>
    <cellStyle name="Separador de milhares 3 2 2 3 10 2 4" xfId="34729"/>
    <cellStyle name="Separador de milhares 3 2 2 3 10 2 5" xfId="28195"/>
    <cellStyle name="Separador de milhares 3 2 2 3 10 3" xfId="17102"/>
    <cellStyle name="Separador de milhares 3 2 2 3 10 3 2" xfId="43591"/>
    <cellStyle name="Separador de milhares 3 2 2 3 10 4" xfId="11175"/>
    <cellStyle name="Separador de milhares 3 2 2 3 10 4 2" xfId="37683"/>
    <cellStyle name="Separador de milhares 3 2 2 3 10 5" xfId="31520"/>
    <cellStyle name="Separador de milhares 3 2 2 3 10 6" xfId="24986"/>
    <cellStyle name="Separador de milhares 3 2 2 3 11" xfId="6736"/>
    <cellStyle name="Separador de milhares 3 2 2 3 11 2" xfId="18590"/>
    <cellStyle name="Separador de milhares 3 2 2 3 11 2 2" xfId="45077"/>
    <cellStyle name="Separador de milhares 3 2 2 3 11 3" xfId="12663"/>
    <cellStyle name="Separador de milhares 3 2 2 3 11 3 2" xfId="39169"/>
    <cellStyle name="Separador de milhares 3 2 2 3 11 4" xfId="33261"/>
    <cellStyle name="Separador de milhares 3 2 2 3 11 5" xfId="26727"/>
    <cellStyle name="Separador de milhares 3 2 2 3 12" xfId="15626"/>
    <cellStyle name="Separador de milhares 3 2 2 3 12 2" xfId="42123"/>
    <cellStyle name="Separador de milhares 3 2 2 3 12 3" xfId="23214"/>
    <cellStyle name="Separador de milhares 3 2 2 3 13" xfId="9699"/>
    <cellStyle name="Separador de milhares 3 2 2 3 13 2" xfId="36215"/>
    <cellStyle name="Separador de milhares 3 2 2 3 14" xfId="29748"/>
    <cellStyle name="Separador de milhares 3 2 2 3 15" xfId="21466"/>
    <cellStyle name="Separador de milhares 3 2 2 3 2" xfId="651"/>
    <cellStyle name="Separador de milhares 3 2 2 3 2 2" xfId="5064"/>
    <cellStyle name="Separador de milhares 3 2 2 3 2 2 2" xfId="8279"/>
    <cellStyle name="Separador de milhares 3 2 2 3 2 2 2 2" xfId="20133"/>
    <cellStyle name="Separador de milhares 3 2 2 3 2 2 2 2 2" xfId="46612"/>
    <cellStyle name="Separador de milhares 3 2 2 3 2 2 2 3" xfId="14206"/>
    <cellStyle name="Separador de milhares 3 2 2 3 2 2 2 3 2" xfId="40704"/>
    <cellStyle name="Separador de milhares 3 2 2 3 2 2 2 4" xfId="34796"/>
    <cellStyle name="Separador de milhares 3 2 2 3 2 2 2 5" xfId="28262"/>
    <cellStyle name="Separador de milhares 3 2 2 3 2 2 3" xfId="17169"/>
    <cellStyle name="Separador de milhares 3 2 2 3 2 2 3 2" xfId="43658"/>
    <cellStyle name="Separador de milhares 3 2 2 3 2 2 4" xfId="11242"/>
    <cellStyle name="Separador de milhares 3 2 2 3 2 2 4 2" xfId="37750"/>
    <cellStyle name="Separador de milhares 3 2 2 3 2 2 5" xfId="31591"/>
    <cellStyle name="Separador de milhares 3 2 2 3 2 2 6" xfId="25057"/>
    <cellStyle name="Separador de milhares 3 2 2 3 2 3" xfId="6803"/>
    <cellStyle name="Separador de milhares 3 2 2 3 2 3 2" xfId="18657"/>
    <cellStyle name="Separador de milhares 3 2 2 3 2 3 2 2" xfId="45144"/>
    <cellStyle name="Separador de milhares 3 2 2 3 2 3 3" xfId="12730"/>
    <cellStyle name="Separador de milhares 3 2 2 3 2 3 3 2" xfId="39236"/>
    <cellStyle name="Separador de milhares 3 2 2 3 2 3 4" xfId="33328"/>
    <cellStyle name="Separador de milhares 3 2 2 3 2 3 5" xfId="26794"/>
    <cellStyle name="Separador de milhares 3 2 2 3 2 4" xfId="15693"/>
    <cellStyle name="Separador de milhares 3 2 2 3 2 4 2" xfId="42190"/>
    <cellStyle name="Separador de milhares 3 2 2 3 2 4 3" xfId="23285"/>
    <cellStyle name="Separador de milhares 3 2 2 3 2 5" xfId="9766"/>
    <cellStyle name="Separador de milhares 3 2 2 3 2 5 2" xfId="36282"/>
    <cellStyle name="Separador de milhares 3 2 2 3 2 6" xfId="29819"/>
    <cellStyle name="Separador de milhares 3 2 2 3 2 7" xfId="21514"/>
    <cellStyle name="Separador de milhares 3 2 2 3 3" xfId="949"/>
    <cellStyle name="Separador de milhares 3 2 2 3 3 2" xfId="5166"/>
    <cellStyle name="Separador de milhares 3 2 2 3 3 2 2" xfId="8381"/>
    <cellStyle name="Separador de milhares 3 2 2 3 3 2 2 2" xfId="20235"/>
    <cellStyle name="Separador de milhares 3 2 2 3 3 2 2 2 2" xfId="46714"/>
    <cellStyle name="Separador de milhares 3 2 2 3 3 2 2 3" xfId="14308"/>
    <cellStyle name="Separador de milhares 3 2 2 3 3 2 2 3 2" xfId="40806"/>
    <cellStyle name="Separador de milhares 3 2 2 3 3 2 2 4" xfId="34898"/>
    <cellStyle name="Separador de milhares 3 2 2 3 3 2 2 5" xfId="28364"/>
    <cellStyle name="Separador de milhares 3 2 2 3 3 2 3" xfId="17271"/>
    <cellStyle name="Separador de milhares 3 2 2 3 3 2 3 2" xfId="43760"/>
    <cellStyle name="Separador de milhares 3 2 2 3 3 2 4" xfId="11344"/>
    <cellStyle name="Separador de milhares 3 2 2 3 3 2 4 2" xfId="37852"/>
    <cellStyle name="Separador de milhares 3 2 2 3 3 2 5" xfId="31693"/>
    <cellStyle name="Separador de milhares 3 2 2 3 3 2 6" xfId="25159"/>
    <cellStyle name="Separador de milhares 3 2 2 3 3 3" xfId="6908"/>
    <cellStyle name="Separador de milhares 3 2 2 3 3 3 2" xfId="18762"/>
    <cellStyle name="Separador de milhares 3 2 2 3 3 3 2 2" xfId="45246"/>
    <cellStyle name="Separador de milhares 3 2 2 3 3 3 3" xfId="12835"/>
    <cellStyle name="Separador de milhares 3 2 2 3 3 3 3 2" xfId="39338"/>
    <cellStyle name="Separador de milhares 3 2 2 3 3 3 4" xfId="33430"/>
    <cellStyle name="Separador de milhares 3 2 2 3 3 3 5" xfId="26896"/>
    <cellStyle name="Separador de milhares 3 2 2 3 3 4" xfId="15798"/>
    <cellStyle name="Separador de milhares 3 2 2 3 3 4 2" xfId="42292"/>
    <cellStyle name="Separador de milhares 3 2 2 3 3 4 3" xfId="23387"/>
    <cellStyle name="Separador de milhares 3 2 2 3 3 5" xfId="9871"/>
    <cellStyle name="Separador de milhares 3 2 2 3 3 5 2" xfId="36384"/>
    <cellStyle name="Separador de milhares 3 2 2 3 3 6" xfId="29921"/>
    <cellStyle name="Separador de milhares 3 2 2 3 3 7" xfId="21615"/>
    <cellStyle name="Separador de milhares 3 2 2 3 4" xfId="1300"/>
    <cellStyle name="Separador de milhares 3 2 2 3 4 2" xfId="5264"/>
    <cellStyle name="Separador de milhares 3 2 2 3 4 2 2" xfId="8479"/>
    <cellStyle name="Separador de milhares 3 2 2 3 4 2 2 2" xfId="20333"/>
    <cellStyle name="Separador de milhares 3 2 2 3 4 2 2 2 2" xfId="46812"/>
    <cellStyle name="Separador de milhares 3 2 2 3 4 2 2 3" xfId="14406"/>
    <cellStyle name="Separador de milhares 3 2 2 3 4 2 2 3 2" xfId="40904"/>
    <cellStyle name="Separador de milhares 3 2 2 3 4 2 2 4" xfId="34996"/>
    <cellStyle name="Separador de milhares 3 2 2 3 4 2 2 5" xfId="28462"/>
    <cellStyle name="Separador de milhares 3 2 2 3 4 2 3" xfId="17369"/>
    <cellStyle name="Separador de milhares 3 2 2 3 4 2 3 2" xfId="43858"/>
    <cellStyle name="Separador de milhares 3 2 2 3 4 2 4" xfId="11442"/>
    <cellStyle name="Separador de milhares 3 2 2 3 4 2 4 2" xfId="37950"/>
    <cellStyle name="Separador de milhares 3 2 2 3 4 2 5" xfId="31791"/>
    <cellStyle name="Separador de milhares 3 2 2 3 4 2 6" xfId="25257"/>
    <cellStyle name="Separador de milhares 3 2 2 3 4 3" xfId="7006"/>
    <cellStyle name="Separador de milhares 3 2 2 3 4 3 2" xfId="18860"/>
    <cellStyle name="Separador de milhares 3 2 2 3 4 3 2 2" xfId="45344"/>
    <cellStyle name="Separador de milhares 3 2 2 3 4 3 3" xfId="12933"/>
    <cellStyle name="Separador de milhares 3 2 2 3 4 3 3 2" xfId="39436"/>
    <cellStyle name="Separador de milhares 3 2 2 3 4 3 4" xfId="33528"/>
    <cellStyle name="Separador de milhares 3 2 2 3 4 3 5" xfId="26994"/>
    <cellStyle name="Separador de milhares 3 2 2 3 4 4" xfId="15896"/>
    <cellStyle name="Separador de milhares 3 2 2 3 4 4 2" xfId="42390"/>
    <cellStyle name="Separador de milhares 3 2 2 3 4 4 3" xfId="23485"/>
    <cellStyle name="Separador de milhares 3 2 2 3 4 5" xfId="9969"/>
    <cellStyle name="Separador de milhares 3 2 2 3 4 5 2" xfId="36482"/>
    <cellStyle name="Separador de milhares 3 2 2 3 4 6" xfId="30019"/>
    <cellStyle name="Separador de milhares 3 2 2 3 4 7" xfId="21713"/>
    <cellStyle name="Separador de milhares 3 2 2 3 5" xfId="1735"/>
    <cellStyle name="Separador de milhares 3 2 2 3 5 2" xfId="5383"/>
    <cellStyle name="Separador de milhares 3 2 2 3 5 2 2" xfId="8598"/>
    <cellStyle name="Separador de milhares 3 2 2 3 5 2 2 2" xfId="20452"/>
    <cellStyle name="Separador de milhares 3 2 2 3 5 2 2 2 2" xfId="46931"/>
    <cellStyle name="Separador de milhares 3 2 2 3 5 2 2 3" xfId="14525"/>
    <cellStyle name="Separador de milhares 3 2 2 3 5 2 2 3 2" xfId="41023"/>
    <cellStyle name="Separador de milhares 3 2 2 3 5 2 2 4" xfId="35115"/>
    <cellStyle name="Separador de milhares 3 2 2 3 5 2 2 5" xfId="28581"/>
    <cellStyle name="Separador de milhares 3 2 2 3 5 2 3" xfId="17488"/>
    <cellStyle name="Separador de milhares 3 2 2 3 5 2 3 2" xfId="43977"/>
    <cellStyle name="Separador de milhares 3 2 2 3 5 2 4" xfId="11561"/>
    <cellStyle name="Separador de milhares 3 2 2 3 5 2 4 2" xfId="38069"/>
    <cellStyle name="Separador de milhares 3 2 2 3 5 2 5" xfId="31910"/>
    <cellStyle name="Separador de milhares 3 2 2 3 5 2 6" xfId="25376"/>
    <cellStyle name="Separador de milhares 3 2 2 3 5 3" xfId="7125"/>
    <cellStyle name="Separador de milhares 3 2 2 3 5 3 2" xfId="18979"/>
    <cellStyle name="Separador de milhares 3 2 2 3 5 3 2 2" xfId="45463"/>
    <cellStyle name="Separador de milhares 3 2 2 3 5 3 3" xfId="13052"/>
    <cellStyle name="Separador de milhares 3 2 2 3 5 3 3 2" xfId="39555"/>
    <cellStyle name="Separador de milhares 3 2 2 3 5 3 4" xfId="33647"/>
    <cellStyle name="Separador de milhares 3 2 2 3 5 3 5" xfId="27113"/>
    <cellStyle name="Separador de milhares 3 2 2 3 5 4" xfId="16015"/>
    <cellStyle name="Separador de milhares 3 2 2 3 5 4 2" xfId="42509"/>
    <cellStyle name="Separador de milhares 3 2 2 3 5 4 3" xfId="23604"/>
    <cellStyle name="Separador de milhares 3 2 2 3 5 5" xfId="10088"/>
    <cellStyle name="Separador de milhares 3 2 2 3 5 5 2" xfId="36601"/>
    <cellStyle name="Separador de milhares 3 2 2 3 5 6" xfId="30138"/>
    <cellStyle name="Separador de milhares 3 2 2 3 5 7" xfId="21832"/>
    <cellStyle name="Separador de milhares 3 2 2 3 6" xfId="2268"/>
    <cellStyle name="Separador de milhares 3 2 2 3 6 2" xfId="5533"/>
    <cellStyle name="Separador de milhares 3 2 2 3 6 2 2" xfId="8745"/>
    <cellStyle name="Separador de milhares 3 2 2 3 6 2 2 2" xfId="20599"/>
    <cellStyle name="Separador de milhares 3 2 2 3 6 2 2 2 2" xfId="47078"/>
    <cellStyle name="Separador de milhares 3 2 2 3 6 2 2 3" xfId="14672"/>
    <cellStyle name="Separador de milhares 3 2 2 3 6 2 2 3 2" xfId="41170"/>
    <cellStyle name="Separador de milhares 3 2 2 3 6 2 2 4" xfId="35262"/>
    <cellStyle name="Separador de milhares 3 2 2 3 6 2 2 5" xfId="28728"/>
    <cellStyle name="Separador de milhares 3 2 2 3 6 2 3" xfId="17635"/>
    <cellStyle name="Separador de milhares 3 2 2 3 6 2 3 2" xfId="44124"/>
    <cellStyle name="Separador de milhares 3 2 2 3 6 2 4" xfId="11708"/>
    <cellStyle name="Separador de milhares 3 2 2 3 6 2 4 2" xfId="38216"/>
    <cellStyle name="Separador de milhares 3 2 2 3 6 2 5" xfId="32060"/>
    <cellStyle name="Separador de milhares 3 2 2 3 6 2 6" xfId="25526"/>
    <cellStyle name="Separador de milhares 3 2 2 3 6 3" xfId="7273"/>
    <cellStyle name="Separador de milhares 3 2 2 3 6 3 2" xfId="19127"/>
    <cellStyle name="Separador de milhares 3 2 2 3 6 3 2 2" xfId="45610"/>
    <cellStyle name="Separador de milhares 3 2 2 3 6 3 3" xfId="13200"/>
    <cellStyle name="Separador de milhares 3 2 2 3 6 3 3 2" xfId="39702"/>
    <cellStyle name="Separador de milhares 3 2 2 3 6 3 4" xfId="33794"/>
    <cellStyle name="Separador de milhares 3 2 2 3 6 3 5" xfId="27260"/>
    <cellStyle name="Separador de milhares 3 2 2 3 6 4" xfId="16163"/>
    <cellStyle name="Separador de milhares 3 2 2 3 6 4 2" xfId="42656"/>
    <cellStyle name="Separador de milhares 3 2 2 3 6 4 3" xfId="23754"/>
    <cellStyle name="Separador de milhares 3 2 2 3 6 5" xfId="10236"/>
    <cellStyle name="Separador de milhares 3 2 2 3 6 5 2" xfId="36748"/>
    <cellStyle name="Separador de milhares 3 2 2 3 6 6" xfId="30288"/>
    <cellStyle name="Separador de milhares 3 2 2 3 6 7" xfId="21982"/>
    <cellStyle name="Separador de milhares 3 2 2 3 7" xfId="2796"/>
    <cellStyle name="Separador de milhares 3 2 2 3 7 2" xfId="5680"/>
    <cellStyle name="Separador de milhares 3 2 2 3 7 2 2" xfId="8892"/>
    <cellStyle name="Separador de milhares 3 2 2 3 7 2 2 2" xfId="20746"/>
    <cellStyle name="Separador de milhares 3 2 2 3 7 2 2 2 2" xfId="47225"/>
    <cellStyle name="Separador de milhares 3 2 2 3 7 2 2 3" xfId="14819"/>
    <cellStyle name="Separador de milhares 3 2 2 3 7 2 2 3 2" xfId="41317"/>
    <cellStyle name="Separador de milhares 3 2 2 3 7 2 2 4" xfId="35409"/>
    <cellStyle name="Separador de milhares 3 2 2 3 7 2 2 5" xfId="28875"/>
    <cellStyle name="Separador de milhares 3 2 2 3 7 2 3" xfId="17782"/>
    <cellStyle name="Separador de milhares 3 2 2 3 7 2 3 2" xfId="44271"/>
    <cellStyle name="Separador de milhares 3 2 2 3 7 2 4" xfId="11855"/>
    <cellStyle name="Separador de milhares 3 2 2 3 7 2 4 2" xfId="38363"/>
    <cellStyle name="Separador de milhares 3 2 2 3 7 2 5" xfId="32207"/>
    <cellStyle name="Separador de milhares 3 2 2 3 7 2 6" xfId="25673"/>
    <cellStyle name="Separador de milhares 3 2 2 3 7 3" xfId="7421"/>
    <cellStyle name="Separador de milhares 3 2 2 3 7 3 2" xfId="19275"/>
    <cellStyle name="Separador de milhares 3 2 2 3 7 3 2 2" xfId="45757"/>
    <cellStyle name="Separador de milhares 3 2 2 3 7 3 3" xfId="13348"/>
    <cellStyle name="Separador de milhares 3 2 2 3 7 3 3 2" xfId="39849"/>
    <cellStyle name="Separador de milhares 3 2 2 3 7 3 4" xfId="33941"/>
    <cellStyle name="Separador de milhares 3 2 2 3 7 3 5" xfId="27407"/>
    <cellStyle name="Separador de milhares 3 2 2 3 7 4" xfId="16311"/>
    <cellStyle name="Separador de milhares 3 2 2 3 7 4 2" xfId="42803"/>
    <cellStyle name="Separador de milhares 3 2 2 3 7 4 3" xfId="23901"/>
    <cellStyle name="Separador de milhares 3 2 2 3 7 5" xfId="10384"/>
    <cellStyle name="Separador de milhares 3 2 2 3 7 5 2" xfId="36895"/>
    <cellStyle name="Separador de milhares 3 2 2 3 7 6" xfId="30435"/>
    <cellStyle name="Separador de milhares 3 2 2 3 7 7" xfId="22129"/>
    <cellStyle name="Separador de milhares 3 2 2 3 8" xfId="3324"/>
    <cellStyle name="Separador de milhares 3 2 2 3 8 2" xfId="5827"/>
    <cellStyle name="Separador de milhares 3 2 2 3 8 2 2" xfId="9039"/>
    <cellStyle name="Separador de milhares 3 2 2 3 8 2 2 2" xfId="20893"/>
    <cellStyle name="Separador de milhares 3 2 2 3 8 2 2 2 2" xfId="47372"/>
    <cellStyle name="Separador de milhares 3 2 2 3 8 2 2 3" xfId="14966"/>
    <cellStyle name="Separador de milhares 3 2 2 3 8 2 2 3 2" xfId="41464"/>
    <cellStyle name="Separador de milhares 3 2 2 3 8 2 2 4" xfId="35556"/>
    <cellStyle name="Separador de milhares 3 2 2 3 8 2 2 5" xfId="29022"/>
    <cellStyle name="Separador de milhares 3 2 2 3 8 2 3" xfId="17929"/>
    <cellStyle name="Separador de milhares 3 2 2 3 8 2 3 2" xfId="44418"/>
    <cellStyle name="Separador de milhares 3 2 2 3 8 2 4" xfId="12002"/>
    <cellStyle name="Separador de milhares 3 2 2 3 8 2 4 2" xfId="38510"/>
    <cellStyle name="Separador de milhares 3 2 2 3 8 2 5" xfId="32354"/>
    <cellStyle name="Separador de milhares 3 2 2 3 8 2 6" xfId="25820"/>
    <cellStyle name="Separador de milhares 3 2 2 3 8 3" xfId="7569"/>
    <cellStyle name="Separador de milhares 3 2 2 3 8 3 2" xfId="19423"/>
    <cellStyle name="Separador de milhares 3 2 2 3 8 3 2 2" xfId="45904"/>
    <cellStyle name="Separador de milhares 3 2 2 3 8 3 3" xfId="13496"/>
    <cellStyle name="Separador de milhares 3 2 2 3 8 3 3 2" xfId="39996"/>
    <cellStyle name="Separador de milhares 3 2 2 3 8 3 4" xfId="34088"/>
    <cellStyle name="Separador de milhares 3 2 2 3 8 3 5" xfId="27554"/>
    <cellStyle name="Separador de milhares 3 2 2 3 8 4" xfId="16459"/>
    <cellStyle name="Separador de milhares 3 2 2 3 8 4 2" xfId="42950"/>
    <cellStyle name="Separador de milhares 3 2 2 3 8 4 3" xfId="24048"/>
    <cellStyle name="Separador de milhares 3 2 2 3 8 5" xfId="10532"/>
    <cellStyle name="Separador de milhares 3 2 2 3 8 5 2" xfId="37042"/>
    <cellStyle name="Separador de milhares 3 2 2 3 8 6" xfId="30582"/>
    <cellStyle name="Separador de milhares 3 2 2 3 8 7" xfId="22276"/>
    <cellStyle name="Separador de milhares 3 2 2 3 9" xfId="3852"/>
    <cellStyle name="Separador de milhares 3 2 2 3 9 2" xfId="5974"/>
    <cellStyle name="Separador de milhares 3 2 2 3 9 2 2" xfId="9186"/>
    <cellStyle name="Separador de milhares 3 2 2 3 9 2 2 2" xfId="21040"/>
    <cellStyle name="Separador de milhares 3 2 2 3 9 2 2 2 2" xfId="47519"/>
    <cellStyle name="Separador de milhares 3 2 2 3 9 2 2 3" xfId="15113"/>
    <cellStyle name="Separador de milhares 3 2 2 3 9 2 2 3 2" xfId="41611"/>
    <cellStyle name="Separador de milhares 3 2 2 3 9 2 2 4" xfId="35703"/>
    <cellStyle name="Separador de milhares 3 2 2 3 9 2 2 5" xfId="29169"/>
    <cellStyle name="Separador de milhares 3 2 2 3 9 2 3" xfId="18076"/>
    <cellStyle name="Separador de milhares 3 2 2 3 9 2 3 2" xfId="44565"/>
    <cellStyle name="Separador de milhares 3 2 2 3 9 2 4" xfId="12149"/>
    <cellStyle name="Separador de milhares 3 2 2 3 9 2 4 2" xfId="38657"/>
    <cellStyle name="Separador de milhares 3 2 2 3 9 2 5" xfId="32501"/>
    <cellStyle name="Separador de milhares 3 2 2 3 9 2 6" xfId="25967"/>
    <cellStyle name="Separador de milhares 3 2 2 3 9 3" xfId="7717"/>
    <cellStyle name="Separador de milhares 3 2 2 3 9 3 2" xfId="19571"/>
    <cellStyle name="Separador de milhares 3 2 2 3 9 3 2 2" xfId="46051"/>
    <cellStyle name="Separador de milhares 3 2 2 3 9 3 3" xfId="13644"/>
    <cellStyle name="Separador de milhares 3 2 2 3 9 3 3 2" xfId="40143"/>
    <cellStyle name="Separador de milhares 3 2 2 3 9 3 4" xfId="34235"/>
    <cellStyle name="Separador de milhares 3 2 2 3 9 3 5" xfId="27701"/>
    <cellStyle name="Separador de milhares 3 2 2 3 9 4" xfId="16607"/>
    <cellStyle name="Separador de milhares 3 2 2 3 9 4 2" xfId="43097"/>
    <cellStyle name="Separador de milhares 3 2 2 3 9 4 3" xfId="24195"/>
    <cellStyle name="Separador de milhares 3 2 2 3 9 5" xfId="10680"/>
    <cellStyle name="Separador de milhares 3 2 2 3 9 5 2" xfId="37189"/>
    <cellStyle name="Separador de milhares 3 2 2 3 9 6" xfId="30729"/>
    <cellStyle name="Separador de milhares 3 2 2 3 9 7" xfId="22423"/>
    <cellStyle name="Separador de milhares 3 2 2 4" xfId="481"/>
    <cellStyle name="Separador de milhares 3 2 2 4 10" xfId="5021"/>
    <cellStyle name="Separador de milhares 3 2 2 4 10 2" xfId="8237"/>
    <cellStyle name="Separador de milhares 3 2 2 4 10 2 2" xfId="20091"/>
    <cellStyle name="Separador de milhares 3 2 2 4 10 2 2 2" xfId="46570"/>
    <cellStyle name="Separador de milhares 3 2 2 4 10 2 3" xfId="14164"/>
    <cellStyle name="Separador de milhares 3 2 2 4 10 2 3 2" xfId="40662"/>
    <cellStyle name="Separador de milhares 3 2 2 4 10 2 4" xfId="34754"/>
    <cellStyle name="Separador de milhares 3 2 2 4 10 2 5" xfId="28220"/>
    <cellStyle name="Separador de milhares 3 2 2 4 10 3" xfId="17127"/>
    <cellStyle name="Separador de milhares 3 2 2 4 10 3 2" xfId="43616"/>
    <cellStyle name="Separador de milhares 3 2 2 4 10 4" xfId="11200"/>
    <cellStyle name="Separador de milhares 3 2 2 4 10 4 2" xfId="37708"/>
    <cellStyle name="Separador de milhares 3 2 2 4 10 5" xfId="31548"/>
    <cellStyle name="Separador de milhares 3 2 2 4 10 6" xfId="25014"/>
    <cellStyle name="Separador de milhares 3 2 2 4 11" xfId="6761"/>
    <cellStyle name="Separador de milhares 3 2 2 4 11 2" xfId="18615"/>
    <cellStyle name="Separador de milhares 3 2 2 4 11 2 2" xfId="45102"/>
    <cellStyle name="Separador de milhares 3 2 2 4 11 3" xfId="12688"/>
    <cellStyle name="Separador de milhares 3 2 2 4 11 3 2" xfId="39194"/>
    <cellStyle name="Separador de milhares 3 2 2 4 11 4" xfId="33286"/>
    <cellStyle name="Separador de milhares 3 2 2 4 11 5" xfId="26752"/>
    <cellStyle name="Separador de milhares 3 2 2 4 12" xfId="15651"/>
    <cellStyle name="Separador de milhares 3 2 2 4 12 2" xfId="42148"/>
    <cellStyle name="Separador de milhares 3 2 2 4 12 3" xfId="23242"/>
    <cellStyle name="Separador de milhares 3 2 2 4 13" xfId="9724"/>
    <cellStyle name="Separador de milhares 3 2 2 4 13 2" xfId="36240"/>
    <cellStyle name="Separador de milhares 3 2 2 4 14" xfId="29776"/>
    <cellStyle name="Separador de milhares 3 2 2 4 2" xfId="1127"/>
    <cellStyle name="Separador de milhares 3 2 2 4 2 2" xfId="5218"/>
    <cellStyle name="Separador de milhares 3 2 2 4 2 2 2" xfId="8433"/>
    <cellStyle name="Separador de milhares 3 2 2 4 2 2 2 2" xfId="20287"/>
    <cellStyle name="Separador de milhares 3 2 2 4 2 2 2 2 2" xfId="46766"/>
    <cellStyle name="Separador de milhares 3 2 2 4 2 2 2 3" xfId="14360"/>
    <cellStyle name="Separador de milhares 3 2 2 4 2 2 2 3 2" xfId="40858"/>
    <cellStyle name="Separador de milhares 3 2 2 4 2 2 2 4" xfId="34950"/>
    <cellStyle name="Separador de milhares 3 2 2 4 2 2 2 5" xfId="28416"/>
    <cellStyle name="Separador de milhares 3 2 2 4 2 2 3" xfId="17323"/>
    <cellStyle name="Separador de milhares 3 2 2 4 2 2 3 2" xfId="43812"/>
    <cellStyle name="Separador de milhares 3 2 2 4 2 2 4" xfId="11396"/>
    <cellStyle name="Separador de milhares 3 2 2 4 2 2 4 2" xfId="37904"/>
    <cellStyle name="Separador de milhares 3 2 2 4 2 2 5" xfId="31745"/>
    <cellStyle name="Separador de milhares 3 2 2 4 2 2 6" xfId="25211"/>
    <cellStyle name="Separador de milhares 3 2 2 4 2 3" xfId="6960"/>
    <cellStyle name="Separador de milhares 3 2 2 4 2 3 2" xfId="18814"/>
    <cellStyle name="Separador de milhares 3 2 2 4 2 3 2 2" xfId="45298"/>
    <cellStyle name="Separador de milhares 3 2 2 4 2 3 3" xfId="12887"/>
    <cellStyle name="Separador de milhares 3 2 2 4 2 3 3 2" xfId="39390"/>
    <cellStyle name="Separador de milhares 3 2 2 4 2 3 4" xfId="33482"/>
    <cellStyle name="Separador de milhares 3 2 2 4 2 3 5" xfId="26948"/>
    <cellStyle name="Separador de milhares 3 2 2 4 2 4" xfId="15850"/>
    <cellStyle name="Separador de milhares 3 2 2 4 2 4 2" xfId="42344"/>
    <cellStyle name="Separador de milhares 3 2 2 4 2 4 3" xfId="23439"/>
    <cellStyle name="Separador de milhares 3 2 2 4 2 5" xfId="9923"/>
    <cellStyle name="Separador de milhares 3 2 2 4 2 5 2" xfId="36436"/>
    <cellStyle name="Separador de milhares 3 2 2 4 2 6" xfId="29973"/>
    <cellStyle name="Separador de milhares 3 2 2 4 2 7" xfId="21667"/>
    <cellStyle name="Separador de milhares 3 2 2 4 3" xfId="1478"/>
    <cellStyle name="Separador de milhares 3 2 2 4 3 2" xfId="5316"/>
    <cellStyle name="Separador de milhares 3 2 2 4 3 2 2" xfId="8531"/>
    <cellStyle name="Separador de milhares 3 2 2 4 3 2 2 2" xfId="20385"/>
    <cellStyle name="Separador de milhares 3 2 2 4 3 2 2 2 2" xfId="46864"/>
    <cellStyle name="Separador de milhares 3 2 2 4 3 2 2 3" xfId="14458"/>
    <cellStyle name="Separador de milhares 3 2 2 4 3 2 2 3 2" xfId="40956"/>
    <cellStyle name="Separador de milhares 3 2 2 4 3 2 2 4" xfId="35048"/>
    <cellStyle name="Separador de milhares 3 2 2 4 3 2 2 5" xfId="28514"/>
    <cellStyle name="Separador de milhares 3 2 2 4 3 2 3" xfId="17421"/>
    <cellStyle name="Separador de milhares 3 2 2 4 3 2 3 2" xfId="43910"/>
    <cellStyle name="Separador de milhares 3 2 2 4 3 2 4" xfId="11494"/>
    <cellStyle name="Separador de milhares 3 2 2 4 3 2 4 2" xfId="38002"/>
    <cellStyle name="Separador de milhares 3 2 2 4 3 2 5" xfId="31843"/>
    <cellStyle name="Separador de milhares 3 2 2 4 3 2 6" xfId="25309"/>
    <cellStyle name="Separador de milhares 3 2 2 4 3 3" xfId="7058"/>
    <cellStyle name="Separador de milhares 3 2 2 4 3 3 2" xfId="18912"/>
    <cellStyle name="Separador de milhares 3 2 2 4 3 3 2 2" xfId="45396"/>
    <cellStyle name="Separador de milhares 3 2 2 4 3 3 3" xfId="12985"/>
    <cellStyle name="Separador de milhares 3 2 2 4 3 3 3 2" xfId="39488"/>
    <cellStyle name="Separador de milhares 3 2 2 4 3 3 4" xfId="33580"/>
    <cellStyle name="Separador de milhares 3 2 2 4 3 3 5" xfId="27046"/>
    <cellStyle name="Separador de milhares 3 2 2 4 3 4" xfId="15948"/>
    <cellStyle name="Separador de milhares 3 2 2 4 3 4 2" xfId="42442"/>
    <cellStyle name="Separador de milhares 3 2 2 4 3 4 3" xfId="23537"/>
    <cellStyle name="Separador de milhares 3 2 2 4 3 5" xfId="10021"/>
    <cellStyle name="Separador de milhares 3 2 2 4 3 5 2" xfId="36534"/>
    <cellStyle name="Separador de milhares 3 2 2 4 3 6" xfId="30071"/>
    <cellStyle name="Separador de milhares 3 2 2 4 3 7" xfId="21765"/>
    <cellStyle name="Separador de milhares 3 2 2 4 4" xfId="1913"/>
    <cellStyle name="Separador de milhares 3 2 2 4 4 2" xfId="5435"/>
    <cellStyle name="Separador de milhares 3 2 2 4 4 2 2" xfId="8650"/>
    <cellStyle name="Separador de milhares 3 2 2 4 4 2 2 2" xfId="20504"/>
    <cellStyle name="Separador de milhares 3 2 2 4 4 2 2 2 2" xfId="46983"/>
    <cellStyle name="Separador de milhares 3 2 2 4 4 2 2 3" xfId="14577"/>
    <cellStyle name="Separador de milhares 3 2 2 4 4 2 2 3 2" xfId="41075"/>
    <cellStyle name="Separador de milhares 3 2 2 4 4 2 2 4" xfId="35167"/>
    <cellStyle name="Separador de milhares 3 2 2 4 4 2 2 5" xfId="28633"/>
    <cellStyle name="Separador de milhares 3 2 2 4 4 2 3" xfId="17540"/>
    <cellStyle name="Separador de milhares 3 2 2 4 4 2 3 2" xfId="44029"/>
    <cellStyle name="Separador de milhares 3 2 2 4 4 2 4" xfId="11613"/>
    <cellStyle name="Separador de milhares 3 2 2 4 4 2 4 2" xfId="38121"/>
    <cellStyle name="Separador de milhares 3 2 2 4 4 2 5" xfId="31962"/>
    <cellStyle name="Separador de milhares 3 2 2 4 4 2 6" xfId="25428"/>
    <cellStyle name="Separador de milhares 3 2 2 4 4 3" xfId="7177"/>
    <cellStyle name="Separador de milhares 3 2 2 4 4 3 2" xfId="19031"/>
    <cellStyle name="Separador de milhares 3 2 2 4 4 3 2 2" xfId="45515"/>
    <cellStyle name="Separador de milhares 3 2 2 4 4 3 3" xfId="13104"/>
    <cellStyle name="Separador de milhares 3 2 2 4 4 3 3 2" xfId="39607"/>
    <cellStyle name="Separador de milhares 3 2 2 4 4 3 4" xfId="33699"/>
    <cellStyle name="Separador de milhares 3 2 2 4 4 3 5" xfId="27165"/>
    <cellStyle name="Separador de milhares 3 2 2 4 4 4" xfId="16067"/>
    <cellStyle name="Separador de milhares 3 2 2 4 4 4 2" xfId="42561"/>
    <cellStyle name="Separador de milhares 3 2 2 4 4 4 3" xfId="23656"/>
    <cellStyle name="Separador de milhares 3 2 2 4 4 5" xfId="10140"/>
    <cellStyle name="Separador de milhares 3 2 2 4 4 5 2" xfId="36653"/>
    <cellStyle name="Separador de milhares 3 2 2 4 4 6" xfId="30190"/>
    <cellStyle name="Separador de milhares 3 2 2 4 4 7" xfId="21884"/>
    <cellStyle name="Separador de milhares 3 2 2 4 5" xfId="2446"/>
    <cellStyle name="Separador de milhares 3 2 2 4 5 2" xfId="5585"/>
    <cellStyle name="Separador de milhares 3 2 2 4 5 2 2" xfId="8797"/>
    <cellStyle name="Separador de milhares 3 2 2 4 5 2 2 2" xfId="20651"/>
    <cellStyle name="Separador de milhares 3 2 2 4 5 2 2 2 2" xfId="47130"/>
    <cellStyle name="Separador de milhares 3 2 2 4 5 2 2 3" xfId="14724"/>
    <cellStyle name="Separador de milhares 3 2 2 4 5 2 2 3 2" xfId="41222"/>
    <cellStyle name="Separador de milhares 3 2 2 4 5 2 2 4" xfId="35314"/>
    <cellStyle name="Separador de milhares 3 2 2 4 5 2 2 5" xfId="28780"/>
    <cellStyle name="Separador de milhares 3 2 2 4 5 2 3" xfId="17687"/>
    <cellStyle name="Separador de milhares 3 2 2 4 5 2 3 2" xfId="44176"/>
    <cellStyle name="Separador de milhares 3 2 2 4 5 2 4" xfId="11760"/>
    <cellStyle name="Separador de milhares 3 2 2 4 5 2 4 2" xfId="38268"/>
    <cellStyle name="Separador de milhares 3 2 2 4 5 2 5" xfId="32112"/>
    <cellStyle name="Separador de milhares 3 2 2 4 5 2 6" xfId="25578"/>
    <cellStyle name="Separador de milhares 3 2 2 4 5 3" xfId="7325"/>
    <cellStyle name="Separador de milhares 3 2 2 4 5 3 2" xfId="19179"/>
    <cellStyle name="Separador de milhares 3 2 2 4 5 3 2 2" xfId="45662"/>
    <cellStyle name="Separador de milhares 3 2 2 4 5 3 3" xfId="13252"/>
    <cellStyle name="Separador de milhares 3 2 2 4 5 3 3 2" xfId="39754"/>
    <cellStyle name="Separador de milhares 3 2 2 4 5 3 4" xfId="33846"/>
    <cellStyle name="Separador de milhares 3 2 2 4 5 3 5" xfId="27312"/>
    <cellStyle name="Separador de milhares 3 2 2 4 5 4" xfId="16215"/>
    <cellStyle name="Separador de milhares 3 2 2 4 5 4 2" xfId="42708"/>
    <cellStyle name="Separador de milhares 3 2 2 4 5 4 3" xfId="23806"/>
    <cellStyle name="Separador de milhares 3 2 2 4 5 5" xfId="10288"/>
    <cellStyle name="Separador de milhares 3 2 2 4 5 5 2" xfId="36800"/>
    <cellStyle name="Separador de milhares 3 2 2 4 5 6" xfId="30340"/>
    <cellStyle name="Separador de milhares 3 2 2 4 5 7" xfId="22034"/>
    <cellStyle name="Separador de milhares 3 2 2 4 6" xfId="2974"/>
    <cellStyle name="Separador de milhares 3 2 2 4 6 2" xfId="5732"/>
    <cellStyle name="Separador de milhares 3 2 2 4 6 2 2" xfId="8944"/>
    <cellStyle name="Separador de milhares 3 2 2 4 6 2 2 2" xfId="20798"/>
    <cellStyle name="Separador de milhares 3 2 2 4 6 2 2 2 2" xfId="47277"/>
    <cellStyle name="Separador de milhares 3 2 2 4 6 2 2 3" xfId="14871"/>
    <cellStyle name="Separador de milhares 3 2 2 4 6 2 2 3 2" xfId="41369"/>
    <cellStyle name="Separador de milhares 3 2 2 4 6 2 2 4" xfId="35461"/>
    <cellStyle name="Separador de milhares 3 2 2 4 6 2 2 5" xfId="28927"/>
    <cellStyle name="Separador de milhares 3 2 2 4 6 2 3" xfId="17834"/>
    <cellStyle name="Separador de milhares 3 2 2 4 6 2 3 2" xfId="44323"/>
    <cellStyle name="Separador de milhares 3 2 2 4 6 2 4" xfId="11907"/>
    <cellStyle name="Separador de milhares 3 2 2 4 6 2 4 2" xfId="38415"/>
    <cellStyle name="Separador de milhares 3 2 2 4 6 2 5" xfId="32259"/>
    <cellStyle name="Separador de milhares 3 2 2 4 6 2 6" xfId="25725"/>
    <cellStyle name="Separador de milhares 3 2 2 4 6 3" xfId="7473"/>
    <cellStyle name="Separador de milhares 3 2 2 4 6 3 2" xfId="19327"/>
    <cellStyle name="Separador de milhares 3 2 2 4 6 3 2 2" xfId="45809"/>
    <cellStyle name="Separador de milhares 3 2 2 4 6 3 3" xfId="13400"/>
    <cellStyle name="Separador de milhares 3 2 2 4 6 3 3 2" xfId="39901"/>
    <cellStyle name="Separador de milhares 3 2 2 4 6 3 4" xfId="33993"/>
    <cellStyle name="Separador de milhares 3 2 2 4 6 3 5" xfId="27459"/>
    <cellStyle name="Separador de milhares 3 2 2 4 6 4" xfId="16363"/>
    <cellStyle name="Separador de milhares 3 2 2 4 6 4 2" xfId="42855"/>
    <cellStyle name="Separador de milhares 3 2 2 4 6 4 3" xfId="23953"/>
    <cellStyle name="Separador de milhares 3 2 2 4 6 5" xfId="10436"/>
    <cellStyle name="Separador de milhares 3 2 2 4 6 5 2" xfId="36947"/>
    <cellStyle name="Separador de milhares 3 2 2 4 6 6" xfId="30487"/>
    <cellStyle name="Separador de milhares 3 2 2 4 6 7" xfId="22181"/>
    <cellStyle name="Separador de milhares 3 2 2 4 7" xfId="3502"/>
    <cellStyle name="Separador de milhares 3 2 2 4 7 2" xfId="5879"/>
    <cellStyle name="Separador de milhares 3 2 2 4 7 2 2" xfId="9091"/>
    <cellStyle name="Separador de milhares 3 2 2 4 7 2 2 2" xfId="20945"/>
    <cellStyle name="Separador de milhares 3 2 2 4 7 2 2 2 2" xfId="47424"/>
    <cellStyle name="Separador de milhares 3 2 2 4 7 2 2 3" xfId="15018"/>
    <cellStyle name="Separador de milhares 3 2 2 4 7 2 2 3 2" xfId="41516"/>
    <cellStyle name="Separador de milhares 3 2 2 4 7 2 2 4" xfId="35608"/>
    <cellStyle name="Separador de milhares 3 2 2 4 7 2 2 5" xfId="29074"/>
    <cellStyle name="Separador de milhares 3 2 2 4 7 2 3" xfId="17981"/>
    <cellStyle name="Separador de milhares 3 2 2 4 7 2 3 2" xfId="44470"/>
    <cellStyle name="Separador de milhares 3 2 2 4 7 2 4" xfId="12054"/>
    <cellStyle name="Separador de milhares 3 2 2 4 7 2 4 2" xfId="38562"/>
    <cellStyle name="Separador de milhares 3 2 2 4 7 2 5" xfId="32406"/>
    <cellStyle name="Separador de milhares 3 2 2 4 7 2 6" xfId="25872"/>
    <cellStyle name="Separador de milhares 3 2 2 4 7 3" xfId="7621"/>
    <cellStyle name="Separador de milhares 3 2 2 4 7 3 2" xfId="19475"/>
    <cellStyle name="Separador de milhares 3 2 2 4 7 3 2 2" xfId="45956"/>
    <cellStyle name="Separador de milhares 3 2 2 4 7 3 3" xfId="13548"/>
    <cellStyle name="Separador de milhares 3 2 2 4 7 3 3 2" xfId="40048"/>
    <cellStyle name="Separador de milhares 3 2 2 4 7 3 4" xfId="34140"/>
    <cellStyle name="Separador de milhares 3 2 2 4 7 3 5" xfId="27606"/>
    <cellStyle name="Separador de milhares 3 2 2 4 7 4" xfId="16511"/>
    <cellStyle name="Separador de milhares 3 2 2 4 7 4 2" xfId="43002"/>
    <cellStyle name="Separador de milhares 3 2 2 4 7 4 3" xfId="24100"/>
    <cellStyle name="Separador de milhares 3 2 2 4 7 5" xfId="10584"/>
    <cellStyle name="Separador de milhares 3 2 2 4 7 5 2" xfId="37094"/>
    <cellStyle name="Separador de milhares 3 2 2 4 7 6" xfId="30634"/>
    <cellStyle name="Separador de milhares 3 2 2 4 7 7" xfId="22328"/>
    <cellStyle name="Separador de milhares 3 2 2 4 8" xfId="4030"/>
    <cellStyle name="Separador de milhares 3 2 2 4 8 2" xfId="6026"/>
    <cellStyle name="Separador de milhares 3 2 2 4 8 2 2" xfId="9238"/>
    <cellStyle name="Separador de milhares 3 2 2 4 8 2 2 2" xfId="21092"/>
    <cellStyle name="Separador de milhares 3 2 2 4 8 2 2 2 2" xfId="47571"/>
    <cellStyle name="Separador de milhares 3 2 2 4 8 2 2 3" xfId="15165"/>
    <cellStyle name="Separador de milhares 3 2 2 4 8 2 2 3 2" xfId="41663"/>
    <cellStyle name="Separador de milhares 3 2 2 4 8 2 2 4" xfId="35755"/>
    <cellStyle name="Separador de milhares 3 2 2 4 8 2 2 5" xfId="29221"/>
    <cellStyle name="Separador de milhares 3 2 2 4 8 2 3" xfId="18128"/>
    <cellStyle name="Separador de milhares 3 2 2 4 8 2 3 2" xfId="44617"/>
    <cellStyle name="Separador de milhares 3 2 2 4 8 2 4" xfId="12201"/>
    <cellStyle name="Separador de milhares 3 2 2 4 8 2 4 2" xfId="38709"/>
    <cellStyle name="Separador de milhares 3 2 2 4 8 2 5" xfId="32553"/>
    <cellStyle name="Separador de milhares 3 2 2 4 8 2 6" xfId="26019"/>
    <cellStyle name="Separador de milhares 3 2 2 4 8 3" xfId="7769"/>
    <cellStyle name="Separador de milhares 3 2 2 4 8 3 2" xfId="19623"/>
    <cellStyle name="Separador de milhares 3 2 2 4 8 3 2 2" xfId="46103"/>
    <cellStyle name="Separador de milhares 3 2 2 4 8 3 3" xfId="13696"/>
    <cellStyle name="Separador de milhares 3 2 2 4 8 3 3 2" xfId="40195"/>
    <cellStyle name="Separador de milhares 3 2 2 4 8 3 4" xfId="34287"/>
    <cellStyle name="Separador de milhares 3 2 2 4 8 3 5" xfId="27753"/>
    <cellStyle name="Separador de milhares 3 2 2 4 8 4" xfId="16659"/>
    <cellStyle name="Separador de milhares 3 2 2 4 8 4 2" xfId="43149"/>
    <cellStyle name="Separador de milhares 3 2 2 4 8 4 3" xfId="24247"/>
    <cellStyle name="Separador de milhares 3 2 2 4 8 5" xfId="10732"/>
    <cellStyle name="Separador de milhares 3 2 2 4 8 5 2" xfId="37241"/>
    <cellStyle name="Separador de milhares 3 2 2 4 8 6" xfId="30781"/>
    <cellStyle name="Separador de milhares 3 2 2 4 8 7" xfId="22475"/>
    <cellStyle name="Separador de milhares 3 2 2 4 9" xfId="807"/>
    <cellStyle name="Separador de milhares 3 2 2 4 9 2" xfId="5120"/>
    <cellStyle name="Separador de milhares 3 2 2 4 9 2 2" xfId="8335"/>
    <cellStyle name="Separador de milhares 3 2 2 4 9 2 2 2" xfId="20189"/>
    <cellStyle name="Separador de milhares 3 2 2 4 9 2 2 2 2" xfId="46668"/>
    <cellStyle name="Separador de milhares 3 2 2 4 9 2 2 3" xfId="14262"/>
    <cellStyle name="Separador de milhares 3 2 2 4 9 2 2 3 2" xfId="40760"/>
    <cellStyle name="Separador de milhares 3 2 2 4 9 2 2 4" xfId="34852"/>
    <cellStyle name="Separador de milhares 3 2 2 4 9 2 2 5" xfId="28318"/>
    <cellStyle name="Separador de milhares 3 2 2 4 9 2 3" xfId="17225"/>
    <cellStyle name="Separador de milhares 3 2 2 4 9 2 3 2" xfId="43714"/>
    <cellStyle name="Separador de milhares 3 2 2 4 9 2 4" xfId="11298"/>
    <cellStyle name="Separador de milhares 3 2 2 4 9 2 4 2" xfId="37806"/>
    <cellStyle name="Separador de milhares 3 2 2 4 9 2 5" xfId="31647"/>
    <cellStyle name="Separador de milhares 3 2 2 4 9 2 6" xfId="25113"/>
    <cellStyle name="Separador de milhares 3 2 2 4 9 3" xfId="6862"/>
    <cellStyle name="Separador de milhares 3 2 2 4 9 3 2" xfId="18716"/>
    <cellStyle name="Separador de milhares 3 2 2 4 9 3 2 2" xfId="45200"/>
    <cellStyle name="Separador de milhares 3 2 2 4 9 3 3" xfId="12789"/>
    <cellStyle name="Separador de milhares 3 2 2 4 9 3 3 2" xfId="39292"/>
    <cellStyle name="Separador de milhares 3 2 2 4 9 3 4" xfId="33384"/>
    <cellStyle name="Separador de milhares 3 2 2 4 9 3 5" xfId="26850"/>
    <cellStyle name="Separador de milhares 3 2 2 4 9 4" xfId="15752"/>
    <cellStyle name="Separador de milhares 3 2 2 4 9 4 2" xfId="42246"/>
    <cellStyle name="Separador de milhares 3 2 2 4 9 4 3" xfId="23341"/>
    <cellStyle name="Separador de milhares 3 2 2 4 9 5" xfId="9825"/>
    <cellStyle name="Separador de milhares 3 2 2 4 9 5 2" xfId="36338"/>
    <cellStyle name="Separador de milhares 3 2 2 4 9 6" xfId="29875"/>
    <cellStyle name="Separador de milhares 3 2 2 4 9 7" xfId="21569"/>
    <cellStyle name="Separador de milhares 3 2 2 5" xfId="739"/>
    <cellStyle name="Separador de milhares 3 2 2 5 10" xfId="15715"/>
    <cellStyle name="Separador de milhares 3 2 2 5 10 2" xfId="42212"/>
    <cellStyle name="Separador de milhares 3 2 2 5 10 3" xfId="23307"/>
    <cellStyle name="Separador de milhares 3 2 2 5 11" xfId="9788"/>
    <cellStyle name="Separador de milhares 3 2 2 5 11 2" xfId="36304"/>
    <cellStyle name="Separador de milhares 3 2 2 5 12" xfId="29841"/>
    <cellStyle name="Separador de milhares 3 2 2 5 13" xfId="21535"/>
    <cellStyle name="Separador de milhares 3 2 2 5 2" xfId="1562"/>
    <cellStyle name="Separador de milhares 3 2 2 5 2 2" xfId="5337"/>
    <cellStyle name="Separador de milhares 3 2 2 5 2 2 2" xfId="8552"/>
    <cellStyle name="Separador de milhares 3 2 2 5 2 2 2 2" xfId="20406"/>
    <cellStyle name="Separador de milhares 3 2 2 5 2 2 2 2 2" xfId="46885"/>
    <cellStyle name="Separador de milhares 3 2 2 5 2 2 2 3" xfId="14479"/>
    <cellStyle name="Separador de milhares 3 2 2 5 2 2 2 3 2" xfId="40977"/>
    <cellStyle name="Separador de milhares 3 2 2 5 2 2 2 4" xfId="35069"/>
    <cellStyle name="Separador de milhares 3 2 2 5 2 2 2 5" xfId="28535"/>
    <cellStyle name="Separador de milhares 3 2 2 5 2 2 3" xfId="17442"/>
    <cellStyle name="Separador de milhares 3 2 2 5 2 2 3 2" xfId="43931"/>
    <cellStyle name="Separador de milhares 3 2 2 5 2 2 4" xfId="11515"/>
    <cellStyle name="Separador de milhares 3 2 2 5 2 2 4 2" xfId="38023"/>
    <cellStyle name="Separador de milhares 3 2 2 5 2 2 5" xfId="31864"/>
    <cellStyle name="Separador de milhares 3 2 2 5 2 2 6" xfId="25330"/>
    <cellStyle name="Separador de milhares 3 2 2 5 2 3" xfId="7079"/>
    <cellStyle name="Separador de milhares 3 2 2 5 2 3 2" xfId="18933"/>
    <cellStyle name="Separador de milhares 3 2 2 5 2 3 2 2" xfId="45417"/>
    <cellStyle name="Separador de milhares 3 2 2 5 2 3 3" xfId="13006"/>
    <cellStyle name="Separador de milhares 3 2 2 5 2 3 3 2" xfId="39509"/>
    <cellStyle name="Separador de milhares 3 2 2 5 2 3 4" xfId="33601"/>
    <cellStyle name="Separador de milhares 3 2 2 5 2 3 5" xfId="27067"/>
    <cellStyle name="Separador de milhares 3 2 2 5 2 4" xfId="15969"/>
    <cellStyle name="Separador de milhares 3 2 2 5 2 4 2" xfId="42463"/>
    <cellStyle name="Separador de milhares 3 2 2 5 2 4 3" xfId="23558"/>
    <cellStyle name="Separador de milhares 3 2 2 5 2 5" xfId="10042"/>
    <cellStyle name="Separador de milhares 3 2 2 5 2 5 2" xfId="36555"/>
    <cellStyle name="Separador de milhares 3 2 2 5 2 6" xfId="30092"/>
    <cellStyle name="Separador de milhares 3 2 2 5 2 7" xfId="21786"/>
    <cellStyle name="Separador de milhares 3 2 2 5 3" xfId="1997"/>
    <cellStyle name="Separador de milhares 3 2 2 5 3 2" xfId="5456"/>
    <cellStyle name="Separador de milhares 3 2 2 5 3 2 2" xfId="8671"/>
    <cellStyle name="Separador de milhares 3 2 2 5 3 2 2 2" xfId="20525"/>
    <cellStyle name="Separador de milhares 3 2 2 5 3 2 2 2 2" xfId="47004"/>
    <cellStyle name="Separador de milhares 3 2 2 5 3 2 2 3" xfId="14598"/>
    <cellStyle name="Separador de milhares 3 2 2 5 3 2 2 3 2" xfId="41096"/>
    <cellStyle name="Separador de milhares 3 2 2 5 3 2 2 4" xfId="35188"/>
    <cellStyle name="Separador de milhares 3 2 2 5 3 2 2 5" xfId="28654"/>
    <cellStyle name="Separador de milhares 3 2 2 5 3 2 3" xfId="17561"/>
    <cellStyle name="Separador de milhares 3 2 2 5 3 2 3 2" xfId="44050"/>
    <cellStyle name="Separador de milhares 3 2 2 5 3 2 4" xfId="11634"/>
    <cellStyle name="Separador de milhares 3 2 2 5 3 2 4 2" xfId="38142"/>
    <cellStyle name="Separador de milhares 3 2 2 5 3 2 5" xfId="31983"/>
    <cellStyle name="Separador de milhares 3 2 2 5 3 2 6" xfId="25449"/>
    <cellStyle name="Separador de milhares 3 2 2 5 3 3" xfId="7198"/>
    <cellStyle name="Separador de milhares 3 2 2 5 3 3 2" xfId="19052"/>
    <cellStyle name="Separador de milhares 3 2 2 5 3 3 2 2" xfId="45536"/>
    <cellStyle name="Separador de milhares 3 2 2 5 3 3 3" xfId="13125"/>
    <cellStyle name="Separador de milhares 3 2 2 5 3 3 3 2" xfId="39628"/>
    <cellStyle name="Separador de milhares 3 2 2 5 3 3 4" xfId="33720"/>
    <cellStyle name="Separador de milhares 3 2 2 5 3 3 5" xfId="27186"/>
    <cellStyle name="Separador de milhares 3 2 2 5 3 4" xfId="16088"/>
    <cellStyle name="Separador de milhares 3 2 2 5 3 4 2" xfId="42582"/>
    <cellStyle name="Separador de milhares 3 2 2 5 3 4 3" xfId="23677"/>
    <cellStyle name="Separador de milhares 3 2 2 5 3 5" xfId="10161"/>
    <cellStyle name="Separador de milhares 3 2 2 5 3 5 2" xfId="36674"/>
    <cellStyle name="Separador de milhares 3 2 2 5 3 6" xfId="30211"/>
    <cellStyle name="Separador de milhares 3 2 2 5 3 7" xfId="21905"/>
    <cellStyle name="Separador de milhares 3 2 2 5 4" xfId="2530"/>
    <cellStyle name="Separador de milhares 3 2 2 5 4 2" xfId="5606"/>
    <cellStyle name="Separador de milhares 3 2 2 5 4 2 2" xfId="8818"/>
    <cellStyle name="Separador de milhares 3 2 2 5 4 2 2 2" xfId="20672"/>
    <cellStyle name="Separador de milhares 3 2 2 5 4 2 2 2 2" xfId="47151"/>
    <cellStyle name="Separador de milhares 3 2 2 5 4 2 2 3" xfId="14745"/>
    <cellStyle name="Separador de milhares 3 2 2 5 4 2 2 3 2" xfId="41243"/>
    <cellStyle name="Separador de milhares 3 2 2 5 4 2 2 4" xfId="35335"/>
    <cellStyle name="Separador de milhares 3 2 2 5 4 2 2 5" xfId="28801"/>
    <cellStyle name="Separador de milhares 3 2 2 5 4 2 3" xfId="17708"/>
    <cellStyle name="Separador de milhares 3 2 2 5 4 2 3 2" xfId="44197"/>
    <cellStyle name="Separador de milhares 3 2 2 5 4 2 4" xfId="11781"/>
    <cellStyle name="Separador de milhares 3 2 2 5 4 2 4 2" xfId="38289"/>
    <cellStyle name="Separador de milhares 3 2 2 5 4 2 5" xfId="32133"/>
    <cellStyle name="Separador de milhares 3 2 2 5 4 2 6" xfId="25599"/>
    <cellStyle name="Separador de milhares 3 2 2 5 4 3" xfId="7346"/>
    <cellStyle name="Separador de milhares 3 2 2 5 4 3 2" xfId="19200"/>
    <cellStyle name="Separador de milhares 3 2 2 5 4 3 2 2" xfId="45683"/>
    <cellStyle name="Separador de milhares 3 2 2 5 4 3 3" xfId="13273"/>
    <cellStyle name="Separador de milhares 3 2 2 5 4 3 3 2" xfId="39775"/>
    <cellStyle name="Separador de milhares 3 2 2 5 4 3 4" xfId="33867"/>
    <cellStyle name="Separador de milhares 3 2 2 5 4 3 5" xfId="27333"/>
    <cellStyle name="Separador de milhares 3 2 2 5 4 4" xfId="16236"/>
    <cellStyle name="Separador de milhares 3 2 2 5 4 4 2" xfId="42729"/>
    <cellStyle name="Separador de milhares 3 2 2 5 4 4 3" xfId="23827"/>
    <cellStyle name="Separador de milhares 3 2 2 5 4 5" xfId="10309"/>
    <cellStyle name="Separador de milhares 3 2 2 5 4 5 2" xfId="36821"/>
    <cellStyle name="Separador de milhares 3 2 2 5 4 6" xfId="30361"/>
    <cellStyle name="Separador de milhares 3 2 2 5 4 7" xfId="22055"/>
    <cellStyle name="Separador de milhares 3 2 2 5 5" xfId="3058"/>
    <cellStyle name="Separador de milhares 3 2 2 5 5 2" xfId="5753"/>
    <cellStyle name="Separador de milhares 3 2 2 5 5 2 2" xfId="8965"/>
    <cellStyle name="Separador de milhares 3 2 2 5 5 2 2 2" xfId="20819"/>
    <cellStyle name="Separador de milhares 3 2 2 5 5 2 2 2 2" xfId="47298"/>
    <cellStyle name="Separador de milhares 3 2 2 5 5 2 2 3" xfId="14892"/>
    <cellStyle name="Separador de milhares 3 2 2 5 5 2 2 3 2" xfId="41390"/>
    <cellStyle name="Separador de milhares 3 2 2 5 5 2 2 4" xfId="35482"/>
    <cellStyle name="Separador de milhares 3 2 2 5 5 2 2 5" xfId="28948"/>
    <cellStyle name="Separador de milhares 3 2 2 5 5 2 3" xfId="17855"/>
    <cellStyle name="Separador de milhares 3 2 2 5 5 2 3 2" xfId="44344"/>
    <cellStyle name="Separador de milhares 3 2 2 5 5 2 4" xfId="11928"/>
    <cellStyle name="Separador de milhares 3 2 2 5 5 2 4 2" xfId="38436"/>
    <cellStyle name="Separador de milhares 3 2 2 5 5 2 5" xfId="32280"/>
    <cellStyle name="Separador de milhares 3 2 2 5 5 2 6" xfId="25746"/>
    <cellStyle name="Separador de milhares 3 2 2 5 5 3" xfId="7494"/>
    <cellStyle name="Separador de milhares 3 2 2 5 5 3 2" xfId="19348"/>
    <cellStyle name="Separador de milhares 3 2 2 5 5 3 2 2" xfId="45830"/>
    <cellStyle name="Separador de milhares 3 2 2 5 5 3 3" xfId="13421"/>
    <cellStyle name="Separador de milhares 3 2 2 5 5 3 3 2" xfId="39922"/>
    <cellStyle name="Separador de milhares 3 2 2 5 5 3 4" xfId="34014"/>
    <cellStyle name="Separador de milhares 3 2 2 5 5 3 5" xfId="27480"/>
    <cellStyle name="Separador de milhares 3 2 2 5 5 4" xfId="16384"/>
    <cellStyle name="Separador de milhares 3 2 2 5 5 4 2" xfId="42876"/>
    <cellStyle name="Separador de milhares 3 2 2 5 5 4 3" xfId="23974"/>
    <cellStyle name="Separador de milhares 3 2 2 5 5 5" xfId="10457"/>
    <cellStyle name="Separador de milhares 3 2 2 5 5 5 2" xfId="36968"/>
    <cellStyle name="Separador de milhares 3 2 2 5 5 6" xfId="30508"/>
    <cellStyle name="Separador de milhares 3 2 2 5 5 7" xfId="22202"/>
    <cellStyle name="Separador de milhares 3 2 2 5 6" xfId="3586"/>
    <cellStyle name="Separador de milhares 3 2 2 5 6 2" xfId="5900"/>
    <cellStyle name="Separador de milhares 3 2 2 5 6 2 2" xfId="9112"/>
    <cellStyle name="Separador de milhares 3 2 2 5 6 2 2 2" xfId="20966"/>
    <cellStyle name="Separador de milhares 3 2 2 5 6 2 2 2 2" xfId="47445"/>
    <cellStyle name="Separador de milhares 3 2 2 5 6 2 2 3" xfId="15039"/>
    <cellStyle name="Separador de milhares 3 2 2 5 6 2 2 3 2" xfId="41537"/>
    <cellStyle name="Separador de milhares 3 2 2 5 6 2 2 4" xfId="35629"/>
    <cellStyle name="Separador de milhares 3 2 2 5 6 2 2 5" xfId="29095"/>
    <cellStyle name="Separador de milhares 3 2 2 5 6 2 3" xfId="18002"/>
    <cellStyle name="Separador de milhares 3 2 2 5 6 2 3 2" xfId="44491"/>
    <cellStyle name="Separador de milhares 3 2 2 5 6 2 4" xfId="12075"/>
    <cellStyle name="Separador de milhares 3 2 2 5 6 2 4 2" xfId="38583"/>
    <cellStyle name="Separador de milhares 3 2 2 5 6 2 5" xfId="32427"/>
    <cellStyle name="Separador de milhares 3 2 2 5 6 2 6" xfId="25893"/>
    <cellStyle name="Separador de milhares 3 2 2 5 6 3" xfId="7642"/>
    <cellStyle name="Separador de milhares 3 2 2 5 6 3 2" xfId="19496"/>
    <cellStyle name="Separador de milhares 3 2 2 5 6 3 2 2" xfId="45977"/>
    <cellStyle name="Separador de milhares 3 2 2 5 6 3 3" xfId="13569"/>
    <cellStyle name="Separador de milhares 3 2 2 5 6 3 3 2" xfId="40069"/>
    <cellStyle name="Separador de milhares 3 2 2 5 6 3 4" xfId="34161"/>
    <cellStyle name="Separador de milhares 3 2 2 5 6 3 5" xfId="27627"/>
    <cellStyle name="Separador de milhares 3 2 2 5 6 4" xfId="16532"/>
    <cellStyle name="Separador de milhares 3 2 2 5 6 4 2" xfId="43023"/>
    <cellStyle name="Separador de milhares 3 2 2 5 6 4 3" xfId="24121"/>
    <cellStyle name="Separador de milhares 3 2 2 5 6 5" xfId="10605"/>
    <cellStyle name="Separador de milhares 3 2 2 5 6 5 2" xfId="37115"/>
    <cellStyle name="Separador de milhares 3 2 2 5 6 6" xfId="30655"/>
    <cellStyle name="Separador de milhares 3 2 2 5 6 7" xfId="22349"/>
    <cellStyle name="Separador de milhares 3 2 2 5 7" xfId="4114"/>
    <cellStyle name="Separador de milhares 3 2 2 5 7 2" xfId="6047"/>
    <cellStyle name="Separador de milhares 3 2 2 5 7 2 2" xfId="9259"/>
    <cellStyle name="Separador de milhares 3 2 2 5 7 2 2 2" xfId="21113"/>
    <cellStyle name="Separador de milhares 3 2 2 5 7 2 2 2 2" xfId="47592"/>
    <cellStyle name="Separador de milhares 3 2 2 5 7 2 2 3" xfId="15186"/>
    <cellStyle name="Separador de milhares 3 2 2 5 7 2 2 3 2" xfId="41684"/>
    <cellStyle name="Separador de milhares 3 2 2 5 7 2 2 4" xfId="35776"/>
    <cellStyle name="Separador de milhares 3 2 2 5 7 2 2 5" xfId="29242"/>
    <cellStyle name="Separador de milhares 3 2 2 5 7 2 3" xfId="18149"/>
    <cellStyle name="Separador de milhares 3 2 2 5 7 2 3 2" xfId="44638"/>
    <cellStyle name="Separador de milhares 3 2 2 5 7 2 4" xfId="12222"/>
    <cellStyle name="Separador de milhares 3 2 2 5 7 2 4 2" xfId="38730"/>
    <cellStyle name="Separador de milhares 3 2 2 5 7 2 5" xfId="32574"/>
    <cellStyle name="Separador de milhares 3 2 2 5 7 2 6" xfId="26040"/>
    <cellStyle name="Separador de milhares 3 2 2 5 7 3" xfId="7790"/>
    <cellStyle name="Separador de milhares 3 2 2 5 7 3 2" xfId="19644"/>
    <cellStyle name="Separador de milhares 3 2 2 5 7 3 2 2" xfId="46124"/>
    <cellStyle name="Separador de milhares 3 2 2 5 7 3 3" xfId="13717"/>
    <cellStyle name="Separador de milhares 3 2 2 5 7 3 3 2" xfId="40216"/>
    <cellStyle name="Separador de milhares 3 2 2 5 7 3 4" xfId="34308"/>
    <cellStyle name="Separador de milhares 3 2 2 5 7 3 5" xfId="27774"/>
    <cellStyle name="Separador de milhares 3 2 2 5 7 4" xfId="16680"/>
    <cellStyle name="Separador de milhares 3 2 2 5 7 4 2" xfId="43170"/>
    <cellStyle name="Separador de milhares 3 2 2 5 7 4 3" xfId="24268"/>
    <cellStyle name="Separador de milhares 3 2 2 5 7 5" xfId="10753"/>
    <cellStyle name="Separador de milhares 3 2 2 5 7 5 2" xfId="37262"/>
    <cellStyle name="Separador de milhares 3 2 2 5 7 6" xfId="30802"/>
    <cellStyle name="Separador de milhares 3 2 2 5 7 7" xfId="22496"/>
    <cellStyle name="Separador de milhares 3 2 2 5 8" xfId="5086"/>
    <cellStyle name="Separador de milhares 3 2 2 5 8 2" xfId="8301"/>
    <cellStyle name="Separador de milhares 3 2 2 5 8 2 2" xfId="20155"/>
    <cellStyle name="Separador de milhares 3 2 2 5 8 2 2 2" xfId="46634"/>
    <cellStyle name="Separador de milhares 3 2 2 5 8 2 3" xfId="14228"/>
    <cellStyle name="Separador de milhares 3 2 2 5 8 2 3 2" xfId="40726"/>
    <cellStyle name="Separador de milhares 3 2 2 5 8 2 4" xfId="34818"/>
    <cellStyle name="Separador de milhares 3 2 2 5 8 2 5" xfId="28284"/>
    <cellStyle name="Separador de milhares 3 2 2 5 8 3" xfId="17191"/>
    <cellStyle name="Separador de milhares 3 2 2 5 8 3 2" xfId="43680"/>
    <cellStyle name="Separador de milhares 3 2 2 5 8 4" xfId="11264"/>
    <cellStyle name="Separador de milhares 3 2 2 5 8 4 2" xfId="37772"/>
    <cellStyle name="Separador de milhares 3 2 2 5 8 5" xfId="31613"/>
    <cellStyle name="Separador de milhares 3 2 2 5 8 6" xfId="25079"/>
    <cellStyle name="Separador de milhares 3 2 2 5 9" xfId="6825"/>
    <cellStyle name="Separador de milhares 3 2 2 5 9 2" xfId="18679"/>
    <cellStyle name="Separador de milhares 3 2 2 5 9 2 2" xfId="45166"/>
    <cellStyle name="Separador de milhares 3 2 2 5 9 3" xfId="12752"/>
    <cellStyle name="Separador de milhares 3 2 2 5 9 3 2" xfId="39258"/>
    <cellStyle name="Separador de milhares 3 2 2 5 9 4" xfId="33350"/>
    <cellStyle name="Separador de milhares 3 2 2 5 9 5" xfId="26816"/>
    <cellStyle name="Separador de milhares 3 2 2 6" xfId="860"/>
    <cellStyle name="Separador de milhares 3 2 2 6 2" xfId="4291"/>
    <cellStyle name="Separador de milhares 3 2 2 6 2 2" xfId="6096"/>
    <cellStyle name="Separador de milhares 3 2 2 6 2 2 2" xfId="9308"/>
    <cellStyle name="Separador de milhares 3 2 2 6 2 2 2 2" xfId="21162"/>
    <cellStyle name="Separador de milhares 3 2 2 6 2 2 2 2 2" xfId="47641"/>
    <cellStyle name="Separador de milhares 3 2 2 6 2 2 2 3" xfId="15235"/>
    <cellStyle name="Separador de milhares 3 2 2 6 2 2 2 3 2" xfId="41733"/>
    <cellStyle name="Separador de milhares 3 2 2 6 2 2 2 4" xfId="35825"/>
    <cellStyle name="Separador de milhares 3 2 2 6 2 2 2 5" xfId="29291"/>
    <cellStyle name="Separador de milhares 3 2 2 6 2 2 3" xfId="18198"/>
    <cellStyle name="Separador de milhares 3 2 2 6 2 2 3 2" xfId="44687"/>
    <cellStyle name="Separador de milhares 3 2 2 6 2 2 4" xfId="12271"/>
    <cellStyle name="Separador de milhares 3 2 2 6 2 2 4 2" xfId="38779"/>
    <cellStyle name="Separador de milhares 3 2 2 6 2 2 5" xfId="32623"/>
    <cellStyle name="Separador de milhares 3 2 2 6 2 2 6" xfId="26089"/>
    <cellStyle name="Separador de milhares 3 2 2 6 2 3" xfId="7840"/>
    <cellStyle name="Separador de milhares 3 2 2 6 2 3 2" xfId="19694"/>
    <cellStyle name="Separador de milhares 3 2 2 6 2 3 2 2" xfId="46173"/>
    <cellStyle name="Separador de milhares 3 2 2 6 2 3 3" xfId="13767"/>
    <cellStyle name="Separador de milhares 3 2 2 6 2 3 3 2" xfId="40265"/>
    <cellStyle name="Separador de milhares 3 2 2 6 2 3 4" xfId="34357"/>
    <cellStyle name="Separador de milhares 3 2 2 6 2 3 5" xfId="27823"/>
    <cellStyle name="Separador de milhares 3 2 2 6 2 4" xfId="16730"/>
    <cellStyle name="Separador de milhares 3 2 2 6 2 4 2" xfId="43219"/>
    <cellStyle name="Separador de milhares 3 2 2 6 2 4 3" xfId="24317"/>
    <cellStyle name="Separador de milhares 3 2 2 6 2 5" xfId="10803"/>
    <cellStyle name="Separador de milhares 3 2 2 6 2 5 2" xfId="37311"/>
    <cellStyle name="Separador de milhares 3 2 2 6 2 6" xfId="30851"/>
    <cellStyle name="Separador de milhares 3 2 2 6 2 7" xfId="22545"/>
    <cellStyle name="Separador de milhares 3 2 2 6 3" xfId="5141"/>
    <cellStyle name="Separador de milhares 3 2 2 6 3 2" xfId="8356"/>
    <cellStyle name="Separador de milhares 3 2 2 6 3 2 2" xfId="20210"/>
    <cellStyle name="Separador de milhares 3 2 2 6 3 2 2 2" xfId="46689"/>
    <cellStyle name="Separador de milhares 3 2 2 6 3 2 3" xfId="14283"/>
    <cellStyle name="Separador de milhares 3 2 2 6 3 2 3 2" xfId="40781"/>
    <cellStyle name="Separador de milhares 3 2 2 6 3 2 4" xfId="34873"/>
    <cellStyle name="Separador de milhares 3 2 2 6 3 2 5" xfId="28339"/>
    <cellStyle name="Separador de milhares 3 2 2 6 3 3" xfId="17246"/>
    <cellStyle name="Separador de milhares 3 2 2 6 3 3 2" xfId="43735"/>
    <cellStyle name="Separador de milhares 3 2 2 6 3 4" xfId="11319"/>
    <cellStyle name="Separador de milhares 3 2 2 6 3 4 2" xfId="37827"/>
    <cellStyle name="Separador de milhares 3 2 2 6 3 5" xfId="31668"/>
    <cellStyle name="Separador de milhares 3 2 2 6 3 6" xfId="25134"/>
    <cellStyle name="Separador de milhares 3 2 2 6 4" xfId="6883"/>
    <cellStyle name="Separador de milhares 3 2 2 6 4 2" xfId="18737"/>
    <cellStyle name="Separador de milhares 3 2 2 6 4 2 2" xfId="45221"/>
    <cellStyle name="Separador de milhares 3 2 2 6 4 3" xfId="12810"/>
    <cellStyle name="Separador de milhares 3 2 2 6 4 3 2" xfId="39313"/>
    <cellStyle name="Separador de milhares 3 2 2 6 4 4" xfId="33405"/>
    <cellStyle name="Separador de milhares 3 2 2 6 4 5" xfId="26871"/>
    <cellStyle name="Separador de milhares 3 2 2 6 5" xfId="15773"/>
    <cellStyle name="Separador de milhares 3 2 2 6 5 2" xfId="42267"/>
    <cellStyle name="Separador de milhares 3 2 2 6 5 3" xfId="23362"/>
    <cellStyle name="Separador de milhares 3 2 2 6 6" xfId="9846"/>
    <cellStyle name="Separador de milhares 3 2 2 6 6 2" xfId="36359"/>
    <cellStyle name="Separador de milhares 3 2 2 6 7" xfId="29896"/>
    <cellStyle name="Separador de milhares 3 2 2 6 8" xfId="21590"/>
    <cellStyle name="Separador de milhares 3 2 2 7" xfId="1211"/>
    <cellStyle name="Separador de milhares 3 2 2 7 2" xfId="5239"/>
    <cellStyle name="Separador de milhares 3 2 2 7 2 2" xfId="8454"/>
    <cellStyle name="Separador de milhares 3 2 2 7 2 2 2" xfId="20308"/>
    <cellStyle name="Separador de milhares 3 2 2 7 2 2 2 2" xfId="46787"/>
    <cellStyle name="Separador de milhares 3 2 2 7 2 2 3" xfId="14381"/>
    <cellStyle name="Separador de milhares 3 2 2 7 2 2 3 2" xfId="40879"/>
    <cellStyle name="Separador de milhares 3 2 2 7 2 2 4" xfId="34971"/>
    <cellStyle name="Separador de milhares 3 2 2 7 2 2 5" xfId="28437"/>
    <cellStyle name="Separador de milhares 3 2 2 7 2 3" xfId="17344"/>
    <cellStyle name="Separador de milhares 3 2 2 7 2 3 2" xfId="43833"/>
    <cellStyle name="Separador de milhares 3 2 2 7 2 4" xfId="11417"/>
    <cellStyle name="Separador de milhares 3 2 2 7 2 4 2" xfId="37925"/>
    <cellStyle name="Separador de milhares 3 2 2 7 2 5" xfId="31766"/>
    <cellStyle name="Separador de milhares 3 2 2 7 2 6" xfId="25232"/>
    <cellStyle name="Separador de milhares 3 2 2 7 3" xfId="6981"/>
    <cellStyle name="Separador de milhares 3 2 2 7 3 2" xfId="18835"/>
    <cellStyle name="Separador de milhares 3 2 2 7 3 2 2" xfId="45319"/>
    <cellStyle name="Separador de milhares 3 2 2 7 3 3" xfId="12908"/>
    <cellStyle name="Separador de milhares 3 2 2 7 3 3 2" xfId="39411"/>
    <cellStyle name="Separador de milhares 3 2 2 7 3 4" xfId="33503"/>
    <cellStyle name="Separador de milhares 3 2 2 7 3 5" xfId="26969"/>
    <cellStyle name="Separador de milhares 3 2 2 7 4" xfId="15871"/>
    <cellStyle name="Separador de milhares 3 2 2 7 4 2" xfId="42365"/>
    <cellStyle name="Separador de milhares 3 2 2 7 4 3" xfId="23460"/>
    <cellStyle name="Separador de milhares 3 2 2 7 5" xfId="9944"/>
    <cellStyle name="Separador de milhares 3 2 2 7 5 2" xfId="36457"/>
    <cellStyle name="Separador de milhares 3 2 2 7 6" xfId="29994"/>
    <cellStyle name="Separador de milhares 3 2 2 7 7" xfId="21688"/>
    <cellStyle name="Separador de milhares 3 2 2 8" xfId="1646"/>
    <cellStyle name="Separador de milhares 3 2 2 8 2" xfId="5358"/>
    <cellStyle name="Separador de milhares 3 2 2 8 2 2" xfId="8573"/>
    <cellStyle name="Separador de milhares 3 2 2 8 2 2 2" xfId="20427"/>
    <cellStyle name="Separador de milhares 3 2 2 8 2 2 2 2" xfId="46906"/>
    <cellStyle name="Separador de milhares 3 2 2 8 2 2 3" xfId="14500"/>
    <cellStyle name="Separador de milhares 3 2 2 8 2 2 3 2" xfId="40998"/>
    <cellStyle name="Separador de milhares 3 2 2 8 2 2 4" xfId="35090"/>
    <cellStyle name="Separador de milhares 3 2 2 8 2 2 5" xfId="28556"/>
    <cellStyle name="Separador de milhares 3 2 2 8 2 3" xfId="17463"/>
    <cellStyle name="Separador de milhares 3 2 2 8 2 3 2" xfId="43952"/>
    <cellStyle name="Separador de milhares 3 2 2 8 2 4" xfId="11536"/>
    <cellStyle name="Separador de milhares 3 2 2 8 2 4 2" xfId="38044"/>
    <cellStyle name="Separador de milhares 3 2 2 8 2 5" xfId="31885"/>
    <cellStyle name="Separador de milhares 3 2 2 8 2 6" xfId="25351"/>
    <cellStyle name="Separador de milhares 3 2 2 8 3" xfId="7100"/>
    <cellStyle name="Separador de milhares 3 2 2 8 3 2" xfId="18954"/>
    <cellStyle name="Separador de milhares 3 2 2 8 3 2 2" xfId="45438"/>
    <cellStyle name="Separador de milhares 3 2 2 8 3 3" xfId="13027"/>
    <cellStyle name="Separador de milhares 3 2 2 8 3 3 2" xfId="39530"/>
    <cellStyle name="Separador de milhares 3 2 2 8 3 4" xfId="33622"/>
    <cellStyle name="Separador de milhares 3 2 2 8 3 5" xfId="27088"/>
    <cellStyle name="Separador de milhares 3 2 2 8 4" xfId="15990"/>
    <cellStyle name="Separador de milhares 3 2 2 8 4 2" xfId="42484"/>
    <cellStyle name="Separador de milhares 3 2 2 8 4 3" xfId="23579"/>
    <cellStyle name="Separador de milhares 3 2 2 8 5" xfId="10063"/>
    <cellStyle name="Separador de milhares 3 2 2 8 5 2" xfId="36576"/>
    <cellStyle name="Separador de milhares 3 2 2 8 6" xfId="30113"/>
    <cellStyle name="Separador de milhares 3 2 2 8 7" xfId="21807"/>
    <cellStyle name="Separador de milhares 3 2 2 9" xfId="2179"/>
    <cellStyle name="Separador de milhares 3 2 2 9 2" xfId="5508"/>
    <cellStyle name="Separador de milhares 3 2 2 9 2 2" xfId="8720"/>
    <cellStyle name="Separador de milhares 3 2 2 9 2 2 2" xfId="20574"/>
    <cellStyle name="Separador de milhares 3 2 2 9 2 2 2 2" xfId="47053"/>
    <cellStyle name="Separador de milhares 3 2 2 9 2 2 3" xfId="14647"/>
    <cellStyle name="Separador de milhares 3 2 2 9 2 2 3 2" xfId="41145"/>
    <cellStyle name="Separador de milhares 3 2 2 9 2 2 4" xfId="35237"/>
    <cellStyle name="Separador de milhares 3 2 2 9 2 2 5" xfId="28703"/>
    <cellStyle name="Separador de milhares 3 2 2 9 2 3" xfId="17610"/>
    <cellStyle name="Separador de milhares 3 2 2 9 2 3 2" xfId="44099"/>
    <cellStyle name="Separador de milhares 3 2 2 9 2 4" xfId="11683"/>
    <cellStyle name="Separador de milhares 3 2 2 9 2 4 2" xfId="38191"/>
    <cellStyle name="Separador de milhares 3 2 2 9 2 5" xfId="32035"/>
    <cellStyle name="Separador de milhares 3 2 2 9 2 6" xfId="25501"/>
    <cellStyle name="Separador de milhares 3 2 2 9 3" xfId="7248"/>
    <cellStyle name="Separador de milhares 3 2 2 9 3 2" xfId="19102"/>
    <cellStyle name="Separador de milhares 3 2 2 9 3 2 2" xfId="45585"/>
    <cellStyle name="Separador de milhares 3 2 2 9 3 3" xfId="13175"/>
    <cellStyle name="Separador de milhares 3 2 2 9 3 3 2" xfId="39677"/>
    <cellStyle name="Separador de milhares 3 2 2 9 3 4" xfId="33769"/>
    <cellStyle name="Separador de milhares 3 2 2 9 3 5" xfId="27235"/>
    <cellStyle name="Separador de milhares 3 2 2 9 4" xfId="16138"/>
    <cellStyle name="Separador de milhares 3 2 2 9 4 2" xfId="42631"/>
    <cellStyle name="Separador de milhares 3 2 2 9 4 3" xfId="23729"/>
    <cellStyle name="Separador de milhares 3 2 2 9 5" xfId="10211"/>
    <cellStyle name="Separador de milhares 3 2 2 9 5 2" xfId="36723"/>
    <cellStyle name="Separador de milhares 3 2 2 9 6" xfId="30263"/>
    <cellStyle name="Separador de milhares 3 2 2 9 7" xfId="21957"/>
    <cellStyle name="Separador de milhares 3 2 20" xfId="6672"/>
    <cellStyle name="Separador de milhares 3 2 20 2" xfId="18526"/>
    <cellStyle name="Separador de milhares 3 2 20 2 2" xfId="45013"/>
    <cellStyle name="Separador de milhares 3 2 20 3" xfId="12599"/>
    <cellStyle name="Separador de milhares 3 2 20 3 2" xfId="39105"/>
    <cellStyle name="Separador de milhares 3 2 20 4" xfId="33197"/>
    <cellStyle name="Separador de milhares 3 2 20 5" xfId="26663"/>
    <cellStyle name="Separador de milhares 3 2 21" xfId="15562"/>
    <cellStyle name="Separador de milhares 3 2 21 2" xfId="42059"/>
    <cellStyle name="Separador de milhares 3 2 21 3" xfId="23145"/>
    <cellStyle name="Separador de milhares 3 2 22" xfId="9635"/>
    <cellStyle name="Separador de milhares 3 2 22 2" xfId="36151"/>
    <cellStyle name="Separador de milhares 3 2 23" xfId="29679"/>
    <cellStyle name="Separador de milhares 3 2 3" xfId="205"/>
    <cellStyle name="Separador de milhares 3 2 3 10" xfId="2715"/>
    <cellStyle name="Separador de milhares 3 2 3 10 2" xfId="5657"/>
    <cellStyle name="Separador de milhares 3 2 3 10 2 2" xfId="8869"/>
    <cellStyle name="Separador de milhares 3 2 3 10 2 2 2" xfId="20723"/>
    <cellStyle name="Separador de milhares 3 2 3 10 2 2 2 2" xfId="47202"/>
    <cellStyle name="Separador de milhares 3 2 3 10 2 2 3" xfId="14796"/>
    <cellStyle name="Separador de milhares 3 2 3 10 2 2 3 2" xfId="41294"/>
    <cellStyle name="Separador de milhares 3 2 3 10 2 2 4" xfId="35386"/>
    <cellStyle name="Separador de milhares 3 2 3 10 2 2 5" xfId="28852"/>
    <cellStyle name="Separador de milhares 3 2 3 10 2 3" xfId="17759"/>
    <cellStyle name="Separador de milhares 3 2 3 10 2 3 2" xfId="44248"/>
    <cellStyle name="Separador de milhares 3 2 3 10 2 4" xfId="11832"/>
    <cellStyle name="Separador de milhares 3 2 3 10 2 4 2" xfId="38340"/>
    <cellStyle name="Separador de milhares 3 2 3 10 2 5" xfId="32184"/>
    <cellStyle name="Separador de milhares 3 2 3 10 2 6" xfId="25650"/>
    <cellStyle name="Separador de milhares 3 2 3 10 3" xfId="7398"/>
    <cellStyle name="Separador de milhares 3 2 3 10 3 2" xfId="19252"/>
    <cellStyle name="Separador de milhares 3 2 3 10 3 2 2" xfId="45734"/>
    <cellStyle name="Separador de milhares 3 2 3 10 3 3" xfId="13325"/>
    <cellStyle name="Separador de milhares 3 2 3 10 3 3 2" xfId="39826"/>
    <cellStyle name="Separador de milhares 3 2 3 10 3 4" xfId="33918"/>
    <cellStyle name="Separador de milhares 3 2 3 10 3 5" xfId="27384"/>
    <cellStyle name="Separador de milhares 3 2 3 10 4" xfId="16288"/>
    <cellStyle name="Separador de milhares 3 2 3 10 4 2" xfId="42780"/>
    <cellStyle name="Separador de milhares 3 2 3 10 4 3" xfId="23878"/>
    <cellStyle name="Separador de milhares 3 2 3 10 5" xfId="10361"/>
    <cellStyle name="Separador de milhares 3 2 3 10 5 2" xfId="36872"/>
    <cellStyle name="Separador de milhares 3 2 3 10 6" xfId="30412"/>
    <cellStyle name="Separador de milhares 3 2 3 10 7" xfId="22106"/>
    <cellStyle name="Separador de milhares 3 2 3 11" xfId="3243"/>
    <cellStyle name="Separador de milhares 3 2 3 11 2" xfId="5804"/>
    <cellStyle name="Separador de milhares 3 2 3 11 2 2" xfId="9016"/>
    <cellStyle name="Separador de milhares 3 2 3 11 2 2 2" xfId="20870"/>
    <cellStyle name="Separador de milhares 3 2 3 11 2 2 2 2" xfId="47349"/>
    <cellStyle name="Separador de milhares 3 2 3 11 2 2 3" xfId="14943"/>
    <cellStyle name="Separador de milhares 3 2 3 11 2 2 3 2" xfId="41441"/>
    <cellStyle name="Separador de milhares 3 2 3 11 2 2 4" xfId="35533"/>
    <cellStyle name="Separador de milhares 3 2 3 11 2 2 5" xfId="28999"/>
    <cellStyle name="Separador de milhares 3 2 3 11 2 3" xfId="17906"/>
    <cellStyle name="Separador de milhares 3 2 3 11 2 3 2" xfId="44395"/>
    <cellStyle name="Separador de milhares 3 2 3 11 2 4" xfId="11979"/>
    <cellStyle name="Separador de milhares 3 2 3 11 2 4 2" xfId="38487"/>
    <cellStyle name="Separador de milhares 3 2 3 11 2 5" xfId="32331"/>
    <cellStyle name="Separador de milhares 3 2 3 11 2 6" xfId="25797"/>
    <cellStyle name="Separador de milhares 3 2 3 11 3" xfId="7546"/>
    <cellStyle name="Separador de milhares 3 2 3 11 3 2" xfId="19400"/>
    <cellStyle name="Separador de milhares 3 2 3 11 3 2 2" xfId="45881"/>
    <cellStyle name="Separador de milhares 3 2 3 11 3 3" xfId="13473"/>
    <cellStyle name="Separador de milhares 3 2 3 11 3 3 2" xfId="39973"/>
    <cellStyle name="Separador de milhares 3 2 3 11 3 4" xfId="34065"/>
    <cellStyle name="Separador de milhares 3 2 3 11 3 5" xfId="27531"/>
    <cellStyle name="Separador de milhares 3 2 3 11 4" xfId="16436"/>
    <cellStyle name="Separador de milhares 3 2 3 11 4 2" xfId="42927"/>
    <cellStyle name="Separador de milhares 3 2 3 11 4 3" xfId="24025"/>
    <cellStyle name="Separador de milhares 3 2 3 11 5" xfId="10509"/>
    <cellStyle name="Separador de milhares 3 2 3 11 5 2" xfId="37019"/>
    <cellStyle name="Separador de milhares 3 2 3 11 6" xfId="30559"/>
    <cellStyle name="Separador de milhares 3 2 3 11 7" xfId="22253"/>
    <cellStyle name="Separador de milhares 3 2 3 12" xfId="3771"/>
    <cellStyle name="Separador de milhares 3 2 3 12 2" xfId="5951"/>
    <cellStyle name="Separador de milhares 3 2 3 12 2 2" xfId="9163"/>
    <cellStyle name="Separador de milhares 3 2 3 12 2 2 2" xfId="21017"/>
    <cellStyle name="Separador de milhares 3 2 3 12 2 2 2 2" xfId="47496"/>
    <cellStyle name="Separador de milhares 3 2 3 12 2 2 3" xfId="15090"/>
    <cellStyle name="Separador de milhares 3 2 3 12 2 2 3 2" xfId="41588"/>
    <cellStyle name="Separador de milhares 3 2 3 12 2 2 4" xfId="35680"/>
    <cellStyle name="Separador de milhares 3 2 3 12 2 2 5" xfId="29146"/>
    <cellStyle name="Separador de milhares 3 2 3 12 2 3" xfId="18053"/>
    <cellStyle name="Separador de milhares 3 2 3 12 2 3 2" xfId="44542"/>
    <cellStyle name="Separador de milhares 3 2 3 12 2 4" xfId="12126"/>
    <cellStyle name="Separador de milhares 3 2 3 12 2 4 2" xfId="38634"/>
    <cellStyle name="Separador de milhares 3 2 3 12 2 5" xfId="32478"/>
    <cellStyle name="Separador de milhares 3 2 3 12 2 6" xfId="25944"/>
    <cellStyle name="Separador de milhares 3 2 3 12 3" xfId="7694"/>
    <cellStyle name="Separador de milhares 3 2 3 12 3 2" xfId="19548"/>
    <cellStyle name="Separador de milhares 3 2 3 12 3 2 2" xfId="46028"/>
    <cellStyle name="Separador de milhares 3 2 3 12 3 3" xfId="13621"/>
    <cellStyle name="Separador de milhares 3 2 3 12 3 3 2" xfId="40120"/>
    <cellStyle name="Separador de milhares 3 2 3 12 3 4" xfId="34212"/>
    <cellStyle name="Separador de milhares 3 2 3 12 3 5" xfId="27678"/>
    <cellStyle name="Separador de milhares 3 2 3 12 4" xfId="16584"/>
    <cellStyle name="Separador de milhares 3 2 3 12 4 2" xfId="43074"/>
    <cellStyle name="Separador de milhares 3 2 3 12 4 3" xfId="24172"/>
    <cellStyle name="Separador de milhares 3 2 3 12 5" xfId="10657"/>
    <cellStyle name="Separador de milhares 3 2 3 12 5 2" xfId="37166"/>
    <cellStyle name="Separador de milhares 3 2 3 12 6" xfId="30706"/>
    <cellStyle name="Separador de milhares 3 2 3 12 7" xfId="22400"/>
    <cellStyle name="Separador de milhares 3 2 3 13" xfId="4935"/>
    <cellStyle name="Separador de milhares 3 2 3 13 2" xfId="8159"/>
    <cellStyle name="Separador de milhares 3 2 3 13 2 2" xfId="20013"/>
    <cellStyle name="Separador de milhares 3 2 3 13 2 2 2" xfId="46492"/>
    <cellStyle name="Separador de milhares 3 2 3 13 2 3" xfId="14086"/>
    <cellStyle name="Separador de milhares 3 2 3 13 2 3 2" xfId="40584"/>
    <cellStyle name="Separador de milhares 3 2 3 13 2 4" xfId="34676"/>
    <cellStyle name="Separador de milhares 3 2 3 13 2 5" xfId="28142"/>
    <cellStyle name="Separador de milhares 3 2 3 13 3" xfId="17049"/>
    <cellStyle name="Separador de milhares 3 2 3 13 3 2" xfId="43538"/>
    <cellStyle name="Separador de milhares 3 2 3 13 4" xfId="11122"/>
    <cellStyle name="Separador de milhares 3 2 3 13 4 2" xfId="37630"/>
    <cellStyle name="Separador de milhares 3 2 3 13 5" xfId="31462"/>
    <cellStyle name="Separador de milhares 3 2 3 13 6" xfId="24928"/>
    <cellStyle name="Separador de milhares 3 2 3 14" xfId="6683"/>
    <cellStyle name="Separador de milhares 3 2 3 14 2" xfId="18537"/>
    <cellStyle name="Separador de milhares 3 2 3 14 2 2" xfId="45024"/>
    <cellStyle name="Separador de milhares 3 2 3 14 3" xfId="12610"/>
    <cellStyle name="Separador de milhares 3 2 3 14 3 2" xfId="39116"/>
    <cellStyle name="Separador de milhares 3 2 3 14 4" xfId="33208"/>
    <cellStyle name="Separador de milhares 3 2 3 14 5" xfId="26674"/>
    <cellStyle name="Separador de milhares 3 2 3 15" xfId="15573"/>
    <cellStyle name="Separador de milhares 3 2 3 15 2" xfId="42070"/>
    <cellStyle name="Separador de milhares 3 2 3 15 3" xfId="23156"/>
    <cellStyle name="Separador de milhares 3 2 3 16" xfId="9646"/>
    <cellStyle name="Separador de milhares 3 2 3 16 2" xfId="36162"/>
    <cellStyle name="Separador de milhares 3 2 3 17" xfId="29690"/>
    <cellStyle name="Separador de milhares 3 2 3 2" xfId="299"/>
    <cellStyle name="Separador de milhares 3 2 3 2 10" xfId="4964"/>
    <cellStyle name="Separador de milhares 3 2 3 2 10 2" xfId="8186"/>
    <cellStyle name="Separador de milhares 3 2 3 2 10 2 2" xfId="20040"/>
    <cellStyle name="Separador de milhares 3 2 3 2 10 2 2 2" xfId="46519"/>
    <cellStyle name="Separador de milhares 3 2 3 2 10 2 3" xfId="14113"/>
    <cellStyle name="Separador de milhares 3 2 3 2 10 2 3 2" xfId="40611"/>
    <cellStyle name="Separador de milhares 3 2 3 2 10 2 4" xfId="34703"/>
    <cellStyle name="Separador de milhares 3 2 3 2 10 2 5" xfId="28169"/>
    <cellStyle name="Separador de milhares 3 2 3 2 10 3" xfId="17076"/>
    <cellStyle name="Separador de milhares 3 2 3 2 10 3 2" xfId="43565"/>
    <cellStyle name="Separador de milhares 3 2 3 2 10 4" xfId="11149"/>
    <cellStyle name="Separador de milhares 3 2 3 2 10 4 2" xfId="37657"/>
    <cellStyle name="Separador de milhares 3 2 3 2 10 5" xfId="31491"/>
    <cellStyle name="Separador de milhares 3 2 3 2 10 6" xfId="24957"/>
    <cellStyle name="Separador de milhares 3 2 3 2 11" xfId="6710"/>
    <cellStyle name="Separador de milhares 3 2 3 2 11 2" xfId="18564"/>
    <cellStyle name="Separador de milhares 3 2 3 2 11 2 2" xfId="45051"/>
    <cellStyle name="Separador de milhares 3 2 3 2 11 3" xfId="12637"/>
    <cellStyle name="Separador de milhares 3 2 3 2 11 3 2" xfId="39143"/>
    <cellStyle name="Separador de milhares 3 2 3 2 11 4" xfId="33235"/>
    <cellStyle name="Separador de milhares 3 2 3 2 11 5" xfId="26701"/>
    <cellStyle name="Separador de milhares 3 2 3 2 12" xfId="15600"/>
    <cellStyle name="Separador de milhares 3 2 3 2 12 2" xfId="42097"/>
    <cellStyle name="Separador de milhares 3 2 3 2 12 3" xfId="23185"/>
    <cellStyle name="Separador de milhares 3 2 3 2 13" xfId="9673"/>
    <cellStyle name="Separador de milhares 3 2 3 2 13 2" xfId="36189"/>
    <cellStyle name="Separador de milhares 3 2 3 2 14" xfId="29719"/>
    <cellStyle name="Separador de milhares 3 2 3 2 15" xfId="21437"/>
    <cellStyle name="Separador de milhares 3 2 3 2 2" xfId="574"/>
    <cellStyle name="Separador de milhares 3 2 3 2 2 10" xfId="9747"/>
    <cellStyle name="Separador de milhares 3 2 3 2 2 10 2" xfId="36263"/>
    <cellStyle name="Separador de milhares 3 2 3 2 2 11" xfId="29800"/>
    <cellStyle name="Separador de milhares 3 2 3 2 2 12" xfId="21495"/>
    <cellStyle name="Separador de milhares 3 2 3 2 2 2" xfId="2095"/>
    <cellStyle name="Separador de milhares 3 2 3 2 2 2 2" xfId="5483"/>
    <cellStyle name="Separador de milhares 3 2 3 2 2 2 2 2" xfId="8698"/>
    <cellStyle name="Separador de milhares 3 2 3 2 2 2 2 2 2" xfId="20552"/>
    <cellStyle name="Separador de milhares 3 2 3 2 2 2 2 2 2 2" xfId="47031"/>
    <cellStyle name="Separador de milhares 3 2 3 2 2 2 2 2 3" xfId="14625"/>
    <cellStyle name="Separador de milhares 3 2 3 2 2 2 2 2 3 2" xfId="41123"/>
    <cellStyle name="Separador de milhares 3 2 3 2 2 2 2 2 4" xfId="35215"/>
    <cellStyle name="Separador de milhares 3 2 3 2 2 2 2 2 5" xfId="28681"/>
    <cellStyle name="Separador de milhares 3 2 3 2 2 2 2 3" xfId="17588"/>
    <cellStyle name="Separador de milhares 3 2 3 2 2 2 2 3 2" xfId="44077"/>
    <cellStyle name="Separador de milhares 3 2 3 2 2 2 2 4" xfId="11661"/>
    <cellStyle name="Separador de milhares 3 2 3 2 2 2 2 4 2" xfId="38169"/>
    <cellStyle name="Separador de milhares 3 2 3 2 2 2 2 5" xfId="32010"/>
    <cellStyle name="Separador de milhares 3 2 3 2 2 2 2 6" xfId="25476"/>
    <cellStyle name="Separador de milhares 3 2 3 2 2 2 3" xfId="7226"/>
    <cellStyle name="Separador de milhares 3 2 3 2 2 2 3 2" xfId="19080"/>
    <cellStyle name="Separador de milhares 3 2 3 2 2 2 3 2 2" xfId="45563"/>
    <cellStyle name="Separador de milhares 3 2 3 2 2 2 3 3" xfId="13153"/>
    <cellStyle name="Separador de milhares 3 2 3 2 2 2 3 3 2" xfId="39655"/>
    <cellStyle name="Separador de milhares 3 2 3 2 2 2 3 4" xfId="33747"/>
    <cellStyle name="Separador de milhares 3 2 3 2 2 2 3 5" xfId="27213"/>
    <cellStyle name="Separador de milhares 3 2 3 2 2 2 4" xfId="16116"/>
    <cellStyle name="Separador de milhares 3 2 3 2 2 2 4 2" xfId="42609"/>
    <cellStyle name="Separador de milhares 3 2 3 2 2 2 4 3" xfId="23704"/>
    <cellStyle name="Separador de milhares 3 2 3 2 2 2 5" xfId="10189"/>
    <cellStyle name="Separador de milhares 3 2 3 2 2 2 5 2" xfId="36701"/>
    <cellStyle name="Separador de milhares 3 2 3 2 2 2 6" xfId="30238"/>
    <cellStyle name="Separador de milhares 3 2 3 2 2 2 7" xfId="21932"/>
    <cellStyle name="Separador de milhares 3 2 3 2 2 3" xfId="2628"/>
    <cellStyle name="Separador de milhares 3 2 3 2 2 3 2" xfId="5633"/>
    <cellStyle name="Separador de milhares 3 2 3 2 2 3 2 2" xfId="8845"/>
    <cellStyle name="Separador de milhares 3 2 3 2 2 3 2 2 2" xfId="20699"/>
    <cellStyle name="Separador de milhares 3 2 3 2 2 3 2 2 2 2" xfId="47178"/>
    <cellStyle name="Separador de milhares 3 2 3 2 2 3 2 2 3" xfId="14772"/>
    <cellStyle name="Separador de milhares 3 2 3 2 2 3 2 2 3 2" xfId="41270"/>
    <cellStyle name="Separador de milhares 3 2 3 2 2 3 2 2 4" xfId="35362"/>
    <cellStyle name="Separador de milhares 3 2 3 2 2 3 2 2 5" xfId="28828"/>
    <cellStyle name="Separador de milhares 3 2 3 2 2 3 2 3" xfId="17735"/>
    <cellStyle name="Separador de milhares 3 2 3 2 2 3 2 3 2" xfId="44224"/>
    <cellStyle name="Separador de milhares 3 2 3 2 2 3 2 4" xfId="11808"/>
    <cellStyle name="Separador de milhares 3 2 3 2 2 3 2 4 2" xfId="38316"/>
    <cellStyle name="Separador de milhares 3 2 3 2 2 3 2 5" xfId="32160"/>
    <cellStyle name="Separador de milhares 3 2 3 2 2 3 2 6" xfId="25626"/>
    <cellStyle name="Separador de milhares 3 2 3 2 2 3 3" xfId="7374"/>
    <cellStyle name="Separador de milhares 3 2 3 2 2 3 3 2" xfId="19228"/>
    <cellStyle name="Separador de milhares 3 2 3 2 2 3 3 2 2" xfId="45710"/>
    <cellStyle name="Separador de milhares 3 2 3 2 2 3 3 3" xfId="13301"/>
    <cellStyle name="Separador de milhares 3 2 3 2 2 3 3 3 2" xfId="39802"/>
    <cellStyle name="Separador de milhares 3 2 3 2 2 3 3 4" xfId="33894"/>
    <cellStyle name="Separador de milhares 3 2 3 2 2 3 3 5" xfId="27360"/>
    <cellStyle name="Separador de milhares 3 2 3 2 2 3 4" xfId="16264"/>
    <cellStyle name="Separador de milhares 3 2 3 2 2 3 4 2" xfId="42756"/>
    <cellStyle name="Separador de milhares 3 2 3 2 2 3 4 3" xfId="23854"/>
    <cellStyle name="Separador de milhares 3 2 3 2 2 3 5" xfId="10337"/>
    <cellStyle name="Separador de milhares 3 2 3 2 2 3 5 2" xfId="36848"/>
    <cellStyle name="Separador de milhares 3 2 3 2 2 3 6" xfId="30388"/>
    <cellStyle name="Separador de milhares 3 2 3 2 2 3 7" xfId="22082"/>
    <cellStyle name="Separador de milhares 3 2 3 2 2 4" xfId="3156"/>
    <cellStyle name="Separador de milhares 3 2 3 2 2 4 2" xfId="5780"/>
    <cellStyle name="Separador de milhares 3 2 3 2 2 4 2 2" xfId="8992"/>
    <cellStyle name="Separador de milhares 3 2 3 2 2 4 2 2 2" xfId="20846"/>
    <cellStyle name="Separador de milhares 3 2 3 2 2 4 2 2 2 2" xfId="47325"/>
    <cellStyle name="Separador de milhares 3 2 3 2 2 4 2 2 3" xfId="14919"/>
    <cellStyle name="Separador de milhares 3 2 3 2 2 4 2 2 3 2" xfId="41417"/>
    <cellStyle name="Separador de milhares 3 2 3 2 2 4 2 2 4" xfId="35509"/>
    <cellStyle name="Separador de milhares 3 2 3 2 2 4 2 2 5" xfId="28975"/>
    <cellStyle name="Separador de milhares 3 2 3 2 2 4 2 3" xfId="17882"/>
    <cellStyle name="Separador de milhares 3 2 3 2 2 4 2 3 2" xfId="44371"/>
    <cellStyle name="Separador de milhares 3 2 3 2 2 4 2 4" xfId="11955"/>
    <cellStyle name="Separador de milhares 3 2 3 2 2 4 2 4 2" xfId="38463"/>
    <cellStyle name="Separador de milhares 3 2 3 2 2 4 2 5" xfId="32307"/>
    <cellStyle name="Separador de milhares 3 2 3 2 2 4 2 6" xfId="25773"/>
    <cellStyle name="Separador de milhares 3 2 3 2 2 4 3" xfId="7522"/>
    <cellStyle name="Separador de milhares 3 2 3 2 2 4 3 2" xfId="19376"/>
    <cellStyle name="Separador de milhares 3 2 3 2 2 4 3 2 2" xfId="45857"/>
    <cellStyle name="Separador de milhares 3 2 3 2 2 4 3 3" xfId="13449"/>
    <cellStyle name="Separador de milhares 3 2 3 2 2 4 3 3 2" xfId="39949"/>
    <cellStyle name="Separador de milhares 3 2 3 2 2 4 3 4" xfId="34041"/>
    <cellStyle name="Separador de milhares 3 2 3 2 2 4 3 5" xfId="27507"/>
    <cellStyle name="Separador de milhares 3 2 3 2 2 4 4" xfId="16412"/>
    <cellStyle name="Separador de milhares 3 2 3 2 2 4 4 2" xfId="42903"/>
    <cellStyle name="Separador de milhares 3 2 3 2 2 4 4 3" xfId="24001"/>
    <cellStyle name="Separador de milhares 3 2 3 2 2 4 5" xfId="10485"/>
    <cellStyle name="Separador de milhares 3 2 3 2 2 4 5 2" xfId="36995"/>
    <cellStyle name="Separador de milhares 3 2 3 2 2 4 6" xfId="30535"/>
    <cellStyle name="Separador de milhares 3 2 3 2 2 4 7" xfId="22229"/>
    <cellStyle name="Separador de milhares 3 2 3 2 2 5" xfId="3684"/>
    <cellStyle name="Separador de milhares 3 2 3 2 2 5 2" xfId="5927"/>
    <cellStyle name="Separador de milhares 3 2 3 2 2 5 2 2" xfId="9139"/>
    <cellStyle name="Separador de milhares 3 2 3 2 2 5 2 2 2" xfId="20993"/>
    <cellStyle name="Separador de milhares 3 2 3 2 2 5 2 2 2 2" xfId="47472"/>
    <cellStyle name="Separador de milhares 3 2 3 2 2 5 2 2 3" xfId="15066"/>
    <cellStyle name="Separador de milhares 3 2 3 2 2 5 2 2 3 2" xfId="41564"/>
    <cellStyle name="Separador de milhares 3 2 3 2 2 5 2 2 4" xfId="35656"/>
    <cellStyle name="Separador de milhares 3 2 3 2 2 5 2 2 5" xfId="29122"/>
    <cellStyle name="Separador de milhares 3 2 3 2 2 5 2 3" xfId="18029"/>
    <cellStyle name="Separador de milhares 3 2 3 2 2 5 2 3 2" xfId="44518"/>
    <cellStyle name="Separador de milhares 3 2 3 2 2 5 2 4" xfId="12102"/>
    <cellStyle name="Separador de milhares 3 2 3 2 2 5 2 4 2" xfId="38610"/>
    <cellStyle name="Separador de milhares 3 2 3 2 2 5 2 5" xfId="32454"/>
    <cellStyle name="Separador de milhares 3 2 3 2 2 5 2 6" xfId="25920"/>
    <cellStyle name="Separador de milhares 3 2 3 2 2 5 3" xfId="7670"/>
    <cellStyle name="Separador de milhares 3 2 3 2 2 5 3 2" xfId="19524"/>
    <cellStyle name="Separador de milhares 3 2 3 2 2 5 3 2 2" xfId="46004"/>
    <cellStyle name="Separador de milhares 3 2 3 2 2 5 3 3" xfId="13597"/>
    <cellStyle name="Separador de milhares 3 2 3 2 2 5 3 3 2" xfId="40096"/>
    <cellStyle name="Separador de milhares 3 2 3 2 2 5 3 4" xfId="34188"/>
    <cellStyle name="Separador de milhares 3 2 3 2 2 5 3 5" xfId="27654"/>
    <cellStyle name="Separador de milhares 3 2 3 2 2 5 4" xfId="16560"/>
    <cellStyle name="Separador de milhares 3 2 3 2 2 5 4 2" xfId="43050"/>
    <cellStyle name="Separador de milhares 3 2 3 2 2 5 4 3" xfId="24148"/>
    <cellStyle name="Separador de milhares 3 2 3 2 2 5 5" xfId="10633"/>
    <cellStyle name="Separador de milhares 3 2 3 2 2 5 5 2" xfId="37142"/>
    <cellStyle name="Separador de milhares 3 2 3 2 2 5 6" xfId="30682"/>
    <cellStyle name="Separador de milhares 3 2 3 2 2 5 7" xfId="22376"/>
    <cellStyle name="Separador de milhares 3 2 3 2 2 6" xfId="4212"/>
    <cellStyle name="Separador de milhares 3 2 3 2 2 6 2" xfId="6074"/>
    <cellStyle name="Separador de milhares 3 2 3 2 2 6 2 2" xfId="9286"/>
    <cellStyle name="Separador de milhares 3 2 3 2 2 6 2 2 2" xfId="21140"/>
    <cellStyle name="Separador de milhares 3 2 3 2 2 6 2 2 2 2" xfId="47619"/>
    <cellStyle name="Separador de milhares 3 2 3 2 2 6 2 2 3" xfId="15213"/>
    <cellStyle name="Separador de milhares 3 2 3 2 2 6 2 2 3 2" xfId="41711"/>
    <cellStyle name="Separador de milhares 3 2 3 2 2 6 2 2 4" xfId="35803"/>
    <cellStyle name="Separador de milhares 3 2 3 2 2 6 2 2 5" xfId="29269"/>
    <cellStyle name="Separador de milhares 3 2 3 2 2 6 2 3" xfId="18176"/>
    <cellStyle name="Separador de milhares 3 2 3 2 2 6 2 3 2" xfId="44665"/>
    <cellStyle name="Separador de milhares 3 2 3 2 2 6 2 4" xfId="12249"/>
    <cellStyle name="Separador de milhares 3 2 3 2 2 6 2 4 2" xfId="38757"/>
    <cellStyle name="Separador de milhares 3 2 3 2 2 6 2 5" xfId="32601"/>
    <cellStyle name="Separador de milhares 3 2 3 2 2 6 2 6" xfId="26067"/>
    <cellStyle name="Separador de milhares 3 2 3 2 2 6 3" xfId="7818"/>
    <cellStyle name="Separador de milhares 3 2 3 2 2 6 3 2" xfId="19672"/>
    <cellStyle name="Separador de milhares 3 2 3 2 2 6 3 2 2" xfId="46151"/>
    <cellStyle name="Separador de milhares 3 2 3 2 2 6 3 3" xfId="13745"/>
    <cellStyle name="Separador de milhares 3 2 3 2 2 6 3 3 2" xfId="40243"/>
    <cellStyle name="Separador de milhares 3 2 3 2 2 6 3 4" xfId="34335"/>
    <cellStyle name="Separador de milhares 3 2 3 2 2 6 3 5" xfId="27801"/>
    <cellStyle name="Separador de milhares 3 2 3 2 2 6 4" xfId="16708"/>
    <cellStyle name="Separador de milhares 3 2 3 2 2 6 4 2" xfId="43197"/>
    <cellStyle name="Separador de milhares 3 2 3 2 2 6 4 3" xfId="24295"/>
    <cellStyle name="Separador de milhares 3 2 3 2 2 6 5" xfId="10781"/>
    <cellStyle name="Separador de milhares 3 2 3 2 2 6 5 2" xfId="37289"/>
    <cellStyle name="Separador de milhares 3 2 3 2 2 6 6" xfId="30829"/>
    <cellStyle name="Separador de milhares 3 2 3 2 2 6 7" xfId="22523"/>
    <cellStyle name="Separador de milhares 3 2 3 2 2 7" xfId="5045"/>
    <cellStyle name="Separador de milhares 3 2 3 2 2 7 2" xfId="8260"/>
    <cellStyle name="Separador de milhares 3 2 3 2 2 7 2 2" xfId="20114"/>
    <cellStyle name="Separador de milhares 3 2 3 2 2 7 2 2 2" xfId="46593"/>
    <cellStyle name="Separador de milhares 3 2 3 2 2 7 2 3" xfId="14187"/>
    <cellStyle name="Separador de milhares 3 2 3 2 2 7 2 3 2" xfId="40685"/>
    <cellStyle name="Separador de milhares 3 2 3 2 2 7 2 4" xfId="34777"/>
    <cellStyle name="Separador de milhares 3 2 3 2 2 7 2 5" xfId="28243"/>
    <cellStyle name="Separador de milhares 3 2 3 2 2 7 3" xfId="17150"/>
    <cellStyle name="Separador de milhares 3 2 3 2 2 7 3 2" xfId="43639"/>
    <cellStyle name="Separador de milhares 3 2 3 2 2 7 4" xfId="11223"/>
    <cellStyle name="Separador de milhares 3 2 3 2 2 7 4 2" xfId="37731"/>
    <cellStyle name="Separador de milhares 3 2 3 2 2 7 5" xfId="31572"/>
    <cellStyle name="Separador de milhares 3 2 3 2 2 7 6" xfId="25038"/>
    <cellStyle name="Separador de milhares 3 2 3 2 2 8" xfId="6784"/>
    <cellStyle name="Separador de milhares 3 2 3 2 2 8 2" xfId="18638"/>
    <cellStyle name="Separador de milhares 3 2 3 2 2 8 2 2" xfId="45125"/>
    <cellStyle name="Separador de milhares 3 2 3 2 2 8 3" xfId="12711"/>
    <cellStyle name="Separador de milhares 3 2 3 2 2 8 3 2" xfId="39217"/>
    <cellStyle name="Separador de milhares 3 2 3 2 2 8 4" xfId="33309"/>
    <cellStyle name="Separador de milhares 3 2 3 2 2 8 5" xfId="26775"/>
    <cellStyle name="Separador de milhares 3 2 3 2 2 9" xfId="15674"/>
    <cellStyle name="Separador de milhares 3 2 3 2 2 9 2" xfId="42171"/>
    <cellStyle name="Separador de milhares 3 2 3 2 2 9 3" xfId="23266"/>
    <cellStyle name="Separador de milhares 3 2 3 2 3" xfId="1048"/>
    <cellStyle name="Separador de milhares 3 2 3 2 3 2" xfId="5196"/>
    <cellStyle name="Separador de milhares 3 2 3 2 3 2 2" xfId="8411"/>
    <cellStyle name="Separador de milhares 3 2 3 2 3 2 2 2" xfId="20265"/>
    <cellStyle name="Separador de milhares 3 2 3 2 3 2 2 2 2" xfId="46744"/>
    <cellStyle name="Separador de milhares 3 2 3 2 3 2 2 3" xfId="14338"/>
    <cellStyle name="Separador de milhares 3 2 3 2 3 2 2 3 2" xfId="40836"/>
    <cellStyle name="Separador de milhares 3 2 3 2 3 2 2 4" xfId="34928"/>
    <cellStyle name="Separador de milhares 3 2 3 2 3 2 2 5" xfId="28394"/>
    <cellStyle name="Separador de milhares 3 2 3 2 3 2 3" xfId="17301"/>
    <cellStyle name="Separador de milhares 3 2 3 2 3 2 3 2" xfId="43790"/>
    <cellStyle name="Separador de milhares 3 2 3 2 3 2 4" xfId="11374"/>
    <cellStyle name="Separador de milhares 3 2 3 2 3 2 4 2" xfId="37882"/>
    <cellStyle name="Separador de milhares 3 2 3 2 3 2 5" xfId="31723"/>
    <cellStyle name="Separador de milhares 3 2 3 2 3 2 6" xfId="25189"/>
    <cellStyle name="Separador de milhares 3 2 3 2 3 3" xfId="6938"/>
    <cellStyle name="Separador de milhares 3 2 3 2 3 3 2" xfId="18792"/>
    <cellStyle name="Separador de milhares 3 2 3 2 3 3 2 2" xfId="45276"/>
    <cellStyle name="Separador de milhares 3 2 3 2 3 3 3" xfId="12865"/>
    <cellStyle name="Separador de milhares 3 2 3 2 3 3 3 2" xfId="39368"/>
    <cellStyle name="Separador de milhares 3 2 3 2 3 3 4" xfId="33460"/>
    <cellStyle name="Separador de milhares 3 2 3 2 3 3 5" xfId="26926"/>
    <cellStyle name="Separador de milhares 3 2 3 2 3 4" xfId="15828"/>
    <cellStyle name="Separador de milhares 3 2 3 2 3 4 2" xfId="42322"/>
    <cellStyle name="Separador de milhares 3 2 3 2 3 4 3" xfId="23417"/>
    <cellStyle name="Separador de milhares 3 2 3 2 3 5" xfId="9901"/>
    <cellStyle name="Separador de milhares 3 2 3 2 3 5 2" xfId="36414"/>
    <cellStyle name="Separador de milhares 3 2 3 2 3 6" xfId="29951"/>
    <cellStyle name="Separador de milhares 3 2 3 2 3 7" xfId="21645"/>
    <cellStyle name="Separador de milhares 3 2 3 2 4" xfId="1399"/>
    <cellStyle name="Separador de milhares 3 2 3 2 4 2" xfId="5294"/>
    <cellStyle name="Separador de milhares 3 2 3 2 4 2 2" xfId="8509"/>
    <cellStyle name="Separador de milhares 3 2 3 2 4 2 2 2" xfId="20363"/>
    <cellStyle name="Separador de milhares 3 2 3 2 4 2 2 2 2" xfId="46842"/>
    <cellStyle name="Separador de milhares 3 2 3 2 4 2 2 3" xfId="14436"/>
    <cellStyle name="Separador de milhares 3 2 3 2 4 2 2 3 2" xfId="40934"/>
    <cellStyle name="Separador de milhares 3 2 3 2 4 2 2 4" xfId="35026"/>
    <cellStyle name="Separador de milhares 3 2 3 2 4 2 2 5" xfId="28492"/>
    <cellStyle name="Separador de milhares 3 2 3 2 4 2 3" xfId="17399"/>
    <cellStyle name="Separador de milhares 3 2 3 2 4 2 3 2" xfId="43888"/>
    <cellStyle name="Separador de milhares 3 2 3 2 4 2 4" xfId="11472"/>
    <cellStyle name="Separador de milhares 3 2 3 2 4 2 4 2" xfId="37980"/>
    <cellStyle name="Separador de milhares 3 2 3 2 4 2 5" xfId="31821"/>
    <cellStyle name="Separador de milhares 3 2 3 2 4 2 6" xfId="25287"/>
    <cellStyle name="Separador de milhares 3 2 3 2 4 3" xfId="7036"/>
    <cellStyle name="Separador de milhares 3 2 3 2 4 3 2" xfId="18890"/>
    <cellStyle name="Separador de milhares 3 2 3 2 4 3 2 2" xfId="45374"/>
    <cellStyle name="Separador de milhares 3 2 3 2 4 3 3" xfId="12963"/>
    <cellStyle name="Separador de milhares 3 2 3 2 4 3 3 2" xfId="39466"/>
    <cellStyle name="Separador de milhares 3 2 3 2 4 3 4" xfId="33558"/>
    <cellStyle name="Separador de milhares 3 2 3 2 4 3 5" xfId="27024"/>
    <cellStyle name="Separador de milhares 3 2 3 2 4 4" xfId="15926"/>
    <cellStyle name="Separador de milhares 3 2 3 2 4 4 2" xfId="42420"/>
    <cellStyle name="Separador de milhares 3 2 3 2 4 4 3" xfId="23515"/>
    <cellStyle name="Separador de milhares 3 2 3 2 4 5" xfId="9999"/>
    <cellStyle name="Separador de milhares 3 2 3 2 4 5 2" xfId="36512"/>
    <cellStyle name="Separador de milhares 3 2 3 2 4 6" xfId="30049"/>
    <cellStyle name="Separador de milhares 3 2 3 2 4 7" xfId="21743"/>
    <cellStyle name="Separador de milhares 3 2 3 2 5" xfId="1834"/>
    <cellStyle name="Separador de milhares 3 2 3 2 5 2" xfId="5413"/>
    <cellStyle name="Separador de milhares 3 2 3 2 5 2 2" xfId="8628"/>
    <cellStyle name="Separador de milhares 3 2 3 2 5 2 2 2" xfId="20482"/>
    <cellStyle name="Separador de milhares 3 2 3 2 5 2 2 2 2" xfId="46961"/>
    <cellStyle name="Separador de milhares 3 2 3 2 5 2 2 3" xfId="14555"/>
    <cellStyle name="Separador de milhares 3 2 3 2 5 2 2 3 2" xfId="41053"/>
    <cellStyle name="Separador de milhares 3 2 3 2 5 2 2 4" xfId="35145"/>
    <cellStyle name="Separador de milhares 3 2 3 2 5 2 2 5" xfId="28611"/>
    <cellStyle name="Separador de milhares 3 2 3 2 5 2 3" xfId="17518"/>
    <cellStyle name="Separador de milhares 3 2 3 2 5 2 3 2" xfId="44007"/>
    <cellStyle name="Separador de milhares 3 2 3 2 5 2 4" xfId="11591"/>
    <cellStyle name="Separador de milhares 3 2 3 2 5 2 4 2" xfId="38099"/>
    <cellStyle name="Separador de milhares 3 2 3 2 5 2 5" xfId="31940"/>
    <cellStyle name="Separador de milhares 3 2 3 2 5 2 6" xfId="25406"/>
    <cellStyle name="Separador de milhares 3 2 3 2 5 3" xfId="7155"/>
    <cellStyle name="Separador de milhares 3 2 3 2 5 3 2" xfId="19009"/>
    <cellStyle name="Separador de milhares 3 2 3 2 5 3 2 2" xfId="45493"/>
    <cellStyle name="Separador de milhares 3 2 3 2 5 3 3" xfId="13082"/>
    <cellStyle name="Separador de milhares 3 2 3 2 5 3 3 2" xfId="39585"/>
    <cellStyle name="Separador de milhares 3 2 3 2 5 3 4" xfId="33677"/>
    <cellStyle name="Separador de milhares 3 2 3 2 5 3 5" xfId="27143"/>
    <cellStyle name="Separador de milhares 3 2 3 2 5 4" xfId="16045"/>
    <cellStyle name="Separador de milhares 3 2 3 2 5 4 2" xfId="42539"/>
    <cellStyle name="Separador de milhares 3 2 3 2 5 4 3" xfId="23634"/>
    <cellStyle name="Separador de milhares 3 2 3 2 5 5" xfId="10118"/>
    <cellStyle name="Separador de milhares 3 2 3 2 5 5 2" xfId="36631"/>
    <cellStyle name="Separador de milhares 3 2 3 2 5 6" xfId="30168"/>
    <cellStyle name="Separador de milhares 3 2 3 2 5 7" xfId="21862"/>
    <cellStyle name="Separador de milhares 3 2 3 2 6" xfId="2367"/>
    <cellStyle name="Separador de milhares 3 2 3 2 6 2" xfId="5563"/>
    <cellStyle name="Separador de milhares 3 2 3 2 6 2 2" xfId="8775"/>
    <cellStyle name="Separador de milhares 3 2 3 2 6 2 2 2" xfId="20629"/>
    <cellStyle name="Separador de milhares 3 2 3 2 6 2 2 2 2" xfId="47108"/>
    <cellStyle name="Separador de milhares 3 2 3 2 6 2 2 3" xfId="14702"/>
    <cellStyle name="Separador de milhares 3 2 3 2 6 2 2 3 2" xfId="41200"/>
    <cellStyle name="Separador de milhares 3 2 3 2 6 2 2 4" xfId="35292"/>
    <cellStyle name="Separador de milhares 3 2 3 2 6 2 2 5" xfId="28758"/>
    <cellStyle name="Separador de milhares 3 2 3 2 6 2 3" xfId="17665"/>
    <cellStyle name="Separador de milhares 3 2 3 2 6 2 3 2" xfId="44154"/>
    <cellStyle name="Separador de milhares 3 2 3 2 6 2 4" xfId="11738"/>
    <cellStyle name="Separador de milhares 3 2 3 2 6 2 4 2" xfId="38246"/>
    <cellStyle name="Separador de milhares 3 2 3 2 6 2 5" xfId="32090"/>
    <cellStyle name="Separador de milhares 3 2 3 2 6 2 6" xfId="25556"/>
    <cellStyle name="Separador de milhares 3 2 3 2 6 3" xfId="7303"/>
    <cellStyle name="Separador de milhares 3 2 3 2 6 3 2" xfId="19157"/>
    <cellStyle name="Separador de milhares 3 2 3 2 6 3 2 2" xfId="45640"/>
    <cellStyle name="Separador de milhares 3 2 3 2 6 3 3" xfId="13230"/>
    <cellStyle name="Separador de milhares 3 2 3 2 6 3 3 2" xfId="39732"/>
    <cellStyle name="Separador de milhares 3 2 3 2 6 3 4" xfId="33824"/>
    <cellStyle name="Separador de milhares 3 2 3 2 6 3 5" xfId="27290"/>
    <cellStyle name="Separador de milhares 3 2 3 2 6 4" xfId="16193"/>
    <cellStyle name="Separador de milhares 3 2 3 2 6 4 2" xfId="42686"/>
    <cellStyle name="Separador de milhares 3 2 3 2 6 4 3" xfId="23784"/>
    <cellStyle name="Separador de milhares 3 2 3 2 6 5" xfId="10266"/>
    <cellStyle name="Separador de milhares 3 2 3 2 6 5 2" xfId="36778"/>
    <cellStyle name="Separador de milhares 3 2 3 2 6 6" xfId="30318"/>
    <cellStyle name="Separador de milhares 3 2 3 2 6 7" xfId="22012"/>
    <cellStyle name="Separador de milhares 3 2 3 2 7" xfId="2895"/>
    <cellStyle name="Separador de milhares 3 2 3 2 7 2" xfId="5710"/>
    <cellStyle name="Separador de milhares 3 2 3 2 7 2 2" xfId="8922"/>
    <cellStyle name="Separador de milhares 3 2 3 2 7 2 2 2" xfId="20776"/>
    <cellStyle name="Separador de milhares 3 2 3 2 7 2 2 2 2" xfId="47255"/>
    <cellStyle name="Separador de milhares 3 2 3 2 7 2 2 3" xfId="14849"/>
    <cellStyle name="Separador de milhares 3 2 3 2 7 2 2 3 2" xfId="41347"/>
    <cellStyle name="Separador de milhares 3 2 3 2 7 2 2 4" xfId="35439"/>
    <cellStyle name="Separador de milhares 3 2 3 2 7 2 2 5" xfId="28905"/>
    <cellStyle name="Separador de milhares 3 2 3 2 7 2 3" xfId="17812"/>
    <cellStyle name="Separador de milhares 3 2 3 2 7 2 3 2" xfId="44301"/>
    <cellStyle name="Separador de milhares 3 2 3 2 7 2 4" xfId="11885"/>
    <cellStyle name="Separador de milhares 3 2 3 2 7 2 4 2" xfId="38393"/>
    <cellStyle name="Separador de milhares 3 2 3 2 7 2 5" xfId="32237"/>
    <cellStyle name="Separador de milhares 3 2 3 2 7 2 6" xfId="25703"/>
    <cellStyle name="Separador de milhares 3 2 3 2 7 3" xfId="7451"/>
    <cellStyle name="Separador de milhares 3 2 3 2 7 3 2" xfId="19305"/>
    <cellStyle name="Separador de milhares 3 2 3 2 7 3 2 2" xfId="45787"/>
    <cellStyle name="Separador de milhares 3 2 3 2 7 3 3" xfId="13378"/>
    <cellStyle name="Separador de milhares 3 2 3 2 7 3 3 2" xfId="39879"/>
    <cellStyle name="Separador de milhares 3 2 3 2 7 3 4" xfId="33971"/>
    <cellStyle name="Separador de milhares 3 2 3 2 7 3 5" xfId="27437"/>
    <cellStyle name="Separador de milhares 3 2 3 2 7 4" xfId="16341"/>
    <cellStyle name="Separador de milhares 3 2 3 2 7 4 2" xfId="42833"/>
    <cellStyle name="Separador de milhares 3 2 3 2 7 4 3" xfId="23931"/>
    <cellStyle name="Separador de milhares 3 2 3 2 7 5" xfId="10414"/>
    <cellStyle name="Separador de milhares 3 2 3 2 7 5 2" xfId="36925"/>
    <cellStyle name="Separador de milhares 3 2 3 2 7 6" xfId="30465"/>
    <cellStyle name="Separador de milhares 3 2 3 2 7 7" xfId="22159"/>
    <cellStyle name="Separador de milhares 3 2 3 2 8" xfId="3423"/>
    <cellStyle name="Separador de milhares 3 2 3 2 8 2" xfId="5857"/>
    <cellStyle name="Separador de milhares 3 2 3 2 8 2 2" xfId="9069"/>
    <cellStyle name="Separador de milhares 3 2 3 2 8 2 2 2" xfId="20923"/>
    <cellStyle name="Separador de milhares 3 2 3 2 8 2 2 2 2" xfId="47402"/>
    <cellStyle name="Separador de milhares 3 2 3 2 8 2 2 3" xfId="14996"/>
    <cellStyle name="Separador de milhares 3 2 3 2 8 2 2 3 2" xfId="41494"/>
    <cellStyle name="Separador de milhares 3 2 3 2 8 2 2 4" xfId="35586"/>
    <cellStyle name="Separador de milhares 3 2 3 2 8 2 2 5" xfId="29052"/>
    <cellStyle name="Separador de milhares 3 2 3 2 8 2 3" xfId="17959"/>
    <cellStyle name="Separador de milhares 3 2 3 2 8 2 3 2" xfId="44448"/>
    <cellStyle name="Separador de milhares 3 2 3 2 8 2 4" xfId="12032"/>
    <cellStyle name="Separador de milhares 3 2 3 2 8 2 4 2" xfId="38540"/>
    <cellStyle name="Separador de milhares 3 2 3 2 8 2 5" xfId="32384"/>
    <cellStyle name="Separador de milhares 3 2 3 2 8 2 6" xfId="25850"/>
    <cellStyle name="Separador de milhares 3 2 3 2 8 3" xfId="7599"/>
    <cellStyle name="Separador de milhares 3 2 3 2 8 3 2" xfId="19453"/>
    <cellStyle name="Separador de milhares 3 2 3 2 8 3 2 2" xfId="45934"/>
    <cellStyle name="Separador de milhares 3 2 3 2 8 3 3" xfId="13526"/>
    <cellStyle name="Separador de milhares 3 2 3 2 8 3 3 2" xfId="40026"/>
    <cellStyle name="Separador de milhares 3 2 3 2 8 3 4" xfId="34118"/>
    <cellStyle name="Separador de milhares 3 2 3 2 8 3 5" xfId="27584"/>
    <cellStyle name="Separador de milhares 3 2 3 2 8 4" xfId="16489"/>
    <cellStyle name="Separador de milhares 3 2 3 2 8 4 2" xfId="42980"/>
    <cellStyle name="Separador de milhares 3 2 3 2 8 4 3" xfId="24078"/>
    <cellStyle name="Separador de milhares 3 2 3 2 8 5" xfId="10562"/>
    <cellStyle name="Separador de milhares 3 2 3 2 8 5 2" xfId="37072"/>
    <cellStyle name="Separador de milhares 3 2 3 2 8 6" xfId="30612"/>
    <cellStyle name="Separador de milhares 3 2 3 2 8 7" xfId="22306"/>
    <cellStyle name="Separador de milhares 3 2 3 2 9" xfId="3951"/>
    <cellStyle name="Separador de milhares 3 2 3 2 9 2" xfId="6004"/>
    <cellStyle name="Separador de milhares 3 2 3 2 9 2 2" xfId="9216"/>
    <cellStyle name="Separador de milhares 3 2 3 2 9 2 2 2" xfId="21070"/>
    <cellStyle name="Separador de milhares 3 2 3 2 9 2 2 2 2" xfId="47549"/>
    <cellStyle name="Separador de milhares 3 2 3 2 9 2 2 3" xfId="15143"/>
    <cellStyle name="Separador de milhares 3 2 3 2 9 2 2 3 2" xfId="41641"/>
    <cellStyle name="Separador de milhares 3 2 3 2 9 2 2 4" xfId="35733"/>
    <cellStyle name="Separador de milhares 3 2 3 2 9 2 2 5" xfId="29199"/>
    <cellStyle name="Separador de milhares 3 2 3 2 9 2 3" xfId="18106"/>
    <cellStyle name="Separador de milhares 3 2 3 2 9 2 3 2" xfId="44595"/>
    <cellStyle name="Separador de milhares 3 2 3 2 9 2 4" xfId="12179"/>
    <cellStyle name="Separador de milhares 3 2 3 2 9 2 4 2" xfId="38687"/>
    <cellStyle name="Separador de milhares 3 2 3 2 9 2 5" xfId="32531"/>
    <cellStyle name="Separador de milhares 3 2 3 2 9 2 6" xfId="25997"/>
    <cellStyle name="Separador de milhares 3 2 3 2 9 3" xfId="7747"/>
    <cellStyle name="Separador de milhares 3 2 3 2 9 3 2" xfId="19601"/>
    <cellStyle name="Separador de milhares 3 2 3 2 9 3 2 2" xfId="46081"/>
    <cellStyle name="Separador de milhares 3 2 3 2 9 3 3" xfId="13674"/>
    <cellStyle name="Separador de milhares 3 2 3 2 9 3 3 2" xfId="40173"/>
    <cellStyle name="Separador de milhares 3 2 3 2 9 3 4" xfId="34265"/>
    <cellStyle name="Separador de milhares 3 2 3 2 9 3 5" xfId="27731"/>
    <cellStyle name="Separador de milhares 3 2 3 2 9 4" xfId="16637"/>
    <cellStyle name="Separador de milhares 3 2 3 2 9 4 2" xfId="43127"/>
    <cellStyle name="Separador de milhares 3 2 3 2 9 4 3" xfId="24225"/>
    <cellStyle name="Separador de milhares 3 2 3 2 9 5" xfId="10710"/>
    <cellStyle name="Separador de milhares 3 2 3 2 9 5 2" xfId="37219"/>
    <cellStyle name="Separador de milhares 3 2 3 2 9 6" xfId="30759"/>
    <cellStyle name="Separador de milhares 3 2 3 2 9 7" xfId="22453"/>
    <cellStyle name="Separador de milhares 3 2 3 3" xfId="396"/>
    <cellStyle name="Separador de milhares 3 2 3 3 10" xfId="4995"/>
    <cellStyle name="Separador de milhares 3 2 3 3 10 2" xfId="8214"/>
    <cellStyle name="Separador de milhares 3 2 3 3 10 2 2" xfId="20068"/>
    <cellStyle name="Separador de milhares 3 2 3 3 10 2 2 2" xfId="46547"/>
    <cellStyle name="Separador de milhares 3 2 3 3 10 2 3" xfId="14141"/>
    <cellStyle name="Separador de milhares 3 2 3 3 10 2 3 2" xfId="40639"/>
    <cellStyle name="Separador de milhares 3 2 3 3 10 2 4" xfId="34731"/>
    <cellStyle name="Separador de milhares 3 2 3 3 10 2 5" xfId="28197"/>
    <cellStyle name="Separador de milhares 3 2 3 3 10 3" xfId="17104"/>
    <cellStyle name="Separador de milhares 3 2 3 3 10 3 2" xfId="43593"/>
    <cellStyle name="Separador de milhares 3 2 3 3 10 4" xfId="11177"/>
    <cellStyle name="Separador de milhares 3 2 3 3 10 4 2" xfId="37685"/>
    <cellStyle name="Separador de milhares 3 2 3 3 10 5" xfId="31522"/>
    <cellStyle name="Separador de milhares 3 2 3 3 10 6" xfId="24988"/>
    <cellStyle name="Separador de milhares 3 2 3 3 11" xfId="6738"/>
    <cellStyle name="Separador de milhares 3 2 3 3 11 2" xfId="18592"/>
    <cellStyle name="Separador de milhares 3 2 3 3 11 2 2" xfId="45079"/>
    <cellStyle name="Separador de milhares 3 2 3 3 11 3" xfId="12665"/>
    <cellStyle name="Separador de milhares 3 2 3 3 11 3 2" xfId="39171"/>
    <cellStyle name="Separador de milhares 3 2 3 3 11 4" xfId="33263"/>
    <cellStyle name="Separador de milhares 3 2 3 3 11 5" xfId="26729"/>
    <cellStyle name="Separador de milhares 3 2 3 3 12" xfId="15628"/>
    <cellStyle name="Separador de milhares 3 2 3 3 12 2" xfId="42125"/>
    <cellStyle name="Separador de milhares 3 2 3 3 12 3" xfId="23216"/>
    <cellStyle name="Separador de milhares 3 2 3 3 13" xfId="9701"/>
    <cellStyle name="Separador de milhares 3 2 3 3 13 2" xfId="36217"/>
    <cellStyle name="Separador de milhares 3 2 3 3 14" xfId="29750"/>
    <cellStyle name="Separador de milhares 3 2 3 3 15" xfId="21468"/>
    <cellStyle name="Separador de milhares 3 2 3 3 2" xfId="659"/>
    <cellStyle name="Separador de milhares 3 2 3 3 2 2" xfId="5066"/>
    <cellStyle name="Separador de milhares 3 2 3 3 2 2 2" xfId="8281"/>
    <cellStyle name="Separador de milhares 3 2 3 3 2 2 2 2" xfId="20135"/>
    <cellStyle name="Separador de milhares 3 2 3 3 2 2 2 2 2" xfId="46614"/>
    <cellStyle name="Separador de milhares 3 2 3 3 2 2 2 3" xfId="14208"/>
    <cellStyle name="Separador de milhares 3 2 3 3 2 2 2 3 2" xfId="40706"/>
    <cellStyle name="Separador de milhares 3 2 3 3 2 2 2 4" xfId="34798"/>
    <cellStyle name="Separador de milhares 3 2 3 3 2 2 2 5" xfId="28264"/>
    <cellStyle name="Separador de milhares 3 2 3 3 2 2 3" xfId="17171"/>
    <cellStyle name="Separador de milhares 3 2 3 3 2 2 3 2" xfId="43660"/>
    <cellStyle name="Separador de milhares 3 2 3 3 2 2 4" xfId="11244"/>
    <cellStyle name="Separador de milhares 3 2 3 3 2 2 4 2" xfId="37752"/>
    <cellStyle name="Separador de milhares 3 2 3 3 2 2 5" xfId="31593"/>
    <cellStyle name="Separador de milhares 3 2 3 3 2 2 6" xfId="25059"/>
    <cellStyle name="Separador de milhares 3 2 3 3 2 3" xfId="6805"/>
    <cellStyle name="Separador de milhares 3 2 3 3 2 3 2" xfId="18659"/>
    <cellStyle name="Separador de milhares 3 2 3 3 2 3 2 2" xfId="45146"/>
    <cellStyle name="Separador de milhares 3 2 3 3 2 3 3" xfId="12732"/>
    <cellStyle name="Separador de milhares 3 2 3 3 2 3 3 2" xfId="39238"/>
    <cellStyle name="Separador de milhares 3 2 3 3 2 3 4" xfId="33330"/>
    <cellStyle name="Separador de milhares 3 2 3 3 2 3 5" xfId="26796"/>
    <cellStyle name="Separador de milhares 3 2 3 3 2 4" xfId="15695"/>
    <cellStyle name="Separador de milhares 3 2 3 3 2 4 2" xfId="42192"/>
    <cellStyle name="Separador de milhares 3 2 3 3 2 4 3" xfId="23287"/>
    <cellStyle name="Separador de milhares 3 2 3 3 2 5" xfId="9768"/>
    <cellStyle name="Separador de milhares 3 2 3 3 2 5 2" xfId="36284"/>
    <cellStyle name="Separador de milhares 3 2 3 3 2 6" xfId="29821"/>
    <cellStyle name="Separador de milhares 3 2 3 3 2 7" xfId="21516"/>
    <cellStyle name="Separador de milhares 3 2 3 3 3" xfId="957"/>
    <cellStyle name="Separador de milhares 3 2 3 3 3 2" xfId="5168"/>
    <cellStyle name="Separador de milhares 3 2 3 3 3 2 2" xfId="8383"/>
    <cellStyle name="Separador de milhares 3 2 3 3 3 2 2 2" xfId="20237"/>
    <cellStyle name="Separador de milhares 3 2 3 3 3 2 2 2 2" xfId="46716"/>
    <cellStyle name="Separador de milhares 3 2 3 3 3 2 2 3" xfId="14310"/>
    <cellStyle name="Separador de milhares 3 2 3 3 3 2 2 3 2" xfId="40808"/>
    <cellStyle name="Separador de milhares 3 2 3 3 3 2 2 4" xfId="34900"/>
    <cellStyle name="Separador de milhares 3 2 3 3 3 2 2 5" xfId="28366"/>
    <cellStyle name="Separador de milhares 3 2 3 3 3 2 3" xfId="17273"/>
    <cellStyle name="Separador de milhares 3 2 3 3 3 2 3 2" xfId="43762"/>
    <cellStyle name="Separador de milhares 3 2 3 3 3 2 4" xfId="11346"/>
    <cellStyle name="Separador de milhares 3 2 3 3 3 2 4 2" xfId="37854"/>
    <cellStyle name="Separador de milhares 3 2 3 3 3 2 5" xfId="31695"/>
    <cellStyle name="Separador de milhares 3 2 3 3 3 2 6" xfId="25161"/>
    <cellStyle name="Separador de milhares 3 2 3 3 3 3" xfId="6910"/>
    <cellStyle name="Separador de milhares 3 2 3 3 3 3 2" xfId="18764"/>
    <cellStyle name="Separador de milhares 3 2 3 3 3 3 2 2" xfId="45248"/>
    <cellStyle name="Separador de milhares 3 2 3 3 3 3 3" xfId="12837"/>
    <cellStyle name="Separador de milhares 3 2 3 3 3 3 3 2" xfId="39340"/>
    <cellStyle name="Separador de milhares 3 2 3 3 3 3 4" xfId="33432"/>
    <cellStyle name="Separador de milhares 3 2 3 3 3 3 5" xfId="26898"/>
    <cellStyle name="Separador de milhares 3 2 3 3 3 4" xfId="15800"/>
    <cellStyle name="Separador de milhares 3 2 3 3 3 4 2" xfId="42294"/>
    <cellStyle name="Separador de milhares 3 2 3 3 3 4 3" xfId="23389"/>
    <cellStyle name="Separador de milhares 3 2 3 3 3 5" xfId="9873"/>
    <cellStyle name="Separador de milhares 3 2 3 3 3 5 2" xfId="36386"/>
    <cellStyle name="Separador de milhares 3 2 3 3 3 6" xfId="29923"/>
    <cellStyle name="Separador de milhares 3 2 3 3 3 7" xfId="21617"/>
    <cellStyle name="Separador de milhares 3 2 3 3 4" xfId="1308"/>
    <cellStyle name="Separador de milhares 3 2 3 3 4 2" xfId="5266"/>
    <cellStyle name="Separador de milhares 3 2 3 3 4 2 2" xfId="8481"/>
    <cellStyle name="Separador de milhares 3 2 3 3 4 2 2 2" xfId="20335"/>
    <cellStyle name="Separador de milhares 3 2 3 3 4 2 2 2 2" xfId="46814"/>
    <cellStyle name="Separador de milhares 3 2 3 3 4 2 2 3" xfId="14408"/>
    <cellStyle name="Separador de milhares 3 2 3 3 4 2 2 3 2" xfId="40906"/>
    <cellStyle name="Separador de milhares 3 2 3 3 4 2 2 4" xfId="34998"/>
    <cellStyle name="Separador de milhares 3 2 3 3 4 2 2 5" xfId="28464"/>
    <cellStyle name="Separador de milhares 3 2 3 3 4 2 3" xfId="17371"/>
    <cellStyle name="Separador de milhares 3 2 3 3 4 2 3 2" xfId="43860"/>
    <cellStyle name="Separador de milhares 3 2 3 3 4 2 4" xfId="11444"/>
    <cellStyle name="Separador de milhares 3 2 3 3 4 2 4 2" xfId="37952"/>
    <cellStyle name="Separador de milhares 3 2 3 3 4 2 5" xfId="31793"/>
    <cellStyle name="Separador de milhares 3 2 3 3 4 2 6" xfId="25259"/>
    <cellStyle name="Separador de milhares 3 2 3 3 4 3" xfId="7008"/>
    <cellStyle name="Separador de milhares 3 2 3 3 4 3 2" xfId="18862"/>
    <cellStyle name="Separador de milhares 3 2 3 3 4 3 2 2" xfId="45346"/>
    <cellStyle name="Separador de milhares 3 2 3 3 4 3 3" xfId="12935"/>
    <cellStyle name="Separador de milhares 3 2 3 3 4 3 3 2" xfId="39438"/>
    <cellStyle name="Separador de milhares 3 2 3 3 4 3 4" xfId="33530"/>
    <cellStyle name="Separador de milhares 3 2 3 3 4 3 5" xfId="26996"/>
    <cellStyle name="Separador de milhares 3 2 3 3 4 4" xfId="15898"/>
    <cellStyle name="Separador de milhares 3 2 3 3 4 4 2" xfId="42392"/>
    <cellStyle name="Separador de milhares 3 2 3 3 4 4 3" xfId="23487"/>
    <cellStyle name="Separador de milhares 3 2 3 3 4 5" xfId="9971"/>
    <cellStyle name="Separador de milhares 3 2 3 3 4 5 2" xfId="36484"/>
    <cellStyle name="Separador de milhares 3 2 3 3 4 6" xfId="30021"/>
    <cellStyle name="Separador de milhares 3 2 3 3 4 7" xfId="21715"/>
    <cellStyle name="Separador de milhares 3 2 3 3 5" xfId="1743"/>
    <cellStyle name="Separador de milhares 3 2 3 3 5 2" xfId="5385"/>
    <cellStyle name="Separador de milhares 3 2 3 3 5 2 2" xfId="8600"/>
    <cellStyle name="Separador de milhares 3 2 3 3 5 2 2 2" xfId="20454"/>
    <cellStyle name="Separador de milhares 3 2 3 3 5 2 2 2 2" xfId="46933"/>
    <cellStyle name="Separador de milhares 3 2 3 3 5 2 2 3" xfId="14527"/>
    <cellStyle name="Separador de milhares 3 2 3 3 5 2 2 3 2" xfId="41025"/>
    <cellStyle name="Separador de milhares 3 2 3 3 5 2 2 4" xfId="35117"/>
    <cellStyle name="Separador de milhares 3 2 3 3 5 2 2 5" xfId="28583"/>
    <cellStyle name="Separador de milhares 3 2 3 3 5 2 3" xfId="17490"/>
    <cellStyle name="Separador de milhares 3 2 3 3 5 2 3 2" xfId="43979"/>
    <cellStyle name="Separador de milhares 3 2 3 3 5 2 4" xfId="11563"/>
    <cellStyle name="Separador de milhares 3 2 3 3 5 2 4 2" xfId="38071"/>
    <cellStyle name="Separador de milhares 3 2 3 3 5 2 5" xfId="31912"/>
    <cellStyle name="Separador de milhares 3 2 3 3 5 2 6" xfId="25378"/>
    <cellStyle name="Separador de milhares 3 2 3 3 5 3" xfId="7127"/>
    <cellStyle name="Separador de milhares 3 2 3 3 5 3 2" xfId="18981"/>
    <cellStyle name="Separador de milhares 3 2 3 3 5 3 2 2" xfId="45465"/>
    <cellStyle name="Separador de milhares 3 2 3 3 5 3 3" xfId="13054"/>
    <cellStyle name="Separador de milhares 3 2 3 3 5 3 3 2" xfId="39557"/>
    <cellStyle name="Separador de milhares 3 2 3 3 5 3 4" xfId="33649"/>
    <cellStyle name="Separador de milhares 3 2 3 3 5 3 5" xfId="27115"/>
    <cellStyle name="Separador de milhares 3 2 3 3 5 4" xfId="16017"/>
    <cellStyle name="Separador de milhares 3 2 3 3 5 4 2" xfId="42511"/>
    <cellStyle name="Separador de milhares 3 2 3 3 5 4 3" xfId="23606"/>
    <cellStyle name="Separador de milhares 3 2 3 3 5 5" xfId="10090"/>
    <cellStyle name="Separador de milhares 3 2 3 3 5 5 2" xfId="36603"/>
    <cellStyle name="Separador de milhares 3 2 3 3 5 6" xfId="30140"/>
    <cellStyle name="Separador de milhares 3 2 3 3 5 7" xfId="21834"/>
    <cellStyle name="Separador de milhares 3 2 3 3 6" xfId="2276"/>
    <cellStyle name="Separador de milhares 3 2 3 3 6 2" xfId="5535"/>
    <cellStyle name="Separador de milhares 3 2 3 3 6 2 2" xfId="8747"/>
    <cellStyle name="Separador de milhares 3 2 3 3 6 2 2 2" xfId="20601"/>
    <cellStyle name="Separador de milhares 3 2 3 3 6 2 2 2 2" xfId="47080"/>
    <cellStyle name="Separador de milhares 3 2 3 3 6 2 2 3" xfId="14674"/>
    <cellStyle name="Separador de milhares 3 2 3 3 6 2 2 3 2" xfId="41172"/>
    <cellStyle name="Separador de milhares 3 2 3 3 6 2 2 4" xfId="35264"/>
    <cellStyle name="Separador de milhares 3 2 3 3 6 2 2 5" xfId="28730"/>
    <cellStyle name="Separador de milhares 3 2 3 3 6 2 3" xfId="17637"/>
    <cellStyle name="Separador de milhares 3 2 3 3 6 2 3 2" xfId="44126"/>
    <cellStyle name="Separador de milhares 3 2 3 3 6 2 4" xfId="11710"/>
    <cellStyle name="Separador de milhares 3 2 3 3 6 2 4 2" xfId="38218"/>
    <cellStyle name="Separador de milhares 3 2 3 3 6 2 5" xfId="32062"/>
    <cellStyle name="Separador de milhares 3 2 3 3 6 2 6" xfId="25528"/>
    <cellStyle name="Separador de milhares 3 2 3 3 6 3" xfId="7275"/>
    <cellStyle name="Separador de milhares 3 2 3 3 6 3 2" xfId="19129"/>
    <cellStyle name="Separador de milhares 3 2 3 3 6 3 2 2" xfId="45612"/>
    <cellStyle name="Separador de milhares 3 2 3 3 6 3 3" xfId="13202"/>
    <cellStyle name="Separador de milhares 3 2 3 3 6 3 3 2" xfId="39704"/>
    <cellStyle name="Separador de milhares 3 2 3 3 6 3 4" xfId="33796"/>
    <cellStyle name="Separador de milhares 3 2 3 3 6 3 5" xfId="27262"/>
    <cellStyle name="Separador de milhares 3 2 3 3 6 4" xfId="16165"/>
    <cellStyle name="Separador de milhares 3 2 3 3 6 4 2" xfId="42658"/>
    <cellStyle name="Separador de milhares 3 2 3 3 6 4 3" xfId="23756"/>
    <cellStyle name="Separador de milhares 3 2 3 3 6 5" xfId="10238"/>
    <cellStyle name="Separador de milhares 3 2 3 3 6 5 2" xfId="36750"/>
    <cellStyle name="Separador de milhares 3 2 3 3 6 6" xfId="30290"/>
    <cellStyle name="Separador de milhares 3 2 3 3 6 7" xfId="21984"/>
    <cellStyle name="Separador de milhares 3 2 3 3 7" xfId="2804"/>
    <cellStyle name="Separador de milhares 3 2 3 3 7 2" xfId="5682"/>
    <cellStyle name="Separador de milhares 3 2 3 3 7 2 2" xfId="8894"/>
    <cellStyle name="Separador de milhares 3 2 3 3 7 2 2 2" xfId="20748"/>
    <cellStyle name="Separador de milhares 3 2 3 3 7 2 2 2 2" xfId="47227"/>
    <cellStyle name="Separador de milhares 3 2 3 3 7 2 2 3" xfId="14821"/>
    <cellStyle name="Separador de milhares 3 2 3 3 7 2 2 3 2" xfId="41319"/>
    <cellStyle name="Separador de milhares 3 2 3 3 7 2 2 4" xfId="35411"/>
    <cellStyle name="Separador de milhares 3 2 3 3 7 2 2 5" xfId="28877"/>
    <cellStyle name="Separador de milhares 3 2 3 3 7 2 3" xfId="17784"/>
    <cellStyle name="Separador de milhares 3 2 3 3 7 2 3 2" xfId="44273"/>
    <cellStyle name="Separador de milhares 3 2 3 3 7 2 4" xfId="11857"/>
    <cellStyle name="Separador de milhares 3 2 3 3 7 2 4 2" xfId="38365"/>
    <cellStyle name="Separador de milhares 3 2 3 3 7 2 5" xfId="32209"/>
    <cellStyle name="Separador de milhares 3 2 3 3 7 2 6" xfId="25675"/>
    <cellStyle name="Separador de milhares 3 2 3 3 7 3" xfId="7423"/>
    <cellStyle name="Separador de milhares 3 2 3 3 7 3 2" xfId="19277"/>
    <cellStyle name="Separador de milhares 3 2 3 3 7 3 2 2" xfId="45759"/>
    <cellStyle name="Separador de milhares 3 2 3 3 7 3 3" xfId="13350"/>
    <cellStyle name="Separador de milhares 3 2 3 3 7 3 3 2" xfId="39851"/>
    <cellStyle name="Separador de milhares 3 2 3 3 7 3 4" xfId="33943"/>
    <cellStyle name="Separador de milhares 3 2 3 3 7 3 5" xfId="27409"/>
    <cellStyle name="Separador de milhares 3 2 3 3 7 4" xfId="16313"/>
    <cellStyle name="Separador de milhares 3 2 3 3 7 4 2" xfId="42805"/>
    <cellStyle name="Separador de milhares 3 2 3 3 7 4 3" xfId="23903"/>
    <cellStyle name="Separador de milhares 3 2 3 3 7 5" xfId="10386"/>
    <cellStyle name="Separador de milhares 3 2 3 3 7 5 2" xfId="36897"/>
    <cellStyle name="Separador de milhares 3 2 3 3 7 6" xfId="30437"/>
    <cellStyle name="Separador de milhares 3 2 3 3 7 7" xfId="22131"/>
    <cellStyle name="Separador de milhares 3 2 3 3 8" xfId="3332"/>
    <cellStyle name="Separador de milhares 3 2 3 3 8 2" xfId="5829"/>
    <cellStyle name="Separador de milhares 3 2 3 3 8 2 2" xfId="9041"/>
    <cellStyle name="Separador de milhares 3 2 3 3 8 2 2 2" xfId="20895"/>
    <cellStyle name="Separador de milhares 3 2 3 3 8 2 2 2 2" xfId="47374"/>
    <cellStyle name="Separador de milhares 3 2 3 3 8 2 2 3" xfId="14968"/>
    <cellStyle name="Separador de milhares 3 2 3 3 8 2 2 3 2" xfId="41466"/>
    <cellStyle name="Separador de milhares 3 2 3 3 8 2 2 4" xfId="35558"/>
    <cellStyle name="Separador de milhares 3 2 3 3 8 2 2 5" xfId="29024"/>
    <cellStyle name="Separador de milhares 3 2 3 3 8 2 3" xfId="17931"/>
    <cellStyle name="Separador de milhares 3 2 3 3 8 2 3 2" xfId="44420"/>
    <cellStyle name="Separador de milhares 3 2 3 3 8 2 4" xfId="12004"/>
    <cellStyle name="Separador de milhares 3 2 3 3 8 2 4 2" xfId="38512"/>
    <cellStyle name="Separador de milhares 3 2 3 3 8 2 5" xfId="32356"/>
    <cellStyle name="Separador de milhares 3 2 3 3 8 2 6" xfId="25822"/>
    <cellStyle name="Separador de milhares 3 2 3 3 8 3" xfId="7571"/>
    <cellStyle name="Separador de milhares 3 2 3 3 8 3 2" xfId="19425"/>
    <cellStyle name="Separador de milhares 3 2 3 3 8 3 2 2" xfId="45906"/>
    <cellStyle name="Separador de milhares 3 2 3 3 8 3 3" xfId="13498"/>
    <cellStyle name="Separador de milhares 3 2 3 3 8 3 3 2" xfId="39998"/>
    <cellStyle name="Separador de milhares 3 2 3 3 8 3 4" xfId="34090"/>
    <cellStyle name="Separador de milhares 3 2 3 3 8 3 5" xfId="27556"/>
    <cellStyle name="Separador de milhares 3 2 3 3 8 4" xfId="16461"/>
    <cellStyle name="Separador de milhares 3 2 3 3 8 4 2" xfId="42952"/>
    <cellStyle name="Separador de milhares 3 2 3 3 8 4 3" xfId="24050"/>
    <cellStyle name="Separador de milhares 3 2 3 3 8 5" xfId="10534"/>
    <cellStyle name="Separador de milhares 3 2 3 3 8 5 2" xfId="37044"/>
    <cellStyle name="Separador de milhares 3 2 3 3 8 6" xfId="30584"/>
    <cellStyle name="Separador de milhares 3 2 3 3 8 7" xfId="22278"/>
    <cellStyle name="Separador de milhares 3 2 3 3 9" xfId="3860"/>
    <cellStyle name="Separador de milhares 3 2 3 3 9 2" xfId="5976"/>
    <cellStyle name="Separador de milhares 3 2 3 3 9 2 2" xfId="9188"/>
    <cellStyle name="Separador de milhares 3 2 3 3 9 2 2 2" xfId="21042"/>
    <cellStyle name="Separador de milhares 3 2 3 3 9 2 2 2 2" xfId="47521"/>
    <cellStyle name="Separador de milhares 3 2 3 3 9 2 2 3" xfId="15115"/>
    <cellStyle name="Separador de milhares 3 2 3 3 9 2 2 3 2" xfId="41613"/>
    <cellStyle name="Separador de milhares 3 2 3 3 9 2 2 4" xfId="35705"/>
    <cellStyle name="Separador de milhares 3 2 3 3 9 2 2 5" xfId="29171"/>
    <cellStyle name="Separador de milhares 3 2 3 3 9 2 3" xfId="18078"/>
    <cellStyle name="Separador de milhares 3 2 3 3 9 2 3 2" xfId="44567"/>
    <cellStyle name="Separador de milhares 3 2 3 3 9 2 4" xfId="12151"/>
    <cellStyle name="Separador de milhares 3 2 3 3 9 2 4 2" xfId="38659"/>
    <cellStyle name="Separador de milhares 3 2 3 3 9 2 5" xfId="32503"/>
    <cellStyle name="Separador de milhares 3 2 3 3 9 2 6" xfId="25969"/>
    <cellStyle name="Separador de milhares 3 2 3 3 9 3" xfId="7719"/>
    <cellStyle name="Separador de milhares 3 2 3 3 9 3 2" xfId="19573"/>
    <cellStyle name="Separador de milhares 3 2 3 3 9 3 2 2" xfId="46053"/>
    <cellStyle name="Separador de milhares 3 2 3 3 9 3 3" xfId="13646"/>
    <cellStyle name="Separador de milhares 3 2 3 3 9 3 3 2" xfId="40145"/>
    <cellStyle name="Separador de milhares 3 2 3 3 9 3 4" xfId="34237"/>
    <cellStyle name="Separador de milhares 3 2 3 3 9 3 5" xfId="27703"/>
    <cellStyle name="Separador de milhares 3 2 3 3 9 4" xfId="16609"/>
    <cellStyle name="Separador de milhares 3 2 3 3 9 4 2" xfId="43099"/>
    <cellStyle name="Separador de milhares 3 2 3 3 9 4 3" xfId="24197"/>
    <cellStyle name="Separador de milhares 3 2 3 3 9 5" xfId="10682"/>
    <cellStyle name="Separador de milhares 3 2 3 3 9 5 2" xfId="37191"/>
    <cellStyle name="Separador de milhares 3 2 3 3 9 6" xfId="30731"/>
    <cellStyle name="Separador de milhares 3 2 3 3 9 7" xfId="22425"/>
    <cellStyle name="Separador de milhares 3 2 3 4" xfId="489"/>
    <cellStyle name="Separador de milhares 3 2 3 4 10" xfId="5023"/>
    <cellStyle name="Separador de milhares 3 2 3 4 10 2" xfId="8239"/>
    <cellStyle name="Separador de milhares 3 2 3 4 10 2 2" xfId="20093"/>
    <cellStyle name="Separador de milhares 3 2 3 4 10 2 2 2" xfId="46572"/>
    <cellStyle name="Separador de milhares 3 2 3 4 10 2 3" xfId="14166"/>
    <cellStyle name="Separador de milhares 3 2 3 4 10 2 3 2" xfId="40664"/>
    <cellStyle name="Separador de milhares 3 2 3 4 10 2 4" xfId="34756"/>
    <cellStyle name="Separador de milhares 3 2 3 4 10 2 5" xfId="28222"/>
    <cellStyle name="Separador de milhares 3 2 3 4 10 3" xfId="17129"/>
    <cellStyle name="Separador de milhares 3 2 3 4 10 3 2" xfId="43618"/>
    <cellStyle name="Separador de milhares 3 2 3 4 10 4" xfId="11202"/>
    <cellStyle name="Separador de milhares 3 2 3 4 10 4 2" xfId="37710"/>
    <cellStyle name="Separador de milhares 3 2 3 4 10 5" xfId="31550"/>
    <cellStyle name="Separador de milhares 3 2 3 4 10 6" xfId="25016"/>
    <cellStyle name="Separador de milhares 3 2 3 4 11" xfId="6763"/>
    <cellStyle name="Separador de milhares 3 2 3 4 11 2" xfId="18617"/>
    <cellStyle name="Separador de milhares 3 2 3 4 11 2 2" xfId="45104"/>
    <cellStyle name="Separador de milhares 3 2 3 4 11 3" xfId="12690"/>
    <cellStyle name="Separador de milhares 3 2 3 4 11 3 2" xfId="39196"/>
    <cellStyle name="Separador de milhares 3 2 3 4 11 4" xfId="33288"/>
    <cellStyle name="Separador de milhares 3 2 3 4 11 5" xfId="26754"/>
    <cellStyle name="Separador de milhares 3 2 3 4 12" xfId="15653"/>
    <cellStyle name="Separador de milhares 3 2 3 4 12 2" xfId="42150"/>
    <cellStyle name="Separador de milhares 3 2 3 4 12 3" xfId="23244"/>
    <cellStyle name="Separador de milhares 3 2 3 4 13" xfId="9726"/>
    <cellStyle name="Separador de milhares 3 2 3 4 13 2" xfId="36242"/>
    <cellStyle name="Separador de milhares 3 2 3 4 14" xfId="29778"/>
    <cellStyle name="Separador de milhares 3 2 3 4 2" xfId="1135"/>
    <cellStyle name="Separador de milhares 3 2 3 4 2 2" xfId="5220"/>
    <cellStyle name="Separador de milhares 3 2 3 4 2 2 2" xfId="8435"/>
    <cellStyle name="Separador de milhares 3 2 3 4 2 2 2 2" xfId="20289"/>
    <cellStyle name="Separador de milhares 3 2 3 4 2 2 2 2 2" xfId="46768"/>
    <cellStyle name="Separador de milhares 3 2 3 4 2 2 2 3" xfId="14362"/>
    <cellStyle name="Separador de milhares 3 2 3 4 2 2 2 3 2" xfId="40860"/>
    <cellStyle name="Separador de milhares 3 2 3 4 2 2 2 4" xfId="34952"/>
    <cellStyle name="Separador de milhares 3 2 3 4 2 2 2 5" xfId="28418"/>
    <cellStyle name="Separador de milhares 3 2 3 4 2 2 3" xfId="17325"/>
    <cellStyle name="Separador de milhares 3 2 3 4 2 2 3 2" xfId="43814"/>
    <cellStyle name="Separador de milhares 3 2 3 4 2 2 4" xfId="11398"/>
    <cellStyle name="Separador de milhares 3 2 3 4 2 2 4 2" xfId="37906"/>
    <cellStyle name="Separador de milhares 3 2 3 4 2 2 5" xfId="31747"/>
    <cellStyle name="Separador de milhares 3 2 3 4 2 2 6" xfId="25213"/>
    <cellStyle name="Separador de milhares 3 2 3 4 2 3" xfId="6962"/>
    <cellStyle name="Separador de milhares 3 2 3 4 2 3 2" xfId="18816"/>
    <cellStyle name="Separador de milhares 3 2 3 4 2 3 2 2" xfId="45300"/>
    <cellStyle name="Separador de milhares 3 2 3 4 2 3 3" xfId="12889"/>
    <cellStyle name="Separador de milhares 3 2 3 4 2 3 3 2" xfId="39392"/>
    <cellStyle name="Separador de milhares 3 2 3 4 2 3 4" xfId="33484"/>
    <cellStyle name="Separador de milhares 3 2 3 4 2 3 5" xfId="26950"/>
    <cellStyle name="Separador de milhares 3 2 3 4 2 4" xfId="15852"/>
    <cellStyle name="Separador de milhares 3 2 3 4 2 4 2" xfId="42346"/>
    <cellStyle name="Separador de milhares 3 2 3 4 2 4 3" xfId="23441"/>
    <cellStyle name="Separador de milhares 3 2 3 4 2 5" xfId="9925"/>
    <cellStyle name="Separador de milhares 3 2 3 4 2 5 2" xfId="36438"/>
    <cellStyle name="Separador de milhares 3 2 3 4 2 6" xfId="29975"/>
    <cellStyle name="Separador de milhares 3 2 3 4 2 7" xfId="21669"/>
    <cellStyle name="Separador de milhares 3 2 3 4 3" xfId="1486"/>
    <cellStyle name="Separador de milhares 3 2 3 4 3 2" xfId="5318"/>
    <cellStyle name="Separador de milhares 3 2 3 4 3 2 2" xfId="8533"/>
    <cellStyle name="Separador de milhares 3 2 3 4 3 2 2 2" xfId="20387"/>
    <cellStyle name="Separador de milhares 3 2 3 4 3 2 2 2 2" xfId="46866"/>
    <cellStyle name="Separador de milhares 3 2 3 4 3 2 2 3" xfId="14460"/>
    <cellStyle name="Separador de milhares 3 2 3 4 3 2 2 3 2" xfId="40958"/>
    <cellStyle name="Separador de milhares 3 2 3 4 3 2 2 4" xfId="35050"/>
    <cellStyle name="Separador de milhares 3 2 3 4 3 2 2 5" xfId="28516"/>
    <cellStyle name="Separador de milhares 3 2 3 4 3 2 3" xfId="17423"/>
    <cellStyle name="Separador de milhares 3 2 3 4 3 2 3 2" xfId="43912"/>
    <cellStyle name="Separador de milhares 3 2 3 4 3 2 4" xfId="11496"/>
    <cellStyle name="Separador de milhares 3 2 3 4 3 2 4 2" xfId="38004"/>
    <cellStyle name="Separador de milhares 3 2 3 4 3 2 5" xfId="31845"/>
    <cellStyle name="Separador de milhares 3 2 3 4 3 2 6" xfId="25311"/>
    <cellStyle name="Separador de milhares 3 2 3 4 3 3" xfId="7060"/>
    <cellStyle name="Separador de milhares 3 2 3 4 3 3 2" xfId="18914"/>
    <cellStyle name="Separador de milhares 3 2 3 4 3 3 2 2" xfId="45398"/>
    <cellStyle name="Separador de milhares 3 2 3 4 3 3 3" xfId="12987"/>
    <cellStyle name="Separador de milhares 3 2 3 4 3 3 3 2" xfId="39490"/>
    <cellStyle name="Separador de milhares 3 2 3 4 3 3 4" xfId="33582"/>
    <cellStyle name="Separador de milhares 3 2 3 4 3 3 5" xfId="27048"/>
    <cellStyle name="Separador de milhares 3 2 3 4 3 4" xfId="15950"/>
    <cellStyle name="Separador de milhares 3 2 3 4 3 4 2" xfId="42444"/>
    <cellStyle name="Separador de milhares 3 2 3 4 3 4 3" xfId="23539"/>
    <cellStyle name="Separador de milhares 3 2 3 4 3 5" xfId="10023"/>
    <cellStyle name="Separador de milhares 3 2 3 4 3 5 2" xfId="36536"/>
    <cellStyle name="Separador de milhares 3 2 3 4 3 6" xfId="30073"/>
    <cellStyle name="Separador de milhares 3 2 3 4 3 7" xfId="21767"/>
    <cellStyle name="Separador de milhares 3 2 3 4 4" xfId="1921"/>
    <cellStyle name="Separador de milhares 3 2 3 4 4 2" xfId="5437"/>
    <cellStyle name="Separador de milhares 3 2 3 4 4 2 2" xfId="8652"/>
    <cellStyle name="Separador de milhares 3 2 3 4 4 2 2 2" xfId="20506"/>
    <cellStyle name="Separador de milhares 3 2 3 4 4 2 2 2 2" xfId="46985"/>
    <cellStyle name="Separador de milhares 3 2 3 4 4 2 2 3" xfId="14579"/>
    <cellStyle name="Separador de milhares 3 2 3 4 4 2 2 3 2" xfId="41077"/>
    <cellStyle name="Separador de milhares 3 2 3 4 4 2 2 4" xfId="35169"/>
    <cellStyle name="Separador de milhares 3 2 3 4 4 2 2 5" xfId="28635"/>
    <cellStyle name="Separador de milhares 3 2 3 4 4 2 3" xfId="17542"/>
    <cellStyle name="Separador de milhares 3 2 3 4 4 2 3 2" xfId="44031"/>
    <cellStyle name="Separador de milhares 3 2 3 4 4 2 4" xfId="11615"/>
    <cellStyle name="Separador de milhares 3 2 3 4 4 2 4 2" xfId="38123"/>
    <cellStyle name="Separador de milhares 3 2 3 4 4 2 5" xfId="31964"/>
    <cellStyle name="Separador de milhares 3 2 3 4 4 2 6" xfId="25430"/>
    <cellStyle name="Separador de milhares 3 2 3 4 4 3" xfId="7179"/>
    <cellStyle name="Separador de milhares 3 2 3 4 4 3 2" xfId="19033"/>
    <cellStyle name="Separador de milhares 3 2 3 4 4 3 2 2" xfId="45517"/>
    <cellStyle name="Separador de milhares 3 2 3 4 4 3 3" xfId="13106"/>
    <cellStyle name="Separador de milhares 3 2 3 4 4 3 3 2" xfId="39609"/>
    <cellStyle name="Separador de milhares 3 2 3 4 4 3 4" xfId="33701"/>
    <cellStyle name="Separador de milhares 3 2 3 4 4 3 5" xfId="27167"/>
    <cellStyle name="Separador de milhares 3 2 3 4 4 4" xfId="16069"/>
    <cellStyle name="Separador de milhares 3 2 3 4 4 4 2" xfId="42563"/>
    <cellStyle name="Separador de milhares 3 2 3 4 4 4 3" xfId="23658"/>
    <cellStyle name="Separador de milhares 3 2 3 4 4 5" xfId="10142"/>
    <cellStyle name="Separador de milhares 3 2 3 4 4 5 2" xfId="36655"/>
    <cellStyle name="Separador de milhares 3 2 3 4 4 6" xfId="30192"/>
    <cellStyle name="Separador de milhares 3 2 3 4 4 7" xfId="21886"/>
    <cellStyle name="Separador de milhares 3 2 3 4 5" xfId="2454"/>
    <cellStyle name="Separador de milhares 3 2 3 4 5 2" xfId="5587"/>
    <cellStyle name="Separador de milhares 3 2 3 4 5 2 2" xfId="8799"/>
    <cellStyle name="Separador de milhares 3 2 3 4 5 2 2 2" xfId="20653"/>
    <cellStyle name="Separador de milhares 3 2 3 4 5 2 2 2 2" xfId="47132"/>
    <cellStyle name="Separador de milhares 3 2 3 4 5 2 2 3" xfId="14726"/>
    <cellStyle name="Separador de milhares 3 2 3 4 5 2 2 3 2" xfId="41224"/>
    <cellStyle name="Separador de milhares 3 2 3 4 5 2 2 4" xfId="35316"/>
    <cellStyle name="Separador de milhares 3 2 3 4 5 2 2 5" xfId="28782"/>
    <cellStyle name="Separador de milhares 3 2 3 4 5 2 3" xfId="17689"/>
    <cellStyle name="Separador de milhares 3 2 3 4 5 2 3 2" xfId="44178"/>
    <cellStyle name="Separador de milhares 3 2 3 4 5 2 4" xfId="11762"/>
    <cellStyle name="Separador de milhares 3 2 3 4 5 2 4 2" xfId="38270"/>
    <cellStyle name="Separador de milhares 3 2 3 4 5 2 5" xfId="32114"/>
    <cellStyle name="Separador de milhares 3 2 3 4 5 2 6" xfId="25580"/>
    <cellStyle name="Separador de milhares 3 2 3 4 5 3" xfId="7327"/>
    <cellStyle name="Separador de milhares 3 2 3 4 5 3 2" xfId="19181"/>
    <cellStyle name="Separador de milhares 3 2 3 4 5 3 2 2" xfId="45664"/>
    <cellStyle name="Separador de milhares 3 2 3 4 5 3 3" xfId="13254"/>
    <cellStyle name="Separador de milhares 3 2 3 4 5 3 3 2" xfId="39756"/>
    <cellStyle name="Separador de milhares 3 2 3 4 5 3 4" xfId="33848"/>
    <cellStyle name="Separador de milhares 3 2 3 4 5 3 5" xfId="27314"/>
    <cellStyle name="Separador de milhares 3 2 3 4 5 4" xfId="16217"/>
    <cellStyle name="Separador de milhares 3 2 3 4 5 4 2" xfId="42710"/>
    <cellStyle name="Separador de milhares 3 2 3 4 5 4 3" xfId="23808"/>
    <cellStyle name="Separador de milhares 3 2 3 4 5 5" xfId="10290"/>
    <cellStyle name="Separador de milhares 3 2 3 4 5 5 2" xfId="36802"/>
    <cellStyle name="Separador de milhares 3 2 3 4 5 6" xfId="30342"/>
    <cellStyle name="Separador de milhares 3 2 3 4 5 7" xfId="22036"/>
    <cellStyle name="Separador de milhares 3 2 3 4 6" xfId="2982"/>
    <cellStyle name="Separador de milhares 3 2 3 4 6 2" xfId="5734"/>
    <cellStyle name="Separador de milhares 3 2 3 4 6 2 2" xfId="8946"/>
    <cellStyle name="Separador de milhares 3 2 3 4 6 2 2 2" xfId="20800"/>
    <cellStyle name="Separador de milhares 3 2 3 4 6 2 2 2 2" xfId="47279"/>
    <cellStyle name="Separador de milhares 3 2 3 4 6 2 2 3" xfId="14873"/>
    <cellStyle name="Separador de milhares 3 2 3 4 6 2 2 3 2" xfId="41371"/>
    <cellStyle name="Separador de milhares 3 2 3 4 6 2 2 4" xfId="35463"/>
    <cellStyle name="Separador de milhares 3 2 3 4 6 2 2 5" xfId="28929"/>
    <cellStyle name="Separador de milhares 3 2 3 4 6 2 3" xfId="17836"/>
    <cellStyle name="Separador de milhares 3 2 3 4 6 2 3 2" xfId="44325"/>
    <cellStyle name="Separador de milhares 3 2 3 4 6 2 4" xfId="11909"/>
    <cellStyle name="Separador de milhares 3 2 3 4 6 2 4 2" xfId="38417"/>
    <cellStyle name="Separador de milhares 3 2 3 4 6 2 5" xfId="32261"/>
    <cellStyle name="Separador de milhares 3 2 3 4 6 2 6" xfId="25727"/>
    <cellStyle name="Separador de milhares 3 2 3 4 6 3" xfId="7475"/>
    <cellStyle name="Separador de milhares 3 2 3 4 6 3 2" xfId="19329"/>
    <cellStyle name="Separador de milhares 3 2 3 4 6 3 2 2" xfId="45811"/>
    <cellStyle name="Separador de milhares 3 2 3 4 6 3 3" xfId="13402"/>
    <cellStyle name="Separador de milhares 3 2 3 4 6 3 3 2" xfId="39903"/>
    <cellStyle name="Separador de milhares 3 2 3 4 6 3 4" xfId="33995"/>
    <cellStyle name="Separador de milhares 3 2 3 4 6 3 5" xfId="27461"/>
    <cellStyle name="Separador de milhares 3 2 3 4 6 4" xfId="16365"/>
    <cellStyle name="Separador de milhares 3 2 3 4 6 4 2" xfId="42857"/>
    <cellStyle name="Separador de milhares 3 2 3 4 6 4 3" xfId="23955"/>
    <cellStyle name="Separador de milhares 3 2 3 4 6 5" xfId="10438"/>
    <cellStyle name="Separador de milhares 3 2 3 4 6 5 2" xfId="36949"/>
    <cellStyle name="Separador de milhares 3 2 3 4 6 6" xfId="30489"/>
    <cellStyle name="Separador de milhares 3 2 3 4 6 7" xfId="22183"/>
    <cellStyle name="Separador de milhares 3 2 3 4 7" xfId="3510"/>
    <cellStyle name="Separador de milhares 3 2 3 4 7 2" xfId="5881"/>
    <cellStyle name="Separador de milhares 3 2 3 4 7 2 2" xfId="9093"/>
    <cellStyle name="Separador de milhares 3 2 3 4 7 2 2 2" xfId="20947"/>
    <cellStyle name="Separador de milhares 3 2 3 4 7 2 2 2 2" xfId="47426"/>
    <cellStyle name="Separador de milhares 3 2 3 4 7 2 2 3" xfId="15020"/>
    <cellStyle name="Separador de milhares 3 2 3 4 7 2 2 3 2" xfId="41518"/>
    <cellStyle name="Separador de milhares 3 2 3 4 7 2 2 4" xfId="35610"/>
    <cellStyle name="Separador de milhares 3 2 3 4 7 2 2 5" xfId="29076"/>
    <cellStyle name="Separador de milhares 3 2 3 4 7 2 3" xfId="17983"/>
    <cellStyle name="Separador de milhares 3 2 3 4 7 2 3 2" xfId="44472"/>
    <cellStyle name="Separador de milhares 3 2 3 4 7 2 4" xfId="12056"/>
    <cellStyle name="Separador de milhares 3 2 3 4 7 2 4 2" xfId="38564"/>
    <cellStyle name="Separador de milhares 3 2 3 4 7 2 5" xfId="32408"/>
    <cellStyle name="Separador de milhares 3 2 3 4 7 2 6" xfId="25874"/>
    <cellStyle name="Separador de milhares 3 2 3 4 7 3" xfId="7623"/>
    <cellStyle name="Separador de milhares 3 2 3 4 7 3 2" xfId="19477"/>
    <cellStyle name="Separador de milhares 3 2 3 4 7 3 2 2" xfId="45958"/>
    <cellStyle name="Separador de milhares 3 2 3 4 7 3 3" xfId="13550"/>
    <cellStyle name="Separador de milhares 3 2 3 4 7 3 3 2" xfId="40050"/>
    <cellStyle name="Separador de milhares 3 2 3 4 7 3 4" xfId="34142"/>
    <cellStyle name="Separador de milhares 3 2 3 4 7 3 5" xfId="27608"/>
    <cellStyle name="Separador de milhares 3 2 3 4 7 4" xfId="16513"/>
    <cellStyle name="Separador de milhares 3 2 3 4 7 4 2" xfId="43004"/>
    <cellStyle name="Separador de milhares 3 2 3 4 7 4 3" xfId="24102"/>
    <cellStyle name="Separador de milhares 3 2 3 4 7 5" xfId="10586"/>
    <cellStyle name="Separador de milhares 3 2 3 4 7 5 2" xfId="37096"/>
    <cellStyle name="Separador de milhares 3 2 3 4 7 6" xfId="30636"/>
    <cellStyle name="Separador de milhares 3 2 3 4 7 7" xfId="22330"/>
    <cellStyle name="Separador de milhares 3 2 3 4 8" xfId="4038"/>
    <cellStyle name="Separador de milhares 3 2 3 4 8 2" xfId="6028"/>
    <cellStyle name="Separador de milhares 3 2 3 4 8 2 2" xfId="9240"/>
    <cellStyle name="Separador de milhares 3 2 3 4 8 2 2 2" xfId="21094"/>
    <cellStyle name="Separador de milhares 3 2 3 4 8 2 2 2 2" xfId="47573"/>
    <cellStyle name="Separador de milhares 3 2 3 4 8 2 2 3" xfId="15167"/>
    <cellStyle name="Separador de milhares 3 2 3 4 8 2 2 3 2" xfId="41665"/>
    <cellStyle name="Separador de milhares 3 2 3 4 8 2 2 4" xfId="35757"/>
    <cellStyle name="Separador de milhares 3 2 3 4 8 2 2 5" xfId="29223"/>
    <cellStyle name="Separador de milhares 3 2 3 4 8 2 3" xfId="18130"/>
    <cellStyle name="Separador de milhares 3 2 3 4 8 2 3 2" xfId="44619"/>
    <cellStyle name="Separador de milhares 3 2 3 4 8 2 4" xfId="12203"/>
    <cellStyle name="Separador de milhares 3 2 3 4 8 2 4 2" xfId="38711"/>
    <cellStyle name="Separador de milhares 3 2 3 4 8 2 5" xfId="32555"/>
    <cellStyle name="Separador de milhares 3 2 3 4 8 2 6" xfId="26021"/>
    <cellStyle name="Separador de milhares 3 2 3 4 8 3" xfId="7771"/>
    <cellStyle name="Separador de milhares 3 2 3 4 8 3 2" xfId="19625"/>
    <cellStyle name="Separador de milhares 3 2 3 4 8 3 2 2" xfId="46105"/>
    <cellStyle name="Separador de milhares 3 2 3 4 8 3 3" xfId="13698"/>
    <cellStyle name="Separador de milhares 3 2 3 4 8 3 3 2" xfId="40197"/>
    <cellStyle name="Separador de milhares 3 2 3 4 8 3 4" xfId="34289"/>
    <cellStyle name="Separador de milhares 3 2 3 4 8 3 5" xfId="27755"/>
    <cellStyle name="Separador de milhares 3 2 3 4 8 4" xfId="16661"/>
    <cellStyle name="Separador de milhares 3 2 3 4 8 4 2" xfId="43151"/>
    <cellStyle name="Separador de milhares 3 2 3 4 8 4 3" xfId="24249"/>
    <cellStyle name="Separador de milhares 3 2 3 4 8 5" xfId="10734"/>
    <cellStyle name="Separador de milhares 3 2 3 4 8 5 2" xfId="37243"/>
    <cellStyle name="Separador de milhares 3 2 3 4 8 6" xfId="30783"/>
    <cellStyle name="Separador de milhares 3 2 3 4 8 7" xfId="22477"/>
    <cellStyle name="Separador de milhares 3 2 3 4 9" xfId="809"/>
    <cellStyle name="Separador de milhares 3 2 3 4 9 2" xfId="5122"/>
    <cellStyle name="Separador de milhares 3 2 3 4 9 2 2" xfId="8337"/>
    <cellStyle name="Separador de milhares 3 2 3 4 9 2 2 2" xfId="20191"/>
    <cellStyle name="Separador de milhares 3 2 3 4 9 2 2 2 2" xfId="46670"/>
    <cellStyle name="Separador de milhares 3 2 3 4 9 2 2 3" xfId="14264"/>
    <cellStyle name="Separador de milhares 3 2 3 4 9 2 2 3 2" xfId="40762"/>
    <cellStyle name="Separador de milhares 3 2 3 4 9 2 2 4" xfId="34854"/>
    <cellStyle name="Separador de milhares 3 2 3 4 9 2 2 5" xfId="28320"/>
    <cellStyle name="Separador de milhares 3 2 3 4 9 2 3" xfId="17227"/>
    <cellStyle name="Separador de milhares 3 2 3 4 9 2 3 2" xfId="43716"/>
    <cellStyle name="Separador de milhares 3 2 3 4 9 2 4" xfId="11300"/>
    <cellStyle name="Separador de milhares 3 2 3 4 9 2 4 2" xfId="37808"/>
    <cellStyle name="Separador de milhares 3 2 3 4 9 2 5" xfId="31649"/>
    <cellStyle name="Separador de milhares 3 2 3 4 9 2 6" xfId="25115"/>
    <cellStyle name="Separador de milhares 3 2 3 4 9 3" xfId="6864"/>
    <cellStyle name="Separador de milhares 3 2 3 4 9 3 2" xfId="18718"/>
    <cellStyle name="Separador de milhares 3 2 3 4 9 3 2 2" xfId="45202"/>
    <cellStyle name="Separador de milhares 3 2 3 4 9 3 3" xfId="12791"/>
    <cellStyle name="Separador de milhares 3 2 3 4 9 3 3 2" xfId="39294"/>
    <cellStyle name="Separador de milhares 3 2 3 4 9 3 4" xfId="33386"/>
    <cellStyle name="Separador de milhares 3 2 3 4 9 3 5" xfId="26852"/>
    <cellStyle name="Separador de milhares 3 2 3 4 9 4" xfId="15754"/>
    <cellStyle name="Separador de milhares 3 2 3 4 9 4 2" xfId="42248"/>
    <cellStyle name="Separador de milhares 3 2 3 4 9 4 3" xfId="23343"/>
    <cellStyle name="Separador de milhares 3 2 3 4 9 5" xfId="9827"/>
    <cellStyle name="Separador de milhares 3 2 3 4 9 5 2" xfId="36340"/>
    <cellStyle name="Separador de milhares 3 2 3 4 9 6" xfId="29877"/>
    <cellStyle name="Separador de milhares 3 2 3 4 9 7" xfId="21571"/>
    <cellStyle name="Separador de milhares 3 2 3 5" xfId="747"/>
    <cellStyle name="Separador de milhares 3 2 3 5 10" xfId="15717"/>
    <cellStyle name="Separador de milhares 3 2 3 5 10 2" xfId="42214"/>
    <cellStyle name="Separador de milhares 3 2 3 5 10 3" xfId="23309"/>
    <cellStyle name="Separador de milhares 3 2 3 5 11" xfId="9790"/>
    <cellStyle name="Separador de milhares 3 2 3 5 11 2" xfId="36306"/>
    <cellStyle name="Separador de milhares 3 2 3 5 12" xfId="29843"/>
    <cellStyle name="Separador de milhares 3 2 3 5 13" xfId="21537"/>
    <cellStyle name="Separador de milhares 3 2 3 5 2" xfId="1570"/>
    <cellStyle name="Separador de milhares 3 2 3 5 2 2" xfId="5339"/>
    <cellStyle name="Separador de milhares 3 2 3 5 2 2 2" xfId="8554"/>
    <cellStyle name="Separador de milhares 3 2 3 5 2 2 2 2" xfId="20408"/>
    <cellStyle name="Separador de milhares 3 2 3 5 2 2 2 2 2" xfId="46887"/>
    <cellStyle name="Separador de milhares 3 2 3 5 2 2 2 3" xfId="14481"/>
    <cellStyle name="Separador de milhares 3 2 3 5 2 2 2 3 2" xfId="40979"/>
    <cellStyle name="Separador de milhares 3 2 3 5 2 2 2 4" xfId="35071"/>
    <cellStyle name="Separador de milhares 3 2 3 5 2 2 2 5" xfId="28537"/>
    <cellStyle name="Separador de milhares 3 2 3 5 2 2 3" xfId="17444"/>
    <cellStyle name="Separador de milhares 3 2 3 5 2 2 3 2" xfId="43933"/>
    <cellStyle name="Separador de milhares 3 2 3 5 2 2 4" xfId="11517"/>
    <cellStyle name="Separador de milhares 3 2 3 5 2 2 4 2" xfId="38025"/>
    <cellStyle name="Separador de milhares 3 2 3 5 2 2 5" xfId="31866"/>
    <cellStyle name="Separador de milhares 3 2 3 5 2 2 6" xfId="25332"/>
    <cellStyle name="Separador de milhares 3 2 3 5 2 3" xfId="7081"/>
    <cellStyle name="Separador de milhares 3 2 3 5 2 3 2" xfId="18935"/>
    <cellStyle name="Separador de milhares 3 2 3 5 2 3 2 2" xfId="45419"/>
    <cellStyle name="Separador de milhares 3 2 3 5 2 3 3" xfId="13008"/>
    <cellStyle name="Separador de milhares 3 2 3 5 2 3 3 2" xfId="39511"/>
    <cellStyle name="Separador de milhares 3 2 3 5 2 3 4" xfId="33603"/>
    <cellStyle name="Separador de milhares 3 2 3 5 2 3 5" xfId="27069"/>
    <cellStyle name="Separador de milhares 3 2 3 5 2 4" xfId="15971"/>
    <cellStyle name="Separador de milhares 3 2 3 5 2 4 2" xfId="42465"/>
    <cellStyle name="Separador de milhares 3 2 3 5 2 4 3" xfId="23560"/>
    <cellStyle name="Separador de milhares 3 2 3 5 2 5" xfId="10044"/>
    <cellStyle name="Separador de milhares 3 2 3 5 2 5 2" xfId="36557"/>
    <cellStyle name="Separador de milhares 3 2 3 5 2 6" xfId="30094"/>
    <cellStyle name="Separador de milhares 3 2 3 5 2 7" xfId="21788"/>
    <cellStyle name="Separador de milhares 3 2 3 5 3" xfId="2005"/>
    <cellStyle name="Separador de milhares 3 2 3 5 3 2" xfId="5458"/>
    <cellStyle name="Separador de milhares 3 2 3 5 3 2 2" xfId="8673"/>
    <cellStyle name="Separador de milhares 3 2 3 5 3 2 2 2" xfId="20527"/>
    <cellStyle name="Separador de milhares 3 2 3 5 3 2 2 2 2" xfId="47006"/>
    <cellStyle name="Separador de milhares 3 2 3 5 3 2 2 3" xfId="14600"/>
    <cellStyle name="Separador de milhares 3 2 3 5 3 2 2 3 2" xfId="41098"/>
    <cellStyle name="Separador de milhares 3 2 3 5 3 2 2 4" xfId="35190"/>
    <cellStyle name="Separador de milhares 3 2 3 5 3 2 2 5" xfId="28656"/>
    <cellStyle name="Separador de milhares 3 2 3 5 3 2 3" xfId="17563"/>
    <cellStyle name="Separador de milhares 3 2 3 5 3 2 3 2" xfId="44052"/>
    <cellStyle name="Separador de milhares 3 2 3 5 3 2 4" xfId="11636"/>
    <cellStyle name="Separador de milhares 3 2 3 5 3 2 4 2" xfId="38144"/>
    <cellStyle name="Separador de milhares 3 2 3 5 3 2 5" xfId="31985"/>
    <cellStyle name="Separador de milhares 3 2 3 5 3 2 6" xfId="25451"/>
    <cellStyle name="Separador de milhares 3 2 3 5 3 3" xfId="7200"/>
    <cellStyle name="Separador de milhares 3 2 3 5 3 3 2" xfId="19054"/>
    <cellStyle name="Separador de milhares 3 2 3 5 3 3 2 2" xfId="45538"/>
    <cellStyle name="Separador de milhares 3 2 3 5 3 3 3" xfId="13127"/>
    <cellStyle name="Separador de milhares 3 2 3 5 3 3 3 2" xfId="39630"/>
    <cellStyle name="Separador de milhares 3 2 3 5 3 3 4" xfId="33722"/>
    <cellStyle name="Separador de milhares 3 2 3 5 3 3 5" xfId="27188"/>
    <cellStyle name="Separador de milhares 3 2 3 5 3 4" xfId="16090"/>
    <cellStyle name="Separador de milhares 3 2 3 5 3 4 2" xfId="42584"/>
    <cellStyle name="Separador de milhares 3 2 3 5 3 4 3" xfId="23679"/>
    <cellStyle name="Separador de milhares 3 2 3 5 3 5" xfId="10163"/>
    <cellStyle name="Separador de milhares 3 2 3 5 3 5 2" xfId="36676"/>
    <cellStyle name="Separador de milhares 3 2 3 5 3 6" xfId="30213"/>
    <cellStyle name="Separador de milhares 3 2 3 5 3 7" xfId="21907"/>
    <cellStyle name="Separador de milhares 3 2 3 5 4" xfId="2538"/>
    <cellStyle name="Separador de milhares 3 2 3 5 4 2" xfId="5608"/>
    <cellStyle name="Separador de milhares 3 2 3 5 4 2 2" xfId="8820"/>
    <cellStyle name="Separador de milhares 3 2 3 5 4 2 2 2" xfId="20674"/>
    <cellStyle name="Separador de milhares 3 2 3 5 4 2 2 2 2" xfId="47153"/>
    <cellStyle name="Separador de milhares 3 2 3 5 4 2 2 3" xfId="14747"/>
    <cellStyle name="Separador de milhares 3 2 3 5 4 2 2 3 2" xfId="41245"/>
    <cellStyle name="Separador de milhares 3 2 3 5 4 2 2 4" xfId="35337"/>
    <cellStyle name="Separador de milhares 3 2 3 5 4 2 2 5" xfId="28803"/>
    <cellStyle name="Separador de milhares 3 2 3 5 4 2 3" xfId="17710"/>
    <cellStyle name="Separador de milhares 3 2 3 5 4 2 3 2" xfId="44199"/>
    <cellStyle name="Separador de milhares 3 2 3 5 4 2 4" xfId="11783"/>
    <cellStyle name="Separador de milhares 3 2 3 5 4 2 4 2" xfId="38291"/>
    <cellStyle name="Separador de milhares 3 2 3 5 4 2 5" xfId="32135"/>
    <cellStyle name="Separador de milhares 3 2 3 5 4 2 6" xfId="25601"/>
    <cellStyle name="Separador de milhares 3 2 3 5 4 3" xfId="7348"/>
    <cellStyle name="Separador de milhares 3 2 3 5 4 3 2" xfId="19202"/>
    <cellStyle name="Separador de milhares 3 2 3 5 4 3 2 2" xfId="45685"/>
    <cellStyle name="Separador de milhares 3 2 3 5 4 3 3" xfId="13275"/>
    <cellStyle name="Separador de milhares 3 2 3 5 4 3 3 2" xfId="39777"/>
    <cellStyle name="Separador de milhares 3 2 3 5 4 3 4" xfId="33869"/>
    <cellStyle name="Separador de milhares 3 2 3 5 4 3 5" xfId="27335"/>
    <cellStyle name="Separador de milhares 3 2 3 5 4 4" xfId="16238"/>
    <cellStyle name="Separador de milhares 3 2 3 5 4 4 2" xfId="42731"/>
    <cellStyle name="Separador de milhares 3 2 3 5 4 4 3" xfId="23829"/>
    <cellStyle name="Separador de milhares 3 2 3 5 4 5" xfId="10311"/>
    <cellStyle name="Separador de milhares 3 2 3 5 4 5 2" xfId="36823"/>
    <cellStyle name="Separador de milhares 3 2 3 5 4 6" xfId="30363"/>
    <cellStyle name="Separador de milhares 3 2 3 5 4 7" xfId="22057"/>
    <cellStyle name="Separador de milhares 3 2 3 5 5" xfId="3066"/>
    <cellStyle name="Separador de milhares 3 2 3 5 5 2" xfId="5755"/>
    <cellStyle name="Separador de milhares 3 2 3 5 5 2 2" xfId="8967"/>
    <cellStyle name="Separador de milhares 3 2 3 5 5 2 2 2" xfId="20821"/>
    <cellStyle name="Separador de milhares 3 2 3 5 5 2 2 2 2" xfId="47300"/>
    <cellStyle name="Separador de milhares 3 2 3 5 5 2 2 3" xfId="14894"/>
    <cellStyle name="Separador de milhares 3 2 3 5 5 2 2 3 2" xfId="41392"/>
    <cellStyle name="Separador de milhares 3 2 3 5 5 2 2 4" xfId="35484"/>
    <cellStyle name="Separador de milhares 3 2 3 5 5 2 2 5" xfId="28950"/>
    <cellStyle name="Separador de milhares 3 2 3 5 5 2 3" xfId="17857"/>
    <cellStyle name="Separador de milhares 3 2 3 5 5 2 3 2" xfId="44346"/>
    <cellStyle name="Separador de milhares 3 2 3 5 5 2 4" xfId="11930"/>
    <cellStyle name="Separador de milhares 3 2 3 5 5 2 4 2" xfId="38438"/>
    <cellStyle name="Separador de milhares 3 2 3 5 5 2 5" xfId="32282"/>
    <cellStyle name="Separador de milhares 3 2 3 5 5 2 6" xfId="25748"/>
    <cellStyle name="Separador de milhares 3 2 3 5 5 3" xfId="7496"/>
    <cellStyle name="Separador de milhares 3 2 3 5 5 3 2" xfId="19350"/>
    <cellStyle name="Separador de milhares 3 2 3 5 5 3 2 2" xfId="45832"/>
    <cellStyle name="Separador de milhares 3 2 3 5 5 3 3" xfId="13423"/>
    <cellStyle name="Separador de milhares 3 2 3 5 5 3 3 2" xfId="39924"/>
    <cellStyle name="Separador de milhares 3 2 3 5 5 3 4" xfId="34016"/>
    <cellStyle name="Separador de milhares 3 2 3 5 5 3 5" xfId="27482"/>
    <cellStyle name="Separador de milhares 3 2 3 5 5 4" xfId="16386"/>
    <cellStyle name="Separador de milhares 3 2 3 5 5 4 2" xfId="42878"/>
    <cellStyle name="Separador de milhares 3 2 3 5 5 4 3" xfId="23976"/>
    <cellStyle name="Separador de milhares 3 2 3 5 5 5" xfId="10459"/>
    <cellStyle name="Separador de milhares 3 2 3 5 5 5 2" xfId="36970"/>
    <cellStyle name="Separador de milhares 3 2 3 5 5 6" xfId="30510"/>
    <cellStyle name="Separador de milhares 3 2 3 5 5 7" xfId="22204"/>
    <cellStyle name="Separador de milhares 3 2 3 5 6" xfId="3594"/>
    <cellStyle name="Separador de milhares 3 2 3 5 6 2" xfId="5902"/>
    <cellStyle name="Separador de milhares 3 2 3 5 6 2 2" xfId="9114"/>
    <cellStyle name="Separador de milhares 3 2 3 5 6 2 2 2" xfId="20968"/>
    <cellStyle name="Separador de milhares 3 2 3 5 6 2 2 2 2" xfId="47447"/>
    <cellStyle name="Separador de milhares 3 2 3 5 6 2 2 3" xfId="15041"/>
    <cellStyle name="Separador de milhares 3 2 3 5 6 2 2 3 2" xfId="41539"/>
    <cellStyle name="Separador de milhares 3 2 3 5 6 2 2 4" xfId="35631"/>
    <cellStyle name="Separador de milhares 3 2 3 5 6 2 2 5" xfId="29097"/>
    <cellStyle name="Separador de milhares 3 2 3 5 6 2 3" xfId="18004"/>
    <cellStyle name="Separador de milhares 3 2 3 5 6 2 3 2" xfId="44493"/>
    <cellStyle name="Separador de milhares 3 2 3 5 6 2 4" xfId="12077"/>
    <cellStyle name="Separador de milhares 3 2 3 5 6 2 4 2" xfId="38585"/>
    <cellStyle name="Separador de milhares 3 2 3 5 6 2 5" xfId="32429"/>
    <cellStyle name="Separador de milhares 3 2 3 5 6 2 6" xfId="25895"/>
    <cellStyle name="Separador de milhares 3 2 3 5 6 3" xfId="7644"/>
    <cellStyle name="Separador de milhares 3 2 3 5 6 3 2" xfId="19498"/>
    <cellStyle name="Separador de milhares 3 2 3 5 6 3 2 2" xfId="45979"/>
    <cellStyle name="Separador de milhares 3 2 3 5 6 3 3" xfId="13571"/>
    <cellStyle name="Separador de milhares 3 2 3 5 6 3 3 2" xfId="40071"/>
    <cellStyle name="Separador de milhares 3 2 3 5 6 3 4" xfId="34163"/>
    <cellStyle name="Separador de milhares 3 2 3 5 6 3 5" xfId="27629"/>
    <cellStyle name="Separador de milhares 3 2 3 5 6 4" xfId="16534"/>
    <cellStyle name="Separador de milhares 3 2 3 5 6 4 2" xfId="43025"/>
    <cellStyle name="Separador de milhares 3 2 3 5 6 4 3" xfId="24123"/>
    <cellStyle name="Separador de milhares 3 2 3 5 6 5" xfId="10607"/>
    <cellStyle name="Separador de milhares 3 2 3 5 6 5 2" xfId="37117"/>
    <cellStyle name="Separador de milhares 3 2 3 5 6 6" xfId="30657"/>
    <cellStyle name="Separador de milhares 3 2 3 5 6 7" xfId="22351"/>
    <cellStyle name="Separador de milhares 3 2 3 5 7" xfId="4122"/>
    <cellStyle name="Separador de milhares 3 2 3 5 7 2" xfId="6049"/>
    <cellStyle name="Separador de milhares 3 2 3 5 7 2 2" xfId="9261"/>
    <cellStyle name="Separador de milhares 3 2 3 5 7 2 2 2" xfId="21115"/>
    <cellStyle name="Separador de milhares 3 2 3 5 7 2 2 2 2" xfId="47594"/>
    <cellStyle name="Separador de milhares 3 2 3 5 7 2 2 3" xfId="15188"/>
    <cellStyle name="Separador de milhares 3 2 3 5 7 2 2 3 2" xfId="41686"/>
    <cellStyle name="Separador de milhares 3 2 3 5 7 2 2 4" xfId="35778"/>
    <cellStyle name="Separador de milhares 3 2 3 5 7 2 2 5" xfId="29244"/>
    <cellStyle name="Separador de milhares 3 2 3 5 7 2 3" xfId="18151"/>
    <cellStyle name="Separador de milhares 3 2 3 5 7 2 3 2" xfId="44640"/>
    <cellStyle name="Separador de milhares 3 2 3 5 7 2 4" xfId="12224"/>
    <cellStyle name="Separador de milhares 3 2 3 5 7 2 4 2" xfId="38732"/>
    <cellStyle name="Separador de milhares 3 2 3 5 7 2 5" xfId="32576"/>
    <cellStyle name="Separador de milhares 3 2 3 5 7 2 6" xfId="26042"/>
    <cellStyle name="Separador de milhares 3 2 3 5 7 3" xfId="7792"/>
    <cellStyle name="Separador de milhares 3 2 3 5 7 3 2" xfId="19646"/>
    <cellStyle name="Separador de milhares 3 2 3 5 7 3 2 2" xfId="46126"/>
    <cellStyle name="Separador de milhares 3 2 3 5 7 3 3" xfId="13719"/>
    <cellStyle name="Separador de milhares 3 2 3 5 7 3 3 2" xfId="40218"/>
    <cellStyle name="Separador de milhares 3 2 3 5 7 3 4" xfId="34310"/>
    <cellStyle name="Separador de milhares 3 2 3 5 7 3 5" xfId="27776"/>
    <cellStyle name="Separador de milhares 3 2 3 5 7 4" xfId="16682"/>
    <cellStyle name="Separador de milhares 3 2 3 5 7 4 2" xfId="43172"/>
    <cellStyle name="Separador de milhares 3 2 3 5 7 4 3" xfId="24270"/>
    <cellStyle name="Separador de milhares 3 2 3 5 7 5" xfId="10755"/>
    <cellStyle name="Separador de milhares 3 2 3 5 7 5 2" xfId="37264"/>
    <cellStyle name="Separador de milhares 3 2 3 5 7 6" xfId="30804"/>
    <cellStyle name="Separador de milhares 3 2 3 5 7 7" xfId="22498"/>
    <cellStyle name="Separador de milhares 3 2 3 5 8" xfId="5088"/>
    <cellStyle name="Separador de milhares 3 2 3 5 8 2" xfId="8303"/>
    <cellStyle name="Separador de milhares 3 2 3 5 8 2 2" xfId="20157"/>
    <cellStyle name="Separador de milhares 3 2 3 5 8 2 2 2" xfId="46636"/>
    <cellStyle name="Separador de milhares 3 2 3 5 8 2 3" xfId="14230"/>
    <cellStyle name="Separador de milhares 3 2 3 5 8 2 3 2" xfId="40728"/>
    <cellStyle name="Separador de milhares 3 2 3 5 8 2 4" xfId="34820"/>
    <cellStyle name="Separador de milhares 3 2 3 5 8 2 5" xfId="28286"/>
    <cellStyle name="Separador de milhares 3 2 3 5 8 3" xfId="17193"/>
    <cellStyle name="Separador de milhares 3 2 3 5 8 3 2" xfId="43682"/>
    <cellStyle name="Separador de milhares 3 2 3 5 8 4" xfId="11266"/>
    <cellStyle name="Separador de milhares 3 2 3 5 8 4 2" xfId="37774"/>
    <cellStyle name="Separador de milhares 3 2 3 5 8 5" xfId="31615"/>
    <cellStyle name="Separador de milhares 3 2 3 5 8 6" xfId="25081"/>
    <cellStyle name="Separador de milhares 3 2 3 5 9" xfId="6827"/>
    <cellStyle name="Separador de milhares 3 2 3 5 9 2" xfId="18681"/>
    <cellStyle name="Separador de milhares 3 2 3 5 9 2 2" xfId="45168"/>
    <cellStyle name="Separador de milhares 3 2 3 5 9 3" xfId="12754"/>
    <cellStyle name="Separador de milhares 3 2 3 5 9 3 2" xfId="39260"/>
    <cellStyle name="Separador de milhares 3 2 3 5 9 4" xfId="33352"/>
    <cellStyle name="Separador de milhares 3 2 3 5 9 5" xfId="26818"/>
    <cellStyle name="Separador de milhares 3 2 3 6" xfId="868"/>
    <cellStyle name="Separador de milhares 3 2 3 6 2" xfId="4299"/>
    <cellStyle name="Separador de milhares 3 2 3 6 2 2" xfId="6098"/>
    <cellStyle name="Separador de milhares 3 2 3 6 2 2 2" xfId="9310"/>
    <cellStyle name="Separador de milhares 3 2 3 6 2 2 2 2" xfId="21164"/>
    <cellStyle name="Separador de milhares 3 2 3 6 2 2 2 2 2" xfId="47643"/>
    <cellStyle name="Separador de milhares 3 2 3 6 2 2 2 3" xfId="15237"/>
    <cellStyle name="Separador de milhares 3 2 3 6 2 2 2 3 2" xfId="41735"/>
    <cellStyle name="Separador de milhares 3 2 3 6 2 2 2 4" xfId="35827"/>
    <cellStyle name="Separador de milhares 3 2 3 6 2 2 2 5" xfId="29293"/>
    <cellStyle name="Separador de milhares 3 2 3 6 2 2 3" xfId="18200"/>
    <cellStyle name="Separador de milhares 3 2 3 6 2 2 3 2" xfId="44689"/>
    <cellStyle name="Separador de milhares 3 2 3 6 2 2 4" xfId="12273"/>
    <cellStyle name="Separador de milhares 3 2 3 6 2 2 4 2" xfId="38781"/>
    <cellStyle name="Separador de milhares 3 2 3 6 2 2 5" xfId="32625"/>
    <cellStyle name="Separador de milhares 3 2 3 6 2 2 6" xfId="26091"/>
    <cellStyle name="Separador de milhares 3 2 3 6 2 3" xfId="7842"/>
    <cellStyle name="Separador de milhares 3 2 3 6 2 3 2" xfId="19696"/>
    <cellStyle name="Separador de milhares 3 2 3 6 2 3 2 2" xfId="46175"/>
    <cellStyle name="Separador de milhares 3 2 3 6 2 3 3" xfId="13769"/>
    <cellStyle name="Separador de milhares 3 2 3 6 2 3 3 2" xfId="40267"/>
    <cellStyle name="Separador de milhares 3 2 3 6 2 3 4" xfId="34359"/>
    <cellStyle name="Separador de milhares 3 2 3 6 2 3 5" xfId="27825"/>
    <cellStyle name="Separador de milhares 3 2 3 6 2 4" xfId="16732"/>
    <cellStyle name="Separador de milhares 3 2 3 6 2 4 2" xfId="43221"/>
    <cellStyle name="Separador de milhares 3 2 3 6 2 4 3" xfId="24319"/>
    <cellStyle name="Separador de milhares 3 2 3 6 2 5" xfId="10805"/>
    <cellStyle name="Separador de milhares 3 2 3 6 2 5 2" xfId="37313"/>
    <cellStyle name="Separador de milhares 3 2 3 6 2 6" xfId="30853"/>
    <cellStyle name="Separador de milhares 3 2 3 6 2 7" xfId="22547"/>
    <cellStyle name="Separador de milhares 3 2 3 6 3" xfId="5143"/>
    <cellStyle name="Separador de milhares 3 2 3 6 3 2" xfId="8358"/>
    <cellStyle name="Separador de milhares 3 2 3 6 3 2 2" xfId="20212"/>
    <cellStyle name="Separador de milhares 3 2 3 6 3 2 2 2" xfId="46691"/>
    <cellStyle name="Separador de milhares 3 2 3 6 3 2 3" xfId="14285"/>
    <cellStyle name="Separador de milhares 3 2 3 6 3 2 3 2" xfId="40783"/>
    <cellStyle name="Separador de milhares 3 2 3 6 3 2 4" xfId="34875"/>
    <cellStyle name="Separador de milhares 3 2 3 6 3 2 5" xfId="28341"/>
    <cellStyle name="Separador de milhares 3 2 3 6 3 3" xfId="17248"/>
    <cellStyle name="Separador de milhares 3 2 3 6 3 3 2" xfId="43737"/>
    <cellStyle name="Separador de milhares 3 2 3 6 3 4" xfId="11321"/>
    <cellStyle name="Separador de milhares 3 2 3 6 3 4 2" xfId="37829"/>
    <cellStyle name="Separador de milhares 3 2 3 6 3 5" xfId="31670"/>
    <cellStyle name="Separador de milhares 3 2 3 6 3 6" xfId="25136"/>
    <cellStyle name="Separador de milhares 3 2 3 6 4" xfId="6885"/>
    <cellStyle name="Separador de milhares 3 2 3 6 4 2" xfId="18739"/>
    <cellStyle name="Separador de milhares 3 2 3 6 4 2 2" xfId="45223"/>
    <cellStyle name="Separador de milhares 3 2 3 6 4 3" xfId="12812"/>
    <cellStyle name="Separador de milhares 3 2 3 6 4 3 2" xfId="39315"/>
    <cellStyle name="Separador de milhares 3 2 3 6 4 4" xfId="33407"/>
    <cellStyle name="Separador de milhares 3 2 3 6 4 5" xfId="26873"/>
    <cellStyle name="Separador de milhares 3 2 3 6 5" xfId="15775"/>
    <cellStyle name="Separador de milhares 3 2 3 6 5 2" xfId="42269"/>
    <cellStyle name="Separador de milhares 3 2 3 6 5 3" xfId="23364"/>
    <cellStyle name="Separador de milhares 3 2 3 6 6" xfId="9848"/>
    <cellStyle name="Separador de milhares 3 2 3 6 6 2" xfId="36361"/>
    <cellStyle name="Separador de milhares 3 2 3 6 7" xfId="29898"/>
    <cellStyle name="Separador de milhares 3 2 3 6 8" xfId="21592"/>
    <cellStyle name="Separador de milhares 3 2 3 7" xfId="1219"/>
    <cellStyle name="Separador de milhares 3 2 3 7 2" xfId="5241"/>
    <cellStyle name="Separador de milhares 3 2 3 7 2 2" xfId="8456"/>
    <cellStyle name="Separador de milhares 3 2 3 7 2 2 2" xfId="20310"/>
    <cellStyle name="Separador de milhares 3 2 3 7 2 2 2 2" xfId="46789"/>
    <cellStyle name="Separador de milhares 3 2 3 7 2 2 3" xfId="14383"/>
    <cellStyle name="Separador de milhares 3 2 3 7 2 2 3 2" xfId="40881"/>
    <cellStyle name="Separador de milhares 3 2 3 7 2 2 4" xfId="34973"/>
    <cellStyle name="Separador de milhares 3 2 3 7 2 2 5" xfId="28439"/>
    <cellStyle name="Separador de milhares 3 2 3 7 2 3" xfId="17346"/>
    <cellStyle name="Separador de milhares 3 2 3 7 2 3 2" xfId="43835"/>
    <cellStyle name="Separador de milhares 3 2 3 7 2 4" xfId="11419"/>
    <cellStyle name="Separador de milhares 3 2 3 7 2 4 2" xfId="37927"/>
    <cellStyle name="Separador de milhares 3 2 3 7 2 5" xfId="31768"/>
    <cellStyle name="Separador de milhares 3 2 3 7 2 6" xfId="25234"/>
    <cellStyle name="Separador de milhares 3 2 3 7 3" xfId="6983"/>
    <cellStyle name="Separador de milhares 3 2 3 7 3 2" xfId="18837"/>
    <cellStyle name="Separador de milhares 3 2 3 7 3 2 2" xfId="45321"/>
    <cellStyle name="Separador de milhares 3 2 3 7 3 3" xfId="12910"/>
    <cellStyle name="Separador de milhares 3 2 3 7 3 3 2" xfId="39413"/>
    <cellStyle name="Separador de milhares 3 2 3 7 3 4" xfId="33505"/>
    <cellStyle name="Separador de milhares 3 2 3 7 3 5" xfId="26971"/>
    <cellStyle name="Separador de milhares 3 2 3 7 4" xfId="15873"/>
    <cellStyle name="Separador de milhares 3 2 3 7 4 2" xfId="42367"/>
    <cellStyle name="Separador de milhares 3 2 3 7 4 3" xfId="23462"/>
    <cellStyle name="Separador de milhares 3 2 3 7 5" xfId="9946"/>
    <cellStyle name="Separador de milhares 3 2 3 7 5 2" xfId="36459"/>
    <cellStyle name="Separador de milhares 3 2 3 7 6" xfId="29996"/>
    <cellStyle name="Separador de milhares 3 2 3 7 7" xfId="21690"/>
    <cellStyle name="Separador de milhares 3 2 3 8" xfId="1654"/>
    <cellStyle name="Separador de milhares 3 2 3 8 2" xfId="5360"/>
    <cellStyle name="Separador de milhares 3 2 3 8 2 2" xfId="8575"/>
    <cellStyle name="Separador de milhares 3 2 3 8 2 2 2" xfId="20429"/>
    <cellStyle name="Separador de milhares 3 2 3 8 2 2 2 2" xfId="46908"/>
    <cellStyle name="Separador de milhares 3 2 3 8 2 2 3" xfId="14502"/>
    <cellStyle name="Separador de milhares 3 2 3 8 2 2 3 2" xfId="41000"/>
    <cellStyle name="Separador de milhares 3 2 3 8 2 2 4" xfId="35092"/>
    <cellStyle name="Separador de milhares 3 2 3 8 2 2 5" xfId="28558"/>
    <cellStyle name="Separador de milhares 3 2 3 8 2 3" xfId="17465"/>
    <cellStyle name="Separador de milhares 3 2 3 8 2 3 2" xfId="43954"/>
    <cellStyle name="Separador de milhares 3 2 3 8 2 4" xfId="11538"/>
    <cellStyle name="Separador de milhares 3 2 3 8 2 4 2" xfId="38046"/>
    <cellStyle name="Separador de milhares 3 2 3 8 2 5" xfId="31887"/>
    <cellStyle name="Separador de milhares 3 2 3 8 2 6" xfId="25353"/>
    <cellStyle name="Separador de milhares 3 2 3 8 3" xfId="7102"/>
    <cellStyle name="Separador de milhares 3 2 3 8 3 2" xfId="18956"/>
    <cellStyle name="Separador de milhares 3 2 3 8 3 2 2" xfId="45440"/>
    <cellStyle name="Separador de milhares 3 2 3 8 3 3" xfId="13029"/>
    <cellStyle name="Separador de milhares 3 2 3 8 3 3 2" xfId="39532"/>
    <cellStyle name="Separador de milhares 3 2 3 8 3 4" xfId="33624"/>
    <cellStyle name="Separador de milhares 3 2 3 8 3 5" xfId="27090"/>
    <cellStyle name="Separador de milhares 3 2 3 8 4" xfId="15992"/>
    <cellStyle name="Separador de milhares 3 2 3 8 4 2" xfId="42486"/>
    <cellStyle name="Separador de milhares 3 2 3 8 4 3" xfId="23581"/>
    <cellStyle name="Separador de milhares 3 2 3 8 5" xfId="10065"/>
    <cellStyle name="Separador de milhares 3 2 3 8 5 2" xfId="36578"/>
    <cellStyle name="Separador de milhares 3 2 3 8 6" xfId="30115"/>
    <cellStyle name="Separador de milhares 3 2 3 8 7" xfId="21809"/>
    <cellStyle name="Separador de milhares 3 2 3 9" xfId="2187"/>
    <cellStyle name="Separador de milhares 3 2 3 9 2" xfId="5510"/>
    <cellStyle name="Separador de milhares 3 2 3 9 2 2" xfId="8722"/>
    <cellStyle name="Separador de milhares 3 2 3 9 2 2 2" xfId="20576"/>
    <cellStyle name="Separador de milhares 3 2 3 9 2 2 2 2" xfId="47055"/>
    <cellStyle name="Separador de milhares 3 2 3 9 2 2 3" xfId="14649"/>
    <cellStyle name="Separador de milhares 3 2 3 9 2 2 3 2" xfId="41147"/>
    <cellStyle name="Separador de milhares 3 2 3 9 2 2 4" xfId="35239"/>
    <cellStyle name="Separador de milhares 3 2 3 9 2 2 5" xfId="28705"/>
    <cellStyle name="Separador de milhares 3 2 3 9 2 3" xfId="17612"/>
    <cellStyle name="Separador de milhares 3 2 3 9 2 3 2" xfId="44101"/>
    <cellStyle name="Separador de milhares 3 2 3 9 2 4" xfId="11685"/>
    <cellStyle name="Separador de milhares 3 2 3 9 2 4 2" xfId="38193"/>
    <cellStyle name="Separador de milhares 3 2 3 9 2 5" xfId="32037"/>
    <cellStyle name="Separador de milhares 3 2 3 9 2 6" xfId="25503"/>
    <cellStyle name="Separador de milhares 3 2 3 9 3" xfId="7250"/>
    <cellStyle name="Separador de milhares 3 2 3 9 3 2" xfId="19104"/>
    <cellStyle name="Separador de milhares 3 2 3 9 3 2 2" xfId="45587"/>
    <cellStyle name="Separador de milhares 3 2 3 9 3 3" xfId="13177"/>
    <cellStyle name="Separador de milhares 3 2 3 9 3 3 2" xfId="39679"/>
    <cellStyle name="Separador de milhares 3 2 3 9 3 4" xfId="33771"/>
    <cellStyle name="Separador de milhares 3 2 3 9 3 5" xfId="27237"/>
    <cellStyle name="Separador de milhares 3 2 3 9 4" xfId="16140"/>
    <cellStyle name="Separador de milhares 3 2 3 9 4 2" xfId="42633"/>
    <cellStyle name="Separador de milhares 3 2 3 9 4 3" xfId="23731"/>
    <cellStyle name="Separador de milhares 3 2 3 9 5" xfId="10213"/>
    <cellStyle name="Separador de milhares 3 2 3 9 5 2" xfId="36725"/>
    <cellStyle name="Separador de milhares 3 2 3 9 6" xfId="30265"/>
    <cellStyle name="Separador de milhares 3 2 3 9 7" xfId="21959"/>
    <cellStyle name="Separador de milhares 3 2 4" xfId="213"/>
    <cellStyle name="Separador de milhares 3 2 4 10" xfId="2723"/>
    <cellStyle name="Separador de milhares 3 2 4 10 2" xfId="5659"/>
    <cellStyle name="Separador de milhares 3 2 4 10 2 2" xfId="8871"/>
    <cellStyle name="Separador de milhares 3 2 4 10 2 2 2" xfId="20725"/>
    <cellStyle name="Separador de milhares 3 2 4 10 2 2 2 2" xfId="47204"/>
    <cellStyle name="Separador de milhares 3 2 4 10 2 2 3" xfId="14798"/>
    <cellStyle name="Separador de milhares 3 2 4 10 2 2 3 2" xfId="41296"/>
    <cellStyle name="Separador de milhares 3 2 4 10 2 2 4" xfId="35388"/>
    <cellStyle name="Separador de milhares 3 2 4 10 2 2 5" xfId="28854"/>
    <cellStyle name="Separador de milhares 3 2 4 10 2 3" xfId="17761"/>
    <cellStyle name="Separador de milhares 3 2 4 10 2 3 2" xfId="44250"/>
    <cellStyle name="Separador de milhares 3 2 4 10 2 4" xfId="11834"/>
    <cellStyle name="Separador de milhares 3 2 4 10 2 4 2" xfId="38342"/>
    <cellStyle name="Separador de milhares 3 2 4 10 2 5" xfId="32186"/>
    <cellStyle name="Separador de milhares 3 2 4 10 2 6" xfId="25652"/>
    <cellStyle name="Separador de milhares 3 2 4 10 3" xfId="7400"/>
    <cellStyle name="Separador de milhares 3 2 4 10 3 2" xfId="19254"/>
    <cellStyle name="Separador de milhares 3 2 4 10 3 2 2" xfId="45736"/>
    <cellStyle name="Separador de milhares 3 2 4 10 3 3" xfId="13327"/>
    <cellStyle name="Separador de milhares 3 2 4 10 3 3 2" xfId="39828"/>
    <cellStyle name="Separador de milhares 3 2 4 10 3 4" xfId="33920"/>
    <cellStyle name="Separador de milhares 3 2 4 10 3 5" xfId="27386"/>
    <cellStyle name="Separador de milhares 3 2 4 10 4" xfId="16290"/>
    <cellStyle name="Separador de milhares 3 2 4 10 4 2" xfId="42782"/>
    <cellStyle name="Separador de milhares 3 2 4 10 4 3" xfId="23880"/>
    <cellStyle name="Separador de milhares 3 2 4 10 5" xfId="10363"/>
    <cellStyle name="Separador de milhares 3 2 4 10 5 2" xfId="36874"/>
    <cellStyle name="Separador de milhares 3 2 4 10 6" xfId="30414"/>
    <cellStyle name="Separador de milhares 3 2 4 10 7" xfId="22108"/>
    <cellStyle name="Separador de milhares 3 2 4 11" xfId="3251"/>
    <cellStyle name="Separador de milhares 3 2 4 11 2" xfId="5806"/>
    <cellStyle name="Separador de milhares 3 2 4 11 2 2" xfId="9018"/>
    <cellStyle name="Separador de milhares 3 2 4 11 2 2 2" xfId="20872"/>
    <cellStyle name="Separador de milhares 3 2 4 11 2 2 2 2" xfId="47351"/>
    <cellStyle name="Separador de milhares 3 2 4 11 2 2 3" xfId="14945"/>
    <cellStyle name="Separador de milhares 3 2 4 11 2 2 3 2" xfId="41443"/>
    <cellStyle name="Separador de milhares 3 2 4 11 2 2 4" xfId="35535"/>
    <cellStyle name="Separador de milhares 3 2 4 11 2 2 5" xfId="29001"/>
    <cellStyle name="Separador de milhares 3 2 4 11 2 3" xfId="17908"/>
    <cellStyle name="Separador de milhares 3 2 4 11 2 3 2" xfId="44397"/>
    <cellStyle name="Separador de milhares 3 2 4 11 2 4" xfId="11981"/>
    <cellStyle name="Separador de milhares 3 2 4 11 2 4 2" xfId="38489"/>
    <cellStyle name="Separador de milhares 3 2 4 11 2 5" xfId="32333"/>
    <cellStyle name="Separador de milhares 3 2 4 11 2 6" xfId="25799"/>
    <cellStyle name="Separador de milhares 3 2 4 11 3" xfId="7548"/>
    <cellStyle name="Separador de milhares 3 2 4 11 3 2" xfId="19402"/>
    <cellStyle name="Separador de milhares 3 2 4 11 3 2 2" xfId="45883"/>
    <cellStyle name="Separador de milhares 3 2 4 11 3 3" xfId="13475"/>
    <cellStyle name="Separador de milhares 3 2 4 11 3 3 2" xfId="39975"/>
    <cellStyle name="Separador de milhares 3 2 4 11 3 4" xfId="34067"/>
    <cellStyle name="Separador de milhares 3 2 4 11 3 5" xfId="27533"/>
    <cellStyle name="Separador de milhares 3 2 4 11 4" xfId="16438"/>
    <cellStyle name="Separador de milhares 3 2 4 11 4 2" xfId="42929"/>
    <cellStyle name="Separador de milhares 3 2 4 11 4 3" xfId="24027"/>
    <cellStyle name="Separador de milhares 3 2 4 11 5" xfId="10511"/>
    <cellStyle name="Separador de milhares 3 2 4 11 5 2" xfId="37021"/>
    <cellStyle name="Separador de milhares 3 2 4 11 6" xfId="30561"/>
    <cellStyle name="Separador de milhares 3 2 4 11 7" xfId="22255"/>
    <cellStyle name="Separador de milhares 3 2 4 12" xfId="3779"/>
    <cellStyle name="Separador de milhares 3 2 4 12 2" xfId="5953"/>
    <cellStyle name="Separador de milhares 3 2 4 12 2 2" xfId="9165"/>
    <cellStyle name="Separador de milhares 3 2 4 12 2 2 2" xfId="21019"/>
    <cellStyle name="Separador de milhares 3 2 4 12 2 2 2 2" xfId="47498"/>
    <cellStyle name="Separador de milhares 3 2 4 12 2 2 3" xfId="15092"/>
    <cellStyle name="Separador de milhares 3 2 4 12 2 2 3 2" xfId="41590"/>
    <cellStyle name="Separador de milhares 3 2 4 12 2 2 4" xfId="35682"/>
    <cellStyle name="Separador de milhares 3 2 4 12 2 2 5" xfId="29148"/>
    <cellStyle name="Separador de milhares 3 2 4 12 2 3" xfId="18055"/>
    <cellStyle name="Separador de milhares 3 2 4 12 2 3 2" xfId="44544"/>
    <cellStyle name="Separador de milhares 3 2 4 12 2 4" xfId="12128"/>
    <cellStyle name="Separador de milhares 3 2 4 12 2 4 2" xfId="38636"/>
    <cellStyle name="Separador de milhares 3 2 4 12 2 5" xfId="32480"/>
    <cellStyle name="Separador de milhares 3 2 4 12 2 6" xfId="25946"/>
    <cellStyle name="Separador de milhares 3 2 4 12 3" xfId="7696"/>
    <cellStyle name="Separador de milhares 3 2 4 12 3 2" xfId="19550"/>
    <cellStyle name="Separador de milhares 3 2 4 12 3 2 2" xfId="46030"/>
    <cellStyle name="Separador de milhares 3 2 4 12 3 3" xfId="13623"/>
    <cellStyle name="Separador de milhares 3 2 4 12 3 3 2" xfId="40122"/>
    <cellStyle name="Separador de milhares 3 2 4 12 3 4" xfId="34214"/>
    <cellStyle name="Separador de milhares 3 2 4 12 3 5" xfId="27680"/>
    <cellStyle name="Separador de milhares 3 2 4 12 4" xfId="16586"/>
    <cellStyle name="Separador de milhares 3 2 4 12 4 2" xfId="43076"/>
    <cellStyle name="Separador de milhares 3 2 4 12 4 3" xfId="24174"/>
    <cellStyle name="Separador de milhares 3 2 4 12 5" xfId="10659"/>
    <cellStyle name="Separador de milhares 3 2 4 12 5 2" xfId="37168"/>
    <cellStyle name="Separador de milhares 3 2 4 12 6" xfId="30708"/>
    <cellStyle name="Separador de milhares 3 2 4 12 7" xfId="22402"/>
    <cellStyle name="Separador de milhares 3 2 4 13" xfId="4937"/>
    <cellStyle name="Separador de milhares 3 2 4 13 2" xfId="8161"/>
    <cellStyle name="Separador de milhares 3 2 4 13 2 2" xfId="20015"/>
    <cellStyle name="Separador de milhares 3 2 4 13 2 2 2" xfId="46494"/>
    <cellStyle name="Separador de milhares 3 2 4 13 2 3" xfId="14088"/>
    <cellStyle name="Separador de milhares 3 2 4 13 2 3 2" xfId="40586"/>
    <cellStyle name="Separador de milhares 3 2 4 13 2 4" xfId="34678"/>
    <cellStyle name="Separador de milhares 3 2 4 13 2 5" xfId="28144"/>
    <cellStyle name="Separador de milhares 3 2 4 13 3" xfId="17051"/>
    <cellStyle name="Separador de milhares 3 2 4 13 3 2" xfId="43540"/>
    <cellStyle name="Separador de milhares 3 2 4 13 4" xfId="11124"/>
    <cellStyle name="Separador de milhares 3 2 4 13 4 2" xfId="37632"/>
    <cellStyle name="Separador de milhares 3 2 4 13 5" xfId="31464"/>
    <cellStyle name="Separador de milhares 3 2 4 13 6" xfId="24930"/>
    <cellStyle name="Separador de milhares 3 2 4 14" xfId="6685"/>
    <cellStyle name="Separador de milhares 3 2 4 14 2" xfId="18539"/>
    <cellStyle name="Separador de milhares 3 2 4 14 2 2" xfId="45026"/>
    <cellStyle name="Separador de milhares 3 2 4 14 3" xfId="12612"/>
    <cellStyle name="Separador de milhares 3 2 4 14 3 2" xfId="39118"/>
    <cellStyle name="Separador de milhares 3 2 4 14 4" xfId="33210"/>
    <cellStyle name="Separador de milhares 3 2 4 14 5" xfId="26676"/>
    <cellStyle name="Separador de milhares 3 2 4 15" xfId="15575"/>
    <cellStyle name="Separador de milhares 3 2 4 15 2" xfId="42072"/>
    <cellStyle name="Separador de milhares 3 2 4 15 3" xfId="23158"/>
    <cellStyle name="Separador de milhares 3 2 4 16" xfId="9648"/>
    <cellStyle name="Separador de milhares 3 2 4 16 2" xfId="36164"/>
    <cellStyle name="Separador de milhares 3 2 4 17" xfId="29692"/>
    <cellStyle name="Separador de milhares 3 2 4 2" xfId="307"/>
    <cellStyle name="Separador de milhares 3 2 4 2 10" xfId="4966"/>
    <cellStyle name="Separador de milhares 3 2 4 2 10 2" xfId="8188"/>
    <cellStyle name="Separador de milhares 3 2 4 2 10 2 2" xfId="20042"/>
    <cellStyle name="Separador de milhares 3 2 4 2 10 2 2 2" xfId="46521"/>
    <cellStyle name="Separador de milhares 3 2 4 2 10 2 3" xfId="14115"/>
    <cellStyle name="Separador de milhares 3 2 4 2 10 2 3 2" xfId="40613"/>
    <cellStyle name="Separador de milhares 3 2 4 2 10 2 4" xfId="34705"/>
    <cellStyle name="Separador de milhares 3 2 4 2 10 2 5" xfId="28171"/>
    <cellStyle name="Separador de milhares 3 2 4 2 10 3" xfId="17078"/>
    <cellStyle name="Separador de milhares 3 2 4 2 10 3 2" xfId="43567"/>
    <cellStyle name="Separador de milhares 3 2 4 2 10 4" xfId="11151"/>
    <cellStyle name="Separador de milhares 3 2 4 2 10 4 2" xfId="37659"/>
    <cellStyle name="Separador de milhares 3 2 4 2 10 5" xfId="31493"/>
    <cellStyle name="Separador de milhares 3 2 4 2 10 6" xfId="24959"/>
    <cellStyle name="Separador de milhares 3 2 4 2 11" xfId="6712"/>
    <cellStyle name="Separador de milhares 3 2 4 2 11 2" xfId="18566"/>
    <cellStyle name="Separador de milhares 3 2 4 2 11 2 2" xfId="45053"/>
    <cellStyle name="Separador de milhares 3 2 4 2 11 3" xfId="12639"/>
    <cellStyle name="Separador de milhares 3 2 4 2 11 3 2" xfId="39145"/>
    <cellStyle name="Separador de milhares 3 2 4 2 11 4" xfId="33237"/>
    <cellStyle name="Separador de milhares 3 2 4 2 11 5" xfId="26703"/>
    <cellStyle name="Separador de milhares 3 2 4 2 12" xfId="15602"/>
    <cellStyle name="Separador de milhares 3 2 4 2 12 2" xfId="42099"/>
    <cellStyle name="Separador de milhares 3 2 4 2 12 3" xfId="23187"/>
    <cellStyle name="Separador de milhares 3 2 4 2 13" xfId="9675"/>
    <cellStyle name="Separador de milhares 3 2 4 2 13 2" xfId="36191"/>
    <cellStyle name="Separador de milhares 3 2 4 2 14" xfId="29721"/>
    <cellStyle name="Separador de milhares 3 2 4 2 15" xfId="21439"/>
    <cellStyle name="Separador de milhares 3 2 4 2 2" xfId="582"/>
    <cellStyle name="Separador de milhares 3 2 4 2 2 10" xfId="9749"/>
    <cellStyle name="Separador de milhares 3 2 4 2 2 10 2" xfId="36265"/>
    <cellStyle name="Separador de milhares 3 2 4 2 2 11" xfId="29802"/>
    <cellStyle name="Separador de milhares 3 2 4 2 2 12" xfId="21497"/>
    <cellStyle name="Separador de milhares 3 2 4 2 2 2" xfId="2103"/>
    <cellStyle name="Separador de milhares 3 2 4 2 2 2 2" xfId="5485"/>
    <cellStyle name="Separador de milhares 3 2 4 2 2 2 2 2" xfId="8700"/>
    <cellStyle name="Separador de milhares 3 2 4 2 2 2 2 2 2" xfId="20554"/>
    <cellStyle name="Separador de milhares 3 2 4 2 2 2 2 2 2 2" xfId="47033"/>
    <cellStyle name="Separador de milhares 3 2 4 2 2 2 2 2 3" xfId="14627"/>
    <cellStyle name="Separador de milhares 3 2 4 2 2 2 2 2 3 2" xfId="41125"/>
    <cellStyle name="Separador de milhares 3 2 4 2 2 2 2 2 4" xfId="35217"/>
    <cellStyle name="Separador de milhares 3 2 4 2 2 2 2 2 5" xfId="28683"/>
    <cellStyle name="Separador de milhares 3 2 4 2 2 2 2 3" xfId="17590"/>
    <cellStyle name="Separador de milhares 3 2 4 2 2 2 2 3 2" xfId="44079"/>
    <cellStyle name="Separador de milhares 3 2 4 2 2 2 2 4" xfId="11663"/>
    <cellStyle name="Separador de milhares 3 2 4 2 2 2 2 4 2" xfId="38171"/>
    <cellStyle name="Separador de milhares 3 2 4 2 2 2 2 5" xfId="32012"/>
    <cellStyle name="Separador de milhares 3 2 4 2 2 2 2 6" xfId="25478"/>
    <cellStyle name="Separador de milhares 3 2 4 2 2 2 3" xfId="7228"/>
    <cellStyle name="Separador de milhares 3 2 4 2 2 2 3 2" xfId="19082"/>
    <cellStyle name="Separador de milhares 3 2 4 2 2 2 3 2 2" xfId="45565"/>
    <cellStyle name="Separador de milhares 3 2 4 2 2 2 3 3" xfId="13155"/>
    <cellStyle name="Separador de milhares 3 2 4 2 2 2 3 3 2" xfId="39657"/>
    <cellStyle name="Separador de milhares 3 2 4 2 2 2 3 4" xfId="33749"/>
    <cellStyle name="Separador de milhares 3 2 4 2 2 2 3 5" xfId="27215"/>
    <cellStyle name="Separador de milhares 3 2 4 2 2 2 4" xfId="16118"/>
    <cellStyle name="Separador de milhares 3 2 4 2 2 2 4 2" xfId="42611"/>
    <cellStyle name="Separador de milhares 3 2 4 2 2 2 4 3" xfId="23706"/>
    <cellStyle name="Separador de milhares 3 2 4 2 2 2 5" xfId="10191"/>
    <cellStyle name="Separador de milhares 3 2 4 2 2 2 5 2" xfId="36703"/>
    <cellStyle name="Separador de milhares 3 2 4 2 2 2 6" xfId="30240"/>
    <cellStyle name="Separador de milhares 3 2 4 2 2 2 7" xfId="21934"/>
    <cellStyle name="Separador de milhares 3 2 4 2 2 3" xfId="2636"/>
    <cellStyle name="Separador de milhares 3 2 4 2 2 3 2" xfId="5635"/>
    <cellStyle name="Separador de milhares 3 2 4 2 2 3 2 2" xfId="8847"/>
    <cellStyle name="Separador de milhares 3 2 4 2 2 3 2 2 2" xfId="20701"/>
    <cellStyle name="Separador de milhares 3 2 4 2 2 3 2 2 2 2" xfId="47180"/>
    <cellStyle name="Separador de milhares 3 2 4 2 2 3 2 2 3" xfId="14774"/>
    <cellStyle name="Separador de milhares 3 2 4 2 2 3 2 2 3 2" xfId="41272"/>
    <cellStyle name="Separador de milhares 3 2 4 2 2 3 2 2 4" xfId="35364"/>
    <cellStyle name="Separador de milhares 3 2 4 2 2 3 2 2 5" xfId="28830"/>
    <cellStyle name="Separador de milhares 3 2 4 2 2 3 2 3" xfId="17737"/>
    <cellStyle name="Separador de milhares 3 2 4 2 2 3 2 3 2" xfId="44226"/>
    <cellStyle name="Separador de milhares 3 2 4 2 2 3 2 4" xfId="11810"/>
    <cellStyle name="Separador de milhares 3 2 4 2 2 3 2 4 2" xfId="38318"/>
    <cellStyle name="Separador de milhares 3 2 4 2 2 3 2 5" xfId="32162"/>
    <cellStyle name="Separador de milhares 3 2 4 2 2 3 2 6" xfId="25628"/>
    <cellStyle name="Separador de milhares 3 2 4 2 2 3 3" xfId="7376"/>
    <cellStyle name="Separador de milhares 3 2 4 2 2 3 3 2" xfId="19230"/>
    <cellStyle name="Separador de milhares 3 2 4 2 2 3 3 2 2" xfId="45712"/>
    <cellStyle name="Separador de milhares 3 2 4 2 2 3 3 3" xfId="13303"/>
    <cellStyle name="Separador de milhares 3 2 4 2 2 3 3 3 2" xfId="39804"/>
    <cellStyle name="Separador de milhares 3 2 4 2 2 3 3 4" xfId="33896"/>
    <cellStyle name="Separador de milhares 3 2 4 2 2 3 3 5" xfId="27362"/>
    <cellStyle name="Separador de milhares 3 2 4 2 2 3 4" xfId="16266"/>
    <cellStyle name="Separador de milhares 3 2 4 2 2 3 4 2" xfId="42758"/>
    <cellStyle name="Separador de milhares 3 2 4 2 2 3 4 3" xfId="23856"/>
    <cellStyle name="Separador de milhares 3 2 4 2 2 3 5" xfId="10339"/>
    <cellStyle name="Separador de milhares 3 2 4 2 2 3 5 2" xfId="36850"/>
    <cellStyle name="Separador de milhares 3 2 4 2 2 3 6" xfId="30390"/>
    <cellStyle name="Separador de milhares 3 2 4 2 2 3 7" xfId="22084"/>
    <cellStyle name="Separador de milhares 3 2 4 2 2 4" xfId="3164"/>
    <cellStyle name="Separador de milhares 3 2 4 2 2 4 2" xfId="5782"/>
    <cellStyle name="Separador de milhares 3 2 4 2 2 4 2 2" xfId="8994"/>
    <cellStyle name="Separador de milhares 3 2 4 2 2 4 2 2 2" xfId="20848"/>
    <cellStyle name="Separador de milhares 3 2 4 2 2 4 2 2 2 2" xfId="47327"/>
    <cellStyle name="Separador de milhares 3 2 4 2 2 4 2 2 3" xfId="14921"/>
    <cellStyle name="Separador de milhares 3 2 4 2 2 4 2 2 3 2" xfId="41419"/>
    <cellStyle name="Separador de milhares 3 2 4 2 2 4 2 2 4" xfId="35511"/>
    <cellStyle name="Separador de milhares 3 2 4 2 2 4 2 2 5" xfId="28977"/>
    <cellStyle name="Separador de milhares 3 2 4 2 2 4 2 3" xfId="17884"/>
    <cellStyle name="Separador de milhares 3 2 4 2 2 4 2 3 2" xfId="44373"/>
    <cellStyle name="Separador de milhares 3 2 4 2 2 4 2 4" xfId="11957"/>
    <cellStyle name="Separador de milhares 3 2 4 2 2 4 2 4 2" xfId="38465"/>
    <cellStyle name="Separador de milhares 3 2 4 2 2 4 2 5" xfId="32309"/>
    <cellStyle name="Separador de milhares 3 2 4 2 2 4 2 6" xfId="25775"/>
    <cellStyle name="Separador de milhares 3 2 4 2 2 4 3" xfId="7524"/>
    <cellStyle name="Separador de milhares 3 2 4 2 2 4 3 2" xfId="19378"/>
    <cellStyle name="Separador de milhares 3 2 4 2 2 4 3 2 2" xfId="45859"/>
    <cellStyle name="Separador de milhares 3 2 4 2 2 4 3 3" xfId="13451"/>
    <cellStyle name="Separador de milhares 3 2 4 2 2 4 3 3 2" xfId="39951"/>
    <cellStyle name="Separador de milhares 3 2 4 2 2 4 3 4" xfId="34043"/>
    <cellStyle name="Separador de milhares 3 2 4 2 2 4 3 5" xfId="27509"/>
    <cellStyle name="Separador de milhares 3 2 4 2 2 4 4" xfId="16414"/>
    <cellStyle name="Separador de milhares 3 2 4 2 2 4 4 2" xfId="42905"/>
    <cellStyle name="Separador de milhares 3 2 4 2 2 4 4 3" xfId="24003"/>
    <cellStyle name="Separador de milhares 3 2 4 2 2 4 5" xfId="10487"/>
    <cellStyle name="Separador de milhares 3 2 4 2 2 4 5 2" xfId="36997"/>
    <cellStyle name="Separador de milhares 3 2 4 2 2 4 6" xfId="30537"/>
    <cellStyle name="Separador de milhares 3 2 4 2 2 4 7" xfId="22231"/>
    <cellStyle name="Separador de milhares 3 2 4 2 2 5" xfId="3692"/>
    <cellStyle name="Separador de milhares 3 2 4 2 2 5 2" xfId="5929"/>
    <cellStyle name="Separador de milhares 3 2 4 2 2 5 2 2" xfId="9141"/>
    <cellStyle name="Separador de milhares 3 2 4 2 2 5 2 2 2" xfId="20995"/>
    <cellStyle name="Separador de milhares 3 2 4 2 2 5 2 2 2 2" xfId="47474"/>
    <cellStyle name="Separador de milhares 3 2 4 2 2 5 2 2 3" xfId="15068"/>
    <cellStyle name="Separador de milhares 3 2 4 2 2 5 2 2 3 2" xfId="41566"/>
    <cellStyle name="Separador de milhares 3 2 4 2 2 5 2 2 4" xfId="35658"/>
    <cellStyle name="Separador de milhares 3 2 4 2 2 5 2 2 5" xfId="29124"/>
    <cellStyle name="Separador de milhares 3 2 4 2 2 5 2 3" xfId="18031"/>
    <cellStyle name="Separador de milhares 3 2 4 2 2 5 2 3 2" xfId="44520"/>
    <cellStyle name="Separador de milhares 3 2 4 2 2 5 2 4" xfId="12104"/>
    <cellStyle name="Separador de milhares 3 2 4 2 2 5 2 4 2" xfId="38612"/>
    <cellStyle name="Separador de milhares 3 2 4 2 2 5 2 5" xfId="32456"/>
    <cellStyle name="Separador de milhares 3 2 4 2 2 5 2 6" xfId="25922"/>
    <cellStyle name="Separador de milhares 3 2 4 2 2 5 3" xfId="7672"/>
    <cellStyle name="Separador de milhares 3 2 4 2 2 5 3 2" xfId="19526"/>
    <cellStyle name="Separador de milhares 3 2 4 2 2 5 3 2 2" xfId="46006"/>
    <cellStyle name="Separador de milhares 3 2 4 2 2 5 3 3" xfId="13599"/>
    <cellStyle name="Separador de milhares 3 2 4 2 2 5 3 3 2" xfId="40098"/>
    <cellStyle name="Separador de milhares 3 2 4 2 2 5 3 4" xfId="34190"/>
    <cellStyle name="Separador de milhares 3 2 4 2 2 5 3 5" xfId="27656"/>
    <cellStyle name="Separador de milhares 3 2 4 2 2 5 4" xfId="16562"/>
    <cellStyle name="Separador de milhares 3 2 4 2 2 5 4 2" xfId="43052"/>
    <cellStyle name="Separador de milhares 3 2 4 2 2 5 4 3" xfId="24150"/>
    <cellStyle name="Separador de milhares 3 2 4 2 2 5 5" xfId="10635"/>
    <cellStyle name="Separador de milhares 3 2 4 2 2 5 5 2" xfId="37144"/>
    <cellStyle name="Separador de milhares 3 2 4 2 2 5 6" xfId="30684"/>
    <cellStyle name="Separador de milhares 3 2 4 2 2 5 7" xfId="22378"/>
    <cellStyle name="Separador de milhares 3 2 4 2 2 6" xfId="4220"/>
    <cellStyle name="Separador de milhares 3 2 4 2 2 6 2" xfId="6076"/>
    <cellStyle name="Separador de milhares 3 2 4 2 2 6 2 2" xfId="9288"/>
    <cellStyle name="Separador de milhares 3 2 4 2 2 6 2 2 2" xfId="21142"/>
    <cellStyle name="Separador de milhares 3 2 4 2 2 6 2 2 2 2" xfId="47621"/>
    <cellStyle name="Separador de milhares 3 2 4 2 2 6 2 2 3" xfId="15215"/>
    <cellStyle name="Separador de milhares 3 2 4 2 2 6 2 2 3 2" xfId="41713"/>
    <cellStyle name="Separador de milhares 3 2 4 2 2 6 2 2 4" xfId="35805"/>
    <cellStyle name="Separador de milhares 3 2 4 2 2 6 2 2 5" xfId="29271"/>
    <cellStyle name="Separador de milhares 3 2 4 2 2 6 2 3" xfId="18178"/>
    <cellStyle name="Separador de milhares 3 2 4 2 2 6 2 3 2" xfId="44667"/>
    <cellStyle name="Separador de milhares 3 2 4 2 2 6 2 4" xfId="12251"/>
    <cellStyle name="Separador de milhares 3 2 4 2 2 6 2 4 2" xfId="38759"/>
    <cellStyle name="Separador de milhares 3 2 4 2 2 6 2 5" xfId="32603"/>
    <cellStyle name="Separador de milhares 3 2 4 2 2 6 2 6" xfId="26069"/>
    <cellStyle name="Separador de milhares 3 2 4 2 2 6 3" xfId="7820"/>
    <cellStyle name="Separador de milhares 3 2 4 2 2 6 3 2" xfId="19674"/>
    <cellStyle name="Separador de milhares 3 2 4 2 2 6 3 2 2" xfId="46153"/>
    <cellStyle name="Separador de milhares 3 2 4 2 2 6 3 3" xfId="13747"/>
    <cellStyle name="Separador de milhares 3 2 4 2 2 6 3 3 2" xfId="40245"/>
    <cellStyle name="Separador de milhares 3 2 4 2 2 6 3 4" xfId="34337"/>
    <cellStyle name="Separador de milhares 3 2 4 2 2 6 3 5" xfId="27803"/>
    <cellStyle name="Separador de milhares 3 2 4 2 2 6 4" xfId="16710"/>
    <cellStyle name="Separador de milhares 3 2 4 2 2 6 4 2" xfId="43199"/>
    <cellStyle name="Separador de milhares 3 2 4 2 2 6 4 3" xfId="24297"/>
    <cellStyle name="Separador de milhares 3 2 4 2 2 6 5" xfId="10783"/>
    <cellStyle name="Separador de milhares 3 2 4 2 2 6 5 2" xfId="37291"/>
    <cellStyle name="Separador de milhares 3 2 4 2 2 6 6" xfId="30831"/>
    <cellStyle name="Separador de milhares 3 2 4 2 2 6 7" xfId="22525"/>
    <cellStyle name="Separador de milhares 3 2 4 2 2 7" xfId="5047"/>
    <cellStyle name="Separador de milhares 3 2 4 2 2 7 2" xfId="8262"/>
    <cellStyle name="Separador de milhares 3 2 4 2 2 7 2 2" xfId="20116"/>
    <cellStyle name="Separador de milhares 3 2 4 2 2 7 2 2 2" xfId="46595"/>
    <cellStyle name="Separador de milhares 3 2 4 2 2 7 2 3" xfId="14189"/>
    <cellStyle name="Separador de milhares 3 2 4 2 2 7 2 3 2" xfId="40687"/>
    <cellStyle name="Separador de milhares 3 2 4 2 2 7 2 4" xfId="34779"/>
    <cellStyle name="Separador de milhares 3 2 4 2 2 7 2 5" xfId="28245"/>
    <cellStyle name="Separador de milhares 3 2 4 2 2 7 3" xfId="17152"/>
    <cellStyle name="Separador de milhares 3 2 4 2 2 7 3 2" xfId="43641"/>
    <cellStyle name="Separador de milhares 3 2 4 2 2 7 4" xfId="11225"/>
    <cellStyle name="Separador de milhares 3 2 4 2 2 7 4 2" xfId="37733"/>
    <cellStyle name="Separador de milhares 3 2 4 2 2 7 5" xfId="31574"/>
    <cellStyle name="Separador de milhares 3 2 4 2 2 7 6" xfId="25040"/>
    <cellStyle name="Separador de milhares 3 2 4 2 2 8" xfId="6786"/>
    <cellStyle name="Separador de milhares 3 2 4 2 2 8 2" xfId="18640"/>
    <cellStyle name="Separador de milhares 3 2 4 2 2 8 2 2" xfId="45127"/>
    <cellStyle name="Separador de milhares 3 2 4 2 2 8 3" xfId="12713"/>
    <cellStyle name="Separador de milhares 3 2 4 2 2 8 3 2" xfId="39219"/>
    <cellStyle name="Separador de milhares 3 2 4 2 2 8 4" xfId="33311"/>
    <cellStyle name="Separador de milhares 3 2 4 2 2 8 5" xfId="26777"/>
    <cellStyle name="Separador de milhares 3 2 4 2 2 9" xfId="15676"/>
    <cellStyle name="Separador de milhares 3 2 4 2 2 9 2" xfId="42173"/>
    <cellStyle name="Separador de milhares 3 2 4 2 2 9 3" xfId="23268"/>
    <cellStyle name="Separador de milhares 3 2 4 2 3" xfId="1056"/>
    <cellStyle name="Separador de milhares 3 2 4 2 3 2" xfId="5198"/>
    <cellStyle name="Separador de milhares 3 2 4 2 3 2 2" xfId="8413"/>
    <cellStyle name="Separador de milhares 3 2 4 2 3 2 2 2" xfId="20267"/>
    <cellStyle name="Separador de milhares 3 2 4 2 3 2 2 2 2" xfId="46746"/>
    <cellStyle name="Separador de milhares 3 2 4 2 3 2 2 3" xfId="14340"/>
    <cellStyle name="Separador de milhares 3 2 4 2 3 2 2 3 2" xfId="40838"/>
    <cellStyle name="Separador de milhares 3 2 4 2 3 2 2 4" xfId="34930"/>
    <cellStyle name="Separador de milhares 3 2 4 2 3 2 2 5" xfId="28396"/>
    <cellStyle name="Separador de milhares 3 2 4 2 3 2 3" xfId="17303"/>
    <cellStyle name="Separador de milhares 3 2 4 2 3 2 3 2" xfId="43792"/>
    <cellStyle name="Separador de milhares 3 2 4 2 3 2 4" xfId="11376"/>
    <cellStyle name="Separador de milhares 3 2 4 2 3 2 4 2" xfId="37884"/>
    <cellStyle name="Separador de milhares 3 2 4 2 3 2 5" xfId="31725"/>
    <cellStyle name="Separador de milhares 3 2 4 2 3 2 6" xfId="25191"/>
    <cellStyle name="Separador de milhares 3 2 4 2 3 3" xfId="6940"/>
    <cellStyle name="Separador de milhares 3 2 4 2 3 3 2" xfId="18794"/>
    <cellStyle name="Separador de milhares 3 2 4 2 3 3 2 2" xfId="45278"/>
    <cellStyle name="Separador de milhares 3 2 4 2 3 3 3" xfId="12867"/>
    <cellStyle name="Separador de milhares 3 2 4 2 3 3 3 2" xfId="39370"/>
    <cellStyle name="Separador de milhares 3 2 4 2 3 3 4" xfId="33462"/>
    <cellStyle name="Separador de milhares 3 2 4 2 3 3 5" xfId="26928"/>
    <cellStyle name="Separador de milhares 3 2 4 2 3 4" xfId="15830"/>
    <cellStyle name="Separador de milhares 3 2 4 2 3 4 2" xfId="42324"/>
    <cellStyle name="Separador de milhares 3 2 4 2 3 4 3" xfId="23419"/>
    <cellStyle name="Separador de milhares 3 2 4 2 3 5" xfId="9903"/>
    <cellStyle name="Separador de milhares 3 2 4 2 3 5 2" xfId="36416"/>
    <cellStyle name="Separador de milhares 3 2 4 2 3 6" xfId="29953"/>
    <cellStyle name="Separador de milhares 3 2 4 2 3 7" xfId="21647"/>
    <cellStyle name="Separador de milhares 3 2 4 2 4" xfId="1407"/>
    <cellStyle name="Separador de milhares 3 2 4 2 4 2" xfId="5296"/>
    <cellStyle name="Separador de milhares 3 2 4 2 4 2 2" xfId="8511"/>
    <cellStyle name="Separador de milhares 3 2 4 2 4 2 2 2" xfId="20365"/>
    <cellStyle name="Separador de milhares 3 2 4 2 4 2 2 2 2" xfId="46844"/>
    <cellStyle name="Separador de milhares 3 2 4 2 4 2 2 3" xfId="14438"/>
    <cellStyle name="Separador de milhares 3 2 4 2 4 2 2 3 2" xfId="40936"/>
    <cellStyle name="Separador de milhares 3 2 4 2 4 2 2 4" xfId="35028"/>
    <cellStyle name="Separador de milhares 3 2 4 2 4 2 2 5" xfId="28494"/>
    <cellStyle name="Separador de milhares 3 2 4 2 4 2 3" xfId="17401"/>
    <cellStyle name="Separador de milhares 3 2 4 2 4 2 3 2" xfId="43890"/>
    <cellStyle name="Separador de milhares 3 2 4 2 4 2 4" xfId="11474"/>
    <cellStyle name="Separador de milhares 3 2 4 2 4 2 4 2" xfId="37982"/>
    <cellStyle name="Separador de milhares 3 2 4 2 4 2 5" xfId="31823"/>
    <cellStyle name="Separador de milhares 3 2 4 2 4 2 6" xfId="25289"/>
    <cellStyle name="Separador de milhares 3 2 4 2 4 3" xfId="7038"/>
    <cellStyle name="Separador de milhares 3 2 4 2 4 3 2" xfId="18892"/>
    <cellStyle name="Separador de milhares 3 2 4 2 4 3 2 2" xfId="45376"/>
    <cellStyle name="Separador de milhares 3 2 4 2 4 3 3" xfId="12965"/>
    <cellStyle name="Separador de milhares 3 2 4 2 4 3 3 2" xfId="39468"/>
    <cellStyle name="Separador de milhares 3 2 4 2 4 3 4" xfId="33560"/>
    <cellStyle name="Separador de milhares 3 2 4 2 4 3 5" xfId="27026"/>
    <cellStyle name="Separador de milhares 3 2 4 2 4 4" xfId="15928"/>
    <cellStyle name="Separador de milhares 3 2 4 2 4 4 2" xfId="42422"/>
    <cellStyle name="Separador de milhares 3 2 4 2 4 4 3" xfId="23517"/>
    <cellStyle name="Separador de milhares 3 2 4 2 4 5" xfId="10001"/>
    <cellStyle name="Separador de milhares 3 2 4 2 4 5 2" xfId="36514"/>
    <cellStyle name="Separador de milhares 3 2 4 2 4 6" xfId="30051"/>
    <cellStyle name="Separador de milhares 3 2 4 2 4 7" xfId="21745"/>
    <cellStyle name="Separador de milhares 3 2 4 2 5" xfId="1842"/>
    <cellStyle name="Separador de milhares 3 2 4 2 5 2" xfId="5415"/>
    <cellStyle name="Separador de milhares 3 2 4 2 5 2 2" xfId="8630"/>
    <cellStyle name="Separador de milhares 3 2 4 2 5 2 2 2" xfId="20484"/>
    <cellStyle name="Separador de milhares 3 2 4 2 5 2 2 2 2" xfId="46963"/>
    <cellStyle name="Separador de milhares 3 2 4 2 5 2 2 3" xfId="14557"/>
    <cellStyle name="Separador de milhares 3 2 4 2 5 2 2 3 2" xfId="41055"/>
    <cellStyle name="Separador de milhares 3 2 4 2 5 2 2 4" xfId="35147"/>
    <cellStyle name="Separador de milhares 3 2 4 2 5 2 2 5" xfId="28613"/>
    <cellStyle name="Separador de milhares 3 2 4 2 5 2 3" xfId="17520"/>
    <cellStyle name="Separador de milhares 3 2 4 2 5 2 3 2" xfId="44009"/>
    <cellStyle name="Separador de milhares 3 2 4 2 5 2 4" xfId="11593"/>
    <cellStyle name="Separador de milhares 3 2 4 2 5 2 4 2" xfId="38101"/>
    <cellStyle name="Separador de milhares 3 2 4 2 5 2 5" xfId="31942"/>
    <cellStyle name="Separador de milhares 3 2 4 2 5 2 6" xfId="25408"/>
    <cellStyle name="Separador de milhares 3 2 4 2 5 3" xfId="7157"/>
    <cellStyle name="Separador de milhares 3 2 4 2 5 3 2" xfId="19011"/>
    <cellStyle name="Separador de milhares 3 2 4 2 5 3 2 2" xfId="45495"/>
    <cellStyle name="Separador de milhares 3 2 4 2 5 3 3" xfId="13084"/>
    <cellStyle name="Separador de milhares 3 2 4 2 5 3 3 2" xfId="39587"/>
    <cellStyle name="Separador de milhares 3 2 4 2 5 3 4" xfId="33679"/>
    <cellStyle name="Separador de milhares 3 2 4 2 5 3 5" xfId="27145"/>
    <cellStyle name="Separador de milhares 3 2 4 2 5 4" xfId="16047"/>
    <cellStyle name="Separador de milhares 3 2 4 2 5 4 2" xfId="42541"/>
    <cellStyle name="Separador de milhares 3 2 4 2 5 4 3" xfId="23636"/>
    <cellStyle name="Separador de milhares 3 2 4 2 5 5" xfId="10120"/>
    <cellStyle name="Separador de milhares 3 2 4 2 5 5 2" xfId="36633"/>
    <cellStyle name="Separador de milhares 3 2 4 2 5 6" xfId="30170"/>
    <cellStyle name="Separador de milhares 3 2 4 2 5 7" xfId="21864"/>
    <cellStyle name="Separador de milhares 3 2 4 2 6" xfId="2375"/>
    <cellStyle name="Separador de milhares 3 2 4 2 6 2" xfId="5565"/>
    <cellStyle name="Separador de milhares 3 2 4 2 6 2 2" xfId="8777"/>
    <cellStyle name="Separador de milhares 3 2 4 2 6 2 2 2" xfId="20631"/>
    <cellStyle name="Separador de milhares 3 2 4 2 6 2 2 2 2" xfId="47110"/>
    <cellStyle name="Separador de milhares 3 2 4 2 6 2 2 3" xfId="14704"/>
    <cellStyle name="Separador de milhares 3 2 4 2 6 2 2 3 2" xfId="41202"/>
    <cellStyle name="Separador de milhares 3 2 4 2 6 2 2 4" xfId="35294"/>
    <cellStyle name="Separador de milhares 3 2 4 2 6 2 2 5" xfId="28760"/>
    <cellStyle name="Separador de milhares 3 2 4 2 6 2 3" xfId="17667"/>
    <cellStyle name="Separador de milhares 3 2 4 2 6 2 3 2" xfId="44156"/>
    <cellStyle name="Separador de milhares 3 2 4 2 6 2 4" xfId="11740"/>
    <cellStyle name="Separador de milhares 3 2 4 2 6 2 4 2" xfId="38248"/>
    <cellStyle name="Separador de milhares 3 2 4 2 6 2 5" xfId="32092"/>
    <cellStyle name="Separador de milhares 3 2 4 2 6 2 6" xfId="25558"/>
    <cellStyle name="Separador de milhares 3 2 4 2 6 3" xfId="7305"/>
    <cellStyle name="Separador de milhares 3 2 4 2 6 3 2" xfId="19159"/>
    <cellStyle name="Separador de milhares 3 2 4 2 6 3 2 2" xfId="45642"/>
    <cellStyle name="Separador de milhares 3 2 4 2 6 3 3" xfId="13232"/>
    <cellStyle name="Separador de milhares 3 2 4 2 6 3 3 2" xfId="39734"/>
    <cellStyle name="Separador de milhares 3 2 4 2 6 3 4" xfId="33826"/>
    <cellStyle name="Separador de milhares 3 2 4 2 6 3 5" xfId="27292"/>
    <cellStyle name="Separador de milhares 3 2 4 2 6 4" xfId="16195"/>
    <cellStyle name="Separador de milhares 3 2 4 2 6 4 2" xfId="42688"/>
    <cellStyle name="Separador de milhares 3 2 4 2 6 4 3" xfId="23786"/>
    <cellStyle name="Separador de milhares 3 2 4 2 6 5" xfId="10268"/>
    <cellStyle name="Separador de milhares 3 2 4 2 6 5 2" xfId="36780"/>
    <cellStyle name="Separador de milhares 3 2 4 2 6 6" xfId="30320"/>
    <cellStyle name="Separador de milhares 3 2 4 2 6 7" xfId="22014"/>
    <cellStyle name="Separador de milhares 3 2 4 2 7" xfId="2903"/>
    <cellStyle name="Separador de milhares 3 2 4 2 7 2" xfId="5712"/>
    <cellStyle name="Separador de milhares 3 2 4 2 7 2 2" xfId="8924"/>
    <cellStyle name="Separador de milhares 3 2 4 2 7 2 2 2" xfId="20778"/>
    <cellStyle name="Separador de milhares 3 2 4 2 7 2 2 2 2" xfId="47257"/>
    <cellStyle name="Separador de milhares 3 2 4 2 7 2 2 3" xfId="14851"/>
    <cellStyle name="Separador de milhares 3 2 4 2 7 2 2 3 2" xfId="41349"/>
    <cellStyle name="Separador de milhares 3 2 4 2 7 2 2 4" xfId="35441"/>
    <cellStyle name="Separador de milhares 3 2 4 2 7 2 2 5" xfId="28907"/>
    <cellStyle name="Separador de milhares 3 2 4 2 7 2 3" xfId="17814"/>
    <cellStyle name="Separador de milhares 3 2 4 2 7 2 3 2" xfId="44303"/>
    <cellStyle name="Separador de milhares 3 2 4 2 7 2 4" xfId="11887"/>
    <cellStyle name="Separador de milhares 3 2 4 2 7 2 4 2" xfId="38395"/>
    <cellStyle name="Separador de milhares 3 2 4 2 7 2 5" xfId="32239"/>
    <cellStyle name="Separador de milhares 3 2 4 2 7 2 6" xfId="25705"/>
    <cellStyle name="Separador de milhares 3 2 4 2 7 3" xfId="7453"/>
    <cellStyle name="Separador de milhares 3 2 4 2 7 3 2" xfId="19307"/>
    <cellStyle name="Separador de milhares 3 2 4 2 7 3 2 2" xfId="45789"/>
    <cellStyle name="Separador de milhares 3 2 4 2 7 3 3" xfId="13380"/>
    <cellStyle name="Separador de milhares 3 2 4 2 7 3 3 2" xfId="39881"/>
    <cellStyle name="Separador de milhares 3 2 4 2 7 3 4" xfId="33973"/>
    <cellStyle name="Separador de milhares 3 2 4 2 7 3 5" xfId="27439"/>
    <cellStyle name="Separador de milhares 3 2 4 2 7 4" xfId="16343"/>
    <cellStyle name="Separador de milhares 3 2 4 2 7 4 2" xfId="42835"/>
    <cellStyle name="Separador de milhares 3 2 4 2 7 4 3" xfId="23933"/>
    <cellStyle name="Separador de milhares 3 2 4 2 7 5" xfId="10416"/>
    <cellStyle name="Separador de milhares 3 2 4 2 7 5 2" xfId="36927"/>
    <cellStyle name="Separador de milhares 3 2 4 2 7 6" xfId="30467"/>
    <cellStyle name="Separador de milhares 3 2 4 2 7 7" xfId="22161"/>
    <cellStyle name="Separador de milhares 3 2 4 2 8" xfId="3431"/>
    <cellStyle name="Separador de milhares 3 2 4 2 8 2" xfId="5859"/>
    <cellStyle name="Separador de milhares 3 2 4 2 8 2 2" xfId="9071"/>
    <cellStyle name="Separador de milhares 3 2 4 2 8 2 2 2" xfId="20925"/>
    <cellStyle name="Separador de milhares 3 2 4 2 8 2 2 2 2" xfId="47404"/>
    <cellStyle name="Separador de milhares 3 2 4 2 8 2 2 3" xfId="14998"/>
    <cellStyle name="Separador de milhares 3 2 4 2 8 2 2 3 2" xfId="41496"/>
    <cellStyle name="Separador de milhares 3 2 4 2 8 2 2 4" xfId="35588"/>
    <cellStyle name="Separador de milhares 3 2 4 2 8 2 2 5" xfId="29054"/>
    <cellStyle name="Separador de milhares 3 2 4 2 8 2 3" xfId="17961"/>
    <cellStyle name="Separador de milhares 3 2 4 2 8 2 3 2" xfId="44450"/>
    <cellStyle name="Separador de milhares 3 2 4 2 8 2 4" xfId="12034"/>
    <cellStyle name="Separador de milhares 3 2 4 2 8 2 4 2" xfId="38542"/>
    <cellStyle name="Separador de milhares 3 2 4 2 8 2 5" xfId="32386"/>
    <cellStyle name="Separador de milhares 3 2 4 2 8 2 6" xfId="25852"/>
    <cellStyle name="Separador de milhares 3 2 4 2 8 3" xfId="7601"/>
    <cellStyle name="Separador de milhares 3 2 4 2 8 3 2" xfId="19455"/>
    <cellStyle name="Separador de milhares 3 2 4 2 8 3 2 2" xfId="45936"/>
    <cellStyle name="Separador de milhares 3 2 4 2 8 3 3" xfId="13528"/>
    <cellStyle name="Separador de milhares 3 2 4 2 8 3 3 2" xfId="40028"/>
    <cellStyle name="Separador de milhares 3 2 4 2 8 3 4" xfId="34120"/>
    <cellStyle name="Separador de milhares 3 2 4 2 8 3 5" xfId="27586"/>
    <cellStyle name="Separador de milhares 3 2 4 2 8 4" xfId="16491"/>
    <cellStyle name="Separador de milhares 3 2 4 2 8 4 2" xfId="42982"/>
    <cellStyle name="Separador de milhares 3 2 4 2 8 4 3" xfId="24080"/>
    <cellStyle name="Separador de milhares 3 2 4 2 8 5" xfId="10564"/>
    <cellStyle name="Separador de milhares 3 2 4 2 8 5 2" xfId="37074"/>
    <cellStyle name="Separador de milhares 3 2 4 2 8 6" xfId="30614"/>
    <cellStyle name="Separador de milhares 3 2 4 2 8 7" xfId="22308"/>
    <cellStyle name="Separador de milhares 3 2 4 2 9" xfId="3959"/>
    <cellStyle name="Separador de milhares 3 2 4 2 9 2" xfId="6006"/>
    <cellStyle name="Separador de milhares 3 2 4 2 9 2 2" xfId="9218"/>
    <cellStyle name="Separador de milhares 3 2 4 2 9 2 2 2" xfId="21072"/>
    <cellStyle name="Separador de milhares 3 2 4 2 9 2 2 2 2" xfId="47551"/>
    <cellStyle name="Separador de milhares 3 2 4 2 9 2 2 3" xfId="15145"/>
    <cellStyle name="Separador de milhares 3 2 4 2 9 2 2 3 2" xfId="41643"/>
    <cellStyle name="Separador de milhares 3 2 4 2 9 2 2 4" xfId="35735"/>
    <cellStyle name="Separador de milhares 3 2 4 2 9 2 2 5" xfId="29201"/>
    <cellStyle name="Separador de milhares 3 2 4 2 9 2 3" xfId="18108"/>
    <cellStyle name="Separador de milhares 3 2 4 2 9 2 3 2" xfId="44597"/>
    <cellStyle name="Separador de milhares 3 2 4 2 9 2 4" xfId="12181"/>
    <cellStyle name="Separador de milhares 3 2 4 2 9 2 4 2" xfId="38689"/>
    <cellStyle name="Separador de milhares 3 2 4 2 9 2 5" xfId="32533"/>
    <cellStyle name="Separador de milhares 3 2 4 2 9 2 6" xfId="25999"/>
    <cellStyle name="Separador de milhares 3 2 4 2 9 3" xfId="7749"/>
    <cellStyle name="Separador de milhares 3 2 4 2 9 3 2" xfId="19603"/>
    <cellStyle name="Separador de milhares 3 2 4 2 9 3 2 2" xfId="46083"/>
    <cellStyle name="Separador de milhares 3 2 4 2 9 3 3" xfId="13676"/>
    <cellStyle name="Separador de milhares 3 2 4 2 9 3 3 2" xfId="40175"/>
    <cellStyle name="Separador de milhares 3 2 4 2 9 3 4" xfId="34267"/>
    <cellStyle name="Separador de milhares 3 2 4 2 9 3 5" xfId="27733"/>
    <cellStyle name="Separador de milhares 3 2 4 2 9 4" xfId="16639"/>
    <cellStyle name="Separador de milhares 3 2 4 2 9 4 2" xfId="43129"/>
    <cellStyle name="Separador de milhares 3 2 4 2 9 4 3" xfId="24227"/>
    <cellStyle name="Separador de milhares 3 2 4 2 9 5" xfId="10712"/>
    <cellStyle name="Separador de milhares 3 2 4 2 9 5 2" xfId="37221"/>
    <cellStyle name="Separador de milhares 3 2 4 2 9 6" xfId="30761"/>
    <cellStyle name="Separador de milhares 3 2 4 2 9 7" xfId="22455"/>
    <cellStyle name="Separador de milhares 3 2 4 3" xfId="404"/>
    <cellStyle name="Separador de milhares 3 2 4 3 10" xfId="4997"/>
    <cellStyle name="Separador de milhares 3 2 4 3 10 2" xfId="8216"/>
    <cellStyle name="Separador de milhares 3 2 4 3 10 2 2" xfId="20070"/>
    <cellStyle name="Separador de milhares 3 2 4 3 10 2 2 2" xfId="46549"/>
    <cellStyle name="Separador de milhares 3 2 4 3 10 2 3" xfId="14143"/>
    <cellStyle name="Separador de milhares 3 2 4 3 10 2 3 2" xfId="40641"/>
    <cellStyle name="Separador de milhares 3 2 4 3 10 2 4" xfId="34733"/>
    <cellStyle name="Separador de milhares 3 2 4 3 10 2 5" xfId="28199"/>
    <cellStyle name="Separador de milhares 3 2 4 3 10 3" xfId="17106"/>
    <cellStyle name="Separador de milhares 3 2 4 3 10 3 2" xfId="43595"/>
    <cellStyle name="Separador de milhares 3 2 4 3 10 4" xfId="11179"/>
    <cellStyle name="Separador de milhares 3 2 4 3 10 4 2" xfId="37687"/>
    <cellStyle name="Separador de milhares 3 2 4 3 10 5" xfId="31524"/>
    <cellStyle name="Separador de milhares 3 2 4 3 10 6" xfId="24990"/>
    <cellStyle name="Separador de milhares 3 2 4 3 11" xfId="6740"/>
    <cellStyle name="Separador de milhares 3 2 4 3 11 2" xfId="18594"/>
    <cellStyle name="Separador de milhares 3 2 4 3 11 2 2" xfId="45081"/>
    <cellStyle name="Separador de milhares 3 2 4 3 11 3" xfId="12667"/>
    <cellStyle name="Separador de milhares 3 2 4 3 11 3 2" xfId="39173"/>
    <cellStyle name="Separador de milhares 3 2 4 3 11 4" xfId="33265"/>
    <cellStyle name="Separador de milhares 3 2 4 3 11 5" xfId="26731"/>
    <cellStyle name="Separador de milhares 3 2 4 3 12" xfId="15630"/>
    <cellStyle name="Separador de milhares 3 2 4 3 12 2" xfId="42127"/>
    <cellStyle name="Separador de milhares 3 2 4 3 12 3" xfId="23218"/>
    <cellStyle name="Separador de milhares 3 2 4 3 13" xfId="9703"/>
    <cellStyle name="Separador de milhares 3 2 4 3 13 2" xfId="36219"/>
    <cellStyle name="Separador de milhares 3 2 4 3 14" xfId="29752"/>
    <cellStyle name="Separador de milhares 3 2 4 3 15" xfId="21470"/>
    <cellStyle name="Separador de milhares 3 2 4 3 2" xfId="667"/>
    <cellStyle name="Separador de milhares 3 2 4 3 2 2" xfId="5068"/>
    <cellStyle name="Separador de milhares 3 2 4 3 2 2 2" xfId="8283"/>
    <cellStyle name="Separador de milhares 3 2 4 3 2 2 2 2" xfId="20137"/>
    <cellStyle name="Separador de milhares 3 2 4 3 2 2 2 2 2" xfId="46616"/>
    <cellStyle name="Separador de milhares 3 2 4 3 2 2 2 3" xfId="14210"/>
    <cellStyle name="Separador de milhares 3 2 4 3 2 2 2 3 2" xfId="40708"/>
    <cellStyle name="Separador de milhares 3 2 4 3 2 2 2 4" xfId="34800"/>
    <cellStyle name="Separador de milhares 3 2 4 3 2 2 2 5" xfId="28266"/>
    <cellStyle name="Separador de milhares 3 2 4 3 2 2 3" xfId="17173"/>
    <cellStyle name="Separador de milhares 3 2 4 3 2 2 3 2" xfId="43662"/>
    <cellStyle name="Separador de milhares 3 2 4 3 2 2 4" xfId="11246"/>
    <cellStyle name="Separador de milhares 3 2 4 3 2 2 4 2" xfId="37754"/>
    <cellStyle name="Separador de milhares 3 2 4 3 2 2 5" xfId="31595"/>
    <cellStyle name="Separador de milhares 3 2 4 3 2 2 6" xfId="25061"/>
    <cellStyle name="Separador de milhares 3 2 4 3 2 3" xfId="6807"/>
    <cellStyle name="Separador de milhares 3 2 4 3 2 3 2" xfId="18661"/>
    <cellStyle name="Separador de milhares 3 2 4 3 2 3 2 2" xfId="45148"/>
    <cellStyle name="Separador de milhares 3 2 4 3 2 3 3" xfId="12734"/>
    <cellStyle name="Separador de milhares 3 2 4 3 2 3 3 2" xfId="39240"/>
    <cellStyle name="Separador de milhares 3 2 4 3 2 3 4" xfId="33332"/>
    <cellStyle name="Separador de milhares 3 2 4 3 2 3 5" xfId="26798"/>
    <cellStyle name="Separador de milhares 3 2 4 3 2 4" xfId="15697"/>
    <cellStyle name="Separador de milhares 3 2 4 3 2 4 2" xfId="42194"/>
    <cellStyle name="Separador de milhares 3 2 4 3 2 4 3" xfId="23289"/>
    <cellStyle name="Separador de milhares 3 2 4 3 2 5" xfId="9770"/>
    <cellStyle name="Separador de milhares 3 2 4 3 2 5 2" xfId="36286"/>
    <cellStyle name="Separador de milhares 3 2 4 3 2 6" xfId="29823"/>
    <cellStyle name="Separador de milhares 3 2 4 3 2 7" xfId="21518"/>
    <cellStyle name="Separador de milhares 3 2 4 3 3" xfId="965"/>
    <cellStyle name="Separador de milhares 3 2 4 3 3 2" xfId="5170"/>
    <cellStyle name="Separador de milhares 3 2 4 3 3 2 2" xfId="8385"/>
    <cellStyle name="Separador de milhares 3 2 4 3 3 2 2 2" xfId="20239"/>
    <cellStyle name="Separador de milhares 3 2 4 3 3 2 2 2 2" xfId="46718"/>
    <cellStyle name="Separador de milhares 3 2 4 3 3 2 2 3" xfId="14312"/>
    <cellStyle name="Separador de milhares 3 2 4 3 3 2 2 3 2" xfId="40810"/>
    <cellStyle name="Separador de milhares 3 2 4 3 3 2 2 4" xfId="34902"/>
    <cellStyle name="Separador de milhares 3 2 4 3 3 2 2 5" xfId="28368"/>
    <cellStyle name="Separador de milhares 3 2 4 3 3 2 3" xfId="17275"/>
    <cellStyle name="Separador de milhares 3 2 4 3 3 2 3 2" xfId="43764"/>
    <cellStyle name="Separador de milhares 3 2 4 3 3 2 4" xfId="11348"/>
    <cellStyle name="Separador de milhares 3 2 4 3 3 2 4 2" xfId="37856"/>
    <cellStyle name="Separador de milhares 3 2 4 3 3 2 5" xfId="31697"/>
    <cellStyle name="Separador de milhares 3 2 4 3 3 2 6" xfId="25163"/>
    <cellStyle name="Separador de milhares 3 2 4 3 3 3" xfId="6912"/>
    <cellStyle name="Separador de milhares 3 2 4 3 3 3 2" xfId="18766"/>
    <cellStyle name="Separador de milhares 3 2 4 3 3 3 2 2" xfId="45250"/>
    <cellStyle name="Separador de milhares 3 2 4 3 3 3 3" xfId="12839"/>
    <cellStyle name="Separador de milhares 3 2 4 3 3 3 3 2" xfId="39342"/>
    <cellStyle name="Separador de milhares 3 2 4 3 3 3 4" xfId="33434"/>
    <cellStyle name="Separador de milhares 3 2 4 3 3 3 5" xfId="26900"/>
    <cellStyle name="Separador de milhares 3 2 4 3 3 4" xfId="15802"/>
    <cellStyle name="Separador de milhares 3 2 4 3 3 4 2" xfId="42296"/>
    <cellStyle name="Separador de milhares 3 2 4 3 3 4 3" xfId="23391"/>
    <cellStyle name="Separador de milhares 3 2 4 3 3 5" xfId="9875"/>
    <cellStyle name="Separador de milhares 3 2 4 3 3 5 2" xfId="36388"/>
    <cellStyle name="Separador de milhares 3 2 4 3 3 6" xfId="29925"/>
    <cellStyle name="Separador de milhares 3 2 4 3 3 7" xfId="21619"/>
    <cellStyle name="Separador de milhares 3 2 4 3 4" xfId="1316"/>
    <cellStyle name="Separador de milhares 3 2 4 3 4 2" xfId="5268"/>
    <cellStyle name="Separador de milhares 3 2 4 3 4 2 2" xfId="8483"/>
    <cellStyle name="Separador de milhares 3 2 4 3 4 2 2 2" xfId="20337"/>
    <cellStyle name="Separador de milhares 3 2 4 3 4 2 2 2 2" xfId="46816"/>
    <cellStyle name="Separador de milhares 3 2 4 3 4 2 2 3" xfId="14410"/>
    <cellStyle name="Separador de milhares 3 2 4 3 4 2 2 3 2" xfId="40908"/>
    <cellStyle name="Separador de milhares 3 2 4 3 4 2 2 4" xfId="35000"/>
    <cellStyle name="Separador de milhares 3 2 4 3 4 2 2 5" xfId="28466"/>
    <cellStyle name="Separador de milhares 3 2 4 3 4 2 3" xfId="17373"/>
    <cellStyle name="Separador de milhares 3 2 4 3 4 2 3 2" xfId="43862"/>
    <cellStyle name="Separador de milhares 3 2 4 3 4 2 4" xfId="11446"/>
    <cellStyle name="Separador de milhares 3 2 4 3 4 2 4 2" xfId="37954"/>
    <cellStyle name="Separador de milhares 3 2 4 3 4 2 5" xfId="31795"/>
    <cellStyle name="Separador de milhares 3 2 4 3 4 2 6" xfId="25261"/>
    <cellStyle name="Separador de milhares 3 2 4 3 4 3" xfId="7010"/>
    <cellStyle name="Separador de milhares 3 2 4 3 4 3 2" xfId="18864"/>
    <cellStyle name="Separador de milhares 3 2 4 3 4 3 2 2" xfId="45348"/>
    <cellStyle name="Separador de milhares 3 2 4 3 4 3 3" xfId="12937"/>
    <cellStyle name="Separador de milhares 3 2 4 3 4 3 3 2" xfId="39440"/>
    <cellStyle name="Separador de milhares 3 2 4 3 4 3 4" xfId="33532"/>
    <cellStyle name="Separador de milhares 3 2 4 3 4 3 5" xfId="26998"/>
    <cellStyle name="Separador de milhares 3 2 4 3 4 4" xfId="15900"/>
    <cellStyle name="Separador de milhares 3 2 4 3 4 4 2" xfId="42394"/>
    <cellStyle name="Separador de milhares 3 2 4 3 4 4 3" xfId="23489"/>
    <cellStyle name="Separador de milhares 3 2 4 3 4 5" xfId="9973"/>
    <cellStyle name="Separador de milhares 3 2 4 3 4 5 2" xfId="36486"/>
    <cellStyle name="Separador de milhares 3 2 4 3 4 6" xfId="30023"/>
    <cellStyle name="Separador de milhares 3 2 4 3 4 7" xfId="21717"/>
    <cellStyle name="Separador de milhares 3 2 4 3 5" xfId="1751"/>
    <cellStyle name="Separador de milhares 3 2 4 3 5 2" xfId="5387"/>
    <cellStyle name="Separador de milhares 3 2 4 3 5 2 2" xfId="8602"/>
    <cellStyle name="Separador de milhares 3 2 4 3 5 2 2 2" xfId="20456"/>
    <cellStyle name="Separador de milhares 3 2 4 3 5 2 2 2 2" xfId="46935"/>
    <cellStyle name="Separador de milhares 3 2 4 3 5 2 2 3" xfId="14529"/>
    <cellStyle name="Separador de milhares 3 2 4 3 5 2 2 3 2" xfId="41027"/>
    <cellStyle name="Separador de milhares 3 2 4 3 5 2 2 4" xfId="35119"/>
    <cellStyle name="Separador de milhares 3 2 4 3 5 2 2 5" xfId="28585"/>
    <cellStyle name="Separador de milhares 3 2 4 3 5 2 3" xfId="17492"/>
    <cellStyle name="Separador de milhares 3 2 4 3 5 2 3 2" xfId="43981"/>
    <cellStyle name="Separador de milhares 3 2 4 3 5 2 4" xfId="11565"/>
    <cellStyle name="Separador de milhares 3 2 4 3 5 2 4 2" xfId="38073"/>
    <cellStyle name="Separador de milhares 3 2 4 3 5 2 5" xfId="31914"/>
    <cellStyle name="Separador de milhares 3 2 4 3 5 2 6" xfId="25380"/>
    <cellStyle name="Separador de milhares 3 2 4 3 5 3" xfId="7129"/>
    <cellStyle name="Separador de milhares 3 2 4 3 5 3 2" xfId="18983"/>
    <cellStyle name="Separador de milhares 3 2 4 3 5 3 2 2" xfId="45467"/>
    <cellStyle name="Separador de milhares 3 2 4 3 5 3 3" xfId="13056"/>
    <cellStyle name="Separador de milhares 3 2 4 3 5 3 3 2" xfId="39559"/>
    <cellStyle name="Separador de milhares 3 2 4 3 5 3 4" xfId="33651"/>
    <cellStyle name="Separador de milhares 3 2 4 3 5 3 5" xfId="27117"/>
    <cellStyle name="Separador de milhares 3 2 4 3 5 4" xfId="16019"/>
    <cellStyle name="Separador de milhares 3 2 4 3 5 4 2" xfId="42513"/>
    <cellStyle name="Separador de milhares 3 2 4 3 5 4 3" xfId="23608"/>
    <cellStyle name="Separador de milhares 3 2 4 3 5 5" xfId="10092"/>
    <cellStyle name="Separador de milhares 3 2 4 3 5 5 2" xfId="36605"/>
    <cellStyle name="Separador de milhares 3 2 4 3 5 6" xfId="30142"/>
    <cellStyle name="Separador de milhares 3 2 4 3 5 7" xfId="21836"/>
    <cellStyle name="Separador de milhares 3 2 4 3 6" xfId="2284"/>
    <cellStyle name="Separador de milhares 3 2 4 3 6 2" xfId="5537"/>
    <cellStyle name="Separador de milhares 3 2 4 3 6 2 2" xfId="8749"/>
    <cellStyle name="Separador de milhares 3 2 4 3 6 2 2 2" xfId="20603"/>
    <cellStyle name="Separador de milhares 3 2 4 3 6 2 2 2 2" xfId="47082"/>
    <cellStyle name="Separador de milhares 3 2 4 3 6 2 2 3" xfId="14676"/>
    <cellStyle name="Separador de milhares 3 2 4 3 6 2 2 3 2" xfId="41174"/>
    <cellStyle name="Separador de milhares 3 2 4 3 6 2 2 4" xfId="35266"/>
    <cellStyle name="Separador de milhares 3 2 4 3 6 2 2 5" xfId="28732"/>
    <cellStyle name="Separador de milhares 3 2 4 3 6 2 3" xfId="17639"/>
    <cellStyle name="Separador de milhares 3 2 4 3 6 2 3 2" xfId="44128"/>
    <cellStyle name="Separador de milhares 3 2 4 3 6 2 4" xfId="11712"/>
    <cellStyle name="Separador de milhares 3 2 4 3 6 2 4 2" xfId="38220"/>
    <cellStyle name="Separador de milhares 3 2 4 3 6 2 5" xfId="32064"/>
    <cellStyle name="Separador de milhares 3 2 4 3 6 2 6" xfId="25530"/>
    <cellStyle name="Separador de milhares 3 2 4 3 6 3" xfId="7277"/>
    <cellStyle name="Separador de milhares 3 2 4 3 6 3 2" xfId="19131"/>
    <cellStyle name="Separador de milhares 3 2 4 3 6 3 2 2" xfId="45614"/>
    <cellStyle name="Separador de milhares 3 2 4 3 6 3 3" xfId="13204"/>
    <cellStyle name="Separador de milhares 3 2 4 3 6 3 3 2" xfId="39706"/>
    <cellStyle name="Separador de milhares 3 2 4 3 6 3 4" xfId="33798"/>
    <cellStyle name="Separador de milhares 3 2 4 3 6 3 5" xfId="27264"/>
    <cellStyle name="Separador de milhares 3 2 4 3 6 4" xfId="16167"/>
    <cellStyle name="Separador de milhares 3 2 4 3 6 4 2" xfId="42660"/>
    <cellStyle name="Separador de milhares 3 2 4 3 6 4 3" xfId="23758"/>
    <cellStyle name="Separador de milhares 3 2 4 3 6 5" xfId="10240"/>
    <cellStyle name="Separador de milhares 3 2 4 3 6 5 2" xfId="36752"/>
    <cellStyle name="Separador de milhares 3 2 4 3 6 6" xfId="30292"/>
    <cellStyle name="Separador de milhares 3 2 4 3 6 7" xfId="21986"/>
    <cellStyle name="Separador de milhares 3 2 4 3 7" xfId="2812"/>
    <cellStyle name="Separador de milhares 3 2 4 3 7 2" xfId="5684"/>
    <cellStyle name="Separador de milhares 3 2 4 3 7 2 2" xfId="8896"/>
    <cellStyle name="Separador de milhares 3 2 4 3 7 2 2 2" xfId="20750"/>
    <cellStyle name="Separador de milhares 3 2 4 3 7 2 2 2 2" xfId="47229"/>
    <cellStyle name="Separador de milhares 3 2 4 3 7 2 2 3" xfId="14823"/>
    <cellStyle name="Separador de milhares 3 2 4 3 7 2 2 3 2" xfId="41321"/>
    <cellStyle name="Separador de milhares 3 2 4 3 7 2 2 4" xfId="35413"/>
    <cellStyle name="Separador de milhares 3 2 4 3 7 2 2 5" xfId="28879"/>
    <cellStyle name="Separador de milhares 3 2 4 3 7 2 3" xfId="17786"/>
    <cellStyle name="Separador de milhares 3 2 4 3 7 2 3 2" xfId="44275"/>
    <cellStyle name="Separador de milhares 3 2 4 3 7 2 4" xfId="11859"/>
    <cellStyle name="Separador de milhares 3 2 4 3 7 2 4 2" xfId="38367"/>
    <cellStyle name="Separador de milhares 3 2 4 3 7 2 5" xfId="32211"/>
    <cellStyle name="Separador de milhares 3 2 4 3 7 2 6" xfId="25677"/>
    <cellStyle name="Separador de milhares 3 2 4 3 7 3" xfId="7425"/>
    <cellStyle name="Separador de milhares 3 2 4 3 7 3 2" xfId="19279"/>
    <cellStyle name="Separador de milhares 3 2 4 3 7 3 2 2" xfId="45761"/>
    <cellStyle name="Separador de milhares 3 2 4 3 7 3 3" xfId="13352"/>
    <cellStyle name="Separador de milhares 3 2 4 3 7 3 3 2" xfId="39853"/>
    <cellStyle name="Separador de milhares 3 2 4 3 7 3 4" xfId="33945"/>
    <cellStyle name="Separador de milhares 3 2 4 3 7 3 5" xfId="27411"/>
    <cellStyle name="Separador de milhares 3 2 4 3 7 4" xfId="16315"/>
    <cellStyle name="Separador de milhares 3 2 4 3 7 4 2" xfId="42807"/>
    <cellStyle name="Separador de milhares 3 2 4 3 7 4 3" xfId="23905"/>
    <cellStyle name="Separador de milhares 3 2 4 3 7 5" xfId="10388"/>
    <cellStyle name="Separador de milhares 3 2 4 3 7 5 2" xfId="36899"/>
    <cellStyle name="Separador de milhares 3 2 4 3 7 6" xfId="30439"/>
    <cellStyle name="Separador de milhares 3 2 4 3 7 7" xfId="22133"/>
    <cellStyle name="Separador de milhares 3 2 4 3 8" xfId="3340"/>
    <cellStyle name="Separador de milhares 3 2 4 3 8 2" xfId="5831"/>
    <cellStyle name="Separador de milhares 3 2 4 3 8 2 2" xfId="9043"/>
    <cellStyle name="Separador de milhares 3 2 4 3 8 2 2 2" xfId="20897"/>
    <cellStyle name="Separador de milhares 3 2 4 3 8 2 2 2 2" xfId="47376"/>
    <cellStyle name="Separador de milhares 3 2 4 3 8 2 2 3" xfId="14970"/>
    <cellStyle name="Separador de milhares 3 2 4 3 8 2 2 3 2" xfId="41468"/>
    <cellStyle name="Separador de milhares 3 2 4 3 8 2 2 4" xfId="35560"/>
    <cellStyle name="Separador de milhares 3 2 4 3 8 2 2 5" xfId="29026"/>
    <cellStyle name="Separador de milhares 3 2 4 3 8 2 3" xfId="17933"/>
    <cellStyle name="Separador de milhares 3 2 4 3 8 2 3 2" xfId="44422"/>
    <cellStyle name="Separador de milhares 3 2 4 3 8 2 4" xfId="12006"/>
    <cellStyle name="Separador de milhares 3 2 4 3 8 2 4 2" xfId="38514"/>
    <cellStyle name="Separador de milhares 3 2 4 3 8 2 5" xfId="32358"/>
    <cellStyle name="Separador de milhares 3 2 4 3 8 2 6" xfId="25824"/>
    <cellStyle name="Separador de milhares 3 2 4 3 8 3" xfId="7573"/>
    <cellStyle name="Separador de milhares 3 2 4 3 8 3 2" xfId="19427"/>
    <cellStyle name="Separador de milhares 3 2 4 3 8 3 2 2" xfId="45908"/>
    <cellStyle name="Separador de milhares 3 2 4 3 8 3 3" xfId="13500"/>
    <cellStyle name="Separador de milhares 3 2 4 3 8 3 3 2" xfId="40000"/>
    <cellStyle name="Separador de milhares 3 2 4 3 8 3 4" xfId="34092"/>
    <cellStyle name="Separador de milhares 3 2 4 3 8 3 5" xfId="27558"/>
    <cellStyle name="Separador de milhares 3 2 4 3 8 4" xfId="16463"/>
    <cellStyle name="Separador de milhares 3 2 4 3 8 4 2" xfId="42954"/>
    <cellStyle name="Separador de milhares 3 2 4 3 8 4 3" xfId="24052"/>
    <cellStyle name="Separador de milhares 3 2 4 3 8 5" xfId="10536"/>
    <cellStyle name="Separador de milhares 3 2 4 3 8 5 2" xfId="37046"/>
    <cellStyle name="Separador de milhares 3 2 4 3 8 6" xfId="30586"/>
    <cellStyle name="Separador de milhares 3 2 4 3 8 7" xfId="22280"/>
    <cellStyle name="Separador de milhares 3 2 4 3 9" xfId="3868"/>
    <cellStyle name="Separador de milhares 3 2 4 3 9 2" xfId="5978"/>
    <cellStyle name="Separador de milhares 3 2 4 3 9 2 2" xfId="9190"/>
    <cellStyle name="Separador de milhares 3 2 4 3 9 2 2 2" xfId="21044"/>
    <cellStyle name="Separador de milhares 3 2 4 3 9 2 2 2 2" xfId="47523"/>
    <cellStyle name="Separador de milhares 3 2 4 3 9 2 2 3" xfId="15117"/>
    <cellStyle name="Separador de milhares 3 2 4 3 9 2 2 3 2" xfId="41615"/>
    <cellStyle name="Separador de milhares 3 2 4 3 9 2 2 4" xfId="35707"/>
    <cellStyle name="Separador de milhares 3 2 4 3 9 2 2 5" xfId="29173"/>
    <cellStyle name="Separador de milhares 3 2 4 3 9 2 3" xfId="18080"/>
    <cellStyle name="Separador de milhares 3 2 4 3 9 2 3 2" xfId="44569"/>
    <cellStyle name="Separador de milhares 3 2 4 3 9 2 4" xfId="12153"/>
    <cellStyle name="Separador de milhares 3 2 4 3 9 2 4 2" xfId="38661"/>
    <cellStyle name="Separador de milhares 3 2 4 3 9 2 5" xfId="32505"/>
    <cellStyle name="Separador de milhares 3 2 4 3 9 2 6" xfId="25971"/>
    <cellStyle name="Separador de milhares 3 2 4 3 9 3" xfId="7721"/>
    <cellStyle name="Separador de milhares 3 2 4 3 9 3 2" xfId="19575"/>
    <cellStyle name="Separador de milhares 3 2 4 3 9 3 2 2" xfId="46055"/>
    <cellStyle name="Separador de milhares 3 2 4 3 9 3 3" xfId="13648"/>
    <cellStyle name="Separador de milhares 3 2 4 3 9 3 3 2" xfId="40147"/>
    <cellStyle name="Separador de milhares 3 2 4 3 9 3 4" xfId="34239"/>
    <cellStyle name="Separador de milhares 3 2 4 3 9 3 5" xfId="27705"/>
    <cellStyle name="Separador de milhares 3 2 4 3 9 4" xfId="16611"/>
    <cellStyle name="Separador de milhares 3 2 4 3 9 4 2" xfId="43101"/>
    <cellStyle name="Separador de milhares 3 2 4 3 9 4 3" xfId="24199"/>
    <cellStyle name="Separador de milhares 3 2 4 3 9 5" xfId="10684"/>
    <cellStyle name="Separador de milhares 3 2 4 3 9 5 2" xfId="37193"/>
    <cellStyle name="Separador de milhares 3 2 4 3 9 6" xfId="30733"/>
    <cellStyle name="Separador de milhares 3 2 4 3 9 7" xfId="22427"/>
    <cellStyle name="Separador de milhares 3 2 4 4" xfId="497"/>
    <cellStyle name="Separador de milhares 3 2 4 4 10" xfId="5025"/>
    <cellStyle name="Separador de milhares 3 2 4 4 10 2" xfId="8241"/>
    <cellStyle name="Separador de milhares 3 2 4 4 10 2 2" xfId="20095"/>
    <cellStyle name="Separador de milhares 3 2 4 4 10 2 2 2" xfId="46574"/>
    <cellStyle name="Separador de milhares 3 2 4 4 10 2 3" xfId="14168"/>
    <cellStyle name="Separador de milhares 3 2 4 4 10 2 3 2" xfId="40666"/>
    <cellStyle name="Separador de milhares 3 2 4 4 10 2 4" xfId="34758"/>
    <cellStyle name="Separador de milhares 3 2 4 4 10 2 5" xfId="28224"/>
    <cellStyle name="Separador de milhares 3 2 4 4 10 3" xfId="17131"/>
    <cellStyle name="Separador de milhares 3 2 4 4 10 3 2" xfId="43620"/>
    <cellStyle name="Separador de milhares 3 2 4 4 10 4" xfId="11204"/>
    <cellStyle name="Separador de milhares 3 2 4 4 10 4 2" xfId="37712"/>
    <cellStyle name="Separador de milhares 3 2 4 4 10 5" xfId="31552"/>
    <cellStyle name="Separador de milhares 3 2 4 4 10 6" xfId="25018"/>
    <cellStyle name="Separador de milhares 3 2 4 4 11" xfId="6765"/>
    <cellStyle name="Separador de milhares 3 2 4 4 11 2" xfId="18619"/>
    <cellStyle name="Separador de milhares 3 2 4 4 11 2 2" xfId="45106"/>
    <cellStyle name="Separador de milhares 3 2 4 4 11 3" xfId="12692"/>
    <cellStyle name="Separador de milhares 3 2 4 4 11 3 2" xfId="39198"/>
    <cellStyle name="Separador de milhares 3 2 4 4 11 4" xfId="33290"/>
    <cellStyle name="Separador de milhares 3 2 4 4 11 5" xfId="26756"/>
    <cellStyle name="Separador de milhares 3 2 4 4 12" xfId="15655"/>
    <cellStyle name="Separador de milhares 3 2 4 4 12 2" xfId="42152"/>
    <cellStyle name="Separador de milhares 3 2 4 4 12 3" xfId="23246"/>
    <cellStyle name="Separador de milhares 3 2 4 4 13" xfId="9728"/>
    <cellStyle name="Separador de milhares 3 2 4 4 13 2" xfId="36244"/>
    <cellStyle name="Separador de milhares 3 2 4 4 14" xfId="29780"/>
    <cellStyle name="Separador de milhares 3 2 4 4 2" xfId="1143"/>
    <cellStyle name="Separador de milhares 3 2 4 4 2 2" xfId="5222"/>
    <cellStyle name="Separador de milhares 3 2 4 4 2 2 2" xfId="8437"/>
    <cellStyle name="Separador de milhares 3 2 4 4 2 2 2 2" xfId="20291"/>
    <cellStyle name="Separador de milhares 3 2 4 4 2 2 2 2 2" xfId="46770"/>
    <cellStyle name="Separador de milhares 3 2 4 4 2 2 2 3" xfId="14364"/>
    <cellStyle name="Separador de milhares 3 2 4 4 2 2 2 3 2" xfId="40862"/>
    <cellStyle name="Separador de milhares 3 2 4 4 2 2 2 4" xfId="34954"/>
    <cellStyle name="Separador de milhares 3 2 4 4 2 2 2 5" xfId="28420"/>
    <cellStyle name="Separador de milhares 3 2 4 4 2 2 3" xfId="17327"/>
    <cellStyle name="Separador de milhares 3 2 4 4 2 2 3 2" xfId="43816"/>
    <cellStyle name="Separador de milhares 3 2 4 4 2 2 4" xfId="11400"/>
    <cellStyle name="Separador de milhares 3 2 4 4 2 2 4 2" xfId="37908"/>
    <cellStyle name="Separador de milhares 3 2 4 4 2 2 5" xfId="31749"/>
    <cellStyle name="Separador de milhares 3 2 4 4 2 2 6" xfId="25215"/>
    <cellStyle name="Separador de milhares 3 2 4 4 2 3" xfId="6964"/>
    <cellStyle name="Separador de milhares 3 2 4 4 2 3 2" xfId="18818"/>
    <cellStyle name="Separador de milhares 3 2 4 4 2 3 2 2" xfId="45302"/>
    <cellStyle name="Separador de milhares 3 2 4 4 2 3 3" xfId="12891"/>
    <cellStyle name="Separador de milhares 3 2 4 4 2 3 3 2" xfId="39394"/>
    <cellStyle name="Separador de milhares 3 2 4 4 2 3 4" xfId="33486"/>
    <cellStyle name="Separador de milhares 3 2 4 4 2 3 5" xfId="26952"/>
    <cellStyle name="Separador de milhares 3 2 4 4 2 4" xfId="15854"/>
    <cellStyle name="Separador de milhares 3 2 4 4 2 4 2" xfId="42348"/>
    <cellStyle name="Separador de milhares 3 2 4 4 2 4 3" xfId="23443"/>
    <cellStyle name="Separador de milhares 3 2 4 4 2 5" xfId="9927"/>
    <cellStyle name="Separador de milhares 3 2 4 4 2 5 2" xfId="36440"/>
    <cellStyle name="Separador de milhares 3 2 4 4 2 6" xfId="29977"/>
    <cellStyle name="Separador de milhares 3 2 4 4 2 7" xfId="21671"/>
    <cellStyle name="Separador de milhares 3 2 4 4 3" xfId="1494"/>
    <cellStyle name="Separador de milhares 3 2 4 4 3 2" xfId="5320"/>
    <cellStyle name="Separador de milhares 3 2 4 4 3 2 2" xfId="8535"/>
    <cellStyle name="Separador de milhares 3 2 4 4 3 2 2 2" xfId="20389"/>
    <cellStyle name="Separador de milhares 3 2 4 4 3 2 2 2 2" xfId="46868"/>
    <cellStyle name="Separador de milhares 3 2 4 4 3 2 2 3" xfId="14462"/>
    <cellStyle name="Separador de milhares 3 2 4 4 3 2 2 3 2" xfId="40960"/>
    <cellStyle name="Separador de milhares 3 2 4 4 3 2 2 4" xfId="35052"/>
    <cellStyle name="Separador de milhares 3 2 4 4 3 2 2 5" xfId="28518"/>
    <cellStyle name="Separador de milhares 3 2 4 4 3 2 3" xfId="17425"/>
    <cellStyle name="Separador de milhares 3 2 4 4 3 2 3 2" xfId="43914"/>
    <cellStyle name="Separador de milhares 3 2 4 4 3 2 4" xfId="11498"/>
    <cellStyle name="Separador de milhares 3 2 4 4 3 2 4 2" xfId="38006"/>
    <cellStyle name="Separador de milhares 3 2 4 4 3 2 5" xfId="31847"/>
    <cellStyle name="Separador de milhares 3 2 4 4 3 2 6" xfId="25313"/>
    <cellStyle name="Separador de milhares 3 2 4 4 3 3" xfId="7062"/>
    <cellStyle name="Separador de milhares 3 2 4 4 3 3 2" xfId="18916"/>
    <cellStyle name="Separador de milhares 3 2 4 4 3 3 2 2" xfId="45400"/>
    <cellStyle name="Separador de milhares 3 2 4 4 3 3 3" xfId="12989"/>
    <cellStyle name="Separador de milhares 3 2 4 4 3 3 3 2" xfId="39492"/>
    <cellStyle name="Separador de milhares 3 2 4 4 3 3 4" xfId="33584"/>
    <cellStyle name="Separador de milhares 3 2 4 4 3 3 5" xfId="27050"/>
    <cellStyle name="Separador de milhares 3 2 4 4 3 4" xfId="15952"/>
    <cellStyle name="Separador de milhares 3 2 4 4 3 4 2" xfId="42446"/>
    <cellStyle name="Separador de milhares 3 2 4 4 3 4 3" xfId="23541"/>
    <cellStyle name="Separador de milhares 3 2 4 4 3 5" xfId="10025"/>
    <cellStyle name="Separador de milhares 3 2 4 4 3 5 2" xfId="36538"/>
    <cellStyle name="Separador de milhares 3 2 4 4 3 6" xfId="30075"/>
    <cellStyle name="Separador de milhares 3 2 4 4 3 7" xfId="21769"/>
    <cellStyle name="Separador de milhares 3 2 4 4 4" xfId="1929"/>
    <cellStyle name="Separador de milhares 3 2 4 4 4 2" xfId="5439"/>
    <cellStyle name="Separador de milhares 3 2 4 4 4 2 2" xfId="8654"/>
    <cellStyle name="Separador de milhares 3 2 4 4 4 2 2 2" xfId="20508"/>
    <cellStyle name="Separador de milhares 3 2 4 4 4 2 2 2 2" xfId="46987"/>
    <cellStyle name="Separador de milhares 3 2 4 4 4 2 2 3" xfId="14581"/>
    <cellStyle name="Separador de milhares 3 2 4 4 4 2 2 3 2" xfId="41079"/>
    <cellStyle name="Separador de milhares 3 2 4 4 4 2 2 4" xfId="35171"/>
    <cellStyle name="Separador de milhares 3 2 4 4 4 2 2 5" xfId="28637"/>
    <cellStyle name="Separador de milhares 3 2 4 4 4 2 3" xfId="17544"/>
    <cellStyle name="Separador de milhares 3 2 4 4 4 2 3 2" xfId="44033"/>
    <cellStyle name="Separador de milhares 3 2 4 4 4 2 4" xfId="11617"/>
    <cellStyle name="Separador de milhares 3 2 4 4 4 2 4 2" xfId="38125"/>
    <cellStyle name="Separador de milhares 3 2 4 4 4 2 5" xfId="31966"/>
    <cellStyle name="Separador de milhares 3 2 4 4 4 2 6" xfId="25432"/>
    <cellStyle name="Separador de milhares 3 2 4 4 4 3" xfId="7181"/>
    <cellStyle name="Separador de milhares 3 2 4 4 4 3 2" xfId="19035"/>
    <cellStyle name="Separador de milhares 3 2 4 4 4 3 2 2" xfId="45519"/>
    <cellStyle name="Separador de milhares 3 2 4 4 4 3 3" xfId="13108"/>
    <cellStyle name="Separador de milhares 3 2 4 4 4 3 3 2" xfId="39611"/>
    <cellStyle name="Separador de milhares 3 2 4 4 4 3 4" xfId="33703"/>
    <cellStyle name="Separador de milhares 3 2 4 4 4 3 5" xfId="27169"/>
    <cellStyle name="Separador de milhares 3 2 4 4 4 4" xfId="16071"/>
    <cellStyle name="Separador de milhares 3 2 4 4 4 4 2" xfId="42565"/>
    <cellStyle name="Separador de milhares 3 2 4 4 4 4 3" xfId="23660"/>
    <cellStyle name="Separador de milhares 3 2 4 4 4 5" xfId="10144"/>
    <cellStyle name="Separador de milhares 3 2 4 4 4 5 2" xfId="36657"/>
    <cellStyle name="Separador de milhares 3 2 4 4 4 6" xfId="30194"/>
    <cellStyle name="Separador de milhares 3 2 4 4 4 7" xfId="21888"/>
    <cellStyle name="Separador de milhares 3 2 4 4 5" xfId="2462"/>
    <cellStyle name="Separador de milhares 3 2 4 4 5 2" xfId="5589"/>
    <cellStyle name="Separador de milhares 3 2 4 4 5 2 2" xfId="8801"/>
    <cellStyle name="Separador de milhares 3 2 4 4 5 2 2 2" xfId="20655"/>
    <cellStyle name="Separador de milhares 3 2 4 4 5 2 2 2 2" xfId="47134"/>
    <cellStyle name="Separador de milhares 3 2 4 4 5 2 2 3" xfId="14728"/>
    <cellStyle name="Separador de milhares 3 2 4 4 5 2 2 3 2" xfId="41226"/>
    <cellStyle name="Separador de milhares 3 2 4 4 5 2 2 4" xfId="35318"/>
    <cellStyle name="Separador de milhares 3 2 4 4 5 2 2 5" xfId="28784"/>
    <cellStyle name="Separador de milhares 3 2 4 4 5 2 3" xfId="17691"/>
    <cellStyle name="Separador de milhares 3 2 4 4 5 2 3 2" xfId="44180"/>
    <cellStyle name="Separador de milhares 3 2 4 4 5 2 4" xfId="11764"/>
    <cellStyle name="Separador de milhares 3 2 4 4 5 2 4 2" xfId="38272"/>
    <cellStyle name="Separador de milhares 3 2 4 4 5 2 5" xfId="32116"/>
    <cellStyle name="Separador de milhares 3 2 4 4 5 2 6" xfId="25582"/>
    <cellStyle name="Separador de milhares 3 2 4 4 5 3" xfId="7329"/>
    <cellStyle name="Separador de milhares 3 2 4 4 5 3 2" xfId="19183"/>
    <cellStyle name="Separador de milhares 3 2 4 4 5 3 2 2" xfId="45666"/>
    <cellStyle name="Separador de milhares 3 2 4 4 5 3 3" xfId="13256"/>
    <cellStyle name="Separador de milhares 3 2 4 4 5 3 3 2" xfId="39758"/>
    <cellStyle name="Separador de milhares 3 2 4 4 5 3 4" xfId="33850"/>
    <cellStyle name="Separador de milhares 3 2 4 4 5 3 5" xfId="27316"/>
    <cellStyle name="Separador de milhares 3 2 4 4 5 4" xfId="16219"/>
    <cellStyle name="Separador de milhares 3 2 4 4 5 4 2" xfId="42712"/>
    <cellStyle name="Separador de milhares 3 2 4 4 5 4 3" xfId="23810"/>
    <cellStyle name="Separador de milhares 3 2 4 4 5 5" xfId="10292"/>
    <cellStyle name="Separador de milhares 3 2 4 4 5 5 2" xfId="36804"/>
    <cellStyle name="Separador de milhares 3 2 4 4 5 6" xfId="30344"/>
    <cellStyle name="Separador de milhares 3 2 4 4 5 7" xfId="22038"/>
    <cellStyle name="Separador de milhares 3 2 4 4 6" xfId="2990"/>
    <cellStyle name="Separador de milhares 3 2 4 4 6 2" xfId="5736"/>
    <cellStyle name="Separador de milhares 3 2 4 4 6 2 2" xfId="8948"/>
    <cellStyle name="Separador de milhares 3 2 4 4 6 2 2 2" xfId="20802"/>
    <cellStyle name="Separador de milhares 3 2 4 4 6 2 2 2 2" xfId="47281"/>
    <cellStyle name="Separador de milhares 3 2 4 4 6 2 2 3" xfId="14875"/>
    <cellStyle name="Separador de milhares 3 2 4 4 6 2 2 3 2" xfId="41373"/>
    <cellStyle name="Separador de milhares 3 2 4 4 6 2 2 4" xfId="35465"/>
    <cellStyle name="Separador de milhares 3 2 4 4 6 2 2 5" xfId="28931"/>
    <cellStyle name="Separador de milhares 3 2 4 4 6 2 3" xfId="17838"/>
    <cellStyle name="Separador de milhares 3 2 4 4 6 2 3 2" xfId="44327"/>
    <cellStyle name="Separador de milhares 3 2 4 4 6 2 4" xfId="11911"/>
    <cellStyle name="Separador de milhares 3 2 4 4 6 2 4 2" xfId="38419"/>
    <cellStyle name="Separador de milhares 3 2 4 4 6 2 5" xfId="32263"/>
    <cellStyle name="Separador de milhares 3 2 4 4 6 2 6" xfId="25729"/>
    <cellStyle name="Separador de milhares 3 2 4 4 6 3" xfId="7477"/>
    <cellStyle name="Separador de milhares 3 2 4 4 6 3 2" xfId="19331"/>
    <cellStyle name="Separador de milhares 3 2 4 4 6 3 2 2" xfId="45813"/>
    <cellStyle name="Separador de milhares 3 2 4 4 6 3 3" xfId="13404"/>
    <cellStyle name="Separador de milhares 3 2 4 4 6 3 3 2" xfId="39905"/>
    <cellStyle name="Separador de milhares 3 2 4 4 6 3 4" xfId="33997"/>
    <cellStyle name="Separador de milhares 3 2 4 4 6 3 5" xfId="27463"/>
    <cellStyle name="Separador de milhares 3 2 4 4 6 4" xfId="16367"/>
    <cellStyle name="Separador de milhares 3 2 4 4 6 4 2" xfId="42859"/>
    <cellStyle name="Separador de milhares 3 2 4 4 6 4 3" xfId="23957"/>
    <cellStyle name="Separador de milhares 3 2 4 4 6 5" xfId="10440"/>
    <cellStyle name="Separador de milhares 3 2 4 4 6 5 2" xfId="36951"/>
    <cellStyle name="Separador de milhares 3 2 4 4 6 6" xfId="30491"/>
    <cellStyle name="Separador de milhares 3 2 4 4 6 7" xfId="22185"/>
    <cellStyle name="Separador de milhares 3 2 4 4 7" xfId="3518"/>
    <cellStyle name="Separador de milhares 3 2 4 4 7 2" xfId="5883"/>
    <cellStyle name="Separador de milhares 3 2 4 4 7 2 2" xfId="9095"/>
    <cellStyle name="Separador de milhares 3 2 4 4 7 2 2 2" xfId="20949"/>
    <cellStyle name="Separador de milhares 3 2 4 4 7 2 2 2 2" xfId="47428"/>
    <cellStyle name="Separador de milhares 3 2 4 4 7 2 2 3" xfId="15022"/>
    <cellStyle name="Separador de milhares 3 2 4 4 7 2 2 3 2" xfId="41520"/>
    <cellStyle name="Separador de milhares 3 2 4 4 7 2 2 4" xfId="35612"/>
    <cellStyle name="Separador de milhares 3 2 4 4 7 2 2 5" xfId="29078"/>
    <cellStyle name="Separador de milhares 3 2 4 4 7 2 3" xfId="17985"/>
    <cellStyle name="Separador de milhares 3 2 4 4 7 2 3 2" xfId="44474"/>
    <cellStyle name="Separador de milhares 3 2 4 4 7 2 4" xfId="12058"/>
    <cellStyle name="Separador de milhares 3 2 4 4 7 2 4 2" xfId="38566"/>
    <cellStyle name="Separador de milhares 3 2 4 4 7 2 5" xfId="32410"/>
    <cellStyle name="Separador de milhares 3 2 4 4 7 2 6" xfId="25876"/>
    <cellStyle name="Separador de milhares 3 2 4 4 7 3" xfId="7625"/>
    <cellStyle name="Separador de milhares 3 2 4 4 7 3 2" xfId="19479"/>
    <cellStyle name="Separador de milhares 3 2 4 4 7 3 2 2" xfId="45960"/>
    <cellStyle name="Separador de milhares 3 2 4 4 7 3 3" xfId="13552"/>
    <cellStyle name="Separador de milhares 3 2 4 4 7 3 3 2" xfId="40052"/>
    <cellStyle name="Separador de milhares 3 2 4 4 7 3 4" xfId="34144"/>
    <cellStyle name="Separador de milhares 3 2 4 4 7 3 5" xfId="27610"/>
    <cellStyle name="Separador de milhares 3 2 4 4 7 4" xfId="16515"/>
    <cellStyle name="Separador de milhares 3 2 4 4 7 4 2" xfId="43006"/>
    <cellStyle name="Separador de milhares 3 2 4 4 7 4 3" xfId="24104"/>
    <cellStyle name="Separador de milhares 3 2 4 4 7 5" xfId="10588"/>
    <cellStyle name="Separador de milhares 3 2 4 4 7 5 2" xfId="37098"/>
    <cellStyle name="Separador de milhares 3 2 4 4 7 6" xfId="30638"/>
    <cellStyle name="Separador de milhares 3 2 4 4 7 7" xfId="22332"/>
    <cellStyle name="Separador de milhares 3 2 4 4 8" xfId="4046"/>
    <cellStyle name="Separador de milhares 3 2 4 4 8 2" xfId="6030"/>
    <cellStyle name="Separador de milhares 3 2 4 4 8 2 2" xfId="9242"/>
    <cellStyle name="Separador de milhares 3 2 4 4 8 2 2 2" xfId="21096"/>
    <cellStyle name="Separador de milhares 3 2 4 4 8 2 2 2 2" xfId="47575"/>
    <cellStyle name="Separador de milhares 3 2 4 4 8 2 2 3" xfId="15169"/>
    <cellStyle name="Separador de milhares 3 2 4 4 8 2 2 3 2" xfId="41667"/>
    <cellStyle name="Separador de milhares 3 2 4 4 8 2 2 4" xfId="35759"/>
    <cellStyle name="Separador de milhares 3 2 4 4 8 2 2 5" xfId="29225"/>
    <cellStyle name="Separador de milhares 3 2 4 4 8 2 3" xfId="18132"/>
    <cellStyle name="Separador de milhares 3 2 4 4 8 2 3 2" xfId="44621"/>
    <cellStyle name="Separador de milhares 3 2 4 4 8 2 4" xfId="12205"/>
    <cellStyle name="Separador de milhares 3 2 4 4 8 2 4 2" xfId="38713"/>
    <cellStyle name="Separador de milhares 3 2 4 4 8 2 5" xfId="32557"/>
    <cellStyle name="Separador de milhares 3 2 4 4 8 2 6" xfId="26023"/>
    <cellStyle name="Separador de milhares 3 2 4 4 8 3" xfId="7773"/>
    <cellStyle name="Separador de milhares 3 2 4 4 8 3 2" xfId="19627"/>
    <cellStyle name="Separador de milhares 3 2 4 4 8 3 2 2" xfId="46107"/>
    <cellStyle name="Separador de milhares 3 2 4 4 8 3 3" xfId="13700"/>
    <cellStyle name="Separador de milhares 3 2 4 4 8 3 3 2" xfId="40199"/>
    <cellStyle name="Separador de milhares 3 2 4 4 8 3 4" xfId="34291"/>
    <cellStyle name="Separador de milhares 3 2 4 4 8 3 5" xfId="27757"/>
    <cellStyle name="Separador de milhares 3 2 4 4 8 4" xfId="16663"/>
    <cellStyle name="Separador de milhares 3 2 4 4 8 4 2" xfId="43153"/>
    <cellStyle name="Separador de milhares 3 2 4 4 8 4 3" xfId="24251"/>
    <cellStyle name="Separador de milhares 3 2 4 4 8 5" xfId="10736"/>
    <cellStyle name="Separador de milhares 3 2 4 4 8 5 2" xfId="37245"/>
    <cellStyle name="Separador de milhares 3 2 4 4 8 6" xfId="30785"/>
    <cellStyle name="Separador de milhares 3 2 4 4 8 7" xfId="22479"/>
    <cellStyle name="Separador de milhares 3 2 4 4 9" xfId="811"/>
    <cellStyle name="Separador de milhares 3 2 4 4 9 2" xfId="5124"/>
    <cellStyle name="Separador de milhares 3 2 4 4 9 2 2" xfId="8339"/>
    <cellStyle name="Separador de milhares 3 2 4 4 9 2 2 2" xfId="20193"/>
    <cellStyle name="Separador de milhares 3 2 4 4 9 2 2 2 2" xfId="46672"/>
    <cellStyle name="Separador de milhares 3 2 4 4 9 2 2 3" xfId="14266"/>
    <cellStyle name="Separador de milhares 3 2 4 4 9 2 2 3 2" xfId="40764"/>
    <cellStyle name="Separador de milhares 3 2 4 4 9 2 2 4" xfId="34856"/>
    <cellStyle name="Separador de milhares 3 2 4 4 9 2 2 5" xfId="28322"/>
    <cellStyle name="Separador de milhares 3 2 4 4 9 2 3" xfId="17229"/>
    <cellStyle name="Separador de milhares 3 2 4 4 9 2 3 2" xfId="43718"/>
    <cellStyle name="Separador de milhares 3 2 4 4 9 2 4" xfId="11302"/>
    <cellStyle name="Separador de milhares 3 2 4 4 9 2 4 2" xfId="37810"/>
    <cellStyle name="Separador de milhares 3 2 4 4 9 2 5" xfId="31651"/>
    <cellStyle name="Separador de milhares 3 2 4 4 9 2 6" xfId="25117"/>
    <cellStyle name="Separador de milhares 3 2 4 4 9 3" xfId="6866"/>
    <cellStyle name="Separador de milhares 3 2 4 4 9 3 2" xfId="18720"/>
    <cellStyle name="Separador de milhares 3 2 4 4 9 3 2 2" xfId="45204"/>
    <cellStyle name="Separador de milhares 3 2 4 4 9 3 3" xfId="12793"/>
    <cellStyle name="Separador de milhares 3 2 4 4 9 3 3 2" xfId="39296"/>
    <cellStyle name="Separador de milhares 3 2 4 4 9 3 4" xfId="33388"/>
    <cellStyle name="Separador de milhares 3 2 4 4 9 3 5" xfId="26854"/>
    <cellStyle name="Separador de milhares 3 2 4 4 9 4" xfId="15756"/>
    <cellStyle name="Separador de milhares 3 2 4 4 9 4 2" xfId="42250"/>
    <cellStyle name="Separador de milhares 3 2 4 4 9 4 3" xfId="23345"/>
    <cellStyle name="Separador de milhares 3 2 4 4 9 5" xfId="9829"/>
    <cellStyle name="Separador de milhares 3 2 4 4 9 5 2" xfId="36342"/>
    <cellStyle name="Separador de milhares 3 2 4 4 9 6" xfId="29879"/>
    <cellStyle name="Separador de milhares 3 2 4 4 9 7" xfId="21573"/>
    <cellStyle name="Separador de milhares 3 2 4 5" xfId="755"/>
    <cellStyle name="Separador de milhares 3 2 4 5 10" xfId="15719"/>
    <cellStyle name="Separador de milhares 3 2 4 5 10 2" xfId="42216"/>
    <cellStyle name="Separador de milhares 3 2 4 5 10 3" xfId="23311"/>
    <cellStyle name="Separador de milhares 3 2 4 5 11" xfId="9792"/>
    <cellStyle name="Separador de milhares 3 2 4 5 11 2" xfId="36308"/>
    <cellStyle name="Separador de milhares 3 2 4 5 12" xfId="29845"/>
    <cellStyle name="Separador de milhares 3 2 4 5 13" xfId="21539"/>
    <cellStyle name="Separador de milhares 3 2 4 5 2" xfId="1578"/>
    <cellStyle name="Separador de milhares 3 2 4 5 2 2" xfId="5341"/>
    <cellStyle name="Separador de milhares 3 2 4 5 2 2 2" xfId="8556"/>
    <cellStyle name="Separador de milhares 3 2 4 5 2 2 2 2" xfId="20410"/>
    <cellStyle name="Separador de milhares 3 2 4 5 2 2 2 2 2" xfId="46889"/>
    <cellStyle name="Separador de milhares 3 2 4 5 2 2 2 3" xfId="14483"/>
    <cellStyle name="Separador de milhares 3 2 4 5 2 2 2 3 2" xfId="40981"/>
    <cellStyle name="Separador de milhares 3 2 4 5 2 2 2 4" xfId="35073"/>
    <cellStyle name="Separador de milhares 3 2 4 5 2 2 2 5" xfId="28539"/>
    <cellStyle name="Separador de milhares 3 2 4 5 2 2 3" xfId="17446"/>
    <cellStyle name="Separador de milhares 3 2 4 5 2 2 3 2" xfId="43935"/>
    <cellStyle name="Separador de milhares 3 2 4 5 2 2 4" xfId="11519"/>
    <cellStyle name="Separador de milhares 3 2 4 5 2 2 4 2" xfId="38027"/>
    <cellStyle name="Separador de milhares 3 2 4 5 2 2 5" xfId="31868"/>
    <cellStyle name="Separador de milhares 3 2 4 5 2 2 6" xfId="25334"/>
    <cellStyle name="Separador de milhares 3 2 4 5 2 3" xfId="7083"/>
    <cellStyle name="Separador de milhares 3 2 4 5 2 3 2" xfId="18937"/>
    <cellStyle name="Separador de milhares 3 2 4 5 2 3 2 2" xfId="45421"/>
    <cellStyle name="Separador de milhares 3 2 4 5 2 3 3" xfId="13010"/>
    <cellStyle name="Separador de milhares 3 2 4 5 2 3 3 2" xfId="39513"/>
    <cellStyle name="Separador de milhares 3 2 4 5 2 3 4" xfId="33605"/>
    <cellStyle name="Separador de milhares 3 2 4 5 2 3 5" xfId="27071"/>
    <cellStyle name="Separador de milhares 3 2 4 5 2 4" xfId="15973"/>
    <cellStyle name="Separador de milhares 3 2 4 5 2 4 2" xfId="42467"/>
    <cellStyle name="Separador de milhares 3 2 4 5 2 4 3" xfId="23562"/>
    <cellStyle name="Separador de milhares 3 2 4 5 2 5" xfId="10046"/>
    <cellStyle name="Separador de milhares 3 2 4 5 2 5 2" xfId="36559"/>
    <cellStyle name="Separador de milhares 3 2 4 5 2 6" xfId="30096"/>
    <cellStyle name="Separador de milhares 3 2 4 5 2 7" xfId="21790"/>
    <cellStyle name="Separador de milhares 3 2 4 5 3" xfId="2013"/>
    <cellStyle name="Separador de milhares 3 2 4 5 3 2" xfId="5460"/>
    <cellStyle name="Separador de milhares 3 2 4 5 3 2 2" xfId="8675"/>
    <cellStyle name="Separador de milhares 3 2 4 5 3 2 2 2" xfId="20529"/>
    <cellStyle name="Separador de milhares 3 2 4 5 3 2 2 2 2" xfId="47008"/>
    <cellStyle name="Separador de milhares 3 2 4 5 3 2 2 3" xfId="14602"/>
    <cellStyle name="Separador de milhares 3 2 4 5 3 2 2 3 2" xfId="41100"/>
    <cellStyle name="Separador de milhares 3 2 4 5 3 2 2 4" xfId="35192"/>
    <cellStyle name="Separador de milhares 3 2 4 5 3 2 2 5" xfId="28658"/>
    <cellStyle name="Separador de milhares 3 2 4 5 3 2 3" xfId="17565"/>
    <cellStyle name="Separador de milhares 3 2 4 5 3 2 3 2" xfId="44054"/>
    <cellStyle name="Separador de milhares 3 2 4 5 3 2 4" xfId="11638"/>
    <cellStyle name="Separador de milhares 3 2 4 5 3 2 4 2" xfId="38146"/>
    <cellStyle name="Separador de milhares 3 2 4 5 3 2 5" xfId="31987"/>
    <cellStyle name="Separador de milhares 3 2 4 5 3 2 6" xfId="25453"/>
    <cellStyle name="Separador de milhares 3 2 4 5 3 3" xfId="7202"/>
    <cellStyle name="Separador de milhares 3 2 4 5 3 3 2" xfId="19056"/>
    <cellStyle name="Separador de milhares 3 2 4 5 3 3 2 2" xfId="45540"/>
    <cellStyle name="Separador de milhares 3 2 4 5 3 3 3" xfId="13129"/>
    <cellStyle name="Separador de milhares 3 2 4 5 3 3 3 2" xfId="39632"/>
    <cellStyle name="Separador de milhares 3 2 4 5 3 3 4" xfId="33724"/>
    <cellStyle name="Separador de milhares 3 2 4 5 3 3 5" xfId="27190"/>
    <cellStyle name="Separador de milhares 3 2 4 5 3 4" xfId="16092"/>
    <cellStyle name="Separador de milhares 3 2 4 5 3 4 2" xfId="42586"/>
    <cellStyle name="Separador de milhares 3 2 4 5 3 4 3" xfId="23681"/>
    <cellStyle name="Separador de milhares 3 2 4 5 3 5" xfId="10165"/>
    <cellStyle name="Separador de milhares 3 2 4 5 3 5 2" xfId="36678"/>
    <cellStyle name="Separador de milhares 3 2 4 5 3 6" xfId="30215"/>
    <cellStyle name="Separador de milhares 3 2 4 5 3 7" xfId="21909"/>
    <cellStyle name="Separador de milhares 3 2 4 5 4" xfId="2546"/>
    <cellStyle name="Separador de milhares 3 2 4 5 4 2" xfId="5610"/>
    <cellStyle name="Separador de milhares 3 2 4 5 4 2 2" xfId="8822"/>
    <cellStyle name="Separador de milhares 3 2 4 5 4 2 2 2" xfId="20676"/>
    <cellStyle name="Separador de milhares 3 2 4 5 4 2 2 2 2" xfId="47155"/>
    <cellStyle name="Separador de milhares 3 2 4 5 4 2 2 3" xfId="14749"/>
    <cellStyle name="Separador de milhares 3 2 4 5 4 2 2 3 2" xfId="41247"/>
    <cellStyle name="Separador de milhares 3 2 4 5 4 2 2 4" xfId="35339"/>
    <cellStyle name="Separador de milhares 3 2 4 5 4 2 2 5" xfId="28805"/>
    <cellStyle name="Separador de milhares 3 2 4 5 4 2 3" xfId="17712"/>
    <cellStyle name="Separador de milhares 3 2 4 5 4 2 3 2" xfId="44201"/>
    <cellStyle name="Separador de milhares 3 2 4 5 4 2 4" xfId="11785"/>
    <cellStyle name="Separador de milhares 3 2 4 5 4 2 4 2" xfId="38293"/>
    <cellStyle name="Separador de milhares 3 2 4 5 4 2 5" xfId="32137"/>
    <cellStyle name="Separador de milhares 3 2 4 5 4 2 6" xfId="25603"/>
    <cellStyle name="Separador de milhares 3 2 4 5 4 3" xfId="7350"/>
    <cellStyle name="Separador de milhares 3 2 4 5 4 3 2" xfId="19204"/>
    <cellStyle name="Separador de milhares 3 2 4 5 4 3 2 2" xfId="45687"/>
    <cellStyle name="Separador de milhares 3 2 4 5 4 3 3" xfId="13277"/>
    <cellStyle name="Separador de milhares 3 2 4 5 4 3 3 2" xfId="39779"/>
    <cellStyle name="Separador de milhares 3 2 4 5 4 3 4" xfId="33871"/>
    <cellStyle name="Separador de milhares 3 2 4 5 4 3 5" xfId="27337"/>
    <cellStyle name="Separador de milhares 3 2 4 5 4 4" xfId="16240"/>
    <cellStyle name="Separador de milhares 3 2 4 5 4 4 2" xfId="42733"/>
    <cellStyle name="Separador de milhares 3 2 4 5 4 4 3" xfId="23831"/>
    <cellStyle name="Separador de milhares 3 2 4 5 4 5" xfId="10313"/>
    <cellStyle name="Separador de milhares 3 2 4 5 4 5 2" xfId="36825"/>
    <cellStyle name="Separador de milhares 3 2 4 5 4 6" xfId="30365"/>
    <cellStyle name="Separador de milhares 3 2 4 5 4 7" xfId="22059"/>
    <cellStyle name="Separador de milhares 3 2 4 5 5" xfId="3074"/>
    <cellStyle name="Separador de milhares 3 2 4 5 5 2" xfId="5757"/>
    <cellStyle name="Separador de milhares 3 2 4 5 5 2 2" xfId="8969"/>
    <cellStyle name="Separador de milhares 3 2 4 5 5 2 2 2" xfId="20823"/>
    <cellStyle name="Separador de milhares 3 2 4 5 5 2 2 2 2" xfId="47302"/>
    <cellStyle name="Separador de milhares 3 2 4 5 5 2 2 3" xfId="14896"/>
    <cellStyle name="Separador de milhares 3 2 4 5 5 2 2 3 2" xfId="41394"/>
    <cellStyle name="Separador de milhares 3 2 4 5 5 2 2 4" xfId="35486"/>
    <cellStyle name="Separador de milhares 3 2 4 5 5 2 2 5" xfId="28952"/>
    <cellStyle name="Separador de milhares 3 2 4 5 5 2 3" xfId="17859"/>
    <cellStyle name="Separador de milhares 3 2 4 5 5 2 3 2" xfId="44348"/>
    <cellStyle name="Separador de milhares 3 2 4 5 5 2 4" xfId="11932"/>
    <cellStyle name="Separador de milhares 3 2 4 5 5 2 4 2" xfId="38440"/>
    <cellStyle name="Separador de milhares 3 2 4 5 5 2 5" xfId="32284"/>
    <cellStyle name="Separador de milhares 3 2 4 5 5 2 6" xfId="25750"/>
    <cellStyle name="Separador de milhares 3 2 4 5 5 3" xfId="7498"/>
    <cellStyle name="Separador de milhares 3 2 4 5 5 3 2" xfId="19352"/>
    <cellStyle name="Separador de milhares 3 2 4 5 5 3 2 2" xfId="45834"/>
    <cellStyle name="Separador de milhares 3 2 4 5 5 3 3" xfId="13425"/>
    <cellStyle name="Separador de milhares 3 2 4 5 5 3 3 2" xfId="39926"/>
    <cellStyle name="Separador de milhares 3 2 4 5 5 3 4" xfId="34018"/>
    <cellStyle name="Separador de milhares 3 2 4 5 5 3 5" xfId="27484"/>
    <cellStyle name="Separador de milhares 3 2 4 5 5 4" xfId="16388"/>
    <cellStyle name="Separador de milhares 3 2 4 5 5 4 2" xfId="42880"/>
    <cellStyle name="Separador de milhares 3 2 4 5 5 4 3" xfId="23978"/>
    <cellStyle name="Separador de milhares 3 2 4 5 5 5" xfId="10461"/>
    <cellStyle name="Separador de milhares 3 2 4 5 5 5 2" xfId="36972"/>
    <cellStyle name="Separador de milhares 3 2 4 5 5 6" xfId="30512"/>
    <cellStyle name="Separador de milhares 3 2 4 5 5 7" xfId="22206"/>
    <cellStyle name="Separador de milhares 3 2 4 5 6" xfId="3602"/>
    <cellStyle name="Separador de milhares 3 2 4 5 6 2" xfId="5904"/>
    <cellStyle name="Separador de milhares 3 2 4 5 6 2 2" xfId="9116"/>
    <cellStyle name="Separador de milhares 3 2 4 5 6 2 2 2" xfId="20970"/>
    <cellStyle name="Separador de milhares 3 2 4 5 6 2 2 2 2" xfId="47449"/>
    <cellStyle name="Separador de milhares 3 2 4 5 6 2 2 3" xfId="15043"/>
    <cellStyle name="Separador de milhares 3 2 4 5 6 2 2 3 2" xfId="41541"/>
    <cellStyle name="Separador de milhares 3 2 4 5 6 2 2 4" xfId="35633"/>
    <cellStyle name="Separador de milhares 3 2 4 5 6 2 2 5" xfId="29099"/>
    <cellStyle name="Separador de milhares 3 2 4 5 6 2 3" xfId="18006"/>
    <cellStyle name="Separador de milhares 3 2 4 5 6 2 3 2" xfId="44495"/>
    <cellStyle name="Separador de milhares 3 2 4 5 6 2 4" xfId="12079"/>
    <cellStyle name="Separador de milhares 3 2 4 5 6 2 4 2" xfId="38587"/>
    <cellStyle name="Separador de milhares 3 2 4 5 6 2 5" xfId="32431"/>
    <cellStyle name="Separador de milhares 3 2 4 5 6 2 6" xfId="25897"/>
    <cellStyle name="Separador de milhares 3 2 4 5 6 3" xfId="7646"/>
    <cellStyle name="Separador de milhares 3 2 4 5 6 3 2" xfId="19500"/>
    <cellStyle name="Separador de milhares 3 2 4 5 6 3 2 2" xfId="45981"/>
    <cellStyle name="Separador de milhares 3 2 4 5 6 3 3" xfId="13573"/>
    <cellStyle name="Separador de milhares 3 2 4 5 6 3 3 2" xfId="40073"/>
    <cellStyle name="Separador de milhares 3 2 4 5 6 3 4" xfId="34165"/>
    <cellStyle name="Separador de milhares 3 2 4 5 6 3 5" xfId="27631"/>
    <cellStyle name="Separador de milhares 3 2 4 5 6 4" xfId="16536"/>
    <cellStyle name="Separador de milhares 3 2 4 5 6 4 2" xfId="43027"/>
    <cellStyle name="Separador de milhares 3 2 4 5 6 4 3" xfId="24125"/>
    <cellStyle name="Separador de milhares 3 2 4 5 6 5" xfId="10609"/>
    <cellStyle name="Separador de milhares 3 2 4 5 6 5 2" xfId="37119"/>
    <cellStyle name="Separador de milhares 3 2 4 5 6 6" xfId="30659"/>
    <cellStyle name="Separador de milhares 3 2 4 5 6 7" xfId="22353"/>
    <cellStyle name="Separador de milhares 3 2 4 5 7" xfId="4130"/>
    <cellStyle name="Separador de milhares 3 2 4 5 7 2" xfId="6051"/>
    <cellStyle name="Separador de milhares 3 2 4 5 7 2 2" xfId="9263"/>
    <cellStyle name="Separador de milhares 3 2 4 5 7 2 2 2" xfId="21117"/>
    <cellStyle name="Separador de milhares 3 2 4 5 7 2 2 2 2" xfId="47596"/>
    <cellStyle name="Separador de milhares 3 2 4 5 7 2 2 3" xfId="15190"/>
    <cellStyle name="Separador de milhares 3 2 4 5 7 2 2 3 2" xfId="41688"/>
    <cellStyle name="Separador de milhares 3 2 4 5 7 2 2 4" xfId="35780"/>
    <cellStyle name="Separador de milhares 3 2 4 5 7 2 2 5" xfId="29246"/>
    <cellStyle name="Separador de milhares 3 2 4 5 7 2 3" xfId="18153"/>
    <cellStyle name="Separador de milhares 3 2 4 5 7 2 3 2" xfId="44642"/>
    <cellStyle name="Separador de milhares 3 2 4 5 7 2 4" xfId="12226"/>
    <cellStyle name="Separador de milhares 3 2 4 5 7 2 4 2" xfId="38734"/>
    <cellStyle name="Separador de milhares 3 2 4 5 7 2 5" xfId="32578"/>
    <cellStyle name="Separador de milhares 3 2 4 5 7 2 6" xfId="26044"/>
    <cellStyle name="Separador de milhares 3 2 4 5 7 3" xfId="7794"/>
    <cellStyle name="Separador de milhares 3 2 4 5 7 3 2" xfId="19648"/>
    <cellStyle name="Separador de milhares 3 2 4 5 7 3 2 2" xfId="46128"/>
    <cellStyle name="Separador de milhares 3 2 4 5 7 3 3" xfId="13721"/>
    <cellStyle name="Separador de milhares 3 2 4 5 7 3 3 2" xfId="40220"/>
    <cellStyle name="Separador de milhares 3 2 4 5 7 3 4" xfId="34312"/>
    <cellStyle name="Separador de milhares 3 2 4 5 7 3 5" xfId="27778"/>
    <cellStyle name="Separador de milhares 3 2 4 5 7 4" xfId="16684"/>
    <cellStyle name="Separador de milhares 3 2 4 5 7 4 2" xfId="43174"/>
    <cellStyle name="Separador de milhares 3 2 4 5 7 4 3" xfId="24272"/>
    <cellStyle name="Separador de milhares 3 2 4 5 7 5" xfId="10757"/>
    <cellStyle name="Separador de milhares 3 2 4 5 7 5 2" xfId="37266"/>
    <cellStyle name="Separador de milhares 3 2 4 5 7 6" xfId="30806"/>
    <cellStyle name="Separador de milhares 3 2 4 5 7 7" xfId="22500"/>
    <cellStyle name="Separador de milhares 3 2 4 5 8" xfId="5090"/>
    <cellStyle name="Separador de milhares 3 2 4 5 8 2" xfId="8305"/>
    <cellStyle name="Separador de milhares 3 2 4 5 8 2 2" xfId="20159"/>
    <cellStyle name="Separador de milhares 3 2 4 5 8 2 2 2" xfId="46638"/>
    <cellStyle name="Separador de milhares 3 2 4 5 8 2 3" xfId="14232"/>
    <cellStyle name="Separador de milhares 3 2 4 5 8 2 3 2" xfId="40730"/>
    <cellStyle name="Separador de milhares 3 2 4 5 8 2 4" xfId="34822"/>
    <cellStyle name="Separador de milhares 3 2 4 5 8 2 5" xfId="28288"/>
    <cellStyle name="Separador de milhares 3 2 4 5 8 3" xfId="17195"/>
    <cellStyle name="Separador de milhares 3 2 4 5 8 3 2" xfId="43684"/>
    <cellStyle name="Separador de milhares 3 2 4 5 8 4" xfId="11268"/>
    <cellStyle name="Separador de milhares 3 2 4 5 8 4 2" xfId="37776"/>
    <cellStyle name="Separador de milhares 3 2 4 5 8 5" xfId="31617"/>
    <cellStyle name="Separador de milhares 3 2 4 5 8 6" xfId="25083"/>
    <cellStyle name="Separador de milhares 3 2 4 5 9" xfId="6829"/>
    <cellStyle name="Separador de milhares 3 2 4 5 9 2" xfId="18683"/>
    <cellStyle name="Separador de milhares 3 2 4 5 9 2 2" xfId="45170"/>
    <cellStyle name="Separador de milhares 3 2 4 5 9 3" xfId="12756"/>
    <cellStyle name="Separador de milhares 3 2 4 5 9 3 2" xfId="39262"/>
    <cellStyle name="Separador de milhares 3 2 4 5 9 4" xfId="33354"/>
    <cellStyle name="Separador de milhares 3 2 4 5 9 5" xfId="26820"/>
    <cellStyle name="Separador de milhares 3 2 4 6" xfId="876"/>
    <cellStyle name="Separador de milhares 3 2 4 6 2" xfId="4307"/>
    <cellStyle name="Separador de milhares 3 2 4 6 2 2" xfId="6100"/>
    <cellStyle name="Separador de milhares 3 2 4 6 2 2 2" xfId="9312"/>
    <cellStyle name="Separador de milhares 3 2 4 6 2 2 2 2" xfId="21166"/>
    <cellStyle name="Separador de milhares 3 2 4 6 2 2 2 2 2" xfId="47645"/>
    <cellStyle name="Separador de milhares 3 2 4 6 2 2 2 3" xfId="15239"/>
    <cellStyle name="Separador de milhares 3 2 4 6 2 2 2 3 2" xfId="41737"/>
    <cellStyle name="Separador de milhares 3 2 4 6 2 2 2 4" xfId="35829"/>
    <cellStyle name="Separador de milhares 3 2 4 6 2 2 2 5" xfId="29295"/>
    <cellStyle name="Separador de milhares 3 2 4 6 2 2 3" xfId="18202"/>
    <cellStyle name="Separador de milhares 3 2 4 6 2 2 3 2" xfId="44691"/>
    <cellStyle name="Separador de milhares 3 2 4 6 2 2 4" xfId="12275"/>
    <cellStyle name="Separador de milhares 3 2 4 6 2 2 4 2" xfId="38783"/>
    <cellStyle name="Separador de milhares 3 2 4 6 2 2 5" xfId="32627"/>
    <cellStyle name="Separador de milhares 3 2 4 6 2 2 6" xfId="26093"/>
    <cellStyle name="Separador de milhares 3 2 4 6 2 3" xfId="7844"/>
    <cellStyle name="Separador de milhares 3 2 4 6 2 3 2" xfId="19698"/>
    <cellStyle name="Separador de milhares 3 2 4 6 2 3 2 2" xfId="46177"/>
    <cellStyle name="Separador de milhares 3 2 4 6 2 3 3" xfId="13771"/>
    <cellStyle name="Separador de milhares 3 2 4 6 2 3 3 2" xfId="40269"/>
    <cellStyle name="Separador de milhares 3 2 4 6 2 3 4" xfId="34361"/>
    <cellStyle name="Separador de milhares 3 2 4 6 2 3 5" xfId="27827"/>
    <cellStyle name="Separador de milhares 3 2 4 6 2 4" xfId="16734"/>
    <cellStyle name="Separador de milhares 3 2 4 6 2 4 2" xfId="43223"/>
    <cellStyle name="Separador de milhares 3 2 4 6 2 4 3" xfId="24321"/>
    <cellStyle name="Separador de milhares 3 2 4 6 2 5" xfId="10807"/>
    <cellStyle name="Separador de milhares 3 2 4 6 2 5 2" xfId="37315"/>
    <cellStyle name="Separador de milhares 3 2 4 6 2 6" xfId="30855"/>
    <cellStyle name="Separador de milhares 3 2 4 6 2 7" xfId="22549"/>
    <cellStyle name="Separador de milhares 3 2 4 6 3" xfId="5145"/>
    <cellStyle name="Separador de milhares 3 2 4 6 3 2" xfId="8360"/>
    <cellStyle name="Separador de milhares 3 2 4 6 3 2 2" xfId="20214"/>
    <cellStyle name="Separador de milhares 3 2 4 6 3 2 2 2" xfId="46693"/>
    <cellStyle name="Separador de milhares 3 2 4 6 3 2 3" xfId="14287"/>
    <cellStyle name="Separador de milhares 3 2 4 6 3 2 3 2" xfId="40785"/>
    <cellStyle name="Separador de milhares 3 2 4 6 3 2 4" xfId="34877"/>
    <cellStyle name="Separador de milhares 3 2 4 6 3 2 5" xfId="28343"/>
    <cellStyle name="Separador de milhares 3 2 4 6 3 3" xfId="17250"/>
    <cellStyle name="Separador de milhares 3 2 4 6 3 3 2" xfId="43739"/>
    <cellStyle name="Separador de milhares 3 2 4 6 3 4" xfId="11323"/>
    <cellStyle name="Separador de milhares 3 2 4 6 3 4 2" xfId="37831"/>
    <cellStyle name="Separador de milhares 3 2 4 6 3 5" xfId="31672"/>
    <cellStyle name="Separador de milhares 3 2 4 6 3 6" xfId="25138"/>
    <cellStyle name="Separador de milhares 3 2 4 6 4" xfId="6887"/>
    <cellStyle name="Separador de milhares 3 2 4 6 4 2" xfId="18741"/>
    <cellStyle name="Separador de milhares 3 2 4 6 4 2 2" xfId="45225"/>
    <cellStyle name="Separador de milhares 3 2 4 6 4 3" xfId="12814"/>
    <cellStyle name="Separador de milhares 3 2 4 6 4 3 2" xfId="39317"/>
    <cellStyle name="Separador de milhares 3 2 4 6 4 4" xfId="33409"/>
    <cellStyle name="Separador de milhares 3 2 4 6 4 5" xfId="26875"/>
    <cellStyle name="Separador de milhares 3 2 4 6 5" xfId="15777"/>
    <cellStyle name="Separador de milhares 3 2 4 6 5 2" xfId="42271"/>
    <cellStyle name="Separador de milhares 3 2 4 6 5 3" xfId="23366"/>
    <cellStyle name="Separador de milhares 3 2 4 6 6" xfId="9850"/>
    <cellStyle name="Separador de milhares 3 2 4 6 6 2" xfId="36363"/>
    <cellStyle name="Separador de milhares 3 2 4 6 7" xfId="29900"/>
    <cellStyle name="Separador de milhares 3 2 4 6 8" xfId="21594"/>
    <cellStyle name="Separador de milhares 3 2 4 7" xfId="1227"/>
    <cellStyle name="Separador de milhares 3 2 4 7 2" xfId="5243"/>
    <cellStyle name="Separador de milhares 3 2 4 7 2 2" xfId="8458"/>
    <cellStyle name="Separador de milhares 3 2 4 7 2 2 2" xfId="20312"/>
    <cellStyle name="Separador de milhares 3 2 4 7 2 2 2 2" xfId="46791"/>
    <cellStyle name="Separador de milhares 3 2 4 7 2 2 3" xfId="14385"/>
    <cellStyle name="Separador de milhares 3 2 4 7 2 2 3 2" xfId="40883"/>
    <cellStyle name="Separador de milhares 3 2 4 7 2 2 4" xfId="34975"/>
    <cellStyle name="Separador de milhares 3 2 4 7 2 2 5" xfId="28441"/>
    <cellStyle name="Separador de milhares 3 2 4 7 2 3" xfId="17348"/>
    <cellStyle name="Separador de milhares 3 2 4 7 2 3 2" xfId="43837"/>
    <cellStyle name="Separador de milhares 3 2 4 7 2 4" xfId="11421"/>
    <cellStyle name="Separador de milhares 3 2 4 7 2 4 2" xfId="37929"/>
    <cellStyle name="Separador de milhares 3 2 4 7 2 5" xfId="31770"/>
    <cellStyle name="Separador de milhares 3 2 4 7 2 6" xfId="25236"/>
    <cellStyle name="Separador de milhares 3 2 4 7 3" xfId="6985"/>
    <cellStyle name="Separador de milhares 3 2 4 7 3 2" xfId="18839"/>
    <cellStyle name="Separador de milhares 3 2 4 7 3 2 2" xfId="45323"/>
    <cellStyle name="Separador de milhares 3 2 4 7 3 3" xfId="12912"/>
    <cellStyle name="Separador de milhares 3 2 4 7 3 3 2" xfId="39415"/>
    <cellStyle name="Separador de milhares 3 2 4 7 3 4" xfId="33507"/>
    <cellStyle name="Separador de milhares 3 2 4 7 3 5" xfId="26973"/>
    <cellStyle name="Separador de milhares 3 2 4 7 4" xfId="15875"/>
    <cellStyle name="Separador de milhares 3 2 4 7 4 2" xfId="42369"/>
    <cellStyle name="Separador de milhares 3 2 4 7 4 3" xfId="23464"/>
    <cellStyle name="Separador de milhares 3 2 4 7 5" xfId="9948"/>
    <cellStyle name="Separador de milhares 3 2 4 7 5 2" xfId="36461"/>
    <cellStyle name="Separador de milhares 3 2 4 7 6" xfId="29998"/>
    <cellStyle name="Separador de milhares 3 2 4 7 7" xfId="21692"/>
    <cellStyle name="Separador de milhares 3 2 4 8" xfId="1662"/>
    <cellStyle name="Separador de milhares 3 2 4 8 2" xfId="5362"/>
    <cellStyle name="Separador de milhares 3 2 4 8 2 2" xfId="8577"/>
    <cellStyle name="Separador de milhares 3 2 4 8 2 2 2" xfId="20431"/>
    <cellStyle name="Separador de milhares 3 2 4 8 2 2 2 2" xfId="46910"/>
    <cellStyle name="Separador de milhares 3 2 4 8 2 2 3" xfId="14504"/>
    <cellStyle name="Separador de milhares 3 2 4 8 2 2 3 2" xfId="41002"/>
    <cellStyle name="Separador de milhares 3 2 4 8 2 2 4" xfId="35094"/>
    <cellStyle name="Separador de milhares 3 2 4 8 2 2 5" xfId="28560"/>
    <cellStyle name="Separador de milhares 3 2 4 8 2 3" xfId="17467"/>
    <cellStyle name="Separador de milhares 3 2 4 8 2 3 2" xfId="43956"/>
    <cellStyle name="Separador de milhares 3 2 4 8 2 4" xfId="11540"/>
    <cellStyle name="Separador de milhares 3 2 4 8 2 4 2" xfId="38048"/>
    <cellStyle name="Separador de milhares 3 2 4 8 2 5" xfId="31889"/>
    <cellStyle name="Separador de milhares 3 2 4 8 2 6" xfId="25355"/>
    <cellStyle name="Separador de milhares 3 2 4 8 3" xfId="7104"/>
    <cellStyle name="Separador de milhares 3 2 4 8 3 2" xfId="18958"/>
    <cellStyle name="Separador de milhares 3 2 4 8 3 2 2" xfId="45442"/>
    <cellStyle name="Separador de milhares 3 2 4 8 3 3" xfId="13031"/>
    <cellStyle name="Separador de milhares 3 2 4 8 3 3 2" xfId="39534"/>
    <cellStyle name="Separador de milhares 3 2 4 8 3 4" xfId="33626"/>
    <cellStyle name="Separador de milhares 3 2 4 8 3 5" xfId="27092"/>
    <cellStyle name="Separador de milhares 3 2 4 8 4" xfId="15994"/>
    <cellStyle name="Separador de milhares 3 2 4 8 4 2" xfId="42488"/>
    <cellStyle name="Separador de milhares 3 2 4 8 4 3" xfId="23583"/>
    <cellStyle name="Separador de milhares 3 2 4 8 5" xfId="10067"/>
    <cellStyle name="Separador de milhares 3 2 4 8 5 2" xfId="36580"/>
    <cellStyle name="Separador de milhares 3 2 4 8 6" xfId="30117"/>
    <cellStyle name="Separador de milhares 3 2 4 8 7" xfId="21811"/>
    <cellStyle name="Separador de milhares 3 2 4 9" xfId="2195"/>
    <cellStyle name="Separador de milhares 3 2 4 9 2" xfId="5512"/>
    <cellStyle name="Separador de milhares 3 2 4 9 2 2" xfId="8724"/>
    <cellStyle name="Separador de milhares 3 2 4 9 2 2 2" xfId="20578"/>
    <cellStyle name="Separador de milhares 3 2 4 9 2 2 2 2" xfId="47057"/>
    <cellStyle name="Separador de milhares 3 2 4 9 2 2 3" xfId="14651"/>
    <cellStyle name="Separador de milhares 3 2 4 9 2 2 3 2" xfId="41149"/>
    <cellStyle name="Separador de milhares 3 2 4 9 2 2 4" xfId="35241"/>
    <cellStyle name="Separador de milhares 3 2 4 9 2 2 5" xfId="28707"/>
    <cellStyle name="Separador de milhares 3 2 4 9 2 3" xfId="17614"/>
    <cellStyle name="Separador de milhares 3 2 4 9 2 3 2" xfId="44103"/>
    <cellStyle name="Separador de milhares 3 2 4 9 2 4" xfId="11687"/>
    <cellStyle name="Separador de milhares 3 2 4 9 2 4 2" xfId="38195"/>
    <cellStyle name="Separador de milhares 3 2 4 9 2 5" xfId="32039"/>
    <cellStyle name="Separador de milhares 3 2 4 9 2 6" xfId="25505"/>
    <cellStyle name="Separador de milhares 3 2 4 9 3" xfId="7252"/>
    <cellStyle name="Separador de milhares 3 2 4 9 3 2" xfId="19106"/>
    <cellStyle name="Separador de milhares 3 2 4 9 3 2 2" xfId="45589"/>
    <cellStyle name="Separador de milhares 3 2 4 9 3 3" xfId="13179"/>
    <cellStyle name="Separador de milhares 3 2 4 9 3 3 2" xfId="39681"/>
    <cellStyle name="Separador de milhares 3 2 4 9 3 4" xfId="33773"/>
    <cellStyle name="Separador de milhares 3 2 4 9 3 5" xfId="27239"/>
    <cellStyle name="Separador de milhares 3 2 4 9 4" xfId="16142"/>
    <cellStyle name="Separador de milhares 3 2 4 9 4 2" xfId="42635"/>
    <cellStyle name="Separador de milhares 3 2 4 9 4 3" xfId="23733"/>
    <cellStyle name="Separador de milhares 3 2 4 9 5" xfId="10215"/>
    <cellStyle name="Separador de milhares 3 2 4 9 5 2" xfId="36727"/>
    <cellStyle name="Separador de milhares 3 2 4 9 6" xfId="30267"/>
    <cellStyle name="Separador de milhares 3 2 4 9 7" xfId="21961"/>
    <cellStyle name="Separador de milhares 3 2 5" xfId="221"/>
    <cellStyle name="Separador de milhares 3 2 5 10" xfId="2731"/>
    <cellStyle name="Separador de milhares 3 2 5 10 2" xfId="5661"/>
    <cellStyle name="Separador de milhares 3 2 5 10 2 2" xfId="8873"/>
    <cellStyle name="Separador de milhares 3 2 5 10 2 2 2" xfId="20727"/>
    <cellStyle name="Separador de milhares 3 2 5 10 2 2 2 2" xfId="47206"/>
    <cellStyle name="Separador de milhares 3 2 5 10 2 2 3" xfId="14800"/>
    <cellStyle name="Separador de milhares 3 2 5 10 2 2 3 2" xfId="41298"/>
    <cellStyle name="Separador de milhares 3 2 5 10 2 2 4" xfId="35390"/>
    <cellStyle name="Separador de milhares 3 2 5 10 2 2 5" xfId="28856"/>
    <cellStyle name="Separador de milhares 3 2 5 10 2 3" xfId="17763"/>
    <cellStyle name="Separador de milhares 3 2 5 10 2 3 2" xfId="44252"/>
    <cellStyle name="Separador de milhares 3 2 5 10 2 4" xfId="11836"/>
    <cellStyle name="Separador de milhares 3 2 5 10 2 4 2" xfId="38344"/>
    <cellStyle name="Separador de milhares 3 2 5 10 2 5" xfId="32188"/>
    <cellStyle name="Separador de milhares 3 2 5 10 2 6" xfId="25654"/>
    <cellStyle name="Separador de milhares 3 2 5 10 3" xfId="7402"/>
    <cellStyle name="Separador de milhares 3 2 5 10 3 2" xfId="19256"/>
    <cellStyle name="Separador de milhares 3 2 5 10 3 2 2" xfId="45738"/>
    <cellStyle name="Separador de milhares 3 2 5 10 3 3" xfId="13329"/>
    <cellStyle name="Separador de milhares 3 2 5 10 3 3 2" xfId="39830"/>
    <cellStyle name="Separador de milhares 3 2 5 10 3 4" xfId="33922"/>
    <cellStyle name="Separador de milhares 3 2 5 10 3 5" xfId="27388"/>
    <cellStyle name="Separador de milhares 3 2 5 10 4" xfId="16292"/>
    <cellStyle name="Separador de milhares 3 2 5 10 4 2" xfId="42784"/>
    <cellStyle name="Separador de milhares 3 2 5 10 4 3" xfId="23882"/>
    <cellStyle name="Separador de milhares 3 2 5 10 5" xfId="10365"/>
    <cellStyle name="Separador de milhares 3 2 5 10 5 2" xfId="36876"/>
    <cellStyle name="Separador de milhares 3 2 5 10 6" xfId="30416"/>
    <cellStyle name="Separador de milhares 3 2 5 10 7" xfId="22110"/>
    <cellStyle name="Separador de milhares 3 2 5 11" xfId="3259"/>
    <cellStyle name="Separador de milhares 3 2 5 11 2" xfId="5808"/>
    <cellStyle name="Separador de milhares 3 2 5 11 2 2" xfId="9020"/>
    <cellStyle name="Separador de milhares 3 2 5 11 2 2 2" xfId="20874"/>
    <cellStyle name="Separador de milhares 3 2 5 11 2 2 2 2" xfId="47353"/>
    <cellStyle name="Separador de milhares 3 2 5 11 2 2 3" xfId="14947"/>
    <cellStyle name="Separador de milhares 3 2 5 11 2 2 3 2" xfId="41445"/>
    <cellStyle name="Separador de milhares 3 2 5 11 2 2 4" xfId="35537"/>
    <cellStyle name="Separador de milhares 3 2 5 11 2 2 5" xfId="29003"/>
    <cellStyle name="Separador de milhares 3 2 5 11 2 3" xfId="17910"/>
    <cellStyle name="Separador de milhares 3 2 5 11 2 3 2" xfId="44399"/>
    <cellStyle name="Separador de milhares 3 2 5 11 2 4" xfId="11983"/>
    <cellStyle name="Separador de milhares 3 2 5 11 2 4 2" xfId="38491"/>
    <cellStyle name="Separador de milhares 3 2 5 11 2 5" xfId="32335"/>
    <cellStyle name="Separador de milhares 3 2 5 11 2 6" xfId="25801"/>
    <cellStyle name="Separador de milhares 3 2 5 11 3" xfId="7550"/>
    <cellStyle name="Separador de milhares 3 2 5 11 3 2" xfId="19404"/>
    <cellStyle name="Separador de milhares 3 2 5 11 3 2 2" xfId="45885"/>
    <cellStyle name="Separador de milhares 3 2 5 11 3 3" xfId="13477"/>
    <cellStyle name="Separador de milhares 3 2 5 11 3 3 2" xfId="39977"/>
    <cellStyle name="Separador de milhares 3 2 5 11 3 4" xfId="34069"/>
    <cellStyle name="Separador de milhares 3 2 5 11 3 5" xfId="27535"/>
    <cellStyle name="Separador de milhares 3 2 5 11 4" xfId="16440"/>
    <cellStyle name="Separador de milhares 3 2 5 11 4 2" xfId="42931"/>
    <cellStyle name="Separador de milhares 3 2 5 11 4 3" xfId="24029"/>
    <cellStyle name="Separador de milhares 3 2 5 11 5" xfId="10513"/>
    <cellStyle name="Separador de milhares 3 2 5 11 5 2" xfId="37023"/>
    <cellStyle name="Separador de milhares 3 2 5 11 6" xfId="30563"/>
    <cellStyle name="Separador de milhares 3 2 5 11 7" xfId="22257"/>
    <cellStyle name="Separador de milhares 3 2 5 12" xfId="3787"/>
    <cellStyle name="Separador de milhares 3 2 5 12 2" xfId="5955"/>
    <cellStyle name="Separador de milhares 3 2 5 12 2 2" xfId="9167"/>
    <cellStyle name="Separador de milhares 3 2 5 12 2 2 2" xfId="21021"/>
    <cellStyle name="Separador de milhares 3 2 5 12 2 2 2 2" xfId="47500"/>
    <cellStyle name="Separador de milhares 3 2 5 12 2 2 3" xfId="15094"/>
    <cellStyle name="Separador de milhares 3 2 5 12 2 2 3 2" xfId="41592"/>
    <cellStyle name="Separador de milhares 3 2 5 12 2 2 4" xfId="35684"/>
    <cellStyle name="Separador de milhares 3 2 5 12 2 2 5" xfId="29150"/>
    <cellStyle name="Separador de milhares 3 2 5 12 2 3" xfId="18057"/>
    <cellStyle name="Separador de milhares 3 2 5 12 2 3 2" xfId="44546"/>
    <cellStyle name="Separador de milhares 3 2 5 12 2 4" xfId="12130"/>
    <cellStyle name="Separador de milhares 3 2 5 12 2 4 2" xfId="38638"/>
    <cellStyle name="Separador de milhares 3 2 5 12 2 5" xfId="32482"/>
    <cellStyle name="Separador de milhares 3 2 5 12 2 6" xfId="25948"/>
    <cellStyle name="Separador de milhares 3 2 5 12 3" xfId="7698"/>
    <cellStyle name="Separador de milhares 3 2 5 12 3 2" xfId="19552"/>
    <cellStyle name="Separador de milhares 3 2 5 12 3 2 2" xfId="46032"/>
    <cellStyle name="Separador de milhares 3 2 5 12 3 3" xfId="13625"/>
    <cellStyle name="Separador de milhares 3 2 5 12 3 3 2" xfId="40124"/>
    <cellStyle name="Separador de milhares 3 2 5 12 3 4" xfId="34216"/>
    <cellStyle name="Separador de milhares 3 2 5 12 3 5" xfId="27682"/>
    <cellStyle name="Separador de milhares 3 2 5 12 4" xfId="16588"/>
    <cellStyle name="Separador de milhares 3 2 5 12 4 2" xfId="43078"/>
    <cellStyle name="Separador de milhares 3 2 5 12 4 3" xfId="24176"/>
    <cellStyle name="Separador de milhares 3 2 5 12 5" xfId="10661"/>
    <cellStyle name="Separador de milhares 3 2 5 12 5 2" xfId="37170"/>
    <cellStyle name="Separador de milhares 3 2 5 12 6" xfId="30710"/>
    <cellStyle name="Separador de milhares 3 2 5 12 7" xfId="22404"/>
    <cellStyle name="Separador de milhares 3 2 5 13" xfId="4939"/>
    <cellStyle name="Separador de milhares 3 2 5 13 2" xfId="8163"/>
    <cellStyle name="Separador de milhares 3 2 5 13 2 2" xfId="20017"/>
    <cellStyle name="Separador de milhares 3 2 5 13 2 2 2" xfId="46496"/>
    <cellStyle name="Separador de milhares 3 2 5 13 2 3" xfId="14090"/>
    <cellStyle name="Separador de milhares 3 2 5 13 2 3 2" xfId="40588"/>
    <cellStyle name="Separador de milhares 3 2 5 13 2 4" xfId="34680"/>
    <cellStyle name="Separador de milhares 3 2 5 13 2 5" xfId="28146"/>
    <cellStyle name="Separador de milhares 3 2 5 13 3" xfId="17053"/>
    <cellStyle name="Separador de milhares 3 2 5 13 3 2" xfId="43542"/>
    <cellStyle name="Separador de milhares 3 2 5 13 4" xfId="11126"/>
    <cellStyle name="Separador de milhares 3 2 5 13 4 2" xfId="37634"/>
    <cellStyle name="Separador de milhares 3 2 5 13 5" xfId="31466"/>
    <cellStyle name="Separador de milhares 3 2 5 13 6" xfId="24932"/>
    <cellStyle name="Separador de milhares 3 2 5 14" xfId="6687"/>
    <cellStyle name="Separador de milhares 3 2 5 14 2" xfId="18541"/>
    <cellStyle name="Separador de milhares 3 2 5 14 2 2" xfId="45028"/>
    <cellStyle name="Separador de milhares 3 2 5 14 3" xfId="12614"/>
    <cellStyle name="Separador de milhares 3 2 5 14 3 2" xfId="39120"/>
    <cellStyle name="Separador de milhares 3 2 5 14 4" xfId="33212"/>
    <cellStyle name="Separador de milhares 3 2 5 14 5" xfId="26678"/>
    <cellStyle name="Separador de milhares 3 2 5 15" xfId="15577"/>
    <cellStyle name="Separador de milhares 3 2 5 15 2" xfId="42074"/>
    <cellStyle name="Separador de milhares 3 2 5 15 3" xfId="23160"/>
    <cellStyle name="Separador de milhares 3 2 5 16" xfId="9650"/>
    <cellStyle name="Separador de milhares 3 2 5 16 2" xfId="36166"/>
    <cellStyle name="Separador de milhares 3 2 5 17" xfId="29694"/>
    <cellStyle name="Separador de milhares 3 2 5 2" xfId="315"/>
    <cellStyle name="Separador de milhares 3 2 5 2 10" xfId="4968"/>
    <cellStyle name="Separador de milhares 3 2 5 2 10 2" xfId="8190"/>
    <cellStyle name="Separador de milhares 3 2 5 2 10 2 2" xfId="20044"/>
    <cellStyle name="Separador de milhares 3 2 5 2 10 2 2 2" xfId="46523"/>
    <cellStyle name="Separador de milhares 3 2 5 2 10 2 3" xfId="14117"/>
    <cellStyle name="Separador de milhares 3 2 5 2 10 2 3 2" xfId="40615"/>
    <cellStyle name="Separador de milhares 3 2 5 2 10 2 4" xfId="34707"/>
    <cellStyle name="Separador de milhares 3 2 5 2 10 2 5" xfId="28173"/>
    <cellStyle name="Separador de milhares 3 2 5 2 10 3" xfId="17080"/>
    <cellStyle name="Separador de milhares 3 2 5 2 10 3 2" xfId="43569"/>
    <cellStyle name="Separador de milhares 3 2 5 2 10 4" xfId="11153"/>
    <cellStyle name="Separador de milhares 3 2 5 2 10 4 2" xfId="37661"/>
    <cellStyle name="Separador de milhares 3 2 5 2 10 5" xfId="31495"/>
    <cellStyle name="Separador de milhares 3 2 5 2 10 6" xfId="24961"/>
    <cellStyle name="Separador de milhares 3 2 5 2 11" xfId="6714"/>
    <cellStyle name="Separador de milhares 3 2 5 2 11 2" xfId="18568"/>
    <cellStyle name="Separador de milhares 3 2 5 2 11 2 2" xfId="45055"/>
    <cellStyle name="Separador de milhares 3 2 5 2 11 3" xfId="12641"/>
    <cellStyle name="Separador de milhares 3 2 5 2 11 3 2" xfId="39147"/>
    <cellStyle name="Separador de milhares 3 2 5 2 11 4" xfId="33239"/>
    <cellStyle name="Separador de milhares 3 2 5 2 11 5" xfId="26705"/>
    <cellStyle name="Separador de milhares 3 2 5 2 12" xfId="15604"/>
    <cellStyle name="Separador de milhares 3 2 5 2 12 2" xfId="42101"/>
    <cellStyle name="Separador de milhares 3 2 5 2 12 3" xfId="23189"/>
    <cellStyle name="Separador de milhares 3 2 5 2 13" xfId="9677"/>
    <cellStyle name="Separador de milhares 3 2 5 2 13 2" xfId="36193"/>
    <cellStyle name="Separador de milhares 3 2 5 2 14" xfId="29723"/>
    <cellStyle name="Separador de milhares 3 2 5 2 15" xfId="21441"/>
    <cellStyle name="Separador de milhares 3 2 5 2 2" xfId="590"/>
    <cellStyle name="Separador de milhares 3 2 5 2 2 10" xfId="9751"/>
    <cellStyle name="Separador de milhares 3 2 5 2 2 10 2" xfId="36267"/>
    <cellStyle name="Separador de milhares 3 2 5 2 2 11" xfId="29804"/>
    <cellStyle name="Separador de milhares 3 2 5 2 2 12" xfId="21499"/>
    <cellStyle name="Separador de milhares 3 2 5 2 2 2" xfId="2111"/>
    <cellStyle name="Separador de milhares 3 2 5 2 2 2 2" xfId="5487"/>
    <cellStyle name="Separador de milhares 3 2 5 2 2 2 2 2" xfId="8702"/>
    <cellStyle name="Separador de milhares 3 2 5 2 2 2 2 2 2" xfId="20556"/>
    <cellStyle name="Separador de milhares 3 2 5 2 2 2 2 2 2 2" xfId="47035"/>
    <cellStyle name="Separador de milhares 3 2 5 2 2 2 2 2 3" xfId="14629"/>
    <cellStyle name="Separador de milhares 3 2 5 2 2 2 2 2 3 2" xfId="41127"/>
    <cellStyle name="Separador de milhares 3 2 5 2 2 2 2 2 4" xfId="35219"/>
    <cellStyle name="Separador de milhares 3 2 5 2 2 2 2 2 5" xfId="28685"/>
    <cellStyle name="Separador de milhares 3 2 5 2 2 2 2 3" xfId="17592"/>
    <cellStyle name="Separador de milhares 3 2 5 2 2 2 2 3 2" xfId="44081"/>
    <cellStyle name="Separador de milhares 3 2 5 2 2 2 2 4" xfId="11665"/>
    <cellStyle name="Separador de milhares 3 2 5 2 2 2 2 4 2" xfId="38173"/>
    <cellStyle name="Separador de milhares 3 2 5 2 2 2 2 5" xfId="32014"/>
    <cellStyle name="Separador de milhares 3 2 5 2 2 2 2 6" xfId="25480"/>
    <cellStyle name="Separador de milhares 3 2 5 2 2 2 3" xfId="7230"/>
    <cellStyle name="Separador de milhares 3 2 5 2 2 2 3 2" xfId="19084"/>
    <cellStyle name="Separador de milhares 3 2 5 2 2 2 3 2 2" xfId="45567"/>
    <cellStyle name="Separador de milhares 3 2 5 2 2 2 3 3" xfId="13157"/>
    <cellStyle name="Separador de milhares 3 2 5 2 2 2 3 3 2" xfId="39659"/>
    <cellStyle name="Separador de milhares 3 2 5 2 2 2 3 4" xfId="33751"/>
    <cellStyle name="Separador de milhares 3 2 5 2 2 2 3 5" xfId="27217"/>
    <cellStyle name="Separador de milhares 3 2 5 2 2 2 4" xfId="16120"/>
    <cellStyle name="Separador de milhares 3 2 5 2 2 2 4 2" xfId="42613"/>
    <cellStyle name="Separador de milhares 3 2 5 2 2 2 4 3" xfId="23708"/>
    <cellStyle name="Separador de milhares 3 2 5 2 2 2 5" xfId="10193"/>
    <cellStyle name="Separador de milhares 3 2 5 2 2 2 5 2" xfId="36705"/>
    <cellStyle name="Separador de milhares 3 2 5 2 2 2 6" xfId="30242"/>
    <cellStyle name="Separador de milhares 3 2 5 2 2 2 7" xfId="21936"/>
    <cellStyle name="Separador de milhares 3 2 5 2 2 3" xfId="2644"/>
    <cellStyle name="Separador de milhares 3 2 5 2 2 3 2" xfId="5637"/>
    <cellStyle name="Separador de milhares 3 2 5 2 2 3 2 2" xfId="8849"/>
    <cellStyle name="Separador de milhares 3 2 5 2 2 3 2 2 2" xfId="20703"/>
    <cellStyle name="Separador de milhares 3 2 5 2 2 3 2 2 2 2" xfId="47182"/>
    <cellStyle name="Separador de milhares 3 2 5 2 2 3 2 2 3" xfId="14776"/>
    <cellStyle name="Separador de milhares 3 2 5 2 2 3 2 2 3 2" xfId="41274"/>
    <cellStyle name="Separador de milhares 3 2 5 2 2 3 2 2 4" xfId="35366"/>
    <cellStyle name="Separador de milhares 3 2 5 2 2 3 2 2 5" xfId="28832"/>
    <cellStyle name="Separador de milhares 3 2 5 2 2 3 2 3" xfId="17739"/>
    <cellStyle name="Separador de milhares 3 2 5 2 2 3 2 3 2" xfId="44228"/>
    <cellStyle name="Separador de milhares 3 2 5 2 2 3 2 4" xfId="11812"/>
    <cellStyle name="Separador de milhares 3 2 5 2 2 3 2 4 2" xfId="38320"/>
    <cellStyle name="Separador de milhares 3 2 5 2 2 3 2 5" xfId="32164"/>
    <cellStyle name="Separador de milhares 3 2 5 2 2 3 2 6" xfId="25630"/>
    <cellStyle name="Separador de milhares 3 2 5 2 2 3 3" xfId="7378"/>
    <cellStyle name="Separador de milhares 3 2 5 2 2 3 3 2" xfId="19232"/>
    <cellStyle name="Separador de milhares 3 2 5 2 2 3 3 2 2" xfId="45714"/>
    <cellStyle name="Separador de milhares 3 2 5 2 2 3 3 3" xfId="13305"/>
    <cellStyle name="Separador de milhares 3 2 5 2 2 3 3 3 2" xfId="39806"/>
    <cellStyle name="Separador de milhares 3 2 5 2 2 3 3 4" xfId="33898"/>
    <cellStyle name="Separador de milhares 3 2 5 2 2 3 3 5" xfId="27364"/>
    <cellStyle name="Separador de milhares 3 2 5 2 2 3 4" xfId="16268"/>
    <cellStyle name="Separador de milhares 3 2 5 2 2 3 4 2" xfId="42760"/>
    <cellStyle name="Separador de milhares 3 2 5 2 2 3 4 3" xfId="23858"/>
    <cellStyle name="Separador de milhares 3 2 5 2 2 3 5" xfId="10341"/>
    <cellStyle name="Separador de milhares 3 2 5 2 2 3 5 2" xfId="36852"/>
    <cellStyle name="Separador de milhares 3 2 5 2 2 3 6" xfId="30392"/>
    <cellStyle name="Separador de milhares 3 2 5 2 2 3 7" xfId="22086"/>
    <cellStyle name="Separador de milhares 3 2 5 2 2 4" xfId="3172"/>
    <cellStyle name="Separador de milhares 3 2 5 2 2 4 2" xfId="5784"/>
    <cellStyle name="Separador de milhares 3 2 5 2 2 4 2 2" xfId="8996"/>
    <cellStyle name="Separador de milhares 3 2 5 2 2 4 2 2 2" xfId="20850"/>
    <cellStyle name="Separador de milhares 3 2 5 2 2 4 2 2 2 2" xfId="47329"/>
    <cellStyle name="Separador de milhares 3 2 5 2 2 4 2 2 3" xfId="14923"/>
    <cellStyle name="Separador de milhares 3 2 5 2 2 4 2 2 3 2" xfId="41421"/>
    <cellStyle name="Separador de milhares 3 2 5 2 2 4 2 2 4" xfId="35513"/>
    <cellStyle name="Separador de milhares 3 2 5 2 2 4 2 2 5" xfId="28979"/>
    <cellStyle name="Separador de milhares 3 2 5 2 2 4 2 3" xfId="17886"/>
    <cellStyle name="Separador de milhares 3 2 5 2 2 4 2 3 2" xfId="44375"/>
    <cellStyle name="Separador de milhares 3 2 5 2 2 4 2 4" xfId="11959"/>
    <cellStyle name="Separador de milhares 3 2 5 2 2 4 2 4 2" xfId="38467"/>
    <cellStyle name="Separador de milhares 3 2 5 2 2 4 2 5" xfId="32311"/>
    <cellStyle name="Separador de milhares 3 2 5 2 2 4 2 6" xfId="25777"/>
    <cellStyle name="Separador de milhares 3 2 5 2 2 4 3" xfId="7526"/>
    <cellStyle name="Separador de milhares 3 2 5 2 2 4 3 2" xfId="19380"/>
    <cellStyle name="Separador de milhares 3 2 5 2 2 4 3 2 2" xfId="45861"/>
    <cellStyle name="Separador de milhares 3 2 5 2 2 4 3 3" xfId="13453"/>
    <cellStyle name="Separador de milhares 3 2 5 2 2 4 3 3 2" xfId="39953"/>
    <cellStyle name="Separador de milhares 3 2 5 2 2 4 3 4" xfId="34045"/>
    <cellStyle name="Separador de milhares 3 2 5 2 2 4 3 5" xfId="27511"/>
    <cellStyle name="Separador de milhares 3 2 5 2 2 4 4" xfId="16416"/>
    <cellStyle name="Separador de milhares 3 2 5 2 2 4 4 2" xfId="42907"/>
    <cellStyle name="Separador de milhares 3 2 5 2 2 4 4 3" xfId="24005"/>
    <cellStyle name="Separador de milhares 3 2 5 2 2 4 5" xfId="10489"/>
    <cellStyle name="Separador de milhares 3 2 5 2 2 4 5 2" xfId="36999"/>
    <cellStyle name="Separador de milhares 3 2 5 2 2 4 6" xfId="30539"/>
    <cellStyle name="Separador de milhares 3 2 5 2 2 4 7" xfId="22233"/>
    <cellStyle name="Separador de milhares 3 2 5 2 2 5" xfId="3700"/>
    <cellStyle name="Separador de milhares 3 2 5 2 2 5 2" xfId="5931"/>
    <cellStyle name="Separador de milhares 3 2 5 2 2 5 2 2" xfId="9143"/>
    <cellStyle name="Separador de milhares 3 2 5 2 2 5 2 2 2" xfId="20997"/>
    <cellStyle name="Separador de milhares 3 2 5 2 2 5 2 2 2 2" xfId="47476"/>
    <cellStyle name="Separador de milhares 3 2 5 2 2 5 2 2 3" xfId="15070"/>
    <cellStyle name="Separador de milhares 3 2 5 2 2 5 2 2 3 2" xfId="41568"/>
    <cellStyle name="Separador de milhares 3 2 5 2 2 5 2 2 4" xfId="35660"/>
    <cellStyle name="Separador de milhares 3 2 5 2 2 5 2 2 5" xfId="29126"/>
    <cellStyle name="Separador de milhares 3 2 5 2 2 5 2 3" xfId="18033"/>
    <cellStyle name="Separador de milhares 3 2 5 2 2 5 2 3 2" xfId="44522"/>
    <cellStyle name="Separador de milhares 3 2 5 2 2 5 2 4" xfId="12106"/>
    <cellStyle name="Separador de milhares 3 2 5 2 2 5 2 4 2" xfId="38614"/>
    <cellStyle name="Separador de milhares 3 2 5 2 2 5 2 5" xfId="32458"/>
    <cellStyle name="Separador de milhares 3 2 5 2 2 5 2 6" xfId="25924"/>
    <cellStyle name="Separador de milhares 3 2 5 2 2 5 3" xfId="7674"/>
    <cellStyle name="Separador de milhares 3 2 5 2 2 5 3 2" xfId="19528"/>
    <cellStyle name="Separador de milhares 3 2 5 2 2 5 3 2 2" xfId="46008"/>
    <cellStyle name="Separador de milhares 3 2 5 2 2 5 3 3" xfId="13601"/>
    <cellStyle name="Separador de milhares 3 2 5 2 2 5 3 3 2" xfId="40100"/>
    <cellStyle name="Separador de milhares 3 2 5 2 2 5 3 4" xfId="34192"/>
    <cellStyle name="Separador de milhares 3 2 5 2 2 5 3 5" xfId="27658"/>
    <cellStyle name="Separador de milhares 3 2 5 2 2 5 4" xfId="16564"/>
    <cellStyle name="Separador de milhares 3 2 5 2 2 5 4 2" xfId="43054"/>
    <cellStyle name="Separador de milhares 3 2 5 2 2 5 4 3" xfId="24152"/>
    <cellStyle name="Separador de milhares 3 2 5 2 2 5 5" xfId="10637"/>
    <cellStyle name="Separador de milhares 3 2 5 2 2 5 5 2" xfId="37146"/>
    <cellStyle name="Separador de milhares 3 2 5 2 2 5 6" xfId="30686"/>
    <cellStyle name="Separador de milhares 3 2 5 2 2 5 7" xfId="22380"/>
    <cellStyle name="Separador de milhares 3 2 5 2 2 6" xfId="4228"/>
    <cellStyle name="Separador de milhares 3 2 5 2 2 6 2" xfId="6078"/>
    <cellStyle name="Separador de milhares 3 2 5 2 2 6 2 2" xfId="9290"/>
    <cellStyle name="Separador de milhares 3 2 5 2 2 6 2 2 2" xfId="21144"/>
    <cellStyle name="Separador de milhares 3 2 5 2 2 6 2 2 2 2" xfId="47623"/>
    <cellStyle name="Separador de milhares 3 2 5 2 2 6 2 2 3" xfId="15217"/>
    <cellStyle name="Separador de milhares 3 2 5 2 2 6 2 2 3 2" xfId="41715"/>
    <cellStyle name="Separador de milhares 3 2 5 2 2 6 2 2 4" xfId="35807"/>
    <cellStyle name="Separador de milhares 3 2 5 2 2 6 2 2 5" xfId="29273"/>
    <cellStyle name="Separador de milhares 3 2 5 2 2 6 2 3" xfId="18180"/>
    <cellStyle name="Separador de milhares 3 2 5 2 2 6 2 3 2" xfId="44669"/>
    <cellStyle name="Separador de milhares 3 2 5 2 2 6 2 4" xfId="12253"/>
    <cellStyle name="Separador de milhares 3 2 5 2 2 6 2 4 2" xfId="38761"/>
    <cellStyle name="Separador de milhares 3 2 5 2 2 6 2 5" xfId="32605"/>
    <cellStyle name="Separador de milhares 3 2 5 2 2 6 2 6" xfId="26071"/>
    <cellStyle name="Separador de milhares 3 2 5 2 2 6 3" xfId="7822"/>
    <cellStyle name="Separador de milhares 3 2 5 2 2 6 3 2" xfId="19676"/>
    <cellStyle name="Separador de milhares 3 2 5 2 2 6 3 2 2" xfId="46155"/>
    <cellStyle name="Separador de milhares 3 2 5 2 2 6 3 3" xfId="13749"/>
    <cellStyle name="Separador de milhares 3 2 5 2 2 6 3 3 2" xfId="40247"/>
    <cellStyle name="Separador de milhares 3 2 5 2 2 6 3 4" xfId="34339"/>
    <cellStyle name="Separador de milhares 3 2 5 2 2 6 3 5" xfId="27805"/>
    <cellStyle name="Separador de milhares 3 2 5 2 2 6 4" xfId="16712"/>
    <cellStyle name="Separador de milhares 3 2 5 2 2 6 4 2" xfId="43201"/>
    <cellStyle name="Separador de milhares 3 2 5 2 2 6 4 3" xfId="24299"/>
    <cellStyle name="Separador de milhares 3 2 5 2 2 6 5" xfId="10785"/>
    <cellStyle name="Separador de milhares 3 2 5 2 2 6 5 2" xfId="37293"/>
    <cellStyle name="Separador de milhares 3 2 5 2 2 6 6" xfId="30833"/>
    <cellStyle name="Separador de milhares 3 2 5 2 2 6 7" xfId="22527"/>
    <cellStyle name="Separador de milhares 3 2 5 2 2 7" xfId="5049"/>
    <cellStyle name="Separador de milhares 3 2 5 2 2 7 2" xfId="8264"/>
    <cellStyle name="Separador de milhares 3 2 5 2 2 7 2 2" xfId="20118"/>
    <cellStyle name="Separador de milhares 3 2 5 2 2 7 2 2 2" xfId="46597"/>
    <cellStyle name="Separador de milhares 3 2 5 2 2 7 2 3" xfId="14191"/>
    <cellStyle name="Separador de milhares 3 2 5 2 2 7 2 3 2" xfId="40689"/>
    <cellStyle name="Separador de milhares 3 2 5 2 2 7 2 4" xfId="34781"/>
    <cellStyle name="Separador de milhares 3 2 5 2 2 7 2 5" xfId="28247"/>
    <cellStyle name="Separador de milhares 3 2 5 2 2 7 3" xfId="17154"/>
    <cellStyle name="Separador de milhares 3 2 5 2 2 7 3 2" xfId="43643"/>
    <cellStyle name="Separador de milhares 3 2 5 2 2 7 4" xfId="11227"/>
    <cellStyle name="Separador de milhares 3 2 5 2 2 7 4 2" xfId="37735"/>
    <cellStyle name="Separador de milhares 3 2 5 2 2 7 5" xfId="31576"/>
    <cellStyle name="Separador de milhares 3 2 5 2 2 7 6" xfId="25042"/>
    <cellStyle name="Separador de milhares 3 2 5 2 2 8" xfId="6788"/>
    <cellStyle name="Separador de milhares 3 2 5 2 2 8 2" xfId="18642"/>
    <cellStyle name="Separador de milhares 3 2 5 2 2 8 2 2" xfId="45129"/>
    <cellStyle name="Separador de milhares 3 2 5 2 2 8 3" xfId="12715"/>
    <cellStyle name="Separador de milhares 3 2 5 2 2 8 3 2" xfId="39221"/>
    <cellStyle name="Separador de milhares 3 2 5 2 2 8 4" xfId="33313"/>
    <cellStyle name="Separador de milhares 3 2 5 2 2 8 5" xfId="26779"/>
    <cellStyle name="Separador de milhares 3 2 5 2 2 9" xfId="15678"/>
    <cellStyle name="Separador de milhares 3 2 5 2 2 9 2" xfId="42175"/>
    <cellStyle name="Separador de milhares 3 2 5 2 2 9 3" xfId="23270"/>
    <cellStyle name="Separador de milhares 3 2 5 2 3" xfId="1064"/>
    <cellStyle name="Separador de milhares 3 2 5 2 3 2" xfId="5200"/>
    <cellStyle name="Separador de milhares 3 2 5 2 3 2 2" xfId="8415"/>
    <cellStyle name="Separador de milhares 3 2 5 2 3 2 2 2" xfId="20269"/>
    <cellStyle name="Separador de milhares 3 2 5 2 3 2 2 2 2" xfId="46748"/>
    <cellStyle name="Separador de milhares 3 2 5 2 3 2 2 3" xfId="14342"/>
    <cellStyle name="Separador de milhares 3 2 5 2 3 2 2 3 2" xfId="40840"/>
    <cellStyle name="Separador de milhares 3 2 5 2 3 2 2 4" xfId="34932"/>
    <cellStyle name="Separador de milhares 3 2 5 2 3 2 2 5" xfId="28398"/>
    <cellStyle name="Separador de milhares 3 2 5 2 3 2 3" xfId="17305"/>
    <cellStyle name="Separador de milhares 3 2 5 2 3 2 3 2" xfId="43794"/>
    <cellStyle name="Separador de milhares 3 2 5 2 3 2 4" xfId="11378"/>
    <cellStyle name="Separador de milhares 3 2 5 2 3 2 4 2" xfId="37886"/>
    <cellStyle name="Separador de milhares 3 2 5 2 3 2 5" xfId="31727"/>
    <cellStyle name="Separador de milhares 3 2 5 2 3 2 6" xfId="25193"/>
    <cellStyle name="Separador de milhares 3 2 5 2 3 3" xfId="6942"/>
    <cellStyle name="Separador de milhares 3 2 5 2 3 3 2" xfId="18796"/>
    <cellStyle name="Separador de milhares 3 2 5 2 3 3 2 2" xfId="45280"/>
    <cellStyle name="Separador de milhares 3 2 5 2 3 3 3" xfId="12869"/>
    <cellStyle name="Separador de milhares 3 2 5 2 3 3 3 2" xfId="39372"/>
    <cellStyle name="Separador de milhares 3 2 5 2 3 3 4" xfId="33464"/>
    <cellStyle name="Separador de milhares 3 2 5 2 3 3 5" xfId="26930"/>
    <cellStyle name="Separador de milhares 3 2 5 2 3 4" xfId="15832"/>
    <cellStyle name="Separador de milhares 3 2 5 2 3 4 2" xfId="42326"/>
    <cellStyle name="Separador de milhares 3 2 5 2 3 4 3" xfId="23421"/>
    <cellStyle name="Separador de milhares 3 2 5 2 3 5" xfId="9905"/>
    <cellStyle name="Separador de milhares 3 2 5 2 3 5 2" xfId="36418"/>
    <cellStyle name="Separador de milhares 3 2 5 2 3 6" xfId="29955"/>
    <cellStyle name="Separador de milhares 3 2 5 2 3 7" xfId="21649"/>
    <cellStyle name="Separador de milhares 3 2 5 2 4" xfId="1415"/>
    <cellStyle name="Separador de milhares 3 2 5 2 4 2" xfId="5298"/>
    <cellStyle name="Separador de milhares 3 2 5 2 4 2 2" xfId="8513"/>
    <cellStyle name="Separador de milhares 3 2 5 2 4 2 2 2" xfId="20367"/>
    <cellStyle name="Separador de milhares 3 2 5 2 4 2 2 2 2" xfId="46846"/>
    <cellStyle name="Separador de milhares 3 2 5 2 4 2 2 3" xfId="14440"/>
    <cellStyle name="Separador de milhares 3 2 5 2 4 2 2 3 2" xfId="40938"/>
    <cellStyle name="Separador de milhares 3 2 5 2 4 2 2 4" xfId="35030"/>
    <cellStyle name="Separador de milhares 3 2 5 2 4 2 2 5" xfId="28496"/>
    <cellStyle name="Separador de milhares 3 2 5 2 4 2 3" xfId="17403"/>
    <cellStyle name="Separador de milhares 3 2 5 2 4 2 3 2" xfId="43892"/>
    <cellStyle name="Separador de milhares 3 2 5 2 4 2 4" xfId="11476"/>
    <cellStyle name="Separador de milhares 3 2 5 2 4 2 4 2" xfId="37984"/>
    <cellStyle name="Separador de milhares 3 2 5 2 4 2 5" xfId="31825"/>
    <cellStyle name="Separador de milhares 3 2 5 2 4 2 6" xfId="25291"/>
    <cellStyle name="Separador de milhares 3 2 5 2 4 3" xfId="7040"/>
    <cellStyle name="Separador de milhares 3 2 5 2 4 3 2" xfId="18894"/>
    <cellStyle name="Separador de milhares 3 2 5 2 4 3 2 2" xfId="45378"/>
    <cellStyle name="Separador de milhares 3 2 5 2 4 3 3" xfId="12967"/>
    <cellStyle name="Separador de milhares 3 2 5 2 4 3 3 2" xfId="39470"/>
    <cellStyle name="Separador de milhares 3 2 5 2 4 3 4" xfId="33562"/>
    <cellStyle name="Separador de milhares 3 2 5 2 4 3 5" xfId="27028"/>
    <cellStyle name="Separador de milhares 3 2 5 2 4 4" xfId="15930"/>
    <cellStyle name="Separador de milhares 3 2 5 2 4 4 2" xfId="42424"/>
    <cellStyle name="Separador de milhares 3 2 5 2 4 4 3" xfId="23519"/>
    <cellStyle name="Separador de milhares 3 2 5 2 4 5" xfId="10003"/>
    <cellStyle name="Separador de milhares 3 2 5 2 4 5 2" xfId="36516"/>
    <cellStyle name="Separador de milhares 3 2 5 2 4 6" xfId="30053"/>
    <cellStyle name="Separador de milhares 3 2 5 2 4 7" xfId="21747"/>
    <cellStyle name="Separador de milhares 3 2 5 2 5" xfId="1850"/>
    <cellStyle name="Separador de milhares 3 2 5 2 5 2" xfId="5417"/>
    <cellStyle name="Separador de milhares 3 2 5 2 5 2 2" xfId="8632"/>
    <cellStyle name="Separador de milhares 3 2 5 2 5 2 2 2" xfId="20486"/>
    <cellStyle name="Separador de milhares 3 2 5 2 5 2 2 2 2" xfId="46965"/>
    <cellStyle name="Separador de milhares 3 2 5 2 5 2 2 3" xfId="14559"/>
    <cellStyle name="Separador de milhares 3 2 5 2 5 2 2 3 2" xfId="41057"/>
    <cellStyle name="Separador de milhares 3 2 5 2 5 2 2 4" xfId="35149"/>
    <cellStyle name="Separador de milhares 3 2 5 2 5 2 2 5" xfId="28615"/>
    <cellStyle name="Separador de milhares 3 2 5 2 5 2 3" xfId="17522"/>
    <cellStyle name="Separador de milhares 3 2 5 2 5 2 3 2" xfId="44011"/>
    <cellStyle name="Separador de milhares 3 2 5 2 5 2 4" xfId="11595"/>
    <cellStyle name="Separador de milhares 3 2 5 2 5 2 4 2" xfId="38103"/>
    <cellStyle name="Separador de milhares 3 2 5 2 5 2 5" xfId="31944"/>
    <cellStyle name="Separador de milhares 3 2 5 2 5 2 6" xfId="25410"/>
    <cellStyle name="Separador de milhares 3 2 5 2 5 3" xfId="7159"/>
    <cellStyle name="Separador de milhares 3 2 5 2 5 3 2" xfId="19013"/>
    <cellStyle name="Separador de milhares 3 2 5 2 5 3 2 2" xfId="45497"/>
    <cellStyle name="Separador de milhares 3 2 5 2 5 3 3" xfId="13086"/>
    <cellStyle name="Separador de milhares 3 2 5 2 5 3 3 2" xfId="39589"/>
    <cellStyle name="Separador de milhares 3 2 5 2 5 3 4" xfId="33681"/>
    <cellStyle name="Separador de milhares 3 2 5 2 5 3 5" xfId="27147"/>
    <cellStyle name="Separador de milhares 3 2 5 2 5 4" xfId="16049"/>
    <cellStyle name="Separador de milhares 3 2 5 2 5 4 2" xfId="42543"/>
    <cellStyle name="Separador de milhares 3 2 5 2 5 4 3" xfId="23638"/>
    <cellStyle name="Separador de milhares 3 2 5 2 5 5" xfId="10122"/>
    <cellStyle name="Separador de milhares 3 2 5 2 5 5 2" xfId="36635"/>
    <cellStyle name="Separador de milhares 3 2 5 2 5 6" xfId="30172"/>
    <cellStyle name="Separador de milhares 3 2 5 2 5 7" xfId="21866"/>
    <cellStyle name="Separador de milhares 3 2 5 2 6" xfId="2383"/>
    <cellStyle name="Separador de milhares 3 2 5 2 6 2" xfId="5567"/>
    <cellStyle name="Separador de milhares 3 2 5 2 6 2 2" xfId="8779"/>
    <cellStyle name="Separador de milhares 3 2 5 2 6 2 2 2" xfId="20633"/>
    <cellStyle name="Separador de milhares 3 2 5 2 6 2 2 2 2" xfId="47112"/>
    <cellStyle name="Separador de milhares 3 2 5 2 6 2 2 3" xfId="14706"/>
    <cellStyle name="Separador de milhares 3 2 5 2 6 2 2 3 2" xfId="41204"/>
    <cellStyle name="Separador de milhares 3 2 5 2 6 2 2 4" xfId="35296"/>
    <cellStyle name="Separador de milhares 3 2 5 2 6 2 2 5" xfId="28762"/>
    <cellStyle name="Separador de milhares 3 2 5 2 6 2 3" xfId="17669"/>
    <cellStyle name="Separador de milhares 3 2 5 2 6 2 3 2" xfId="44158"/>
    <cellStyle name="Separador de milhares 3 2 5 2 6 2 4" xfId="11742"/>
    <cellStyle name="Separador de milhares 3 2 5 2 6 2 4 2" xfId="38250"/>
    <cellStyle name="Separador de milhares 3 2 5 2 6 2 5" xfId="32094"/>
    <cellStyle name="Separador de milhares 3 2 5 2 6 2 6" xfId="25560"/>
    <cellStyle name="Separador de milhares 3 2 5 2 6 3" xfId="7307"/>
    <cellStyle name="Separador de milhares 3 2 5 2 6 3 2" xfId="19161"/>
    <cellStyle name="Separador de milhares 3 2 5 2 6 3 2 2" xfId="45644"/>
    <cellStyle name="Separador de milhares 3 2 5 2 6 3 3" xfId="13234"/>
    <cellStyle name="Separador de milhares 3 2 5 2 6 3 3 2" xfId="39736"/>
    <cellStyle name="Separador de milhares 3 2 5 2 6 3 4" xfId="33828"/>
    <cellStyle name="Separador de milhares 3 2 5 2 6 3 5" xfId="27294"/>
    <cellStyle name="Separador de milhares 3 2 5 2 6 4" xfId="16197"/>
    <cellStyle name="Separador de milhares 3 2 5 2 6 4 2" xfId="42690"/>
    <cellStyle name="Separador de milhares 3 2 5 2 6 4 3" xfId="23788"/>
    <cellStyle name="Separador de milhares 3 2 5 2 6 5" xfId="10270"/>
    <cellStyle name="Separador de milhares 3 2 5 2 6 5 2" xfId="36782"/>
    <cellStyle name="Separador de milhares 3 2 5 2 6 6" xfId="30322"/>
    <cellStyle name="Separador de milhares 3 2 5 2 6 7" xfId="22016"/>
    <cellStyle name="Separador de milhares 3 2 5 2 7" xfId="2911"/>
    <cellStyle name="Separador de milhares 3 2 5 2 7 2" xfId="5714"/>
    <cellStyle name="Separador de milhares 3 2 5 2 7 2 2" xfId="8926"/>
    <cellStyle name="Separador de milhares 3 2 5 2 7 2 2 2" xfId="20780"/>
    <cellStyle name="Separador de milhares 3 2 5 2 7 2 2 2 2" xfId="47259"/>
    <cellStyle name="Separador de milhares 3 2 5 2 7 2 2 3" xfId="14853"/>
    <cellStyle name="Separador de milhares 3 2 5 2 7 2 2 3 2" xfId="41351"/>
    <cellStyle name="Separador de milhares 3 2 5 2 7 2 2 4" xfId="35443"/>
    <cellStyle name="Separador de milhares 3 2 5 2 7 2 2 5" xfId="28909"/>
    <cellStyle name="Separador de milhares 3 2 5 2 7 2 3" xfId="17816"/>
    <cellStyle name="Separador de milhares 3 2 5 2 7 2 3 2" xfId="44305"/>
    <cellStyle name="Separador de milhares 3 2 5 2 7 2 4" xfId="11889"/>
    <cellStyle name="Separador de milhares 3 2 5 2 7 2 4 2" xfId="38397"/>
    <cellStyle name="Separador de milhares 3 2 5 2 7 2 5" xfId="32241"/>
    <cellStyle name="Separador de milhares 3 2 5 2 7 2 6" xfId="25707"/>
    <cellStyle name="Separador de milhares 3 2 5 2 7 3" xfId="7455"/>
    <cellStyle name="Separador de milhares 3 2 5 2 7 3 2" xfId="19309"/>
    <cellStyle name="Separador de milhares 3 2 5 2 7 3 2 2" xfId="45791"/>
    <cellStyle name="Separador de milhares 3 2 5 2 7 3 3" xfId="13382"/>
    <cellStyle name="Separador de milhares 3 2 5 2 7 3 3 2" xfId="39883"/>
    <cellStyle name="Separador de milhares 3 2 5 2 7 3 4" xfId="33975"/>
    <cellStyle name="Separador de milhares 3 2 5 2 7 3 5" xfId="27441"/>
    <cellStyle name="Separador de milhares 3 2 5 2 7 4" xfId="16345"/>
    <cellStyle name="Separador de milhares 3 2 5 2 7 4 2" xfId="42837"/>
    <cellStyle name="Separador de milhares 3 2 5 2 7 4 3" xfId="23935"/>
    <cellStyle name="Separador de milhares 3 2 5 2 7 5" xfId="10418"/>
    <cellStyle name="Separador de milhares 3 2 5 2 7 5 2" xfId="36929"/>
    <cellStyle name="Separador de milhares 3 2 5 2 7 6" xfId="30469"/>
    <cellStyle name="Separador de milhares 3 2 5 2 7 7" xfId="22163"/>
    <cellStyle name="Separador de milhares 3 2 5 2 8" xfId="3439"/>
    <cellStyle name="Separador de milhares 3 2 5 2 8 2" xfId="5861"/>
    <cellStyle name="Separador de milhares 3 2 5 2 8 2 2" xfId="9073"/>
    <cellStyle name="Separador de milhares 3 2 5 2 8 2 2 2" xfId="20927"/>
    <cellStyle name="Separador de milhares 3 2 5 2 8 2 2 2 2" xfId="47406"/>
    <cellStyle name="Separador de milhares 3 2 5 2 8 2 2 3" xfId="15000"/>
    <cellStyle name="Separador de milhares 3 2 5 2 8 2 2 3 2" xfId="41498"/>
    <cellStyle name="Separador de milhares 3 2 5 2 8 2 2 4" xfId="35590"/>
    <cellStyle name="Separador de milhares 3 2 5 2 8 2 2 5" xfId="29056"/>
    <cellStyle name="Separador de milhares 3 2 5 2 8 2 3" xfId="17963"/>
    <cellStyle name="Separador de milhares 3 2 5 2 8 2 3 2" xfId="44452"/>
    <cellStyle name="Separador de milhares 3 2 5 2 8 2 4" xfId="12036"/>
    <cellStyle name="Separador de milhares 3 2 5 2 8 2 4 2" xfId="38544"/>
    <cellStyle name="Separador de milhares 3 2 5 2 8 2 5" xfId="32388"/>
    <cellStyle name="Separador de milhares 3 2 5 2 8 2 6" xfId="25854"/>
    <cellStyle name="Separador de milhares 3 2 5 2 8 3" xfId="7603"/>
    <cellStyle name="Separador de milhares 3 2 5 2 8 3 2" xfId="19457"/>
    <cellStyle name="Separador de milhares 3 2 5 2 8 3 2 2" xfId="45938"/>
    <cellStyle name="Separador de milhares 3 2 5 2 8 3 3" xfId="13530"/>
    <cellStyle name="Separador de milhares 3 2 5 2 8 3 3 2" xfId="40030"/>
    <cellStyle name="Separador de milhares 3 2 5 2 8 3 4" xfId="34122"/>
    <cellStyle name="Separador de milhares 3 2 5 2 8 3 5" xfId="27588"/>
    <cellStyle name="Separador de milhares 3 2 5 2 8 4" xfId="16493"/>
    <cellStyle name="Separador de milhares 3 2 5 2 8 4 2" xfId="42984"/>
    <cellStyle name="Separador de milhares 3 2 5 2 8 4 3" xfId="24082"/>
    <cellStyle name="Separador de milhares 3 2 5 2 8 5" xfId="10566"/>
    <cellStyle name="Separador de milhares 3 2 5 2 8 5 2" xfId="37076"/>
    <cellStyle name="Separador de milhares 3 2 5 2 8 6" xfId="30616"/>
    <cellStyle name="Separador de milhares 3 2 5 2 8 7" xfId="22310"/>
    <cellStyle name="Separador de milhares 3 2 5 2 9" xfId="3967"/>
    <cellStyle name="Separador de milhares 3 2 5 2 9 2" xfId="6008"/>
    <cellStyle name="Separador de milhares 3 2 5 2 9 2 2" xfId="9220"/>
    <cellStyle name="Separador de milhares 3 2 5 2 9 2 2 2" xfId="21074"/>
    <cellStyle name="Separador de milhares 3 2 5 2 9 2 2 2 2" xfId="47553"/>
    <cellStyle name="Separador de milhares 3 2 5 2 9 2 2 3" xfId="15147"/>
    <cellStyle name="Separador de milhares 3 2 5 2 9 2 2 3 2" xfId="41645"/>
    <cellStyle name="Separador de milhares 3 2 5 2 9 2 2 4" xfId="35737"/>
    <cellStyle name="Separador de milhares 3 2 5 2 9 2 2 5" xfId="29203"/>
    <cellStyle name="Separador de milhares 3 2 5 2 9 2 3" xfId="18110"/>
    <cellStyle name="Separador de milhares 3 2 5 2 9 2 3 2" xfId="44599"/>
    <cellStyle name="Separador de milhares 3 2 5 2 9 2 4" xfId="12183"/>
    <cellStyle name="Separador de milhares 3 2 5 2 9 2 4 2" xfId="38691"/>
    <cellStyle name="Separador de milhares 3 2 5 2 9 2 5" xfId="32535"/>
    <cellStyle name="Separador de milhares 3 2 5 2 9 2 6" xfId="26001"/>
    <cellStyle name="Separador de milhares 3 2 5 2 9 3" xfId="7751"/>
    <cellStyle name="Separador de milhares 3 2 5 2 9 3 2" xfId="19605"/>
    <cellStyle name="Separador de milhares 3 2 5 2 9 3 2 2" xfId="46085"/>
    <cellStyle name="Separador de milhares 3 2 5 2 9 3 3" xfId="13678"/>
    <cellStyle name="Separador de milhares 3 2 5 2 9 3 3 2" xfId="40177"/>
    <cellStyle name="Separador de milhares 3 2 5 2 9 3 4" xfId="34269"/>
    <cellStyle name="Separador de milhares 3 2 5 2 9 3 5" xfId="27735"/>
    <cellStyle name="Separador de milhares 3 2 5 2 9 4" xfId="16641"/>
    <cellStyle name="Separador de milhares 3 2 5 2 9 4 2" xfId="43131"/>
    <cellStyle name="Separador de milhares 3 2 5 2 9 4 3" xfId="24229"/>
    <cellStyle name="Separador de milhares 3 2 5 2 9 5" xfId="10714"/>
    <cellStyle name="Separador de milhares 3 2 5 2 9 5 2" xfId="37223"/>
    <cellStyle name="Separador de milhares 3 2 5 2 9 6" xfId="30763"/>
    <cellStyle name="Separador de milhares 3 2 5 2 9 7" xfId="22457"/>
    <cellStyle name="Separador de milhares 3 2 5 3" xfId="412"/>
    <cellStyle name="Separador de milhares 3 2 5 3 10" xfId="4999"/>
    <cellStyle name="Separador de milhares 3 2 5 3 10 2" xfId="8218"/>
    <cellStyle name="Separador de milhares 3 2 5 3 10 2 2" xfId="20072"/>
    <cellStyle name="Separador de milhares 3 2 5 3 10 2 2 2" xfId="46551"/>
    <cellStyle name="Separador de milhares 3 2 5 3 10 2 3" xfId="14145"/>
    <cellStyle name="Separador de milhares 3 2 5 3 10 2 3 2" xfId="40643"/>
    <cellStyle name="Separador de milhares 3 2 5 3 10 2 4" xfId="34735"/>
    <cellStyle name="Separador de milhares 3 2 5 3 10 2 5" xfId="28201"/>
    <cellStyle name="Separador de milhares 3 2 5 3 10 3" xfId="17108"/>
    <cellStyle name="Separador de milhares 3 2 5 3 10 3 2" xfId="43597"/>
    <cellStyle name="Separador de milhares 3 2 5 3 10 4" xfId="11181"/>
    <cellStyle name="Separador de milhares 3 2 5 3 10 4 2" xfId="37689"/>
    <cellStyle name="Separador de milhares 3 2 5 3 10 5" xfId="31526"/>
    <cellStyle name="Separador de milhares 3 2 5 3 10 6" xfId="24992"/>
    <cellStyle name="Separador de milhares 3 2 5 3 11" xfId="6742"/>
    <cellStyle name="Separador de milhares 3 2 5 3 11 2" xfId="18596"/>
    <cellStyle name="Separador de milhares 3 2 5 3 11 2 2" xfId="45083"/>
    <cellStyle name="Separador de milhares 3 2 5 3 11 3" xfId="12669"/>
    <cellStyle name="Separador de milhares 3 2 5 3 11 3 2" xfId="39175"/>
    <cellStyle name="Separador de milhares 3 2 5 3 11 4" xfId="33267"/>
    <cellStyle name="Separador de milhares 3 2 5 3 11 5" xfId="26733"/>
    <cellStyle name="Separador de milhares 3 2 5 3 12" xfId="15632"/>
    <cellStyle name="Separador de milhares 3 2 5 3 12 2" xfId="42129"/>
    <cellStyle name="Separador de milhares 3 2 5 3 12 3" xfId="23220"/>
    <cellStyle name="Separador de milhares 3 2 5 3 13" xfId="9705"/>
    <cellStyle name="Separador de milhares 3 2 5 3 13 2" xfId="36221"/>
    <cellStyle name="Separador de milhares 3 2 5 3 14" xfId="29754"/>
    <cellStyle name="Separador de milhares 3 2 5 3 15" xfId="21472"/>
    <cellStyle name="Separador de milhares 3 2 5 3 2" xfId="675"/>
    <cellStyle name="Separador de milhares 3 2 5 3 2 2" xfId="5070"/>
    <cellStyle name="Separador de milhares 3 2 5 3 2 2 2" xfId="8285"/>
    <cellStyle name="Separador de milhares 3 2 5 3 2 2 2 2" xfId="20139"/>
    <cellStyle name="Separador de milhares 3 2 5 3 2 2 2 2 2" xfId="46618"/>
    <cellStyle name="Separador de milhares 3 2 5 3 2 2 2 3" xfId="14212"/>
    <cellStyle name="Separador de milhares 3 2 5 3 2 2 2 3 2" xfId="40710"/>
    <cellStyle name="Separador de milhares 3 2 5 3 2 2 2 4" xfId="34802"/>
    <cellStyle name="Separador de milhares 3 2 5 3 2 2 2 5" xfId="28268"/>
    <cellStyle name="Separador de milhares 3 2 5 3 2 2 3" xfId="17175"/>
    <cellStyle name="Separador de milhares 3 2 5 3 2 2 3 2" xfId="43664"/>
    <cellStyle name="Separador de milhares 3 2 5 3 2 2 4" xfId="11248"/>
    <cellStyle name="Separador de milhares 3 2 5 3 2 2 4 2" xfId="37756"/>
    <cellStyle name="Separador de milhares 3 2 5 3 2 2 5" xfId="31597"/>
    <cellStyle name="Separador de milhares 3 2 5 3 2 2 6" xfId="25063"/>
    <cellStyle name="Separador de milhares 3 2 5 3 2 3" xfId="6809"/>
    <cellStyle name="Separador de milhares 3 2 5 3 2 3 2" xfId="18663"/>
    <cellStyle name="Separador de milhares 3 2 5 3 2 3 2 2" xfId="45150"/>
    <cellStyle name="Separador de milhares 3 2 5 3 2 3 3" xfId="12736"/>
    <cellStyle name="Separador de milhares 3 2 5 3 2 3 3 2" xfId="39242"/>
    <cellStyle name="Separador de milhares 3 2 5 3 2 3 4" xfId="33334"/>
    <cellStyle name="Separador de milhares 3 2 5 3 2 3 5" xfId="26800"/>
    <cellStyle name="Separador de milhares 3 2 5 3 2 4" xfId="15699"/>
    <cellStyle name="Separador de milhares 3 2 5 3 2 4 2" xfId="42196"/>
    <cellStyle name="Separador de milhares 3 2 5 3 2 4 3" xfId="23291"/>
    <cellStyle name="Separador de milhares 3 2 5 3 2 5" xfId="9772"/>
    <cellStyle name="Separador de milhares 3 2 5 3 2 5 2" xfId="36288"/>
    <cellStyle name="Separador de milhares 3 2 5 3 2 6" xfId="29825"/>
    <cellStyle name="Separador de milhares 3 2 5 3 2 7" xfId="21520"/>
    <cellStyle name="Separador de milhares 3 2 5 3 3" xfId="973"/>
    <cellStyle name="Separador de milhares 3 2 5 3 3 2" xfId="5172"/>
    <cellStyle name="Separador de milhares 3 2 5 3 3 2 2" xfId="8387"/>
    <cellStyle name="Separador de milhares 3 2 5 3 3 2 2 2" xfId="20241"/>
    <cellStyle name="Separador de milhares 3 2 5 3 3 2 2 2 2" xfId="46720"/>
    <cellStyle name="Separador de milhares 3 2 5 3 3 2 2 3" xfId="14314"/>
    <cellStyle name="Separador de milhares 3 2 5 3 3 2 2 3 2" xfId="40812"/>
    <cellStyle name="Separador de milhares 3 2 5 3 3 2 2 4" xfId="34904"/>
    <cellStyle name="Separador de milhares 3 2 5 3 3 2 2 5" xfId="28370"/>
    <cellStyle name="Separador de milhares 3 2 5 3 3 2 3" xfId="17277"/>
    <cellStyle name="Separador de milhares 3 2 5 3 3 2 3 2" xfId="43766"/>
    <cellStyle name="Separador de milhares 3 2 5 3 3 2 4" xfId="11350"/>
    <cellStyle name="Separador de milhares 3 2 5 3 3 2 4 2" xfId="37858"/>
    <cellStyle name="Separador de milhares 3 2 5 3 3 2 5" xfId="31699"/>
    <cellStyle name="Separador de milhares 3 2 5 3 3 2 6" xfId="25165"/>
    <cellStyle name="Separador de milhares 3 2 5 3 3 3" xfId="6914"/>
    <cellStyle name="Separador de milhares 3 2 5 3 3 3 2" xfId="18768"/>
    <cellStyle name="Separador de milhares 3 2 5 3 3 3 2 2" xfId="45252"/>
    <cellStyle name="Separador de milhares 3 2 5 3 3 3 3" xfId="12841"/>
    <cellStyle name="Separador de milhares 3 2 5 3 3 3 3 2" xfId="39344"/>
    <cellStyle name="Separador de milhares 3 2 5 3 3 3 4" xfId="33436"/>
    <cellStyle name="Separador de milhares 3 2 5 3 3 3 5" xfId="26902"/>
    <cellStyle name="Separador de milhares 3 2 5 3 3 4" xfId="15804"/>
    <cellStyle name="Separador de milhares 3 2 5 3 3 4 2" xfId="42298"/>
    <cellStyle name="Separador de milhares 3 2 5 3 3 4 3" xfId="23393"/>
    <cellStyle name="Separador de milhares 3 2 5 3 3 5" xfId="9877"/>
    <cellStyle name="Separador de milhares 3 2 5 3 3 5 2" xfId="36390"/>
    <cellStyle name="Separador de milhares 3 2 5 3 3 6" xfId="29927"/>
    <cellStyle name="Separador de milhares 3 2 5 3 3 7" xfId="21621"/>
    <cellStyle name="Separador de milhares 3 2 5 3 4" xfId="1324"/>
    <cellStyle name="Separador de milhares 3 2 5 3 4 2" xfId="5270"/>
    <cellStyle name="Separador de milhares 3 2 5 3 4 2 2" xfId="8485"/>
    <cellStyle name="Separador de milhares 3 2 5 3 4 2 2 2" xfId="20339"/>
    <cellStyle name="Separador de milhares 3 2 5 3 4 2 2 2 2" xfId="46818"/>
    <cellStyle name="Separador de milhares 3 2 5 3 4 2 2 3" xfId="14412"/>
    <cellStyle name="Separador de milhares 3 2 5 3 4 2 2 3 2" xfId="40910"/>
    <cellStyle name="Separador de milhares 3 2 5 3 4 2 2 4" xfId="35002"/>
    <cellStyle name="Separador de milhares 3 2 5 3 4 2 2 5" xfId="28468"/>
    <cellStyle name="Separador de milhares 3 2 5 3 4 2 3" xfId="17375"/>
    <cellStyle name="Separador de milhares 3 2 5 3 4 2 3 2" xfId="43864"/>
    <cellStyle name="Separador de milhares 3 2 5 3 4 2 4" xfId="11448"/>
    <cellStyle name="Separador de milhares 3 2 5 3 4 2 4 2" xfId="37956"/>
    <cellStyle name="Separador de milhares 3 2 5 3 4 2 5" xfId="31797"/>
    <cellStyle name="Separador de milhares 3 2 5 3 4 2 6" xfId="25263"/>
    <cellStyle name="Separador de milhares 3 2 5 3 4 3" xfId="7012"/>
    <cellStyle name="Separador de milhares 3 2 5 3 4 3 2" xfId="18866"/>
    <cellStyle name="Separador de milhares 3 2 5 3 4 3 2 2" xfId="45350"/>
    <cellStyle name="Separador de milhares 3 2 5 3 4 3 3" xfId="12939"/>
    <cellStyle name="Separador de milhares 3 2 5 3 4 3 3 2" xfId="39442"/>
    <cellStyle name="Separador de milhares 3 2 5 3 4 3 4" xfId="33534"/>
    <cellStyle name="Separador de milhares 3 2 5 3 4 3 5" xfId="27000"/>
    <cellStyle name="Separador de milhares 3 2 5 3 4 4" xfId="15902"/>
    <cellStyle name="Separador de milhares 3 2 5 3 4 4 2" xfId="42396"/>
    <cellStyle name="Separador de milhares 3 2 5 3 4 4 3" xfId="23491"/>
    <cellStyle name="Separador de milhares 3 2 5 3 4 5" xfId="9975"/>
    <cellStyle name="Separador de milhares 3 2 5 3 4 5 2" xfId="36488"/>
    <cellStyle name="Separador de milhares 3 2 5 3 4 6" xfId="30025"/>
    <cellStyle name="Separador de milhares 3 2 5 3 4 7" xfId="21719"/>
    <cellStyle name="Separador de milhares 3 2 5 3 5" xfId="1759"/>
    <cellStyle name="Separador de milhares 3 2 5 3 5 2" xfId="5389"/>
    <cellStyle name="Separador de milhares 3 2 5 3 5 2 2" xfId="8604"/>
    <cellStyle name="Separador de milhares 3 2 5 3 5 2 2 2" xfId="20458"/>
    <cellStyle name="Separador de milhares 3 2 5 3 5 2 2 2 2" xfId="46937"/>
    <cellStyle name="Separador de milhares 3 2 5 3 5 2 2 3" xfId="14531"/>
    <cellStyle name="Separador de milhares 3 2 5 3 5 2 2 3 2" xfId="41029"/>
    <cellStyle name="Separador de milhares 3 2 5 3 5 2 2 4" xfId="35121"/>
    <cellStyle name="Separador de milhares 3 2 5 3 5 2 2 5" xfId="28587"/>
    <cellStyle name="Separador de milhares 3 2 5 3 5 2 3" xfId="17494"/>
    <cellStyle name="Separador de milhares 3 2 5 3 5 2 3 2" xfId="43983"/>
    <cellStyle name="Separador de milhares 3 2 5 3 5 2 4" xfId="11567"/>
    <cellStyle name="Separador de milhares 3 2 5 3 5 2 4 2" xfId="38075"/>
    <cellStyle name="Separador de milhares 3 2 5 3 5 2 5" xfId="31916"/>
    <cellStyle name="Separador de milhares 3 2 5 3 5 2 6" xfId="25382"/>
    <cellStyle name="Separador de milhares 3 2 5 3 5 3" xfId="7131"/>
    <cellStyle name="Separador de milhares 3 2 5 3 5 3 2" xfId="18985"/>
    <cellStyle name="Separador de milhares 3 2 5 3 5 3 2 2" xfId="45469"/>
    <cellStyle name="Separador de milhares 3 2 5 3 5 3 3" xfId="13058"/>
    <cellStyle name="Separador de milhares 3 2 5 3 5 3 3 2" xfId="39561"/>
    <cellStyle name="Separador de milhares 3 2 5 3 5 3 4" xfId="33653"/>
    <cellStyle name="Separador de milhares 3 2 5 3 5 3 5" xfId="27119"/>
    <cellStyle name="Separador de milhares 3 2 5 3 5 4" xfId="16021"/>
    <cellStyle name="Separador de milhares 3 2 5 3 5 4 2" xfId="42515"/>
    <cellStyle name="Separador de milhares 3 2 5 3 5 4 3" xfId="23610"/>
    <cellStyle name="Separador de milhares 3 2 5 3 5 5" xfId="10094"/>
    <cellStyle name="Separador de milhares 3 2 5 3 5 5 2" xfId="36607"/>
    <cellStyle name="Separador de milhares 3 2 5 3 5 6" xfId="30144"/>
    <cellStyle name="Separador de milhares 3 2 5 3 5 7" xfId="21838"/>
    <cellStyle name="Separador de milhares 3 2 5 3 6" xfId="2292"/>
    <cellStyle name="Separador de milhares 3 2 5 3 6 2" xfId="5539"/>
    <cellStyle name="Separador de milhares 3 2 5 3 6 2 2" xfId="8751"/>
    <cellStyle name="Separador de milhares 3 2 5 3 6 2 2 2" xfId="20605"/>
    <cellStyle name="Separador de milhares 3 2 5 3 6 2 2 2 2" xfId="47084"/>
    <cellStyle name="Separador de milhares 3 2 5 3 6 2 2 3" xfId="14678"/>
    <cellStyle name="Separador de milhares 3 2 5 3 6 2 2 3 2" xfId="41176"/>
    <cellStyle name="Separador de milhares 3 2 5 3 6 2 2 4" xfId="35268"/>
    <cellStyle name="Separador de milhares 3 2 5 3 6 2 2 5" xfId="28734"/>
    <cellStyle name="Separador de milhares 3 2 5 3 6 2 3" xfId="17641"/>
    <cellStyle name="Separador de milhares 3 2 5 3 6 2 3 2" xfId="44130"/>
    <cellStyle name="Separador de milhares 3 2 5 3 6 2 4" xfId="11714"/>
    <cellStyle name="Separador de milhares 3 2 5 3 6 2 4 2" xfId="38222"/>
    <cellStyle name="Separador de milhares 3 2 5 3 6 2 5" xfId="32066"/>
    <cellStyle name="Separador de milhares 3 2 5 3 6 2 6" xfId="25532"/>
    <cellStyle name="Separador de milhares 3 2 5 3 6 3" xfId="7279"/>
    <cellStyle name="Separador de milhares 3 2 5 3 6 3 2" xfId="19133"/>
    <cellStyle name="Separador de milhares 3 2 5 3 6 3 2 2" xfId="45616"/>
    <cellStyle name="Separador de milhares 3 2 5 3 6 3 3" xfId="13206"/>
    <cellStyle name="Separador de milhares 3 2 5 3 6 3 3 2" xfId="39708"/>
    <cellStyle name="Separador de milhares 3 2 5 3 6 3 4" xfId="33800"/>
    <cellStyle name="Separador de milhares 3 2 5 3 6 3 5" xfId="27266"/>
    <cellStyle name="Separador de milhares 3 2 5 3 6 4" xfId="16169"/>
    <cellStyle name="Separador de milhares 3 2 5 3 6 4 2" xfId="42662"/>
    <cellStyle name="Separador de milhares 3 2 5 3 6 4 3" xfId="23760"/>
    <cellStyle name="Separador de milhares 3 2 5 3 6 5" xfId="10242"/>
    <cellStyle name="Separador de milhares 3 2 5 3 6 5 2" xfId="36754"/>
    <cellStyle name="Separador de milhares 3 2 5 3 6 6" xfId="30294"/>
    <cellStyle name="Separador de milhares 3 2 5 3 6 7" xfId="21988"/>
    <cellStyle name="Separador de milhares 3 2 5 3 7" xfId="2820"/>
    <cellStyle name="Separador de milhares 3 2 5 3 7 2" xfId="5686"/>
    <cellStyle name="Separador de milhares 3 2 5 3 7 2 2" xfId="8898"/>
    <cellStyle name="Separador de milhares 3 2 5 3 7 2 2 2" xfId="20752"/>
    <cellStyle name="Separador de milhares 3 2 5 3 7 2 2 2 2" xfId="47231"/>
    <cellStyle name="Separador de milhares 3 2 5 3 7 2 2 3" xfId="14825"/>
    <cellStyle name="Separador de milhares 3 2 5 3 7 2 2 3 2" xfId="41323"/>
    <cellStyle name="Separador de milhares 3 2 5 3 7 2 2 4" xfId="35415"/>
    <cellStyle name="Separador de milhares 3 2 5 3 7 2 2 5" xfId="28881"/>
    <cellStyle name="Separador de milhares 3 2 5 3 7 2 3" xfId="17788"/>
    <cellStyle name="Separador de milhares 3 2 5 3 7 2 3 2" xfId="44277"/>
    <cellStyle name="Separador de milhares 3 2 5 3 7 2 4" xfId="11861"/>
    <cellStyle name="Separador de milhares 3 2 5 3 7 2 4 2" xfId="38369"/>
    <cellStyle name="Separador de milhares 3 2 5 3 7 2 5" xfId="32213"/>
    <cellStyle name="Separador de milhares 3 2 5 3 7 2 6" xfId="25679"/>
    <cellStyle name="Separador de milhares 3 2 5 3 7 3" xfId="7427"/>
    <cellStyle name="Separador de milhares 3 2 5 3 7 3 2" xfId="19281"/>
    <cellStyle name="Separador de milhares 3 2 5 3 7 3 2 2" xfId="45763"/>
    <cellStyle name="Separador de milhares 3 2 5 3 7 3 3" xfId="13354"/>
    <cellStyle name="Separador de milhares 3 2 5 3 7 3 3 2" xfId="39855"/>
    <cellStyle name="Separador de milhares 3 2 5 3 7 3 4" xfId="33947"/>
    <cellStyle name="Separador de milhares 3 2 5 3 7 3 5" xfId="27413"/>
    <cellStyle name="Separador de milhares 3 2 5 3 7 4" xfId="16317"/>
    <cellStyle name="Separador de milhares 3 2 5 3 7 4 2" xfId="42809"/>
    <cellStyle name="Separador de milhares 3 2 5 3 7 4 3" xfId="23907"/>
    <cellStyle name="Separador de milhares 3 2 5 3 7 5" xfId="10390"/>
    <cellStyle name="Separador de milhares 3 2 5 3 7 5 2" xfId="36901"/>
    <cellStyle name="Separador de milhares 3 2 5 3 7 6" xfId="30441"/>
    <cellStyle name="Separador de milhares 3 2 5 3 7 7" xfId="22135"/>
    <cellStyle name="Separador de milhares 3 2 5 3 8" xfId="3348"/>
    <cellStyle name="Separador de milhares 3 2 5 3 8 2" xfId="5833"/>
    <cellStyle name="Separador de milhares 3 2 5 3 8 2 2" xfId="9045"/>
    <cellStyle name="Separador de milhares 3 2 5 3 8 2 2 2" xfId="20899"/>
    <cellStyle name="Separador de milhares 3 2 5 3 8 2 2 2 2" xfId="47378"/>
    <cellStyle name="Separador de milhares 3 2 5 3 8 2 2 3" xfId="14972"/>
    <cellStyle name="Separador de milhares 3 2 5 3 8 2 2 3 2" xfId="41470"/>
    <cellStyle name="Separador de milhares 3 2 5 3 8 2 2 4" xfId="35562"/>
    <cellStyle name="Separador de milhares 3 2 5 3 8 2 2 5" xfId="29028"/>
    <cellStyle name="Separador de milhares 3 2 5 3 8 2 3" xfId="17935"/>
    <cellStyle name="Separador de milhares 3 2 5 3 8 2 3 2" xfId="44424"/>
    <cellStyle name="Separador de milhares 3 2 5 3 8 2 4" xfId="12008"/>
    <cellStyle name="Separador de milhares 3 2 5 3 8 2 4 2" xfId="38516"/>
    <cellStyle name="Separador de milhares 3 2 5 3 8 2 5" xfId="32360"/>
    <cellStyle name="Separador de milhares 3 2 5 3 8 2 6" xfId="25826"/>
    <cellStyle name="Separador de milhares 3 2 5 3 8 3" xfId="7575"/>
    <cellStyle name="Separador de milhares 3 2 5 3 8 3 2" xfId="19429"/>
    <cellStyle name="Separador de milhares 3 2 5 3 8 3 2 2" xfId="45910"/>
    <cellStyle name="Separador de milhares 3 2 5 3 8 3 3" xfId="13502"/>
    <cellStyle name="Separador de milhares 3 2 5 3 8 3 3 2" xfId="40002"/>
    <cellStyle name="Separador de milhares 3 2 5 3 8 3 4" xfId="34094"/>
    <cellStyle name="Separador de milhares 3 2 5 3 8 3 5" xfId="27560"/>
    <cellStyle name="Separador de milhares 3 2 5 3 8 4" xfId="16465"/>
    <cellStyle name="Separador de milhares 3 2 5 3 8 4 2" xfId="42956"/>
    <cellStyle name="Separador de milhares 3 2 5 3 8 4 3" xfId="24054"/>
    <cellStyle name="Separador de milhares 3 2 5 3 8 5" xfId="10538"/>
    <cellStyle name="Separador de milhares 3 2 5 3 8 5 2" xfId="37048"/>
    <cellStyle name="Separador de milhares 3 2 5 3 8 6" xfId="30588"/>
    <cellStyle name="Separador de milhares 3 2 5 3 8 7" xfId="22282"/>
    <cellStyle name="Separador de milhares 3 2 5 3 9" xfId="3876"/>
    <cellStyle name="Separador de milhares 3 2 5 3 9 2" xfId="5980"/>
    <cellStyle name="Separador de milhares 3 2 5 3 9 2 2" xfId="9192"/>
    <cellStyle name="Separador de milhares 3 2 5 3 9 2 2 2" xfId="21046"/>
    <cellStyle name="Separador de milhares 3 2 5 3 9 2 2 2 2" xfId="47525"/>
    <cellStyle name="Separador de milhares 3 2 5 3 9 2 2 3" xfId="15119"/>
    <cellStyle name="Separador de milhares 3 2 5 3 9 2 2 3 2" xfId="41617"/>
    <cellStyle name="Separador de milhares 3 2 5 3 9 2 2 4" xfId="35709"/>
    <cellStyle name="Separador de milhares 3 2 5 3 9 2 2 5" xfId="29175"/>
    <cellStyle name="Separador de milhares 3 2 5 3 9 2 3" xfId="18082"/>
    <cellStyle name="Separador de milhares 3 2 5 3 9 2 3 2" xfId="44571"/>
    <cellStyle name="Separador de milhares 3 2 5 3 9 2 4" xfId="12155"/>
    <cellStyle name="Separador de milhares 3 2 5 3 9 2 4 2" xfId="38663"/>
    <cellStyle name="Separador de milhares 3 2 5 3 9 2 5" xfId="32507"/>
    <cellStyle name="Separador de milhares 3 2 5 3 9 2 6" xfId="25973"/>
    <cellStyle name="Separador de milhares 3 2 5 3 9 3" xfId="7723"/>
    <cellStyle name="Separador de milhares 3 2 5 3 9 3 2" xfId="19577"/>
    <cellStyle name="Separador de milhares 3 2 5 3 9 3 2 2" xfId="46057"/>
    <cellStyle name="Separador de milhares 3 2 5 3 9 3 3" xfId="13650"/>
    <cellStyle name="Separador de milhares 3 2 5 3 9 3 3 2" xfId="40149"/>
    <cellStyle name="Separador de milhares 3 2 5 3 9 3 4" xfId="34241"/>
    <cellStyle name="Separador de milhares 3 2 5 3 9 3 5" xfId="27707"/>
    <cellStyle name="Separador de milhares 3 2 5 3 9 4" xfId="16613"/>
    <cellStyle name="Separador de milhares 3 2 5 3 9 4 2" xfId="43103"/>
    <cellStyle name="Separador de milhares 3 2 5 3 9 4 3" xfId="24201"/>
    <cellStyle name="Separador de milhares 3 2 5 3 9 5" xfId="10686"/>
    <cellStyle name="Separador de milhares 3 2 5 3 9 5 2" xfId="37195"/>
    <cellStyle name="Separador de milhares 3 2 5 3 9 6" xfId="30735"/>
    <cellStyle name="Separador de milhares 3 2 5 3 9 7" xfId="22429"/>
    <cellStyle name="Separador de milhares 3 2 5 4" xfId="505"/>
    <cellStyle name="Separador de milhares 3 2 5 4 10" xfId="5027"/>
    <cellStyle name="Separador de milhares 3 2 5 4 10 2" xfId="8243"/>
    <cellStyle name="Separador de milhares 3 2 5 4 10 2 2" xfId="20097"/>
    <cellStyle name="Separador de milhares 3 2 5 4 10 2 2 2" xfId="46576"/>
    <cellStyle name="Separador de milhares 3 2 5 4 10 2 3" xfId="14170"/>
    <cellStyle name="Separador de milhares 3 2 5 4 10 2 3 2" xfId="40668"/>
    <cellStyle name="Separador de milhares 3 2 5 4 10 2 4" xfId="34760"/>
    <cellStyle name="Separador de milhares 3 2 5 4 10 2 5" xfId="28226"/>
    <cellStyle name="Separador de milhares 3 2 5 4 10 3" xfId="17133"/>
    <cellStyle name="Separador de milhares 3 2 5 4 10 3 2" xfId="43622"/>
    <cellStyle name="Separador de milhares 3 2 5 4 10 4" xfId="11206"/>
    <cellStyle name="Separador de milhares 3 2 5 4 10 4 2" xfId="37714"/>
    <cellStyle name="Separador de milhares 3 2 5 4 10 5" xfId="31554"/>
    <cellStyle name="Separador de milhares 3 2 5 4 10 6" xfId="25020"/>
    <cellStyle name="Separador de milhares 3 2 5 4 11" xfId="6767"/>
    <cellStyle name="Separador de milhares 3 2 5 4 11 2" xfId="18621"/>
    <cellStyle name="Separador de milhares 3 2 5 4 11 2 2" xfId="45108"/>
    <cellStyle name="Separador de milhares 3 2 5 4 11 3" xfId="12694"/>
    <cellStyle name="Separador de milhares 3 2 5 4 11 3 2" xfId="39200"/>
    <cellStyle name="Separador de milhares 3 2 5 4 11 4" xfId="33292"/>
    <cellStyle name="Separador de milhares 3 2 5 4 11 5" xfId="26758"/>
    <cellStyle name="Separador de milhares 3 2 5 4 12" xfId="15657"/>
    <cellStyle name="Separador de milhares 3 2 5 4 12 2" xfId="42154"/>
    <cellStyle name="Separador de milhares 3 2 5 4 12 3" xfId="23248"/>
    <cellStyle name="Separador de milhares 3 2 5 4 13" xfId="9730"/>
    <cellStyle name="Separador de milhares 3 2 5 4 13 2" xfId="36246"/>
    <cellStyle name="Separador de milhares 3 2 5 4 14" xfId="29782"/>
    <cellStyle name="Separador de milhares 3 2 5 4 2" xfId="1151"/>
    <cellStyle name="Separador de milhares 3 2 5 4 2 2" xfId="5224"/>
    <cellStyle name="Separador de milhares 3 2 5 4 2 2 2" xfId="8439"/>
    <cellStyle name="Separador de milhares 3 2 5 4 2 2 2 2" xfId="20293"/>
    <cellStyle name="Separador de milhares 3 2 5 4 2 2 2 2 2" xfId="46772"/>
    <cellStyle name="Separador de milhares 3 2 5 4 2 2 2 3" xfId="14366"/>
    <cellStyle name="Separador de milhares 3 2 5 4 2 2 2 3 2" xfId="40864"/>
    <cellStyle name="Separador de milhares 3 2 5 4 2 2 2 4" xfId="34956"/>
    <cellStyle name="Separador de milhares 3 2 5 4 2 2 2 5" xfId="28422"/>
    <cellStyle name="Separador de milhares 3 2 5 4 2 2 3" xfId="17329"/>
    <cellStyle name="Separador de milhares 3 2 5 4 2 2 3 2" xfId="43818"/>
    <cellStyle name="Separador de milhares 3 2 5 4 2 2 4" xfId="11402"/>
    <cellStyle name="Separador de milhares 3 2 5 4 2 2 4 2" xfId="37910"/>
    <cellStyle name="Separador de milhares 3 2 5 4 2 2 5" xfId="31751"/>
    <cellStyle name="Separador de milhares 3 2 5 4 2 2 6" xfId="25217"/>
    <cellStyle name="Separador de milhares 3 2 5 4 2 3" xfId="6966"/>
    <cellStyle name="Separador de milhares 3 2 5 4 2 3 2" xfId="18820"/>
    <cellStyle name="Separador de milhares 3 2 5 4 2 3 2 2" xfId="45304"/>
    <cellStyle name="Separador de milhares 3 2 5 4 2 3 3" xfId="12893"/>
    <cellStyle name="Separador de milhares 3 2 5 4 2 3 3 2" xfId="39396"/>
    <cellStyle name="Separador de milhares 3 2 5 4 2 3 4" xfId="33488"/>
    <cellStyle name="Separador de milhares 3 2 5 4 2 3 5" xfId="26954"/>
    <cellStyle name="Separador de milhares 3 2 5 4 2 4" xfId="15856"/>
    <cellStyle name="Separador de milhares 3 2 5 4 2 4 2" xfId="42350"/>
    <cellStyle name="Separador de milhares 3 2 5 4 2 4 3" xfId="23445"/>
    <cellStyle name="Separador de milhares 3 2 5 4 2 5" xfId="9929"/>
    <cellStyle name="Separador de milhares 3 2 5 4 2 5 2" xfId="36442"/>
    <cellStyle name="Separador de milhares 3 2 5 4 2 6" xfId="29979"/>
    <cellStyle name="Separador de milhares 3 2 5 4 2 7" xfId="21673"/>
    <cellStyle name="Separador de milhares 3 2 5 4 3" xfId="1502"/>
    <cellStyle name="Separador de milhares 3 2 5 4 3 2" xfId="5322"/>
    <cellStyle name="Separador de milhares 3 2 5 4 3 2 2" xfId="8537"/>
    <cellStyle name="Separador de milhares 3 2 5 4 3 2 2 2" xfId="20391"/>
    <cellStyle name="Separador de milhares 3 2 5 4 3 2 2 2 2" xfId="46870"/>
    <cellStyle name="Separador de milhares 3 2 5 4 3 2 2 3" xfId="14464"/>
    <cellStyle name="Separador de milhares 3 2 5 4 3 2 2 3 2" xfId="40962"/>
    <cellStyle name="Separador de milhares 3 2 5 4 3 2 2 4" xfId="35054"/>
    <cellStyle name="Separador de milhares 3 2 5 4 3 2 2 5" xfId="28520"/>
    <cellStyle name="Separador de milhares 3 2 5 4 3 2 3" xfId="17427"/>
    <cellStyle name="Separador de milhares 3 2 5 4 3 2 3 2" xfId="43916"/>
    <cellStyle name="Separador de milhares 3 2 5 4 3 2 4" xfId="11500"/>
    <cellStyle name="Separador de milhares 3 2 5 4 3 2 4 2" xfId="38008"/>
    <cellStyle name="Separador de milhares 3 2 5 4 3 2 5" xfId="31849"/>
    <cellStyle name="Separador de milhares 3 2 5 4 3 2 6" xfId="25315"/>
    <cellStyle name="Separador de milhares 3 2 5 4 3 3" xfId="7064"/>
    <cellStyle name="Separador de milhares 3 2 5 4 3 3 2" xfId="18918"/>
    <cellStyle name="Separador de milhares 3 2 5 4 3 3 2 2" xfId="45402"/>
    <cellStyle name="Separador de milhares 3 2 5 4 3 3 3" xfId="12991"/>
    <cellStyle name="Separador de milhares 3 2 5 4 3 3 3 2" xfId="39494"/>
    <cellStyle name="Separador de milhares 3 2 5 4 3 3 4" xfId="33586"/>
    <cellStyle name="Separador de milhares 3 2 5 4 3 3 5" xfId="27052"/>
    <cellStyle name="Separador de milhares 3 2 5 4 3 4" xfId="15954"/>
    <cellStyle name="Separador de milhares 3 2 5 4 3 4 2" xfId="42448"/>
    <cellStyle name="Separador de milhares 3 2 5 4 3 4 3" xfId="23543"/>
    <cellStyle name="Separador de milhares 3 2 5 4 3 5" xfId="10027"/>
    <cellStyle name="Separador de milhares 3 2 5 4 3 5 2" xfId="36540"/>
    <cellStyle name="Separador de milhares 3 2 5 4 3 6" xfId="30077"/>
    <cellStyle name="Separador de milhares 3 2 5 4 3 7" xfId="21771"/>
    <cellStyle name="Separador de milhares 3 2 5 4 4" xfId="1937"/>
    <cellStyle name="Separador de milhares 3 2 5 4 4 2" xfId="5441"/>
    <cellStyle name="Separador de milhares 3 2 5 4 4 2 2" xfId="8656"/>
    <cellStyle name="Separador de milhares 3 2 5 4 4 2 2 2" xfId="20510"/>
    <cellStyle name="Separador de milhares 3 2 5 4 4 2 2 2 2" xfId="46989"/>
    <cellStyle name="Separador de milhares 3 2 5 4 4 2 2 3" xfId="14583"/>
    <cellStyle name="Separador de milhares 3 2 5 4 4 2 2 3 2" xfId="41081"/>
    <cellStyle name="Separador de milhares 3 2 5 4 4 2 2 4" xfId="35173"/>
    <cellStyle name="Separador de milhares 3 2 5 4 4 2 2 5" xfId="28639"/>
    <cellStyle name="Separador de milhares 3 2 5 4 4 2 3" xfId="17546"/>
    <cellStyle name="Separador de milhares 3 2 5 4 4 2 3 2" xfId="44035"/>
    <cellStyle name="Separador de milhares 3 2 5 4 4 2 4" xfId="11619"/>
    <cellStyle name="Separador de milhares 3 2 5 4 4 2 4 2" xfId="38127"/>
    <cellStyle name="Separador de milhares 3 2 5 4 4 2 5" xfId="31968"/>
    <cellStyle name="Separador de milhares 3 2 5 4 4 2 6" xfId="25434"/>
    <cellStyle name="Separador de milhares 3 2 5 4 4 3" xfId="7183"/>
    <cellStyle name="Separador de milhares 3 2 5 4 4 3 2" xfId="19037"/>
    <cellStyle name="Separador de milhares 3 2 5 4 4 3 2 2" xfId="45521"/>
    <cellStyle name="Separador de milhares 3 2 5 4 4 3 3" xfId="13110"/>
    <cellStyle name="Separador de milhares 3 2 5 4 4 3 3 2" xfId="39613"/>
    <cellStyle name="Separador de milhares 3 2 5 4 4 3 4" xfId="33705"/>
    <cellStyle name="Separador de milhares 3 2 5 4 4 3 5" xfId="27171"/>
    <cellStyle name="Separador de milhares 3 2 5 4 4 4" xfId="16073"/>
    <cellStyle name="Separador de milhares 3 2 5 4 4 4 2" xfId="42567"/>
    <cellStyle name="Separador de milhares 3 2 5 4 4 4 3" xfId="23662"/>
    <cellStyle name="Separador de milhares 3 2 5 4 4 5" xfId="10146"/>
    <cellStyle name="Separador de milhares 3 2 5 4 4 5 2" xfId="36659"/>
    <cellStyle name="Separador de milhares 3 2 5 4 4 6" xfId="30196"/>
    <cellStyle name="Separador de milhares 3 2 5 4 4 7" xfId="21890"/>
    <cellStyle name="Separador de milhares 3 2 5 4 5" xfId="2470"/>
    <cellStyle name="Separador de milhares 3 2 5 4 5 2" xfId="5591"/>
    <cellStyle name="Separador de milhares 3 2 5 4 5 2 2" xfId="8803"/>
    <cellStyle name="Separador de milhares 3 2 5 4 5 2 2 2" xfId="20657"/>
    <cellStyle name="Separador de milhares 3 2 5 4 5 2 2 2 2" xfId="47136"/>
    <cellStyle name="Separador de milhares 3 2 5 4 5 2 2 3" xfId="14730"/>
    <cellStyle name="Separador de milhares 3 2 5 4 5 2 2 3 2" xfId="41228"/>
    <cellStyle name="Separador de milhares 3 2 5 4 5 2 2 4" xfId="35320"/>
    <cellStyle name="Separador de milhares 3 2 5 4 5 2 2 5" xfId="28786"/>
    <cellStyle name="Separador de milhares 3 2 5 4 5 2 3" xfId="17693"/>
    <cellStyle name="Separador de milhares 3 2 5 4 5 2 3 2" xfId="44182"/>
    <cellStyle name="Separador de milhares 3 2 5 4 5 2 4" xfId="11766"/>
    <cellStyle name="Separador de milhares 3 2 5 4 5 2 4 2" xfId="38274"/>
    <cellStyle name="Separador de milhares 3 2 5 4 5 2 5" xfId="32118"/>
    <cellStyle name="Separador de milhares 3 2 5 4 5 2 6" xfId="25584"/>
    <cellStyle name="Separador de milhares 3 2 5 4 5 3" xfId="7331"/>
    <cellStyle name="Separador de milhares 3 2 5 4 5 3 2" xfId="19185"/>
    <cellStyle name="Separador de milhares 3 2 5 4 5 3 2 2" xfId="45668"/>
    <cellStyle name="Separador de milhares 3 2 5 4 5 3 3" xfId="13258"/>
    <cellStyle name="Separador de milhares 3 2 5 4 5 3 3 2" xfId="39760"/>
    <cellStyle name="Separador de milhares 3 2 5 4 5 3 4" xfId="33852"/>
    <cellStyle name="Separador de milhares 3 2 5 4 5 3 5" xfId="27318"/>
    <cellStyle name="Separador de milhares 3 2 5 4 5 4" xfId="16221"/>
    <cellStyle name="Separador de milhares 3 2 5 4 5 4 2" xfId="42714"/>
    <cellStyle name="Separador de milhares 3 2 5 4 5 4 3" xfId="23812"/>
    <cellStyle name="Separador de milhares 3 2 5 4 5 5" xfId="10294"/>
    <cellStyle name="Separador de milhares 3 2 5 4 5 5 2" xfId="36806"/>
    <cellStyle name="Separador de milhares 3 2 5 4 5 6" xfId="30346"/>
    <cellStyle name="Separador de milhares 3 2 5 4 5 7" xfId="22040"/>
    <cellStyle name="Separador de milhares 3 2 5 4 6" xfId="2998"/>
    <cellStyle name="Separador de milhares 3 2 5 4 6 2" xfId="5738"/>
    <cellStyle name="Separador de milhares 3 2 5 4 6 2 2" xfId="8950"/>
    <cellStyle name="Separador de milhares 3 2 5 4 6 2 2 2" xfId="20804"/>
    <cellStyle name="Separador de milhares 3 2 5 4 6 2 2 2 2" xfId="47283"/>
    <cellStyle name="Separador de milhares 3 2 5 4 6 2 2 3" xfId="14877"/>
    <cellStyle name="Separador de milhares 3 2 5 4 6 2 2 3 2" xfId="41375"/>
    <cellStyle name="Separador de milhares 3 2 5 4 6 2 2 4" xfId="35467"/>
    <cellStyle name="Separador de milhares 3 2 5 4 6 2 2 5" xfId="28933"/>
    <cellStyle name="Separador de milhares 3 2 5 4 6 2 3" xfId="17840"/>
    <cellStyle name="Separador de milhares 3 2 5 4 6 2 3 2" xfId="44329"/>
    <cellStyle name="Separador de milhares 3 2 5 4 6 2 4" xfId="11913"/>
    <cellStyle name="Separador de milhares 3 2 5 4 6 2 4 2" xfId="38421"/>
    <cellStyle name="Separador de milhares 3 2 5 4 6 2 5" xfId="32265"/>
    <cellStyle name="Separador de milhares 3 2 5 4 6 2 6" xfId="25731"/>
    <cellStyle name="Separador de milhares 3 2 5 4 6 3" xfId="7479"/>
    <cellStyle name="Separador de milhares 3 2 5 4 6 3 2" xfId="19333"/>
    <cellStyle name="Separador de milhares 3 2 5 4 6 3 2 2" xfId="45815"/>
    <cellStyle name="Separador de milhares 3 2 5 4 6 3 3" xfId="13406"/>
    <cellStyle name="Separador de milhares 3 2 5 4 6 3 3 2" xfId="39907"/>
    <cellStyle name="Separador de milhares 3 2 5 4 6 3 4" xfId="33999"/>
    <cellStyle name="Separador de milhares 3 2 5 4 6 3 5" xfId="27465"/>
    <cellStyle name="Separador de milhares 3 2 5 4 6 4" xfId="16369"/>
    <cellStyle name="Separador de milhares 3 2 5 4 6 4 2" xfId="42861"/>
    <cellStyle name="Separador de milhares 3 2 5 4 6 4 3" xfId="23959"/>
    <cellStyle name="Separador de milhares 3 2 5 4 6 5" xfId="10442"/>
    <cellStyle name="Separador de milhares 3 2 5 4 6 5 2" xfId="36953"/>
    <cellStyle name="Separador de milhares 3 2 5 4 6 6" xfId="30493"/>
    <cellStyle name="Separador de milhares 3 2 5 4 6 7" xfId="22187"/>
    <cellStyle name="Separador de milhares 3 2 5 4 7" xfId="3526"/>
    <cellStyle name="Separador de milhares 3 2 5 4 7 2" xfId="5885"/>
    <cellStyle name="Separador de milhares 3 2 5 4 7 2 2" xfId="9097"/>
    <cellStyle name="Separador de milhares 3 2 5 4 7 2 2 2" xfId="20951"/>
    <cellStyle name="Separador de milhares 3 2 5 4 7 2 2 2 2" xfId="47430"/>
    <cellStyle name="Separador de milhares 3 2 5 4 7 2 2 3" xfId="15024"/>
    <cellStyle name="Separador de milhares 3 2 5 4 7 2 2 3 2" xfId="41522"/>
    <cellStyle name="Separador de milhares 3 2 5 4 7 2 2 4" xfId="35614"/>
    <cellStyle name="Separador de milhares 3 2 5 4 7 2 2 5" xfId="29080"/>
    <cellStyle name="Separador de milhares 3 2 5 4 7 2 3" xfId="17987"/>
    <cellStyle name="Separador de milhares 3 2 5 4 7 2 3 2" xfId="44476"/>
    <cellStyle name="Separador de milhares 3 2 5 4 7 2 4" xfId="12060"/>
    <cellStyle name="Separador de milhares 3 2 5 4 7 2 4 2" xfId="38568"/>
    <cellStyle name="Separador de milhares 3 2 5 4 7 2 5" xfId="32412"/>
    <cellStyle name="Separador de milhares 3 2 5 4 7 2 6" xfId="25878"/>
    <cellStyle name="Separador de milhares 3 2 5 4 7 3" xfId="7627"/>
    <cellStyle name="Separador de milhares 3 2 5 4 7 3 2" xfId="19481"/>
    <cellStyle name="Separador de milhares 3 2 5 4 7 3 2 2" xfId="45962"/>
    <cellStyle name="Separador de milhares 3 2 5 4 7 3 3" xfId="13554"/>
    <cellStyle name="Separador de milhares 3 2 5 4 7 3 3 2" xfId="40054"/>
    <cellStyle name="Separador de milhares 3 2 5 4 7 3 4" xfId="34146"/>
    <cellStyle name="Separador de milhares 3 2 5 4 7 3 5" xfId="27612"/>
    <cellStyle name="Separador de milhares 3 2 5 4 7 4" xfId="16517"/>
    <cellStyle name="Separador de milhares 3 2 5 4 7 4 2" xfId="43008"/>
    <cellStyle name="Separador de milhares 3 2 5 4 7 4 3" xfId="24106"/>
    <cellStyle name="Separador de milhares 3 2 5 4 7 5" xfId="10590"/>
    <cellStyle name="Separador de milhares 3 2 5 4 7 5 2" xfId="37100"/>
    <cellStyle name="Separador de milhares 3 2 5 4 7 6" xfId="30640"/>
    <cellStyle name="Separador de milhares 3 2 5 4 7 7" xfId="22334"/>
    <cellStyle name="Separador de milhares 3 2 5 4 8" xfId="4054"/>
    <cellStyle name="Separador de milhares 3 2 5 4 8 2" xfId="6032"/>
    <cellStyle name="Separador de milhares 3 2 5 4 8 2 2" xfId="9244"/>
    <cellStyle name="Separador de milhares 3 2 5 4 8 2 2 2" xfId="21098"/>
    <cellStyle name="Separador de milhares 3 2 5 4 8 2 2 2 2" xfId="47577"/>
    <cellStyle name="Separador de milhares 3 2 5 4 8 2 2 3" xfId="15171"/>
    <cellStyle name="Separador de milhares 3 2 5 4 8 2 2 3 2" xfId="41669"/>
    <cellStyle name="Separador de milhares 3 2 5 4 8 2 2 4" xfId="35761"/>
    <cellStyle name="Separador de milhares 3 2 5 4 8 2 2 5" xfId="29227"/>
    <cellStyle name="Separador de milhares 3 2 5 4 8 2 3" xfId="18134"/>
    <cellStyle name="Separador de milhares 3 2 5 4 8 2 3 2" xfId="44623"/>
    <cellStyle name="Separador de milhares 3 2 5 4 8 2 4" xfId="12207"/>
    <cellStyle name="Separador de milhares 3 2 5 4 8 2 4 2" xfId="38715"/>
    <cellStyle name="Separador de milhares 3 2 5 4 8 2 5" xfId="32559"/>
    <cellStyle name="Separador de milhares 3 2 5 4 8 2 6" xfId="26025"/>
    <cellStyle name="Separador de milhares 3 2 5 4 8 3" xfId="7775"/>
    <cellStyle name="Separador de milhares 3 2 5 4 8 3 2" xfId="19629"/>
    <cellStyle name="Separador de milhares 3 2 5 4 8 3 2 2" xfId="46109"/>
    <cellStyle name="Separador de milhares 3 2 5 4 8 3 3" xfId="13702"/>
    <cellStyle name="Separador de milhares 3 2 5 4 8 3 3 2" xfId="40201"/>
    <cellStyle name="Separador de milhares 3 2 5 4 8 3 4" xfId="34293"/>
    <cellStyle name="Separador de milhares 3 2 5 4 8 3 5" xfId="27759"/>
    <cellStyle name="Separador de milhares 3 2 5 4 8 4" xfId="16665"/>
    <cellStyle name="Separador de milhares 3 2 5 4 8 4 2" xfId="43155"/>
    <cellStyle name="Separador de milhares 3 2 5 4 8 4 3" xfId="24253"/>
    <cellStyle name="Separador de milhares 3 2 5 4 8 5" xfId="10738"/>
    <cellStyle name="Separador de milhares 3 2 5 4 8 5 2" xfId="37247"/>
    <cellStyle name="Separador de milhares 3 2 5 4 8 6" xfId="30787"/>
    <cellStyle name="Separador de milhares 3 2 5 4 8 7" xfId="22481"/>
    <cellStyle name="Separador de milhares 3 2 5 4 9" xfId="813"/>
    <cellStyle name="Separador de milhares 3 2 5 4 9 2" xfId="5126"/>
    <cellStyle name="Separador de milhares 3 2 5 4 9 2 2" xfId="8341"/>
    <cellStyle name="Separador de milhares 3 2 5 4 9 2 2 2" xfId="20195"/>
    <cellStyle name="Separador de milhares 3 2 5 4 9 2 2 2 2" xfId="46674"/>
    <cellStyle name="Separador de milhares 3 2 5 4 9 2 2 3" xfId="14268"/>
    <cellStyle name="Separador de milhares 3 2 5 4 9 2 2 3 2" xfId="40766"/>
    <cellStyle name="Separador de milhares 3 2 5 4 9 2 2 4" xfId="34858"/>
    <cellStyle name="Separador de milhares 3 2 5 4 9 2 2 5" xfId="28324"/>
    <cellStyle name="Separador de milhares 3 2 5 4 9 2 3" xfId="17231"/>
    <cellStyle name="Separador de milhares 3 2 5 4 9 2 3 2" xfId="43720"/>
    <cellStyle name="Separador de milhares 3 2 5 4 9 2 4" xfId="11304"/>
    <cellStyle name="Separador de milhares 3 2 5 4 9 2 4 2" xfId="37812"/>
    <cellStyle name="Separador de milhares 3 2 5 4 9 2 5" xfId="31653"/>
    <cellStyle name="Separador de milhares 3 2 5 4 9 2 6" xfId="25119"/>
    <cellStyle name="Separador de milhares 3 2 5 4 9 3" xfId="6868"/>
    <cellStyle name="Separador de milhares 3 2 5 4 9 3 2" xfId="18722"/>
    <cellStyle name="Separador de milhares 3 2 5 4 9 3 2 2" xfId="45206"/>
    <cellStyle name="Separador de milhares 3 2 5 4 9 3 3" xfId="12795"/>
    <cellStyle name="Separador de milhares 3 2 5 4 9 3 3 2" xfId="39298"/>
    <cellStyle name="Separador de milhares 3 2 5 4 9 3 4" xfId="33390"/>
    <cellStyle name="Separador de milhares 3 2 5 4 9 3 5" xfId="26856"/>
    <cellStyle name="Separador de milhares 3 2 5 4 9 4" xfId="15758"/>
    <cellStyle name="Separador de milhares 3 2 5 4 9 4 2" xfId="42252"/>
    <cellStyle name="Separador de milhares 3 2 5 4 9 4 3" xfId="23347"/>
    <cellStyle name="Separador de milhares 3 2 5 4 9 5" xfId="9831"/>
    <cellStyle name="Separador de milhares 3 2 5 4 9 5 2" xfId="36344"/>
    <cellStyle name="Separador de milhares 3 2 5 4 9 6" xfId="29881"/>
    <cellStyle name="Separador de milhares 3 2 5 4 9 7" xfId="21575"/>
    <cellStyle name="Separador de milhares 3 2 5 5" xfId="763"/>
    <cellStyle name="Separador de milhares 3 2 5 5 10" xfId="15721"/>
    <cellStyle name="Separador de milhares 3 2 5 5 10 2" xfId="42218"/>
    <cellStyle name="Separador de milhares 3 2 5 5 10 3" xfId="23313"/>
    <cellStyle name="Separador de milhares 3 2 5 5 11" xfId="9794"/>
    <cellStyle name="Separador de milhares 3 2 5 5 11 2" xfId="36310"/>
    <cellStyle name="Separador de milhares 3 2 5 5 12" xfId="29847"/>
    <cellStyle name="Separador de milhares 3 2 5 5 13" xfId="21541"/>
    <cellStyle name="Separador de milhares 3 2 5 5 2" xfId="1586"/>
    <cellStyle name="Separador de milhares 3 2 5 5 2 2" xfId="5343"/>
    <cellStyle name="Separador de milhares 3 2 5 5 2 2 2" xfId="8558"/>
    <cellStyle name="Separador de milhares 3 2 5 5 2 2 2 2" xfId="20412"/>
    <cellStyle name="Separador de milhares 3 2 5 5 2 2 2 2 2" xfId="46891"/>
    <cellStyle name="Separador de milhares 3 2 5 5 2 2 2 3" xfId="14485"/>
    <cellStyle name="Separador de milhares 3 2 5 5 2 2 2 3 2" xfId="40983"/>
    <cellStyle name="Separador de milhares 3 2 5 5 2 2 2 4" xfId="35075"/>
    <cellStyle name="Separador de milhares 3 2 5 5 2 2 2 5" xfId="28541"/>
    <cellStyle name="Separador de milhares 3 2 5 5 2 2 3" xfId="17448"/>
    <cellStyle name="Separador de milhares 3 2 5 5 2 2 3 2" xfId="43937"/>
    <cellStyle name="Separador de milhares 3 2 5 5 2 2 4" xfId="11521"/>
    <cellStyle name="Separador de milhares 3 2 5 5 2 2 4 2" xfId="38029"/>
    <cellStyle name="Separador de milhares 3 2 5 5 2 2 5" xfId="31870"/>
    <cellStyle name="Separador de milhares 3 2 5 5 2 2 6" xfId="25336"/>
    <cellStyle name="Separador de milhares 3 2 5 5 2 3" xfId="7085"/>
    <cellStyle name="Separador de milhares 3 2 5 5 2 3 2" xfId="18939"/>
    <cellStyle name="Separador de milhares 3 2 5 5 2 3 2 2" xfId="45423"/>
    <cellStyle name="Separador de milhares 3 2 5 5 2 3 3" xfId="13012"/>
    <cellStyle name="Separador de milhares 3 2 5 5 2 3 3 2" xfId="39515"/>
    <cellStyle name="Separador de milhares 3 2 5 5 2 3 4" xfId="33607"/>
    <cellStyle name="Separador de milhares 3 2 5 5 2 3 5" xfId="27073"/>
    <cellStyle name="Separador de milhares 3 2 5 5 2 4" xfId="15975"/>
    <cellStyle name="Separador de milhares 3 2 5 5 2 4 2" xfId="42469"/>
    <cellStyle name="Separador de milhares 3 2 5 5 2 4 3" xfId="23564"/>
    <cellStyle name="Separador de milhares 3 2 5 5 2 5" xfId="10048"/>
    <cellStyle name="Separador de milhares 3 2 5 5 2 5 2" xfId="36561"/>
    <cellStyle name="Separador de milhares 3 2 5 5 2 6" xfId="30098"/>
    <cellStyle name="Separador de milhares 3 2 5 5 2 7" xfId="21792"/>
    <cellStyle name="Separador de milhares 3 2 5 5 3" xfId="2021"/>
    <cellStyle name="Separador de milhares 3 2 5 5 3 2" xfId="5462"/>
    <cellStyle name="Separador de milhares 3 2 5 5 3 2 2" xfId="8677"/>
    <cellStyle name="Separador de milhares 3 2 5 5 3 2 2 2" xfId="20531"/>
    <cellStyle name="Separador de milhares 3 2 5 5 3 2 2 2 2" xfId="47010"/>
    <cellStyle name="Separador de milhares 3 2 5 5 3 2 2 3" xfId="14604"/>
    <cellStyle name="Separador de milhares 3 2 5 5 3 2 2 3 2" xfId="41102"/>
    <cellStyle name="Separador de milhares 3 2 5 5 3 2 2 4" xfId="35194"/>
    <cellStyle name="Separador de milhares 3 2 5 5 3 2 2 5" xfId="28660"/>
    <cellStyle name="Separador de milhares 3 2 5 5 3 2 3" xfId="17567"/>
    <cellStyle name="Separador de milhares 3 2 5 5 3 2 3 2" xfId="44056"/>
    <cellStyle name="Separador de milhares 3 2 5 5 3 2 4" xfId="11640"/>
    <cellStyle name="Separador de milhares 3 2 5 5 3 2 4 2" xfId="38148"/>
    <cellStyle name="Separador de milhares 3 2 5 5 3 2 5" xfId="31989"/>
    <cellStyle name="Separador de milhares 3 2 5 5 3 2 6" xfId="25455"/>
    <cellStyle name="Separador de milhares 3 2 5 5 3 3" xfId="7204"/>
    <cellStyle name="Separador de milhares 3 2 5 5 3 3 2" xfId="19058"/>
    <cellStyle name="Separador de milhares 3 2 5 5 3 3 2 2" xfId="45542"/>
    <cellStyle name="Separador de milhares 3 2 5 5 3 3 3" xfId="13131"/>
    <cellStyle name="Separador de milhares 3 2 5 5 3 3 3 2" xfId="39634"/>
    <cellStyle name="Separador de milhares 3 2 5 5 3 3 4" xfId="33726"/>
    <cellStyle name="Separador de milhares 3 2 5 5 3 3 5" xfId="27192"/>
    <cellStyle name="Separador de milhares 3 2 5 5 3 4" xfId="16094"/>
    <cellStyle name="Separador de milhares 3 2 5 5 3 4 2" xfId="42588"/>
    <cellStyle name="Separador de milhares 3 2 5 5 3 4 3" xfId="23683"/>
    <cellStyle name="Separador de milhares 3 2 5 5 3 5" xfId="10167"/>
    <cellStyle name="Separador de milhares 3 2 5 5 3 5 2" xfId="36680"/>
    <cellStyle name="Separador de milhares 3 2 5 5 3 6" xfId="30217"/>
    <cellStyle name="Separador de milhares 3 2 5 5 3 7" xfId="21911"/>
    <cellStyle name="Separador de milhares 3 2 5 5 4" xfId="2554"/>
    <cellStyle name="Separador de milhares 3 2 5 5 4 2" xfId="5612"/>
    <cellStyle name="Separador de milhares 3 2 5 5 4 2 2" xfId="8824"/>
    <cellStyle name="Separador de milhares 3 2 5 5 4 2 2 2" xfId="20678"/>
    <cellStyle name="Separador de milhares 3 2 5 5 4 2 2 2 2" xfId="47157"/>
    <cellStyle name="Separador de milhares 3 2 5 5 4 2 2 3" xfId="14751"/>
    <cellStyle name="Separador de milhares 3 2 5 5 4 2 2 3 2" xfId="41249"/>
    <cellStyle name="Separador de milhares 3 2 5 5 4 2 2 4" xfId="35341"/>
    <cellStyle name="Separador de milhares 3 2 5 5 4 2 2 5" xfId="28807"/>
    <cellStyle name="Separador de milhares 3 2 5 5 4 2 3" xfId="17714"/>
    <cellStyle name="Separador de milhares 3 2 5 5 4 2 3 2" xfId="44203"/>
    <cellStyle name="Separador de milhares 3 2 5 5 4 2 4" xfId="11787"/>
    <cellStyle name="Separador de milhares 3 2 5 5 4 2 4 2" xfId="38295"/>
    <cellStyle name="Separador de milhares 3 2 5 5 4 2 5" xfId="32139"/>
    <cellStyle name="Separador de milhares 3 2 5 5 4 2 6" xfId="25605"/>
    <cellStyle name="Separador de milhares 3 2 5 5 4 3" xfId="7352"/>
    <cellStyle name="Separador de milhares 3 2 5 5 4 3 2" xfId="19206"/>
    <cellStyle name="Separador de milhares 3 2 5 5 4 3 2 2" xfId="45689"/>
    <cellStyle name="Separador de milhares 3 2 5 5 4 3 3" xfId="13279"/>
    <cellStyle name="Separador de milhares 3 2 5 5 4 3 3 2" xfId="39781"/>
    <cellStyle name="Separador de milhares 3 2 5 5 4 3 4" xfId="33873"/>
    <cellStyle name="Separador de milhares 3 2 5 5 4 3 5" xfId="27339"/>
    <cellStyle name="Separador de milhares 3 2 5 5 4 4" xfId="16242"/>
    <cellStyle name="Separador de milhares 3 2 5 5 4 4 2" xfId="42735"/>
    <cellStyle name="Separador de milhares 3 2 5 5 4 4 3" xfId="23833"/>
    <cellStyle name="Separador de milhares 3 2 5 5 4 5" xfId="10315"/>
    <cellStyle name="Separador de milhares 3 2 5 5 4 5 2" xfId="36827"/>
    <cellStyle name="Separador de milhares 3 2 5 5 4 6" xfId="30367"/>
    <cellStyle name="Separador de milhares 3 2 5 5 4 7" xfId="22061"/>
    <cellStyle name="Separador de milhares 3 2 5 5 5" xfId="3082"/>
    <cellStyle name="Separador de milhares 3 2 5 5 5 2" xfId="5759"/>
    <cellStyle name="Separador de milhares 3 2 5 5 5 2 2" xfId="8971"/>
    <cellStyle name="Separador de milhares 3 2 5 5 5 2 2 2" xfId="20825"/>
    <cellStyle name="Separador de milhares 3 2 5 5 5 2 2 2 2" xfId="47304"/>
    <cellStyle name="Separador de milhares 3 2 5 5 5 2 2 3" xfId="14898"/>
    <cellStyle name="Separador de milhares 3 2 5 5 5 2 2 3 2" xfId="41396"/>
    <cellStyle name="Separador de milhares 3 2 5 5 5 2 2 4" xfId="35488"/>
    <cellStyle name="Separador de milhares 3 2 5 5 5 2 2 5" xfId="28954"/>
    <cellStyle name="Separador de milhares 3 2 5 5 5 2 3" xfId="17861"/>
    <cellStyle name="Separador de milhares 3 2 5 5 5 2 3 2" xfId="44350"/>
    <cellStyle name="Separador de milhares 3 2 5 5 5 2 4" xfId="11934"/>
    <cellStyle name="Separador de milhares 3 2 5 5 5 2 4 2" xfId="38442"/>
    <cellStyle name="Separador de milhares 3 2 5 5 5 2 5" xfId="32286"/>
    <cellStyle name="Separador de milhares 3 2 5 5 5 2 6" xfId="25752"/>
    <cellStyle name="Separador de milhares 3 2 5 5 5 3" xfId="7500"/>
    <cellStyle name="Separador de milhares 3 2 5 5 5 3 2" xfId="19354"/>
    <cellStyle name="Separador de milhares 3 2 5 5 5 3 2 2" xfId="45836"/>
    <cellStyle name="Separador de milhares 3 2 5 5 5 3 3" xfId="13427"/>
    <cellStyle name="Separador de milhares 3 2 5 5 5 3 3 2" xfId="39928"/>
    <cellStyle name="Separador de milhares 3 2 5 5 5 3 4" xfId="34020"/>
    <cellStyle name="Separador de milhares 3 2 5 5 5 3 5" xfId="27486"/>
    <cellStyle name="Separador de milhares 3 2 5 5 5 4" xfId="16390"/>
    <cellStyle name="Separador de milhares 3 2 5 5 5 4 2" xfId="42882"/>
    <cellStyle name="Separador de milhares 3 2 5 5 5 4 3" xfId="23980"/>
    <cellStyle name="Separador de milhares 3 2 5 5 5 5" xfId="10463"/>
    <cellStyle name="Separador de milhares 3 2 5 5 5 5 2" xfId="36974"/>
    <cellStyle name="Separador de milhares 3 2 5 5 5 6" xfId="30514"/>
    <cellStyle name="Separador de milhares 3 2 5 5 5 7" xfId="22208"/>
    <cellStyle name="Separador de milhares 3 2 5 5 6" xfId="3610"/>
    <cellStyle name="Separador de milhares 3 2 5 5 6 2" xfId="5906"/>
    <cellStyle name="Separador de milhares 3 2 5 5 6 2 2" xfId="9118"/>
    <cellStyle name="Separador de milhares 3 2 5 5 6 2 2 2" xfId="20972"/>
    <cellStyle name="Separador de milhares 3 2 5 5 6 2 2 2 2" xfId="47451"/>
    <cellStyle name="Separador de milhares 3 2 5 5 6 2 2 3" xfId="15045"/>
    <cellStyle name="Separador de milhares 3 2 5 5 6 2 2 3 2" xfId="41543"/>
    <cellStyle name="Separador de milhares 3 2 5 5 6 2 2 4" xfId="35635"/>
    <cellStyle name="Separador de milhares 3 2 5 5 6 2 2 5" xfId="29101"/>
    <cellStyle name="Separador de milhares 3 2 5 5 6 2 3" xfId="18008"/>
    <cellStyle name="Separador de milhares 3 2 5 5 6 2 3 2" xfId="44497"/>
    <cellStyle name="Separador de milhares 3 2 5 5 6 2 4" xfId="12081"/>
    <cellStyle name="Separador de milhares 3 2 5 5 6 2 4 2" xfId="38589"/>
    <cellStyle name="Separador de milhares 3 2 5 5 6 2 5" xfId="32433"/>
    <cellStyle name="Separador de milhares 3 2 5 5 6 2 6" xfId="25899"/>
    <cellStyle name="Separador de milhares 3 2 5 5 6 3" xfId="7648"/>
    <cellStyle name="Separador de milhares 3 2 5 5 6 3 2" xfId="19502"/>
    <cellStyle name="Separador de milhares 3 2 5 5 6 3 2 2" xfId="45983"/>
    <cellStyle name="Separador de milhares 3 2 5 5 6 3 3" xfId="13575"/>
    <cellStyle name="Separador de milhares 3 2 5 5 6 3 3 2" xfId="40075"/>
    <cellStyle name="Separador de milhares 3 2 5 5 6 3 4" xfId="34167"/>
    <cellStyle name="Separador de milhares 3 2 5 5 6 3 5" xfId="27633"/>
    <cellStyle name="Separador de milhares 3 2 5 5 6 4" xfId="16538"/>
    <cellStyle name="Separador de milhares 3 2 5 5 6 4 2" xfId="43029"/>
    <cellStyle name="Separador de milhares 3 2 5 5 6 4 3" xfId="24127"/>
    <cellStyle name="Separador de milhares 3 2 5 5 6 5" xfId="10611"/>
    <cellStyle name="Separador de milhares 3 2 5 5 6 5 2" xfId="37121"/>
    <cellStyle name="Separador de milhares 3 2 5 5 6 6" xfId="30661"/>
    <cellStyle name="Separador de milhares 3 2 5 5 6 7" xfId="22355"/>
    <cellStyle name="Separador de milhares 3 2 5 5 7" xfId="4138"/>
    <cellStyle name="Separador de milhares 3 2 5 5 7 2" xfId="6053"/>
    <cellStyle name="Separador de milhares 3 2 5 5 7 2 2" xfId="9265"/>
    <cellStyle name="Separador de milhares 3 2 5 5 7 2 2 2" xfId="21119"/>
    <cellStyle name="Separador de milhares 3 2 5 5 7 2 2 2 2" xfId="47598"/>
    <cellStyle name="Separador de milhares 3 2 5 5 7 2 2 3" xfId="15192"/>
    <cellStyle name="Separador de milhares 3 2 5 5 7 2 2 3 2" xfId="41690"/>
    <cellStyle name="Separador de milhares 3 2 5 5 7 2 2 4" xfId="35782"/>
    <cellStyle name="Separador de milhares 3 2 5 5 7 2 2 5" xfId="29248"/>
    <cellStyle name="Separador de milhares 3 2 5 5 7 2 3" xfId="18155"/>
    <cellStyle name="Separador de milhares 3 2 5 5 7 2 3 2" xfId="44644"/>
    <cellStyle name="Separador de milhares 3 2 5 5 7 2 4" xfId="12228"/>
    <cellStyle name="Separador de milhares 3 2 5 5 7 2 4 2" xfId="38736"/>
    <cellStyle name="Separador de milhares 3 2 5 5 7 2 5" xfId="32580"/>
    <cellStyle name="Separador de milhares 3 2 5 5 7 2 6" xfId="26046"/>
    <cellStyle name="Separador de milhares 3 2 5 5 7 3" xfId="7796"/>
    <cellStyle name="Separador de milhares 3 2 5 5 7 3 2" xfId="19650"/>
    <cellStyle name="Separador de milhares 3 2 5 5 7 3 2 2" xfId="46130"/>
    <cellStyle name="Separador de milhares 3 2 5 5 7 3 3" xfId="13723"/>
    <cellStyle name="Separador de milhares 3 2 5 5 7 3 3 2" xfId="40222"/>
    <cellStyle name="Separador de milhares 3 2 5 5 7 3 4" xfId="34314"/>
    <cellStyle name="Separador de milhares 3 2 5 5 7 3 5" xfId="27780"/>
    <cellStyle name="Separador de milhares 3 2 5 5 7 4" xfId="16686"/>
    <cellStyle name="Separador de milhares 3 2 5 5 7 4 2" xfId="43176"/>
    <cellStyle name="Separador de milhares 3 2 5 5 7 4 3" xfId="24274"/>
    <cellStyle name="Separador de milhares 3 2 5 5 7 5" xfId="10759"/>
    <cellStyle name="Separador de milhares 3 2 5 5 7 5 2" xfId="37268"/>
    <cellStyle name="Separador de milhares 3 2 5 5 7 6" xfId="30808"/>
    <cellStyle name="Separador de milhares 3 2 5 5 7 7" xfId="22502"/>
    <cellStyle name="Separador de milhares 3 2 5 5 8" xfId="5092"/>
    <cellStyle name="Separador de milhares 3 2 5 5 8 2" xfId="8307"/>
    <cellStyle name="Separador de milhares 3 2 5 5 8 2 2" xfId="20161"/>
    <cellStyle name="Separador de milhares 3 2 5 5 8 2 2 2" xfId="46640"/>
    <cellStyle name="Separador de milhares 3 2 5 5 8 2 3" xfId="14234"/>
    <cellStyle name="Separador de milhares 3 2 5 5 8 2 3 2" xfId="40732"/>
    <cellStyle name="Separador de milhares 3 2 5 5 8 2 4" xfId="34824"/>
    <cellStyle name="Separador de milhares 3 2 5 5 8 2 5" xfId="28290"/>
    <cellStyle name="Separador de milhares 3 2 5 5 8 3" xfId="17197"/>
    <cellStyle name="Separador de milhares 3 2 5 5 8 3 2" xfId="43686"/>
    <cellStyle name="Separador de milhares 3 2 5 5 8 4" xfId="11270"/>
    <cellStyle name="Separador de milhares 3 2 5 5 8 4 2" xfId="37778"/>
    <cellStyle name="Separador de milhares 3 2 5 5 8 5" xfId="31619"/>
    <cellStyle name="Separador de milhares 3 2 5 5 8 6" xfId="25085"/>
    <cellStyle name="Separador de milhares 3 2 5 5 9" xfId="6831"/>
    <cellStyle name="Separador de milhares 3 2 5 5 9 2" xfId="18685"/>
    <cellStyle name="Separador de milhares 3 2 5 5 9 2 2" xfId="45172"/>
    <cellStyle name="Separador de milhares 3 2 5 5 9 3" xfId="12758"/>
    <cellStyle name="Separador de milhares 3 2 5 5 9 3 2" xfId="39264"/>
    <cellStyle name="Separador de milhares 3 2 5 5 9 4" xfId="33356"/>
    <cellStyle name="Separador de milhares 3 2 5 5 9 5" xfId="26822"/>
    <cellStyle name="Separador de milhares 3 2 5 6" xfId="884"/>
    <cellStyle name="Separador de milhares 3 2 5 6 2" xfId="4315"/>
    <cellStyle name="Separador de milhares 3 2 5 6 2 2" xfId="6102"/>
    <cellStyle name="Separador de milhares 3 2 5 6 2 2 2" xfId="9314"/>
    <cellStyle name="Separador de milhares 3 2 5 6 2 2 2 2" xfId="21168"/>
    <cellStyle name="Separador de milhares 3 2 5 6 2 2 2 2 2" xfId="47647"/>
    <cellStyle name="Separador de milhares 3 2 5 6 2 2 2 3" xfId="15241"/>
    <cellStyle name="Separador de milhares 3 2 5 6 2 2 2 3 2" xfId="41739"/>
    <cellStyle name="Separador de milhares 3 2 5 6 2 2 2 4" xfId="35831"/>
    <cellStyle name="Separador de milhares 3 2 5 6 2 2 2 5" xfId="29297"/>
    <cellStyle name="Separador de milhares 3 2 5 6 2 2 3" xfId="18204"/>
    <cellStyle name="Separador de milhares 3 2 5 6 2 2 3 2" xfId="44693"/>
    <cellStyle name="Separador de milhares 3 2 5 6 2 2 4" xfId="12277"/>
    <cellStyle name="Separador de milhares 3 2 5 6 2 2 4 2" xfId="38785"/>
    <cellStyle name="Separador de milhares 3 2 5 6 2 2 5" xfId="32629"/>
    <cellStyle name="Separador de milhares 3 2 5 6 2 2 6" xfId="26095"/>
    <cellStyle name="Separador de milhares 3 2 5 6 2 3" xfId="7846"/>
    <cellStyle name="Separador de milhares 3 2 5 6 2 3 2" xfId="19700"/>
    <cellStyle name="Separador de milhares 3 2 5 6 2 3 2 2" xfId="46179"/>
    <cellStyle name="Separador de milhares 3 2 5 6 2 3 3" xfId="13773"/>
    <cellStyle name="Separador de milhares 3 2 5 6 2 3 3 2" xfId="40271"/>
    <cellStyle name="Separador de milhares 3 2 5 6 2 3 4" xfId="34363"/>
    <cellStyle name="Separador de milhares 3 2 5 6 2 3 5" xfId="27829"/>
    <cellStyle name="Separador de milhares 3 2 5 6 2 4" xfId="16736"/>
    <cellStyle name="Separador de milhares 3 2 5 6 2 4 2" xfId="43225"/>
    <cellStyle name="Separador de milhares 3 2 5 6 2 4 3" xfId="24323"/>
    <cellStyle name="Separador de milhares 3 2 5 6 2 5" xfId="10809"/>
    <cellStyle name="Separador de milhares 3 2 5 6 2 5 2" xfId="37317"/>
    <cellStyle name="Separador de milhares 3 2 5 6 2 6" xfId="30857"/>
    <cellStyle name="Separador de milhares 3 2 5 6 2 7" xfId="22551"/>
    <cellStyle name="Separador de milhares 3 2 5 6 3" xfId="5147"/>
    <cellStyle name="Separador de milhares 3 2 5 6 3 2" xfId="8362"/>
    <cellStyle name="Separador de milhares 3 2 5 6 3 2 2" xfId="20216"/>
    <cellStyle name="Separador de milhares 3 2 5 6 3 2 2 2" xfId="46695"/>
    <cellStyle name="Separador de milhares 3 2 5 6 3 2 3" xfId="14289"/>
    <cellStyle name="Separador de milhares 3 2 5 6 3 2 3 2" xfId="40787"/>
    <cellStyle name="Separador de milhares 3 2 5 6 3 2 4" xfId="34879"/>
    <cellStyle name="Separador de milhares 3 2 5 6 3 2 5" xfId="28345"/>
    <cellStyle name="Separador de milhares 3 2 5 6 3 3" xfId="17252"/>
    <cellStyle name="Separador de milhares 3 2 5 6 3 3 2" xfId="43741"/>
    <cellStyle name="Separador de milhares 3 2 5 6 3 4" xfId="11325"/>
    <cellStyle name="Separador de milhares 3 2 5 6 3 4 2" xfId="37833"/>
    <cellStyle name="Separador de milhares 3 2 5 6 3 5" xfId="31674"/>
    <cellStyle name="Separador de milhares 3 2 5 6 3 6" xfId="25140"/>
    <cellStyle name="Separador de milhares 3 2 5 6 4" xfId="6889"/>
    <cellStyle name="Separador de milhares 3 2 5 6 4 2" xfId="18743"/>
    <cellStyle name="Separador de milhares 3 2 5 6 4 2 2" xfId="45227"/>
    <cellStyle name="Separador de milhares 3 2 5 6 4 3" xfId="12816"/>
    <cellStyle name="Separador de milhares 3 2 5 6 4 3 2" xfId="39319"/>
    <cellStyle name="Separador de milhares 3 2 5 6 4 4" xfId="33411"/>
    <cellStyle name="Separador de milhares 3 2 5 6 4 5" xfId="26877"/>
    <cellStyle name="Separador de milhares 3 2 5 6 5" xfId="15779"/>
    <cellStyle name="Separador de milhares 3 2 5 6 5 2" xfId="42273"/>
    <cellStyle name="Separador de milhares 3 2 5 6 5 3" xfId="23368"/>
    <cellStyle name="Separador de milhares 3 2 5 6 6" xfId="9852"/>
    <cellStyle name="Separador de milhares 3 2 5 6 6 2" xfId="36365"/>
    <cellStyle name="Separador de milhares 3 2 5 6 7" xfId="29902"/>
    <cellStyle name="Separador de milhares 3 2 5 6 8" xfId="21596"/>
    <cellStyle name="Separador de milhares 3 2 5 7" xfId="1235"/>
    <cellStyle name="Separador de milhares 3 2 5 7 2" xfId="5245"/>
    <cellStyle name="Separador de milhares 3 2 5 7 2 2" xfId="8460"/>
    <cellStyle name="Separador de milhares 3 2 5 7 2 2 2" xfId="20314"/>
    <cellStyle name="Separador de milhares 3 2 5 7 2 2 2 2" xfId="46793"/>
    <cellStyle name="Separador de milhares 3 2 5 7 2 2 3" xfId="14387"/>
    <cellStyle name="Separador de milhares 3 2 5 7 2 2 3 2" xfId="40885"/>
    <cellStyle name="Separador de milhares 3 2 5 7 2 2 4" xfId="34977"/>
    <cellStyle name="Separador de milhares 3 2 5 7 2 2 5" xfId="28443"/>
    <cellStyle name="Separador de milhares 3 2 5 7 2 3" xfId="17350"/>
    <cellStyle name="Separador de milhares 3 2 5 7 2 3 2" xfId="43839"/>
    <cellStyle name="Separador de milhares 3 2 5 7 2 4" xfId="11423"/>
    <cellStyle name="Separador de milhares 3 2 5 7 2 4 2" xfId="37931"/>
    <cellStyle name="Separador de milhares 3 2 5 7 2 5" xfId="31772"/>
    <cellStyle name="Separador de milhares 3 2 5 7 2 6" xfId="25238"/>
    <cellStyle name="Separador de milhares 3 2 5 7 3" xfId="6987"/>
    <cellStyle name="Separador de milhares 3 2 5 7 3 2" xfId="18841"/>
    <cellStyle name="Separador de milhares 3 2 5 7 3 2 2" xfId="45325"/>
    <cellStyle name="Separador de milhares 3 2 5 7 3 3" xfId="12914"/>
    <cellStyle name="Separador de milhares 3 2 5 7 3 3 2" xfId="39417"/>
    <cellStyle name="Separador de milhares 3 2 5 7 3 4" xfId="33509"/>
    <cellStyle name="Separador de milhares 3 2 5 7 3 5" xfId="26975"/>
    <cellStyle name="Separador de milhares 3 2 5 7 4" xfId="15877"/>
    <cellStyle name="Separador de milhares 3 2 5 7 4 2" xfId="42371"/>
    <cellStyle name="Separador de milhares 3 2 5 7 4 3" xfId="23466"/>
    <cellStyle name="Separador de milhares 3 2 5 7 5" xfId="9950"/>
    <cellStyle name="Separador de milhares 3 2 5 7 5 2" xfId="36463"/>
    <cellStyle name="Separador de milhares 3 2 5 7 6" xfId="30000"/>
    <cellStyle name="Separador de milhares 3 2 5 7 7" xfId="21694"/>
    <cellStyle name="Separador de milhares 3 2 5 8" xfId="1670"/>
    <cellStyle name="Separador de milhares 3 2 5 8 2" xfId="5364"/>
    <cellStyle name="Separador de milhares 3 2 5 8 2 2" xfId="8579"/>
    <cellStyle name="Separador de milhares 3 2 5 8 2 2 2" xfId="20433"/>
    <cellStyle name="Separador de milhares 3 2 5 8 2 2 2 2" xfId="46912"/>
    <cellStyle name="Separador de milhares 3 2 5 8 2 2 3" xfId="14506"/>
    <cellStyle name="Separador de milhares 3 2 5 8 2 2 3 2" xfId="41004"/>
    <cellStyle name="Separador de milhares 3 2 5 8 2 2 4" xfId="35096"/>
    <cellStyle name="Separador de milhares 3 2 5 8 2 2 5" xfId="28562"/>
    <cellStyle name="Separador de milhares 3 2 5 8 2 3" xfId="17469"/>
    <cellStyle name="Separador de milhares 3 2 5 8 2 3 2" xfId="43958"/>
    <cellStyle name="Separador de milhares 3 2 5 8 2 4" xfId="11542"/>
    <cellStyle name="Separador de milhares 3 2 5 8 2 4 2" xfId="38050"/>
    <cellStyle name="Separador de milhares 3 2 5 8 2 5" xfId="31891"/>
    <cellStyle name="Separador de milhares 3 2 5 8 2 6" xfId="25357"/>
    <cellStyle name="Separador de milhares 3 2 5 8 3" xfId="7106"/>
    <cellStyle name="Separador de milhares 3 2 5 8 3 2" xfId="18960"/>
    <cellStyle name="Separador de milhares 3 2 5 8 3 2 2" xfId="45444"/>
    <cellStyle name="Separador de milhares 3 2 5 8 3 3" xfId="13033"/>
    <cellStyle name="Separador de milhares 3 2 5 8 3 3 2" xfId="39536"/>
    <cellStyle name="Separador de milhares 3 2 5 8 3 4" xfId="33628"/>
    <cellStyle name="Separador de milhares 3 2 5 8 3 5" xfId="27094"/>
    <cellStyle name="Separador de milhares 3 2 5 8 4" xfId="15996"/>
    <cellStyle name="Separador de milhares 3 2 5 8 4 2" xfId="42490"/>
    <cellStyle name="Separador de milhares 3 2 5 8 4 3" xfId="23585"/>
    <cellStyle name="Separador de milhares 3 2 5 8 5" xfId="10069"/>
    <cellStyle name="Separador de milhares 3 2 5 8 5 2" xfId="36582"/>
    <cellStyle name="Separador de milhares 3 2 5 8 6" xfId="30119"/>
    <cellStyle name="Separador de milhares 3 2 5 8 7" xfId="21813"/>
    <cellStyle name="Separador de milhares 3 2 5 9" xfId="2203"/>
    <cellStyle name="Separador de milhares 3 2 5 9 2" xfId="5514"/>
    <cellStyle name="Separador de milhares 3 2 5 9 2 2" xfId="8726"/>
    <cellStyle name="Separador de milhares 3 2 5 9 2 2 2" xfId="20580"/>
    <cellStyle name="Separador de milhares 3 2 5 9 2 2 2 2" xfId="47059"/>
    <cellStyle name="Separador de milhares 3 2 5 9 2 2 3" xfId="14653"/>
    <cellStyle name="Separador de milhares 3 2 5 9 2 2 3 2" xfId="41151"/>
    <cellStyle name="Separador de milhares 3 2 5 9 2 2 4" xfId="35243"/>
    <cellStyle name="Separador de milhares 3 2 5 9 2 2 5" xfId="28709"/>
    <cellStyle name="Separador de milhares 3 2 5 9 2 3" xfId="17616"/>
    <cellStyle name="Separador de milhares 3 2 5 9 2 3 2" xfId="44105"/>
    <cellStyle name="Separador de milhares 3 2 5 9 2 4" xfId="11689"/>
    <cellStyle name="Separador de milhares 3 2 5 9 2 4 2" xfId="38197"/>
    <cellStyle name="Separador de milhares 3 2 5 9 2 5" xfId="32041"/>
    <cellStyle name="Separador de milhares 3 2 5 9 2 6" xfId="25507"/>
    <cellStyle name="Separador de milhares 3 2 5 9 3" xfId="7254"/>
    <cellStyle name="Separador de milhares 3 2 5 9 3 2" xfId="19108"/>
    <cellStyle name="Separador de milhares 3 2 5 9 3 2 2" xfId="45591"/>
    <cellStyle name="Separador de milhares 3 2 5 9 3 3" xfId="13181"/>
    <cellStyle name="Separador de milhares 3 2 5 9 3 3 2" xfId="39683"/>
    <cellStyle name="Separador de milhares 3 2 5 9 3 4" xfId="33775"/>
    <cellStyle name="Separador de milhares 3 2 5 9 3 5" xfId="27241"/>
    <cellStyle name="Separador de milhares 3 2 5 9 4" xfId="16144"/>
    <cellStyle name="Separador de milhares 3 2 5 9 4 2" xfId="42637"/>
    <cellStyle name="Separador de milhares 3 2 5 9 4 3" xfId="23735"/>
    <cellStyle name="Separador de milhares 3 2 5 9 5" xfId="10217"/>
    <cellStyle name="Separador de milhares 3 2 5 9 5 2" xfId="36729"/>
    <cellStyle name="Separador de milhares 3 2 5 9 6" xfId="30269"/>
    <cellStyle name="Separador de milhares 3 2 5 9 7" xfId="21963"/>
    <cellStyle name="Separador de milhares 3 2 6" xfId="229"/>
    <cellStyle name="Separador de milhares 3 2 6 10" xfId="2739"/>
    <cellStyle name="Separador de milhares 3 2 6 10 2" xfId="5663"/>
    <cellStyle name="Separador de milhares 3 2 6 10 2 2" xfId="8875"/>
    <cellStyle name="Separador de milhares 3 2 6 10 2 2 2" xfId="20729"/>
    <cellStyle name="Separador de milhares 3 2 6 10 2 2 2 2" xfId="47208"/>
    <cellStyle name="Separador de milhares 3 2 6 10 2 2 3" xfId="14802"/>
    <cellStyle name="Separador de milhares 3 2 6 10 2 2 3 2" xfId="41300"/>
    <cellStyle name="Separador de milhares 3 2 6 10 2 2 4" xfId="35392"/>
    <cellStyle name="Separador de milhares 3 2 6 10 2 2 5" xfId="28858"/>
    <cellStyle name="Separador de milhares 3 2 6 10 2 3" xfId="17765"/>
    <cellStyle name="Separador de milhares 3 2 6 10 2 3 2" xfId="44254"/>
    <cellStyle name="Separador de milhares 3 2 6 10 2 4" xfId="11838"/>
    <cellStyle name="Separador de milhares 3 2 6 10 2 4 2" xfId="38346"/>
    <cellStyle name="Separador de milhares 3 2 6 10 2 5" xfId="32190"/>
    <cellStyle name="Separador de milhares 3 2 6 10 2 6" xfId="25656"/>
    <cellStyle name="Separador de milhares 3 2 6 10 3" xfId="7404"/>
    <cellStyle name="Separador de milhares 3 2 6 10 3 2" xfId="19258"/>
    <cellStyle name="Separador de milhares 3 2 6 10 3 2 2" xfId="45740"/>
    <cellStyle name="Separador de milhares 3 2 6 10 3 3" xfId="13331"/>
    <cellStyle name="Separador de milhares 3 2 6 10 3 3 2" xfId="39832"/>
    <cellStyle name="Separador de milhares 3 2 6 10 3 4" xfId="33924"/>
    <cellStyle name="Separador de milhares 3 2 6 10 3 5" xfId="27390"/>
    <cellStyle name="Separador de milhares 3 2 6 10 4" xfId="16294"/>
    <cellStyle name="Separador de milhares 3 2 6 10 4 2" xfId="42786"/>
    <cellStyle name="Separador de milhares 3 2 6 10 4 3" xfId="23884"/>
    <cellStyle name="Separador de milhares 3 2 6 10 5" xfId="10367"/>
    <cellStyle name="Separador de milhares 3 2 6 10 5 2" xfId="36878"/>
    <cellStyle name="Separador de milhares 3 2 6 10 6" xfId="30418"/>
    <cellStyle name="Separador de milhares 3 2 6 10 7" xfId="22112"/>
    <cellStyle name="Separador de milhares 3 2 6 11" xfId="3267"/>
    <cellStyle name="Separador de milhares 3 2 6 11 2" xfId="5810"/>
    <cellStyle name="Separador de milhares 3 2 6 11 2 2" xfId="9022"/>
    <cellStyle name="Separador de milhares 3 2 6 11 2 2 2" xfId="20876"/>
    <cellStyle name="Separador de milhares 3 2 6 11 2 2 2 2" xfId="47355"/>
    <cellStyle name="Separador de milhares 3 2 6 11 2 2 3" xfId="14949"/>
    <cellStyle name="Separador de milhares 3 2 6 11 2 2 3 2" xfId="41447"/>
    <cellStyle name="Separador de milhares 3 2 6 11 2 2 4" xfId="35539"/>
    <cellStyle name="Separador de milhares 3 2 6 11 2 2 5" xfId="29005"/>
    <cellStyle name="Separador de milhares 3 2 6 11 2 3" xfId="17912"/>
    <cellStyle name="Separador de milhares 3 2 6 11 2 3 2" xfId="44401"/>
    <cellStyle name="Separador de milhares 3 2 6 11 2 4" xfId="11985"/>
    <cellStyle name="Separador de milhares 3 2 6 11 2 4 2" xfId="38493"/>
    <cellStyle name="Separador de milhares 3 2 6 11 2 5" xfId="32337"/>
    <cellStyle name="Separador de milhares 3 2 6 11 2 6" xfId="25803"/>
    <cellStyle name="Separador de milhares 3 2 6 11 3" xfId="7552"/>
    <cellStyle name="Separador de milhares 3 2 6 11 3 2" xfId="19406"/>
    <cellStyle name="Separador de milhares 3 2 6 11 3 2 2" xfId="45887"/>
    <cellStyle name="Separador de milhares 3 2 6 11 3 3" xfId="13479"/>
    <cellStyle name="Separador de milhares 3 2 6 11 3 3 2" xfId="39979"/>
    <cellStyle name="Separador de milhares 3 2 6 11 3 4" xfId="34071"/>
    <cellStyle name="Separador de milhares 3 2 6 11 3 5" xfId="27537"/>
    <cellStyle name="Separador de milhares 3 2 6 11 4" xfId="16442"/>
    <cellStyle name="Separador de milhares 3 2 6 11 4 2" xfId="42933"/>
    <cellStyle name="Separador de milhares 3 2 6 11 4 3" xfId="24031"/>
    <cellStyle name="Separador de milhares 3 2 6 11 5" xfId="10515"/>
    <cellStyle name="Separador de milhares 3 2 6 11 5 2" xfId="37025"/>
    <cellStyle name="Separador de milhares 3 2 6 11 6" xfId="30565"/>
    <cellStyle name="Separador de milhares 3 2 6 11 7" xfId="22259"/>
    <cellStyle name="Separador de milhares 3 2 6 12" xfId="3795"/>
    <cellStyle name="Separador de milhares 3 2 6 12 2" xfId="5957"/>
    <cellStyle name="Separador de milhares 3 2 6 12 2 2" xfId="9169"/>
    <cellStyle name="Separador de milhares 3 2 6 12 2 2 2" xfId="21023"/>
    <cellStyle name="Separador de milhares 3 2 6 12 2 2 2 2" xfId="47502"/>
    <cellStyle name="Separador de milhares 3 2 6 12 2 2 3" xfId="15096"/>
    <cellStyle name="Separador de milhares 3 2 6 12 2 2 3 2" xfId="41594"/>
    <cellStyle name="Separador de milhares 3 2 6 12 2 2 4" xfId="35686"/>
    <cellStyle name="Separador de milhares 3 2 6 12 2 2 5" xfId="29152"/>
    <cellStyle name="Separador de milhares 3 2 6 12 2 3" xfId="18059"/>
    <cellStyle name="Separador de milhares 3 2 6 12 2 3 2" xfId="44548"/>
    <cellStyle name="Separador de milhares 3 2 6 12 2 4" xfId="12132"/>
    <cellStyle name="Separador de milhares 3 2 6 12 2 4 2" xfId="38640"/>
    <cellStyle name="Separador de milhares 3 2 6 12 2 5" xfId="32484"/>
    <cellStyle name="Separador de milhares 3 2 6 12 2 6" xfId="25950"/>
    <cellStyle name="Separador de milhares 3 2 6 12 3" xfId="7700"/>
    <cellStyle name="Separador de milhares 3 2 6 12 3 2" xfId="19554"/>
    <cellStyle name="Separador de milhares 3 2 6 12 3 2 2" xfId="46034"/>
    <cellStyle name="Separador de milhares 3 2 6 12 3 3" xfId="13627"/>
    <cellStyle name="Separador de milhares 3 2 6 12 3 3 2" xfId="40126"/>
    <cellStyle name="Separador de milhares 3 2 6 12 3 4" xfId="34218"/>
    <cellStyle name="Separador de milhares 3 2 6 12 3 5" xfId="27684"/>
    <cellStyle name="Separador de milhares 3 2 6 12 4" xfId="16590"/>
    <cellStyle name="Separador de milhares 3 2 6 12 4 2" xfId="43080"/>
    <cellStyle name="Separador de milhares 3 2 6 12 4 3" xfId="24178"/>
    <cellStyle name="Separador de milhares 3 2 6 12 5" xfId="10663"/>
    <cellStyle name="Separador de milhares 3 2 6 12 5 2" xfId="37172"/>
    <cellStyle name="Separador de milhares 3 2 6 12 6" xfId="30712"/>
    <cellStyle name="Separador de milhares 3 2 6 12 7" xfId="22406"/>
    <cellStyle name="Separador de milhares 3 2 6 13" xfId="4941"/>
    <cellStyle name="Separador de milhares 3 2 6 13 2" xfId="8165"/>
    <cellStyle name="Separador de milhares 3 2 6 13 2 2" xfId="20019"/>
    <cellStyle name="Separador de milhares 3 2 6 13 2 2 2" xfId="46498"/>
    <cellStyle name="Separador de milhares 3 2 6 13 2 3" xfId="14092"/>
    <cellStyle name="Separador de milhares 3 2 6 13 2 3 2" xfId="40590"/>
    <cellStyle name="Separador de milhares 3 2 6 13 2 4" xfId="34682"/>
    <cellStyle name="Separador de milhares 3 2 6 13 2 5" xfId="28148"/>
    <cellStyle name="Separador de milhares 3 2 6 13 3" xfId="17055"/>
    <cellStyle name="Separador de milhares 3 2 6 13 3 2" xfId="43544"/>
    <cellStyle name="Separador de milhares 3 2 6 13 4" xfId="11128"/>
    <cellStyle name="Separador de milhares 3 2 6 13 4 2" xfId="37636"/>
    <cellStyle name="Separador de milhares 3 2 6 13 5" xfId="31468"/>
    <cellStyle name="Separador de milhares 3 2 6 13 6" xfId="24934"/>
    <cellStyle name="Separador de milhares 3 2 6 14" xfId="6689"/>
    <cellStyle name="Separador de milhares 3 2 6 14 2" xfId="18543"/>
    <cellStyle name="Separador de milhares 3 2 6 14 2 2" xfId="45030"/>
    <cellStyle name="Separador de milhares 3 2 6 14 3" xfId="12616"/>
    <cellStyle name="Separador de milhares 3 2 6 14 3 2" xfId="39122"/>
    <cellStyle name="Separador de milhares 3 2 6 14 4" xfId="33214"/>
    <cellStyle name="Separador de milhares 3 2 6 14 5" xfId="26680"/>
    <cellStyle name="Separador de milhares 3 2 6 15" xfId="15579"/>
    <cellStyle name="Separador de milhares 3 2 6 15 2" xfId="42076"/>
    <cellStyle name="Separador de milhares 3 2 6 15 3" xfId="23162"/>
    <cellStyle name="Separador de milhares 3 2 6 16" xfId="9652"/>
    <cellStyle name="Separador de milhares 3 2 6 16 2" xfId="36168"/>
    <cellStyle name="Separador de milhares 3 2 6 17" xfId="29696"/>
    <cellStyle name="Separador de milhares 3 2 6 2" xfId="323"/>
    <cellStyle name="Separador de milhares 3 2 6 2 10" xfId="4970"/>
    <cellStyle name="Separador de milhares 3 2 6 2 10 2" xfId="8192"/>
    <cellStyle name="Separador de milhares 3 2 6 2 10 2 2" xfId="20046"/>
    <cellStyle name="Separador de milhares 3 2 6 2 10 2 2 2" xfId="46525"/>
    <cellStyle name="Separador de milhares 3 2 6 2 10 2 3" xfId="14119"/>
    <cellStyle name="Separador de milhares 3 2 6 2 10 2 3 2" xfId="40617"/>
    <cellStyle name="Separador de milhares 3 2 6 2 10 2 4" xfId="34709"/>
    <cellStyle name="Separador de milhares 3 2 6 2 10 2 5" xfId="28175"/>
    <cellStyle name="Separador de milhares 3 2 6 2 10 3" xfId="17082"/>
    <cellStyle name="Separador de milhares 3 2 6 2 10 3 2" xfId="43571"/>
    <cellStyle name="Separador de milhares 3 2 6 2 10 4" xfId="11155"/>
    <cellStyle name="Separador de milhares 3 2 6 2 10 4 2" xfId="37663"/>
    <cellStyle name="Separador de milhares 3 2 6 2 10 5" xfId="31497"/>
    <cellStyle name="Separador de milhares 3 2 6 2 10 6" xfId="24963"/>
    <cellStyle name="Separador de milhares 3 2 6 2 11" xfId="6716"/>
    <cellStyle name="Separador de milhares 3 2 6 2 11 2" xfId="18570"/>
    <cellStyle name="Separador de milhares 3 2 6 2 11 2 2" xfId="45057"/>
    <cellStyle name="Separador de milhares 3 2 6 2 11 3" xfId="12643"/>
    <cellStyle name="Separador de milhares 3 2 6 2 11 3 2" xfId="39149"/>
    <cellStyle name="Separador de milhares 3 2 6 2 11 4" xfId="33241"/>
    <cellStyle name="Separador de milhares 3 2 6 2 11 5" xfId="26707"/>
    <cellStyle name="Separador de milhares 3 2 6 2 12" xfId="15606"/>
    <cellStyle name="Separador de milhares 3 2 6 2 12 2" xfId="42103"/>
    <cellStyle name="Separador de milhares 3 2 6 2 12 3" xfId="23191"/>
    <cellStyle name="Separador de milhares 3 2 6 2 13" xfId="9679"/>
    <cellStyle name="Separador de milhares 3 2 6 2 13 2" xfId="36195"/>
    <cellStyle name="Separador de milhares 3 2 6 2 14" xfId="29725"/>
    <cellStyle name="Separador de milhares 3 2 6 2 15" xfId="21443"/>
    <cellStyle name="Separador de milhares 3 2 6 2 2" xfId="598"/>
    <cellStyle name="Separador de milhares 3 2 6 2 2 10" xfId="9753"/>
    <cellStyle name="Separador de milhares 3 2 6 2 2 10 2" xfId="36269"/>
    <cellStyle name="Separador de milhares 3 2 6 2 2 11" xfId="29806"/>
    <cellStyle name="Separador de milhares 3 2 6 2 2 12" xfId="21501"/>
    <cellStyle name="Separador de milhares 3 2 6 2 2 2" xfId="2119"/>
    <cellStyle name="Separador de milhares 3 2 6 2 2 2 2" xfId="5489"/>
    <cellStyle name="Separador de milhares 3 2 6 2 2 2 2 2" xfId="8704"/>
    <cellStyle name="Separador de milhares 3 2 6 2 2 2 2 2 2" xfId="20558"/>
    <cellStyle name="Separador de milhares 3 2 6 2 2 2 2 2 2 2" xfId="47037"/>
    <cellStyle name="Separador de milhares 3 2 6 2 2 2 2 2 3" xfId="14631"/>
    <cellStyle name="Separador de milhares 3 2 6 2 2 2 2 2 3 2" xfId="41129"/>
    <cellStyle name="Separador de milhares 3 2 6 2 2 2 2 2 4" xfId="35221"/>
    <cellStyle name="Separador de milhares 3 2 6 2 2 2 2 2 5" xfId="28687"/>
    <cellStyle name="Separador de milhares 3 2 6 2 2 2 2 3" xfId="17594"/>
    <cellStyle name="Separador de milhares 3 2 6 2 2 2 2 3 2" xfId="44083"/>
    <cellStyle name="Separador de milhares 3 2 6 2 2 2 2 4" xfId="11667"/>
    <cellStyle name="Separador de milhares 3 2 6 2 2 2 2 4 2" xfId="38175"/>
    <cellStyle name="Separador de milhares 3 2 6 2 2 2 2 5" xfId="32016"/>
    <cellStyle name="Separador de milhares 3 2 6 2 2 2 2 6" xfId="25482"/>
    <cellStyle name="Separador de milhares 3 2 6 2 2 2 3" xfId="7232"/>
    <cellStyle name="Separador de milhares 3 2 6 2 2 2 3 2" xfId="19086"/>
    <cellStyle name="Separador de milhares 3 2 6 2 2 2 3 2 2" xfId="45569"/>
    <cellStyle name="Separador de milhares 3 2 6 2 2 2 3 3" xfId="13159"/>
    <cellStyle name="Separador de milhares 3 2 6 2 2 2 3 3 2" xfId="39661"/>
    <cellStyle name="Separador de milhares 3 2 6 2 2 2 3 4" xfId="33753"/>
    <cellStyle name="Separador de milhares 3 2 6 2 2 2 3 5" xfId="27219"/>
    <cellStyle name="Separador de milhares 3 2 6 2 2 2 4" xfId="16122"/>
    <cellStyle name="Separador de milhares 3 2 6 2 2 2 4 2" xfId="42615"/>
    <cellStyle name="Separador de milhares 3 2 6 2 2 2 4 3" xfId="23710"/>
    <cellStyle name="Separador de milhares 3 2 6 2 2 2 5" xfId="10195"/>
    <cellStyle name="Separador de milhares 3 2 6 2 2 2 5 2" xfId="36707"/>
    <cellStyle name="Separador de milhares 3 2 6 2 2 2 6" xfId="30244"/>
    <cellStyle name="Separador de milhares 3 2 6 2 2 2 7" xfId="21938"/>
    <cellStyle name="Separador de milhares 3 2 6 2 2 3" xfId="2652"/>
    <cellStyle name="Separador de milhares 3 2 6 2 2 3 2" xfId="5639"/>
    <cellStyle name="Separador de milhares 3 2 6 2 2 3 2 2" xfId="8851"/>
    <cellStyle name="Separador de milhares 3 2 6 2 2 3 2 2 2" xfId="20705"/>
    <cellStyle name="Separador de milhares 3 2 6 2 2 3 2 2 2 2" xfId="47184"/>
    <cellStyle name="Separador de milhares 3 2 6 2 2 3 2 2 3" xfId="14778"/>
    <cellStyle name="Separador de milhares 3 2 6 2 2 3 2 2 3 2" xfId="41276"/>
    <cellStyle name="Separador de milhares 3 2 6 2 2 3 2 2 4" xfId="35368"/>
    <cellStyle name="Separador de milhares 3 2 6 2 2 3 2 2 5" xfId="28834"/>
    <cellStyle name="Separador de milhares 3 2 6 2 2 3 2 3" xfId="17741"/>
    <cellStyle name="Separador de milhares 3 2 6 2 2 3 2 3 2" xfId="44230"/>
    <cellStyle name="Separador de milhares 3 2 6 2 2 3 2 4" xfId="11814"/>
    <cellStyle name="Separador de milhares 3 2 6 2 2 3 2 4 2" xfId="38322"/>
    <cellStyle name="Separador de milhares 3 2 6 2 2 3 2 5" xfId="32166"/>
    <cellStyle name="Separador de milhares 3 2 6 2 2 3 2 6" xfId="25632"/>
    <cellStyle name="Separador de milhares 3 2 6 2 2 3 3" xfId="7380"/>
    <cellStyle name="Separador de milhares 3 2 6 2 2 3 3 2" xfId="19234"/>
    <cellStyle name="Separador de milhares 3 2 6 2 2 3 3 2 2" xfId="45716"/>
    <cellStyle name="Separador de milhares 3 2 6 2 2 3 3 3" xfId="13307"/>
    <cellStyle name="Separador de milhares 3 2 6 2 2 3 3 3 2" xfId="39808"/>
    <cellStyle name="Separador de milhares 3 2 6 2 2 3 3 4" xfId="33900"/>
    <cellStyle name="Separador de milhares 3 2 6 2 2 3 3 5" xfId="27366"/>
    <cellStyle name="Separador de milhares 3 2 6 2 2 3 4" xfId="16270"/>
    <cellStyle name="Separador de milhares 3 2 6 2 2 3 4 2" xfId="42762"/>
    <cellStyle name="Separador de milhares 3 2 6 2 2 3 4 3" xfId="23860"/>
    <cellStyle name="Separador de milhares 3 2 6 2 2 3 5" xfId="10343"/>
    <cellStyle name="Separador de milhares 3 2 6 2 2 3 5 2" xfId="36854"/>
    <cellStyle name="Separador de milhares 3 2 6 2 2 3 6" xfId="30394"/>
    <cellStyle name="Separador de milhares 3 2 6 2 2 3 7" xfId="22088"/>
    <cellStyle name="Separador de milhares 3 2 6 2 2 4" xfId="3180"/>
    <cellStyle name="Separador de milhares 3 2 6 2 2 4 2" xfId="5786"/>
    <cellStyle name="Separador de milhares 3 2 6 2 2 4 2 2" xfId="8998"/>
    <cellStyle name="Separador de milhares 3 2 6 2 2 4 2 2 2" xfId="20852"/>
    <cellStyle name="Separador de milhares 3 2 6 2 2 4 2 2 2 2" xfId="47331"/>
    <cellStyle name="Separador de milhares 3 2 6 2 2 4 2 2 3" xfId="14925"/>
    <cellStyle name="Separador de milhares 3 2 6 2 2 4 2 2 3 2" xfId="41423"/>
    <cellStyle name="Separador de milhares 3 2 6 2 2 4 2 2 4" xfId="35515"/>
    <cellStyle name="Separador de milhares 3 2 6 2 2 4 2 2 5" xfId="28981"/>
    <cellStyle name="Separador de milhares 3 2 6 2 2 4 2 3" xfId="17888"/>
    <cellStyle name="Separador de milhares 3 2 6 2 2 4 2 3 2" xfId="44377"/>
    <cellStyle name="Separador de milhares 3 2 6 2 2 4 2 4" xfId="11961"/>
    <cellStyle name="Separador de milhares 3 2 6 2 2 4 2 4 2" xfId="38469"/>
    <cellStyle name="Separador de milhares 3 2 6 2 2 4 2 5" xfId="32313"/>
    <cellStyle name="Separador de milhares 3 2 6 2 2 4 2 6" xfId="25779"/>
    <cellStyle name="Separador de milhares 3 2 6 2 2 4 3" xfId="7528"/>
    <cellStyle name="Separador de milhares 3 2 6 2 2 4 3 2" xfId="19382"/>
    <cellStyle name="Separador de milhares 3 2 6 2 2 4 3 2 2" xfId="45863"/>
    <cellStyle name="Separador de milhares 3 2 6 2 2 4 3 3" xfId="13455"/>
    <cellStyle name="Separador de milhares 3 2 6 2 2 4 3 3 2" xfId="39955"/>
    <cellStyle name="Separador de milhares 3 2 6 2 2 4 3 4" xfId="34047"/>
    <cellStyle name="Separador de milhares 3 2 6 2 2 4 3 5" xfId="27513"/>
    <cellStyle name="Separador de milhares 3 2 6 2 2 4 4" xfId="16418"/>
    <cellStyle name="Separador de milhares 3 2 6 2 2 4 4 2" xfId="42909"/>
    <cellStyle name="Separador de milhares 3 2 6 2 2 4 4 3" xfId="24007"/>
    <cellStyle name="Separador de milhares 3 2 6 2 2 4 5" xfId="10491"/>
    <cellStyle name="Separador de milhares 3 2 6 2 2 4 5 2" xfId="37001"/>
    <cellStyle name="Separador de milhares 3 2 6 2 2 4 6" xfId="30541"/>
    <cellStyle name="Separador de milhares 3 2 6 2 2 4 7" xfId="22235"/>
    <cellStyle name="Separador de milhares 3 2 6 2 2 5" xfId="3708"/>
    <cellStyle name="Separador de milhares 3 2 6 2 2 5 2" xfId="5933"/>
    <cellStyle name="Separador de milhares 3 2 6 2 2 5 2 2" xfId="9145"/>
    <cellStyle name="Separador de milhares 3 2 6 2 2 5 2 2 2" xfId="20999"/>
    <cellStyle name="Separador de milhares 3 2 6 2 2 5 2 2 2 2" xfId="47478"/>
    <cellStyle name="Separador de milhares 3 2 6 2 2 5 2 2 3" xfId="15072"/>
    <cellStyle name="Separador de milhares 3 2 6 2 2 5 2 2 3 2" xfId="41570"/>
    <cellStyle name="Separador de milhares 3 2 6 2 2 5 2 2 4" xfId="35662"/>
    <cellStyle name="Separador de milhares 3 2 6 2 2 5 2 2 5" xfId="29128"/>
    <cellStyle name="Separador de milhares 3 2 6 2 2 5 2 3" xfId="18035"/>
    <cellStyle name="Separador de milhares 3 2 6 2 2 5 2 3 2" xfId="44524"/>
    <cellStyle name="Separador de milhares 3 2 6 2 2 5 2 4" xfId="12108"/>
    <cellStyle name="Separador de milhares 3 2 6 2 2 5 2 4 2" xfId="38616"/>
    <cellStyle name="Separador de milhares 3 2 6 2 2 5 2 5" xfId="32460"/>
    <cellStyle name="Separador de milhares 3 2 6 2 2 5 2 6" xfId="25926"/>
    <cellStyle name="Separador de milhares 3 2 6 2 2 5 3" xfId="7676"/>
    <cellStyle name="Separador de milhares 3 2 6 2 2 5 3 2" xfId="19530"/>
    <cellStyle name="Separador de milhares 3 2 6 2 2 5 3 2 2" xfId="46010"/>
    <cellStyle name="Separador de milhares 3 2 6 2 2 5 3 3" xfId="13603"/>
    <cellStyle name="Separador de milhares 3 2 6 2 2 5 3 3 2" xfId="40102"/>
    <cellStyle name="Separador de milhares 3 2 6 2 2 5 3 4" xfId="34194"/>
    <cellStyle name="Separador de milhares 3 2 6 2 2 5 3 5" xfId="27660"/>
    <cellStyle name="Separador de milhares 3 2 6 2 2 5 4" xfId="16566"/>
    <cellStyle name="Separador de milhares 3 2 6 2 2 5 4 2" xfId="43056"/>
    <cellStyle name="Separador de milhares 3 2 6 2 2 5 4 3" xfId="24154"/>
    <cellStyle name="Separador de milhares 3 2 6 2 2 5 5" xfId="10639"/>
    <cellStyle name="Separador de milhares 3 2 6 2 2 5 5 2" xfId="37148"/>
    <cellStyle name="Separador de milhares 3 2 6 2 2 5 6" xfId="30688"/>
    <cellStyle name="Separador de milhares 3 2 6 2 2 5 7" xfId="22382"/>
    <cellStyle name="Separador de milhares 3 2 6 2 2 6" xfId="4236"/>
    <cellStyle name="Separador de milhares 3 2 6 2 2 6 2" xfId="6080"/>
    <cellStyle name="Separador de milhares 3 2 6 2 2 6 2 2" xfId="9292"/>
    <cellStyle name="Separador de milhares 3 2 6 2 2 6 2 2 2" xfId="21146"/>
    <cellStyle name="Separador de milhares 3 2 6 2 2 6 2 2 2 2" xfId="47625"/>
    <cellStyle name="Separador de milhares 3 2 6 2 2 6 2 2 3" xfId="15219"/>
    <cellStyle name="Separador de milhares 3 2 6 2 2 6 2 2 3 2" xfId="41717"/>
    <cellStyle name="Separador de milhares 3 2 6 2 2 6 2 2 4" xfId="35809"/>
    <cellStyle name="Separador de milhares 3 2 6 2 2 6 2 2 5" xfId="29275"/>
    <cellStyle name="Separador de milhares 3 2 6 2 2 6 2 3" xfId="18182"/>
    <cellStyle name="Separador de milhares 3 2 6 2 2 6 2 3 2" xfId="44671"/>
    <cellStyle name="Separador de milhares 3 2 6 2 2 6 2 4" xfId="12255"/>
    <cellStyle name="Separador de milhares 3 2 6 2 2 6 2 4 2" xfId="38763"/>
    <cellStyle name="Separador de milhares 3 2 6 2 2 6 2 5" xfId="32607"/>
    <cellStyle name="Separador de milhares 3 2 6 2 2 6 2 6" xfId="26073"/>
    <cellStyle name="Separador de milhares 3 2 6 2 2 6 3" xfId="7824"/>
    <cellStyle name="Separador de milhares 3 2 6 2 2 6 3 2" xfId="19678"/>
    <cellStyle name="Separador de milhares 3 2 6 2 2 6 3 2 2" xfId="46157"/>
    <cellStyle name="Separador de milhares 3 2 6 2 2 6 3 3" xfId="13751"/>
    <cellStyle name="Separador de milhares 3 2 6 2 2 6 3 3 2" xfId="40249"/>
    <cellStyle name="Separador de milhares 3 2 6 2 2 6 3 4" xfId="34341"/>
    <cellStyle name="Separador de milhares 3 2 6 2 2 6 3 5" xfId="27807"/>
    <cellStyle name="Separador de milhares 3 2 6 2 2 6 4" xfId="16714"/>
    <cellStyle name="Separador de milhares 3 2 6 2 2 6 4 2" xfId="43203"/>
    <cellStyle name="Separador de milhares 3 2 6 2 2 6 4 3" xfId="24301"/>
    <cellStyle name="Separador de milhares 3 2 6 2 2 6 5" xfId="10787"/>
    <cellStyle name="Separador de milhares 3 2 6 2 2 6 5 2" xfId="37295"/>
    <cellStyle name="Separador de milhares 3 2 6 2 2 6 6" xfId="30835"/>
    <cellStyle name="Separador de milhares 3 2 6 2 2 6 7" xfId="22529"/>
    <cellStyle name="Separador de milhares 3 2 6 2 2 7" xfId="5051"/>
    <cellStyle name="Separador de milhares 3 2 6 2 2 7 2" xfId="8266"/>
    <cellStyle name="Separador de milhares 3 2 6 2 2 7 2 2" xfId="20120"/>
    <cellStyle name="Separador de milhares 3 2 6 2 2 7 2 2 2" xfId="46599"/>
    <cellStyle name="Separador de milhares 3 2 6 2 2 7 2 3" xfId="14193"/>
    <cellStyle name="Separador de milhares 3 2 6 2 2 7 2 3 2" xfId="40691"/>
    <cellStyle name="Separador de milhares 3 2 6 2 2 7 2 4" xfId="34783"/>
    <cellStyle name="Separador de milhares 3 2 6 2 2 7 2 5" xfId="28249"/>
    <cellStyle name="Separador de milhares 3 2 6 2 2 7 3" xfId="17156"/>
    <cellStyle name="Separador de milhares 3 2 6 2 2 7 3 2" xfId="43645"/>
    <cellStyle name="Separador de milhares 3 2 6 2 2 7 4" xfId="11229"/>
    <cellStyle name="Separador de milhares 3 2 6 2 2 7 4 2" xfId="37737"/>
    <cellStyle name="Separador de milhares 3 2 6 2 2 7 5" xfId="31578"/>
    <cellStyle name="Separador de milhares 3 2 6 2 2 7 6" xfId="25044"/>
    <cellStyle name="Separador de milhares 3 2 6 2 2 8" xfId="6790"/>
    <cellStyle name="Separador de milhares 3 2 6 2 2 8 2" xfId="18644"/>
    <cellStyle name="Separador de milhares 3 2 6 2 2 8 2 2" xfId="45131"/>
    <cellStyle name="Separador de milhares 3 2 6 2 2 8 3" xfId="12717"/>
    <cellStyle name="Separador de milhares 3 2 6 2 2 8 3 2" xfId="39223"/>
    <cellStyle name="Separador de milhares 3 2 6 2 2 8 4" xfId="33315"/>
    <cellStyle name="Separador de milhares 3 2 6 2 2 8 5" xfId="26781"/>
    <cellStyle name="Separador de milhares 3 2 6 2 2 9" xfId="15680"/>
    <cellStyle name="Separador de milhares 3 2 6 2 2 9 2" xfId="42177"/>
    <cellStyle name="Separador de milhares 3 2 6 2 2 9 3" xfId="23272"/>
    <cellStyle name="Separador de milhares 3 2 6 2 3" xfId="1072"/>
    <cellStyle name="Separador de milhares 3 2 6 2 3 2" xfId="5202"/>
    <cellStyle name="Separador de milhares 3 2 6 2 3 2 2" xfId="8417"/>
    <cellStyle name="Separador de milhares 3 2 6 2 3 2 2 2" xfId="20271"/>
    <cellStyle name="Separador de milhares 3 2 6 2 3 2 2 2 2" xfId="46750"/>
    <cellStyle name="Separador de milhares 3 2 6 2 3 2 2 3" xfId="14344"/>
    <cellStyle name="Separador de milhares 3 2 6 2 3 2 2 3 2" xfId="40842"/>
    <cellStyle name="Separador de milhares 3 2 6 2 3 2 2 4" xfId="34934"/>
    <cellStyle name="Separador de milhares 3 2 6 2 3 2 2 5" xfId="28400"/>
    <cellStyle name="Separador de milhares 3 2 6 2 3 2 3" xfId="17307"/>
    <cellStyle name="Separador de milhares 3 2 6 2 3 2 3 2" xfId="43796"/>
    <cellStyle name="Separador de milhares 3 2 6 2 3 2 4" xfId="11380"/>
    <cellStyle name="Separador de milhares 3 2 6 2 3 2 4 2" xfId="37888"/>
    <cellStyle name="Separador de milhares 3 2 6 2 3 2 5" xfId="31729"/>
    <cellStyle name="Separador de milhares 3 2 6 2 3 2 6" xfId="25195"/>
    <cellStyle name="Separador de milhares 3 2 6 2 3 3" xfId="6944"/>
    <cellStyle name="Separador de milhares 3 2 6 2 3 3 2" xfId="18798"/>
    <cellStyle name="Separador de milhares 3 2 6 2 3 3 2 2" xfId="45282"/>
    <cellStyle name="Separador de milhares 3 2 6 2 3 3 3" xfId="12871"/>
    <cellStyle name="Separador de milhares 3 2 6 2 3 3 3 2" xfId="39374"/>
    <cellStyle name="Separador de milhares 3 2 6 2 3 3 4" xfId="33466"/>
    <cellStyle name="Separador de milhares 3 2 6 2 3 3 5" xfId="26932"/>
    <cellStyle name="Separador de milhares 3 2 6 2 3 4" xfId="15834"/>
    <cellStyle name="Separador de milhares 3 2 6 2 3 4 2" xfId="42328"/>
    <cellStyle name="Separador de milhares 3 2 6 2 3 4 3" xfId="23423"/>
    <cellStyle name="Separador de milhares 3 2 6 2 3 5" xfId="9907"/>
    <cellStyle name="Separador de milhares 3 2 6 2 3 5 2" xfId="36420"/>
    <cellStyle name="Separador de milhares 3 2 6 2 3 6" xfId="29957"/>
    <cellStyle name="Separador de milhares 3 2 6 2 3 7" xfId="21651"/>
    <cellStyle name="Separador de milhares 3 2 6 2 4" xfId="1423"/>
    <cellStyle name="Separador de milhares 3 2 6 2 4 2" xfId="5300"/>
    <cellStyle name="Separador de milhares 3 2 6 2 4 2 2" xfId="8515"/>
    <cellStyle name="Separador de milhares 3 2 6 2 4 2 2 2" xfId="20369"/>
    <cellStyle name="Separador de milhares 3 2 6 2 4 2 2 2 2" xfId="46848"/>
    <cellStyle name="Separador de milhares 3 2 6 2 4 2 2 3" xfId="14442"/>
    <cellStyle name="Separador de milhares 3 2 6 2 4 2 2 3 2" xfId="40940"/>
    <cellStyle name="Separador de milhares 3 2 6 2 4 2 2 4" xfId="35032"/>
    <cellStyle name="Separador de milhares 3 2 6 2 4 2 2 5" xfId="28498"/>
    <cellStyle name="Separador de milhares 3 2 6 2 4 2 3" xfId="17405"/>
    <cellStyle name="Separador de milhares 3 2 6 2 4 2 3 2" xfId="43894"/>
    <cellStyle name="Separador de milhares 3 2 6 2 4 2 4" xfId="11478"/>
    <cellStyle name="Separador de milhares 3 2 6 2 4 2 4 2" xfId="37986"/>
    <cellStyle name="Separador de milhares 3 2 6 2 4 2 5" xfId="31827"/>
    <cellStyle name="Separador de milhares 3 2 6 2 4 2 6" xfId="25293"/>
    <cellStyle name="Separador de milhares 3 2 6 2 4 3" xfId="7042"/>
    <cellStyle name="Separador de milhares 3 2 6 2 4 3 2" xfId="18896"/>
    <cellStyle name="Separador de milhares 3 2 6 2 4 3 2 2" xfId="45380"/>
    <cellStyle name="Separador de milhares 3 2 6 2 4 3 3" xfId="12969"/>
    <cellStyle name="Separador de milhares 3 2 6 2 4 3 3 2" xfId="39472"/>
    <cellStyle name="Separador de milhares 3 2 6 2 4 3 4" xfId="33564"/>
    <cellStyle name="Separador de milhares 3 2 6 2 4 3 5" xfId="27030"/>
    <cellStyle name="Separador de milhares 3 2 6 2 4 4" xfId="15932"/>
    <cellStyle name="Separador de milhares 3 2 6 2 4 4 2" xfId="42426"/>
    <cellStyle name="Separador de milhares 3 2 6 2 4 4 3" xfId="23521"/>
    <cellStyle name="Separador de milhares 3 2 6 2 4 5" xfId="10005"/>
    <cellStyle name="Separador de milhares 3 2 6 2 4 5 2" xfId="36518"/>
    <cellStyle name="Separador de milhares 3 2 6 2 4 6" xfId="30055"/>
    <cellStyle name="Separador de milhares 3 2 6 2 4 7" xfId="21749"/>
    <cellStyle name="Separador de milhares 3 2 6 2 5" xfId="1858"/>
    <cellStyle name="Separador de milhares 3 2 6 2 5 2" xfId="5419"/>
    <cellStyle name="Separador de milhares 3 2 6 2 5 2 2" xfId="8634"/>
    <cellStyle name="Separador de milhares 3 2 6 2 5 2 2 2" xfId="20488"/>
    <cellStyle name="Separador de milhares 3 2 6 2 5 2 2 2 2" xfId="46967"/>
    <cellStyle name="Separador de milhares 3 2 6 2 5 2 2 3" xfId="14561"/>
    <cellStyle name="Separador de milhares 3 2 6 2 5 2 2 3 2" xfId="41059"/>
    <cellStyle name="Separador de milhares 3 2 6 2 5 2 2 4" xfId="35151"/>
    <cellStyle name="Separador de milhares 3 2 6 2 5 2 2 5" xfId="28617"/>
    <cellStyle name="Separador de milhares 3 2 6 2 5 2 3" xfId="17524"/>
    <cellStyle name="Separador de milhares 3 2 6 2 5 2 3 2" xfId="44013"/>
    <cellStyle name="Separador de milhares 3 2 6 2 5 2 4" xfId="11597"/>
    <cellStyle name="Separador de milhares 3 2 6 2 5 2 4 2" xfId="38105"/>
    <cellStyle name="Separador de milhares 3 2 6 2 5 2 5" xfId="31946"/>
    <cellStyle name="Separador de milhares 3 2 6 2 5 2 6" xfId="25412"/>
    <cellStyle name="Separador de milhares 3 2 6 2 5 3" xfId="7161"/>
    <cellStyle name="Separador de milhares 3 2 6 2 5 3 2" xfId="19015"/>
    <cellStyle name="Separador de milhares 3 2 6 2 5 3 2 2" xfId="45499"/>
    <cellStyle name="Separador de milhares 3 2 6 2 5 3 3" xfId="13088"/>
    <cellStyle name="Separador de milhares 3 2 6 2 5 3 3 2" xfId="39591"/>
    <cellStyle name="Separador de milhares 3 2 6 2 5 3 4" xfId="33683"/>
    <cellStyle name="Separador de milhares 3 2 6 2 5 3 5" xfId="27149"/>
    <cellStyle name="Separador de milhares 3 2 6 2 5 4" xfId="16051"/>
    <cellStyle name="Separador de milhares 3 2 6 2 5 4 2" xfId="42545"/>
    <cellStyle name="Separador de milhares 3 2 6 2 5 4 3" xfId="23640"/>
    <cellStyle name="Separador de milhares 3 2 6 2 5 5" xfId="10124"/>
    <cellStyle name="Separador de milhares 3 2 6 2 5 5 2" xfId="36637"/>
    <cellStyle name="Separador de milhares 3 2 6 2 5 6" xfId="30174"/>
    <cellStyle name="Separador de milhares 3 2 6 2 5 7" xfId="21868"/>
    <cellStyle name="Separador de milhares 3 2 6 2 6" xfId="2391"/>
    <cellStyle name="Separador de milhares 3 2 6 2 6 2" xfId="5569"/>
    <cellStyle name="Separador de milhares 3 2 6 2 6 2 2" xfId="8781"/>
    <cellStyle name="Separador de milhares 3 2 6 2 6 2 2 2" xfId="20635"/>
    <cellStyle name="Separador de milhares 3 2 6 2 6 2 2 2 2" xfId="47114"/>
    <cellStyle name="Separador de milhares 3 2 6 2 6 2 2 3" xfId="14708"/>
    <cellStyle name="Separador de milhares 3 2 6 2 6 2 2 3 2" xfId="41206"/>
    <cellStyle name="Separador de milhares 3 2 6 2 6 2 2 4" xfId="35298"/>
    <cellStyle name="Separador de milhares 3 2 6 2 6 2 2 5" xfId="28764"/>
    <cellStyle name="Separador de milhares 3 2 6 2 6 2 3" xfId="17671"/>
    <cellStyle name="Separador de milhares 3 2 6 2 6 2 3 2" xfId="44160"/>
    <cellStyle name="Separador de milhares 3 2 6 2 6 2 4" xfId="11744"/>
    <cellStyle name="Separador de milhares 3 2 6 2 6 2 4 2" xfId="38252"/>
    <cellStyle name="Separador de milhares 3 2 6 2 6 2 5" xfId="32096"/>
    <cellStyle name="Separador de milhares 3 2 6 2 6 2 6" xfId="25562"/>
    <cellStyle name="Separador de milhares 3 2 6 2 6 3" xfId="7309"/>
    <cellStyle name="Separador de milhares 3 2 6 2 6 3 2" xfId="19163"/>
    <cellStyle name="Separador de milhares 3 2 6 2 6 3 2 2" xfId="45646"/>
    <cellStyle name="Separador de milhares 3 2 6 2 6 3 3" xfId="13236"/>
    <cellStyle name="Separador de milhares 3 2 6 2 6 3 3 2" xfId="39738"/>
    <cellStyle name="Separador de milhares 3 2 6 2 6 3 4" xfId="33830"/>
    <cellStyle name="Separador de milhares 3 2 6 2 6 3 5" xfId="27296"/>
    <cellStyle name="Separador de milhares 3 2 6 2 6 4" xfId="16199"/>
    <cellStyle name="Separador de milhares 3 2 6 2 6 4 2" xfId="42692"/>
    <cellStyle name="Separador de milhares 3 2 6 2 6 4 3" xfId="23790"/>
    <cellStyle name="Separador de milhares 3 2 6 2 6 5" xfId="10272"/>
    <cellStyle name="Separador de milhares 3 2 6 2 6 5 2" xfId="36784"/>
    <cellStyle name="Separador de milhares 3 2 6 2 6 6" xfId="30324"/>
    <cellStyle name="Separador de milhares 3 2 6 2 6 7" xfId="22018"/>
    <cellStyle name="Separador de milhares 3 2 6 2 7" xfId="2919"/>
    <cellStyle name="Separador de milhares 3 2 6 2 7 2" xfId="5716"/>
    <cellStyle name="Separador de milhares 3 2 6 2 7 2 2" xfId="8928"/>
    <cellStyle name="Separador de milhares 3 2 6 2 7 2 2 2" xfId="20782"/>
    <cellStyle name="Separador de milhares 3 2 6 2 7 2 2 2 2" xfId="47261"/>
    <cellStyle name="Separador de milhares 3 2 6 2 7 2 2 3" xfId="14855"/>
    <cellStyle name="Separador de milhares 3 2 6 2 7 2 2 3 2" xfId="41353"/>
    <cellStyle name="Separador de milhares 3 2 6 2 7 2 2 4" xfId="35445"/>
    <cellStyle name="Separador de milhares 3 2 6 2 7 2 2 5" xfId="28911"/>
    <cellStyle name="Separador de milhares 3 2 6 2 7 2 3" xfId="17818"/>
    <cellStyle name="Separador de milhares 3 2 6 2 7 2 3 2" xfId="44307"/>
    <cellStyle name="Separador de milhares 3 2 6 2 7 2 4" xfId="11891"/>
    <cellStyle name="Separador de milhares 3 2 6 2 7 2 4 2" xfId="38399"/>
    <cellStyle name="Separador de milhares 3 2 6 2 7 2 5" xfId="32243"/>
    <cellStyle name="Separador de milhares 3 2 6 2 7 2 6" xfId="25709"/>
    <cellStyle name="Separador de milhares 3 2 6 2 7 3" xfId="7457"/>
    <cellStyle name="Separador de milhares 3 2 6 2 7 3 2" xfId="19311"/>
    <cellStyle name="Separador de milhares 3 2 6 2 7 3 2 2" xfId="45793"/>
    <cellStyle name="Separador de milhares 3 2 6 2 7 3 3" xfId="13384"/>
    <cellStyle name="Separador de milhares 3 2 6 2 7 3 3 2" xfId="39885"/>
    <cellStyle name="Separador de milhares 3 2 6 2 7 3 4" xfId="33977"/>
    <cellStyle name="Separador de milhares 3 2 6 2 7 3 5" xfId="27443"/>
    <cellStyle name="Separador de milhares 3 2 6 2 7 4" xfId="16347"/>
    <cellStyle name="Separador de milhares 3 2 6 2 7 4 2" xfId="42839"/>
    <cellStyle name="Separador de milhares 3 2 6 2 7 4 3" xfId="23937"/>
    <cellStyle name="Separador de milhares 3 2 6 2 7 5" xfId="10420"/>
    <cellStyle name="Separador de milhares 3 2 6 2 7 5 2" xfId="36931"/>
    <cellStyle name="Separador de milhares 3 2 6 2 7 6" xfId="30471"/>
    <cellStyle name="Separador de milhares 3 2 6 2 7 7" xfId="22165"/>
    <cellStyle name="Separador de milhares 3 2 6 2 8" xfId="3447"/>
    <cellStyle name="Separador de milhares 3 2 6 2 8 2" xfId="5863"/>
    <cellStyle name="Separador de milhares 3 2 6 2 8 2 2" xfId="9075"/>
    <cellStyle name="Separador de milhares 3 2 6 2 8 2 2 2" xfId="20929"/>
    <cellStyle name="Separador de milhares 3 2 6 2 8 2 2 2 2" xfId="47408"/>
    <cellStyle name="Separador de milhares 3 2 6 2 8 2 2 3" xfId="15002"/>
    <cellStyle name="Separador de milhares 3 2 6 2 8 2 2 3 2" xfId="41500"/>
    <cellStyle name="Separador de milhares 3 2 6 2 8 2 2 4" xfId="35592"/>
    <cellStyle name="Separador de milhares 3 2 6 2 8 2 2 5" xfId="29058"/>
    <cellStyle name="Separador de milhares 3 2 6 2 8 2 3" xfId="17965"/>
    <cellStyle name="Separador de milhares 3 2 6 2 8 2 3 2" xfId="44454"/>
    <cellStyle name="Separador de milhares 3 2 6 2 8 2 4" xfId="12038"/>
    <cellStyle name="Separador de milhares 3 2 6 2 8 2 4 2" xfId="38546"/>
    <cellStyle name="Separador de milhares 3 2 6 2 8 2 5" xfId="32390"/>
    <cellStyle name="Separador de milhares 3 2 6 2 8 2 6" xfId="25856"/>
    <cellStyle name="Separador de milhares 3 2 6 2 8 3" xfId="7605"/>
    <cellStyle name="Separador de milhares 3 2 6 2 8 3 2" xfId="19459"/>
    <cellStyle name="Separador de milhares 3 2 6 2 8 3 2 2" xfId="45940"/>
    <cellStyle name="Separador de milhares 3 2 6 2 8 3 3" xfId="13532"/>
    <cellStyle name="Separador de milhares 3 2 6 2 8 3 3 2" xfId="40032"/>
    <cellStyle name="Separador de milhares 3 2 6 2 8 3 4" xfId="34124"/>
    <cellStyle name="Separador de milhares 3 2 6 2 8 3 5" xfId="27590"/>
    <cellStyle name="Separador de milhares 3 2 6 2 8 4" xfId="16495"/>
    <cellStyle name="Separador de milhares 3 2 6 2 8 4 2" xfId="42986"/>
    <cellStyle name="Separador de milhares 3 2 6 2 8 4 3" xfId="24084"/>
    <cellStyle name="Separador de milhares 3 2 6 2 8 5" xfId="10568"/>
    <cellStyle name="Separador de milhares 3 2 6 2 8 5 2" xfId="37078"/>
    <cellStyle name="Separador de milhares 3 2 6 2 8 6" xfId="30618"/>
    <cellStyle name="Separador de milhares 3 2 6 2 8 7" xfId="22312"/>
    <cellStyle name="Separador de milhares 3 2 6 2 9" xfId="3975"/>
    <cellStyle name="Separador de milhares 3 2 6 2 9 2" xfId="6010"/>
    <cellStyle name="Separador de milhares 3 2 6 2 9 2 2" xfId="9222"/>
    <cellStyle name="Separador de milhares 3 2 6 2 9 2 2 2" xfId="21076"/>
    <cellStyle name="Separador de milhares 3 2 6 2 9 2 2 2 2" xfId="47555"/>
    <cellStyle name="Separador de milhares 3 2 6 2 9 2 2 3" xfId="15149"/>
    <cellStyle name="Separador de milhares 3 2 6 2 9 2 2 3 2" xfId="41647"/>
    <cellStyle name="Separador de milhares 3 2 6 2 9 2 2 4" xfId="35739"/>
    <cellStyle name="Separador de milhares 3 2 6 2 9 2 2 5" xfId="29205"/>
    <cellStyle name="Separador de milhares 3 2 6 2 9 2 3" xfId="18112"/>
    <cellStyle name="Separador de milhares 3 2 6 2 9 2 3 2" xfId="44601"/>
    <cellStyle name="Separador de milhares 3 2 6 2 9 2 4" xfId="12185"/>
    <cellStyle name="Separador de milhares 3 2 6 2 9 2 4 2" xfId="38693"/>
    <cellStyle name="Separador de milhares 3 2 6 2 9 2 5" xfId="32537"/>
    <cellStyle name="Separador de milhares 3 2 6 2 9 2 6" xfId="26003"/>
    <cellStyle name="Separador de milhares 3 2 6 2 9 3" xfId="7753"/>
    <cellStyle name="Separador de milhares 3 2 6 2 9 3 2" xfId="19607"/>
    <cellStyle name="Separador de milhares 3 2 6 2 9 3 2 2" xfId="46087"/>
    <cellStyle name="Separador de milhares 3 2 6 2 9 3 3" xfId="13680"/>
    <cellStyle name="Separador de milhares 3 2 6 2 9 3 3 2" xfId="40179"/>
    <cellStyle name="Separador de milhares 3 2 6 2 9 3 4" xfId="34271"/>
    <cellStyle name="Separador de milhares 3 2 6 2 9 3 5" xfId="27737"/>
    <cellStyle name="Separador de milhares 3 2 6 2 9 4" xfId="16643"/>
    <cellStyle name="Separador de milhares 3 2 6 2 9 4 2" xfId="43133"/>
    <cellStyle name="Separador de milhares 3 2 6 2 9 4 3" xfId="24231"/>
    <cellStyle name="Separador de milhares 3 2 6 2 9 5" xfId="10716"/>
    <cellStyle name="Separador de milhares 3 2 6 2 9 5 2" xfId="37225"/>
    <cellStyle name="Separador de milhares 3 2 6 2 9 6" xfId="30765"/>
    <cellStyle name="Separador de milhares 3 2 6 2 9 7" xfId="22459"/>
    <cellStyle name="Separador de milhares 3 2 6 3" xfId="420"/>
    <cellStyle name="Separador de milhares 3 2 6 3 10" xfId="5001"/>
    <cellStyle name="Separador de milhares 3 2 6 3 10 2" xfId="8220"/>
    <cellStyle name="Separador de milhares 3 2 6 3 10 2 2" xfId="20074"/>
    <cellStyle name="Separador de milhares 3 2 6 3 10 2 2 2" xfId="46553"/>
    <cellStyle name="Separador de milhares 3 2 6 3 10 2 3" xfId="14147"/>
    <cellStyle name="Separador de milhares 3 2 6 3 10 2 3 2" xfId="40645"/>
    <cellStyle name="Separador de milhares 3 2 6 3 10 2 4" xfId="34737"/>
    <cellStyle name="Separador de milhares 3 2 6 3 10 2 5" xfId="28203"/>
    <cellStyle name="Separador de milhares 3 2 6 3 10 3" xfId="17110"/>
    <cellStyle name="Separador de milhares 3 2 6 3 10 3 2" xfId="43599"/>
    <cellStyle name="Separador de milhares 3 2 6 3 10 4" xfId="11183"/>
    <cellStyle name="Separador de milhares 3 2 6 3 10 4 2" xfId="37691"/>
    <cellStyle name="Separador de milhares 3 2 6 3 10 5" xfId="31528"/>
    <cellStyle name="Separador de milhares 3 2 6 3 10 6" xfId="24994"/>
    <cellStyle name="Separador de milhares 3 2 6 3 11" xfId="6744"/>
    <cellStyle name="Separador de milhares 3 2 6 3 11 2" xfId="18598"/>
    <cellStyle name="Separador de milhares 3 2 6 3 11 2 2" xfId="45085"/>
    <cellStyle name="Separador de milhares 3 2 6 3 11 3" xfId="12671"/>
    <cellStyle name="Separador de milhares 3 2 6 3 11 3 2" xfId="39177"/>
    <cellStyle name="Separador de milhares 3 2 6 3 11 4" xfId="33269"/>
    <cellStyle name="Separador de milhares 3 2 6 3 11 5" xfId="26735"/>
    <cellStyle name="Separador de milhares 3 2 6 3 12" xfId="15634"/>
    <cellStyle name="Separador de milhares 3 2 6 3 12 2" xfId="42131"/>
    <cellStyle name="Separador de milhares 3 2 6 3 12 3" xfId="23222"/>
    <cellStyle name="Separador de milhares 3 2 6 3 13" xfId="9707"/>
    <cellStyle name="Separador de milhares 3 2 6 3 13 2" xfId="36223"/>
    <cellStyle name="Separador de milhares 3 2 6 3 14" xfId="29756"/>
    <cellStyle name="Separador de milhares 3 2 6 3 15" xfId="21474"/>
    <cellStyle name="Separador de milhares 3 2 6 3 2" xfId="683"/>
    <cellStyle name="Separador de milhares 3 2 6 3 2 2" xfId="5072"/>
    <cellStyle name="Separador de milhares 3 2 6 3 2 2 2" xfId="8287"/>
    <cellStyle name="Separador de milhares 3 2 6 3 2 2 2 2" xfId="20141"/>
    <cellStyle name="Separador de milhares 3 2 6 3 2 2 2 2 2" xfId="46620"/>
    <cellStyle name="Separador de milhares 3 2 6 3 2 2 2 3" xfId="14214"/>
    <cellStyle name="Separador de milhares 3 2 6 3 2 2 2 3 2" xfId="40712"/>
    <cellStyle name="Separador de milhares 3 2 6 3 2 2 2 4" xfId="34804"/>
    <cellStyle name="Separador de milhares 3 2 6 3 2 2 2 5" xfId="28270"/>
    <cellStyle name="Separador de milhares 3 2 6 3 2 2 3" xfId="17177"/>
    <cellStyle name="Separador de milhares 3 2 6 3 2 2 3 2" xfId="43666"/>
    <cellStyle name="Separador de milhares 3 2 6 3 2 2 4" xfId="11250"/>
    <cellStyle name="Separador de milhares 3 2 6 3 2 2 4 2" xfId="37758"/>
    <cellStyle name="Separador de milhares 3 2 6 3 2 2 5" xfId="31599"/>
    <cellStyle name="Separador de milhares 3 2 6 3 2 2 6" xfId="25065"/>
    <cellStyle name="Separador de milhares 3 2 6 3 2 3" xfId="6811"/>
    <cellStyle name="Separador de milhares 3 2 6 3 2 3 2" xfId="18665"/>
    <cellStyle name="Separador de milhares 3 2 6 3 2 3 2 2" xfId="45152"/>
    <cellStyle name="Separador de milhares 3 2 6 3 2 3 3" xfId="12738"/>
    <cellStyle name="Separador de milhares 3 2 6 3 2 3 3 2" xfId="39244"/>
    <cellStyle name="Separador de milhares 3 2 6 3 2 3 4" xfId="33336"/>
    <cellStyle name="Separador de milhares 3 2 6 3 2 3 5" xfId="26802"/>
    <cellStyle name="Separador de milhares 3 2 6 3 2 4" xfId="15701"/>
    <cellStyle name="Separador de milhares 3 2 6 3 2 4 2" xfId="42198"/>
    <cellStyle name="Separador de milhares 3 2 6 3 2 4 3" xfId="23293"/>
    <cellStyle name="Separador de milhares 3 2 6 3 2 5" xfId="9774"/>
    <cellStyle name="Separador de milhares 3 2 6 3 2 5 2" xfId="36290"/>
    <cellStyle name="Separador de milhares 3 2 6 3 2 6" xfId="29827"/>
    <cellStyle name="Separador de milhares 3 2 6 3 2 7" xfId="21522"/>
    <cellStyle name="Separador de milhares 3 2 6 3 3" xfId="981"/>
    <cellStyle name="Separador de milhares 3 2 6 3 3 2" xfId="5174"/>
    <cellStyle name="Separador de milhares 3 2 6 3 3 2 2" xfId="8389"/>
    <cellStyle name="Separador de milhares 3 2 6 3 3 2 2 2" xfId="20243"/>
    <cellStyle name="Separador de milhares 3 2 6 3 3 2 2 2 2" xfId="46722"/>
    <cellStyle name="Separador de milhares 3 2 6 3 3 2 2 3" xfId="14316"/>
    <cellStyle name="Separador de milhares 3 2 6 3 3 2 2 3 2" xfId="40814"/>
    <cellStyle name="Separador de milhares 3 2 6 3 3 2 2 4" xfId="34906"/>
    <cellStyle name="Separador de milhares 3 2 6 3 3 2 2 5" xfId="28372"/>
    <cellStyle name="Separador de milhares 3 2 6 3 3 2 3" xfId="17279"/>
    <cellStyle name="Separador de milhares 3 2 6 3 3 2 3 2" xfId="43768"/>
    <cellStyle name="Separador de milhares 3 2 6 3 3 2 4" xfId="11352"/>
    <cellStyle name="Separador de milhares 3 2 6 3 3 2 4 2" xfId="37860"/>
    <cellStyle name="Separador de milhares 3 2 6 3 3 2 5" xfId="31701"/>
    <cellStyle name="Separador de milhares 3 2 6 3 3 2 6" xfId="25167"/>
    <cellStyle name="Separador de milhares 3 2 6 3 3 3" xfId="6916"/>
    <cellStyle name="Separador de milhares 3 2 6 3 3 3 2" xfId="18770"/>
    <cellStyle name="Separador de milhares 3 2 6 3 3 3 2 2" xfId="45254"/>
    <cellStyle name="Separador de milhares 3 2 6 3 3 3 3" xfId="12843"/>
    <cellStyle name="Separador de milhares 3 2 6 3 3 3 3 2" xfId="39346"/>
    <cellStyle name="Separador de milhares 3 2 6 3 3 3 4" xfId="33438"/>
    <cellStyle name="Separador de milhares 3 2 6 3 3 3 5" xfId="26904"/>
    <cellStyle name="Separador de milhares 3 2 6 3 3 4" xfId="15806"/>
    <cellStyle name="Separador de milhares 3 2 6 3 3 4 2" xfId="42300"/>
    <cellStyle name="Separador de milhares 3 2 6 3 3 4 3" xfId="23395"/>
    <cellStyle name="Separador de milhares 3 2 6 3 3 5" xfId="9879"/>
    <cellStyle name="Separador de milhares 3 2 6 3 3 5 2" xfId="36392"/>
    <cellStyle name="Separador de milhares 3 2 6 3 3 6" xfId="29929"/>
    <cellStyle name="Separador de milhares 3 2 6 3 3 7" xfId="21623"/>
    <cellStyle name="Separador de milhares 3 2 6 3 4" xfId="1332"/>
    <cellStyle name="Separador de milhares 3 2 6 3 4 2" xfId="5272"/>
    <cellStyle name="Separador de milhares 3 2 6 3 4 2 2" xfId="8487"/>
    <cellStyle name="Separador de milhares 3 2 6 3 4 2 2 2" xfId="20341"/>
    <cellStyle name="Separador de milhares 3 2 6 3 4 2 2 2 2" xfId="46820"/>
    <cellStyle name="Separador de milhares 3 2 6 3 4 2 2 3" xfId="14414"/>
    <cellStyle name="Separador de milhares 3 2 6 3 4 2 2 3 2" xfId="40912"/>
    <cellStyle name="Separador de milhares 3 2 6 3 4 2 2 4" xfId="35004"/>
    <cellStyle name="Separador de milhares 3 2 6 3 4 2 2 5" xfId="28470"/>
    <cellStyle name="Separador de milhares 3 2 6 3 4 2 3" xfId="17377"/>
    <cellStyle name="Separador de milhares 3 2 6 3 4 2 3 2" xfId="43866"/>
    <cellStyle name="Separador de milhares 3 2 6 3 4 2 4" xfId="11450"/>
    <cellStyle name="Separador de milhares 3 2 6 3 4 2 4 2" xfId="37958"/>
    <cellStyle name="Separador de milhares 3 2 6 3 4 2 5" xfId="31799"/>
    <cellStyle name="Separador de milhares 3 2 6 3 4 2 6" xfId="25265"/>
    <cellStyle name="Separador de milhares 3 2 6 3 4 3" xfId="7014"/>
    <cellStyle name="Separador de milhares 3 2 6 3 4 3 2" xfId="18868"/>
    <cellStyle name="Separador de milhares 3 2 6 3 4 3 2 2" xfId="45352"/>
    <cellStyle name="Separador de milhares 3 2 6 3 4 3 3" xfId="12941"/>
    <cellStyle name="Separador de milhares 3 2 6 3 4 3 3 2" xfId="39444"/>
    <cellStyle name="Separador de milhares 3 2 6 3 4 3 4" xfId="33536"/>
    <cellStyle name="Separador de milhares 3 2 6 3 4 3 5" xfId="27002"/>
    <cellStyle name="Separador de milhares 3 2 6 3 4 4" xfId="15904"/>
    <cellStyle name="Separador de milhares 3 2 6 3 4 4 2" xfId="42398"/>
    <cellStyle name="Separador de milhares 3 2 6 3 4 4 3" xfId="23493"/>
    <cellStyle name="Separador de milhares 3 2 6 3 4 5" xfId="9977"/>
    <cellStyle name="Separador de milhares 3 2 6 3 4 5 2" xfId="36490"/>
    <cellStyle name="Separador de milhares 3 2 6 3 4 6" xfId="30027"/>
    <cellStyle name="Separador de milhares 3 2 6 3 4 7" xfId="21721"/>
    <cellStyle name="Separador de milhares 3 2 6 3 5" xfId="1767"/>
    <cellStyle name="Separador de milhares 3 2 6 3 5 2" xfId="5391"/>
    <cellStyle name="Separador de milhares 3 2 6 3 5 2 2" xfId="8606"/>
    <cellStyle name="Separador de milhares 3 2 6 3 5 2 2 2" xfId="20460"/>
    <cellStyle name="Separador de milhares 3 2 6 3 5 2 2 2 2" xfId="46939"/>
    <cellStyle name="Separador de milhares 3 2 6 3 5 2 2 3" xfId="14533"/>
    <cellStyle name="Separador de milhares 3 2 6 3 5 2 2 3 2" xfId="41031"/>
    <cellStyle name="Separador de milhares 3 2 6 3 5 2 2 4" xfId="35123"/>
    <cellStyle name="Separador de milhares 3 2 6 3 5 2 2 5" xfId="28589"/>
    <cellStyle name="Separador de milhares 3 2 6 3 5 2 3" xfId="17496"/>
    <cellStyle name="Separador de milhares 3 2 6 3 5 2 3 2" xfId="43985"/>
    <cellStyle name="Separador de milhares 3 2 6 3 5 2 4" xfId="11569"/>
    <cellStyle name="Separador de milhares 3 2 6 3 5 2 4 2" xfId="38077"/>
    <cellStyle name="Separador de milhares 3 2 6 3 5 2 5" xfId="31918"/>
    <cellStyle name="Separador de milhares 3 2 6 3 5 2 6" xfId="25384"/>
    <cellStyle name="Separador de milhares 3 2 6 3 5 3" xfId="7133"/>
    <cellStyle name="Separador de milhares 3 2 6 3 5 3 2" xfId="18987"/>
    <cellStyle name="Separador de milhares 3 2 6 3 5 3 2 2" xfId="45471"/>
    <cellStyle name="Separador de milhares 3 2 6 3 5 3 3" xfId="13060"/>
    <cellStyle name="Separador de milhares 3 2 6 3 5 3 3 2" xfId="39563"/>
    <cellStyle name="Separador de milhares 3 2 6 3 5 3 4" xfId="33655"/>
    <cellStyle name="Separador de milhares 3 2 6 3 5 3 5" xfId="27121"/>
    <cellStyle name="Separador de milhares 3 2 6 3 5 4" xfId="16023"/>
    <cellStyle name="Separador de milhares 3 2 6 3 5 4 2" xfId="42517"/>
    <cellStyle name="Separador de milhares 3 2 6 3 5 4 3" xfId="23612"/>
    <cellStyle name="Separador de milhares 3 2 6 3 5 5" xfId="10096"/>
    <cellStyle name="Separador de milhares 3 2 6 3 5 5 2" xfId="36609"/>
    <cellStyle name="Separador de milhares 3 2 6 3 5 6" xfId="30146"/>
    <cellStyle name="Separador de milhares 3 2 6 3 5 7" xfId="21840"/>
    <cellStyle name="Separador de milhares 3 2 6 3 6" xfId="2300"/>
    <cellStyle name="Separador de milhares 3 2 6 3 6 2" xfId="5541"/>
    <cellStyle name="Separador de milhares 3 2 6 3 6 2 2" xfId="8753"/>
    <cellStyle name="Separador de milhares 3 2 6 3 6 2 2 2" xfId="20607"/>
    <cellStyle name="Separador de milhares 3 2 6 3 6 2 2 2 2" xfId="47086"/>
    <cellStyle name="Separador de milhares 3 2 6 3 6 2 2 3" xfId="14680"/>
    <cellStyle name="Separador de milhares 3 2 6 3 6 2 2 3 2" xfId="41178"/>
    <cellStyle name="Separador de milhares 3 2 6 3 6 2 2 4" xfId="35270"/>
    <cellStyle name="Separador de milhares 3 2 6 3 6 2 2 5" xfId="28736"/>
    <cellStyle name="Separador de milhares 3 2 6 3 6 2 3" xfId="17643"/>
    <cellStyle name="Separador de milhares 3 2 6 3 6 2 3 2" xfId="44132"/>
    <cellStyle name="Separador de milhares 3 2 6 3 6 2 4" xfId="11716"/>
    <cellStyle name="Separador de milhares 3 2 6 3 6 2 4 2" xfId="38224"/>
    <cellStyle name="Separador de milhares 3 2 6 3 6 2 5" xfId="32068"/>
    <cellStyle name="Separador de milhares 3 2 6 3 6 2 6" xfId="25534"/>
    <cellStyle name="Separador de milhares 3 2 6 3 6 3" xfId="7281"/>
    <cellStyle name="Separador de milhares 3 2 6 3 6 3 2" xfId="19135"/>
    <cellStyle name="Separador de milhares 3 2 6 3 6 3 2 2" xfId="45618"/>
    <cellStyle name="Separador de milhares 3 2 6 3 6 3 3" xfId="13208"/>
    <cellStyle name="Separador de milhares 3 2 6 3 6 3 3 2" xfId="39710"/>
    <cellStyle name="Separador de milhares 3 2 6 3 6 3 4" xfId="33802"/>
    <cellStyle name="Separador de milhares 3 2 6 3 6 3 5" xfId="27268"/>
    <cellStyle name="Separador de milhares 3 2 6 3 6 4" xfId="16171"/>
    <cellStyle name="Separador de milhares 3 2 6 3 6 4 2" xfId="42664"/>
    <cellStyle name="Separador de milhares 3 2 6 3 6 4 3" xfId="23762"/>
    <cellStyle name="Separador de milhares 3 2 6 3 6 5" xfId="10244"/>
    <cellStyle name="Separador de milhares 3 2 6 3 6 5 2" xfId="36756"/>
    <cellStyle name="Separador de milhares 3 2 6 3 6 6" xfId="30296"/>
    <cellStyle name="Separador de milhares 3 2 6 3 6 7" xfId="21990"/>
    <cellStyle name="Separador de milhares 3 2 6 3 7" xfId="2828"/>
    <cellStyle name="Separador de milhares 3 2 6 3 7 2" xfId="5688"/>
    <cellStyle name="Separador de milhares 3 2 6 3 7 2 2" xfId="8900"/>
    <cellStyle name="Separador de milhares 3 2 6 3 7 2 2 2" xfId="20754"/>
    <cellStyle name="Separador de milhares 3 2 6 3 7 2 2 2 2" xfId="47233"/>
    <cellStyle name="Separador de milhares 3 2 6 3 7 2 2 3" xfId="14827"/>
    <cellStyle name="Separador de milhares 3 2 6 3 7 2 2 3 2" xfId="41325"/>
    <cellStyle name="Separador de milhares 3 2 6 3 7 2 2 4" xfId="35417"/>
    <cellStyle name="Separador de milhares 3 2 6 3 7 2 2 5" xfId="28883"/>
    <cellStyle name="Separador de milhares 3 2 6 3 7 2 3" xfId="17790"/>
    <cellStyle name="Separador de milhares 3 2 6 3 7 2 3 2" xfId="44279"/>
    <cellStyle name="Separador de milhares 3 2 6 3 7 2 4" xfId="11863"/>
    <cellStyle name="Separador de milhares 3 2 6 3 7 2 4 2" xfId="38371"/>
    <cellStyle name="Separador de milhares 3 2 6 3 7 2 5" xfId="32215"/>
    <cellStyle name="Separador de milhares 3 2 6 3 7 2 6" xfId="25681"/>
    <cellStyle name="Separador de milhares 3 2 6 3 7 3" xfId="7429"/>
    <cellStyle name="Separador de milhares 3 2 6 3 7 3 2" xfId="19283"/>
    <cellStyle name="Separador de milhares 3 2 6 3 7 3 2 2" xfId="45765"/>
    <cellStyle name="Separador de milhares 3 2 6 3 7 3 3" xfId="13356"/>
    <cellStyle name="Separador de milhares 3 2 6 3 7 3 3 2" xfId="39857"/>
    <cellStyle name="Separador de milhares 3 2 6 3 7 3 4" xfId="33949"/>
    <cellStyle name="Separador de milhares 3 2 6 3 7 3 5" xfId="27415"/>
    <cellStyle name="Separador de milhares 3 2 6 3 7 4" xfId="16319"/>
    <cellStyle name="Separador de milhares 3 2 6 3 7 4 2" xfId="42811"/>
    <cellStyle name="Separador de milhares 3 2 6 3 7 4 3" xfId="23909"/>
    <cellStyle name="Separador de milhares 3 2 6 3 7 5" xfId="10392"/>
    <cellStyle name="Separador de milhares 3 2 6 3 7 5 2" xfId="36903"/>
    <cellStyle name="Separador de milhares 3 2 6 3 7 6" xfId="30443"/>
    <cellStyle name="Separador de milhares 3 2 6 3 7 7" xfId="22137"/>
    <cellStyle name="Separador de milhares 3 2 6 3 8" xfId="3356"/>
    <cellStyle name="Separador de milhares 3 2 6 3 8 2" xfId="5835"/>
    <cellStyle name="Separador de milhares 3 2 6 3 8 2 2" xfId="9047"/>
    <cellStyle name="Separador de milhares 3 2 6 3 8 2 2 2" xfId="20901"/>
    <cellStyle name="Separador de milhares 3 2 6 3 8 2 2 2 2" xfId="47380"/>
    <cellStyle name="Separador de milhares 3 2 6 3 8 2 2 3" xfId="14974"/>
    <cellStyle name="Separador de milhares 3 2 6 3 8 2 2 3 2" xfId="41472"/>
    <cellStyle name="Separador de milhares 3 2 6 3 8 2 2 4" xfId="35564"/>
    <cellStyle name="Separador de milhares 3 2 6 3 8 2 2 5" xfId="29030"/>
    <cellStyle name="Separador de milhares 3 2 6 3 8 2 3" xfId="17937"/>
    <cellStyle name="Separador de milhares 3 2 6 3 8 2 3 2" xfId="44426"/>
    <cellStyle name="Separador de milhares 3 2 6 3 8 2 4" xfId="12010"/>
    <cellStyle name="Separador de milhares 3 2 6 3 8 2 4 2" xfId="38518"/>
    <cellStyle name="Separador de milhares 3 2 6 3 8 2 5" xfId="32362"/>
    <cellStyle name="Separador de milhares 3 2 6 3 8 2 6" xfId="25828"/>
    <cellStyle name="Separador de milhares 3 2 6 3 8 3" xfId="7577"/>
    <cellStyle name="Separador de milhares 3 2 6 3 8 3 2" xfId="19431"/>
    <cellStyle name="Separador de milhares 3 2 6 3 8 3 2 2" xfId="45912"/>
    <cellStyle name="Separador de milhares 3 2 6 3 8 3 3" xfId="13504"/>
    <cellStyle name="Separador de milhares 3 2 6 3 8 3 3 2" xfId="40004"/>
    <cellStyle name="Separador de milhares 3 2 6 3 8 3 4" xfId="34096"/>
    <cellStyle name="Separador de milhares 3 2 6 3 8 3 5" xfId="27562"/>
    <cellStyle name="Separador de milhares 3 2 6 3 8 4" xfId="16467"/>
    <cellStyle name="Separador de milhares 3 2 6 3 8 4 2" xfId="42958"/>
    <cellStyle name="Separador de milhares 3 2 6 3 8 4 3" xfId="24056"/>
    <cellStyle name="Separador de milhares 3 2 6 3 8 5" xfId="10540"/>
    <cellStyle name="Separador de milhares 3 2 6 3 8 5 2" xfId="37050"/>
    <cellStyle name="Separador de milhares 3 2 6 3 8 6" xfId="30590"/>
    <cellStyle name="Separador de milhares 3 2 6 3 8 7" xfId="22284"/>
    <cellStyle name="Separador de milhares 3 2 6 3 9" xfId="3884"/>
    <cellStyle name="Separador de milhares 3 2 6 3 9 2" xfId="5982"/>
    <cellStyle name="Separador de milhares 3 2 6 3 9 2 2" xfId="9194"/>
    <cellStyle name="Separador de milhares 3 2 6 3 9 2 2 2" xfId="21048"/>
    <cellStyle name="Separador de milhares 3 2 6 3 9 2 2 2 2" xfId="47527"/>
    <cellStyle name="Separador de milhares 3 2 6 3 9 2 2 3" xfId="15121"/>
    <cellStyle name="Separador de milhares 3 2 6 3 9 2 2 3 2" xfId="41619"/>
    <cellStyle name="Separador de milhares 3 2 6 3 9 2 2 4" xfId="35711"/>
    <cellStyle name="Separador de milhares 3 2 6 3 9 2 2 5" xfId="29177"/>
    <cellStyle name="Separador de milhares 3 2 6 3 9 2 3" xfId="18084"/>
    <cellStyle name="Separador de milhares 3 2 6 3 9 2 3 2" xfId="44573"/>
    <cellStyle name="Separador de milhares 3 2 6 3 9 2 4" xfId="12157"/>
    <cellStyle name="Separador de milhares 3 2 6 3 9 2 4 2" xfId="38665"/>
    <cellStyle name="Separador de milhares 3 2 6 3 9 2 5" xfId="32509"/>
    <cellStyle name="Separador de milhares 3 2 6 3 9 2 6" xfId="25975"/>
    <cellStyle name="Separador de milhares 3 2 6 3 9 3" xfId="7725"/>
    <cellStyle name="Separador de milhares 3 2 6 3 9 3 2" xfId="19579"/>
    <cellStyle name="Separador de milhares 3 2 6 3 9 3 2 2" xfId="46059"/>
    <cellStyle name="Separador de milhares 3 2 6 3 9 3 3" xfId="13652"/>
    <cellStyle name="Separador de milhares 3 2 6 3 9 3 3 2" xfId="40151"/>
    <cellStyle name="Separador de milhares 3 2 6 3 9 3 4" xfId="34243"/>
    <cellStyle name="Separador de milhares 3 2 6 3 9 3 5" xfId="27709"/>
    <cellStyle name="Separador de milhares 3 2 6 3 9 4" xfId="16615"/>
    <cellStyle name="Separador de milhares 3 2 6 3 9 4 2" xfId="43105"/>
    <cellStyle name="Separador de milhares 3 2 6 3 9 4 3" xfId="24203"/>
    <cellStyle name="Separador de milhares 3 2 6 3 9 5" xfId="10688"/>
    <cellStyle name="Separador de milhares 3 2 6 3 9 5 2" xfId="37197"/>
    <cellStyle name="Separador de milhares 3 2 6 3 9 6" xfId="30737"/>
    <cellStyle name="Separador de milhares 3 2 6 3 9 7" xfId="22431"/>
    <cellStyle name="Separador de milhares 3 2 6 4" xfId="513"/>
    <cellStyle name="Separador de milhares 3 2 6 4 10" xfId="5029"/>
    <cellStyle name="Separador de milhares 3 2 6 4 10 2" xfId="8245"/>
    <cellStyle name="Separador de milhares 3 2 6 4 10 2 2" xfId="20099"/>
    <cellStyle name="Separador de milhares 3 2 6 4 10 2 2 2" xfId="46578"/>
    <cellStyle name="Separador de milhares 3 2 6 4 10 2 3" xfId="14172"/>
    <cellStyle name="Separador de milhares 3 2 6 4 10 2 3 2" xfId="40670"/>
    <cellStyle name="Separador de milhares 3 2 6 4 10 2 4" xfId="34762"/>
    <cellStyle name="Separador de milhares 3 2 6 4 10 2 5" xfId="28228"/>
    <cellStyle name="Separador de milhares 3 2 6 4 10 3" xfId="17135"/>
    <cellStyle name="Separador de milhares 3 2 6 4 10 3 2" xfId="43624"/>
    <cellStyle name="Separador de milhares 3 2 6 4 10 4" xfId="11208"/>
    <cellStyle name="Separador de milhares 3 2 6 4 10 4 2" xfId="37716"/>
    <cellStyle name="Separador de milhares 3 2 6 4 10 5" xfId="31556"/>
    <cellStyle name="Separador de milhares 3 2 6 4 10 6" xfId="25022"/>
    <cellStyle name="Separador de milhares 3 2 6 4 11" xfId="6769"/>
    <cellStyle name="Separador de milhares 3 2 6 4 11 2" xfId="18623"/>
    <cellStyle name="Separador de milhares 3 2 6 4 11 2 2" xfId="45110"/>
    <cellStyle name="Separador de milhares 3 2 6 4 11 3" xfId="12696"/>
    <cellStyle name="Separador de milhares 3 2 6 4 11 3 2" xfId="39202"/>
    <cellStyle name="Separador de milhares 3 2 6 4 11 4" xfId="33294"/>
    <cellStyle name="Separador de milhares 3 2 6 4 11 5" xfId="26760"/>
    <cellStyle name="Separador de milhares 3 2 6 4 12" xfId="15659"/>
    <cellStyle name="Separador de milhares 3 2 6 4 12 2" xfId="42156"/>
    <cellStyle name="Separador de milhares 3 2 6 4 12 3" xfId="23250"/>
    <cellStyle name="Separador de milhares 3 2 6 4 13" xfId="9732"/>
    <cellStyle name="Separador de milhares 3 2 6 4 13 2" xfId="36248"/>
    <cellStyle name="Separador de milhares 3 2 6 4 14" xfId="29784"/>
    <cellStyle name="Separador de milhares 3 2 6 4 2" xfId="1159"/>
    <cellStyle name="Separador de milhares 3 2 6 4 2 2" xfId="5226"/>
    <cellStyle name="Separador de milhares 3 2 6 4 2 2 2" xfId="8441"/>
    <cellStyle name="Separador de milhares 3 2 6 4 2 2 2 2" xfId="20295"/>
    <cellStyle name="Separador de milhares 3 2 6 4 2 2 2 2 2" xfId="46774"/>
    <cellStyle name="Separador de milhares 3 2 6 4 2 2 2 3" xfId="14368"/>
    <cellStyle name="Separador de milhares 3 2 6 4 2 2 2 3 2" xfId="40866"/>
    <cellStyle name="Separador de milhares 3 2 6 4 2 2 2 4" xfId="34958"/>
    <cellStyle name="Separador de milhares 3 2 6 4 2 2 2 5" xfId="28424"/>
    <cellStyle name="Separador de milhares 3 2 6 4 2 2 3" xfId="17331"/>
    <cellStyle name="Separador de milhares 3 2 6 4 2 2 3 2" xfId="43820"/>
    <cellStyle name="Separador de milhares 3 2 6 4 2 2 4" xfId="11404"/>
    <cellStyle name="Separador de milhares 3 2 6 4 2 2 4 2" xfId="37912"/>
    <cellStyle name="Separador de milhares 3 2 6 4 2 2 5" xfId="31753"/>
    <cellStyle name="Separador de milhares 3 2 6 4 2 2 6" xfId="25219"/>
    <cellStyle name="Separador de milhares 3 2 6 4 2 3" xfId="6968"/>
    <cellStyle name="Separador de milhares 3 2 6 4 2 3 2" xfId="18822"/>
    <cellStyle name="Separador de milhares 3 2 6 4 2 3 2 2" xfId="45306"/>
    <cellStyle name="Separador de milhares 3 2 6 4 2 3 3" xfId="12895"/>
    <cellStyle name="Separador de milhares 3 2 6 4 2 3 3 2" xfId="39398"/>
    <cellStyle name="Separador de milhares 3 2 6 4 2 3 4" xfId="33490"/>
    <cellStyle name="Separador de milhares 3 2 6 4 2 3 5" xfId="26956"/>
    <cellStyle name="Separador de milhares 3 2 6 4 2 4" xfId="15858"/>
    <cellStyle name="Separador de milhares 3 2 6 4 2 4 2" xfId="42352"/>
    <cellStyle name="Separador de milhares 3 2 6 4 2 4 3" xfId="23447"/>
    <cellStyle name="Separador de milhares 3 2 6 4 2 5" xfId="9931"/>
    <cellStyle name="Separador de milhares 3 2 6 4 2 5 2" xfId="36444"/>
    <cellStyle name="Separador de milhares 3 2 6 4 2 6" xfId="29981"/>
    <cellStyle name="Separador de milhares 3 2 6 4 2 7" xfId="21675"/>
    <cellStyle name="Separador de milhares 3 2 6 4 3" xfId="1510"/>
    <cellStyle name="Separador de milhares 3 2 6 4 3 2" xfId="5324"/>
    <cellStyle name="Separador de milhares 3 2 6 4 3 2 2" xfId="8539"/>
    <cellStyle name="Separador de milhares 3 2 6 4 3 2 2 2" xfId="20393"/>
    <cellStyle name="Separador de milhares 3 2 6 4 3 2 2 2 2" xfId="46872"/>
    <cellStyle name="Separador de milhares 3 2 6 4 3 2 2 3" xfId="14466"/>
    <cellStyle name="Separador de milhares 3 2 6 4 3 2 2 3 2" xfId="40964"/>
    <cellStyle name="Separador de milhares 3 2 6 4 3 2 2 4" xfId="35056"/>
    <cellStyle name="Separador de milhares 3 2 6 4 3 2 2 5" xfId="28522"/>
    <cellStyle name="Separador de milhares 3 2 6 4 3 2 3" xfId="17429"/>
    <cellStyle name="Separador de milhares 3 2 6 4 3 2 3 2" xfId="43918"/>
    <cellStyle name="Separador de milhares 3 2 6 4 3 2 4" xfId="11502"/>
    <cellStyle name="Separador de milhares 3 2 6 4 3 2 4 2" xfId="38010"/>
    <cellStyle name="Separador de milhares 3 2 6 4 3 2 5" xfId="31851"/>
    <cellStyle name="Separador de milhares 3 2 6 4 3 2 6" xfId="25317"/>
    <cellStyle name="Separador de milhares 3 2 6 4 3 3" xfId="7066"/>
    <cellStyle name="Separador de milhares 3 2 6 4 3 3 2" xfId="18920"/>
    <cellStyle name="Separador de milhares 3 2 6 4 3 3 2 2" xfId="45404"/>
    <cellStyle name="Separador de milhares 3 2 6 4 3 3 3" xfId="12993"/>
    <cellStyle name="Separador de milhares 3 2 6 4 3 3 3 2" xfId="39496"/>
    <cellStyle name="Separador de milhares 3 2 6 4 3 3 4" xfId="33588"/>
    <cellStyle name="Separador de milhares 3 2 6 4 3 3 5" xfId="27054"/>
    <cellStyle name="Separador de milhares 3 2 6 4 3 4" xfId="15956"/>
    <cellStyle name="Separador de milhares 3 2 6 4 3 4 2" xfId="42450"/>
    <cellStyle name="Separador de milhares 3 2 6 4 3 4 3" xfId="23545"/>
    <cellStyle name="Separador de milhares 3 2 6 4 3 5" xfId="10029"/>
    <cellStyle name="Separador de milhares 3 2 6 4 3 5 2" xfId="36542"/>
    <cellStyle name="Separador de milhares 3 2 6 4 3 6" xfId="30079"/>
    <cellStyle name="Separador de milhares 3 2 6 4 3 7" xfId="21773"/>
    <cellStyle name="Separador de milhares 3 2 6 4 4" xfId="1945"/>
    <cellStyle name="Separador de milhares 3 2 6 4 4 2" xfId="5443"/>
    <cellStyle name="Separador de milhares 3 2 6 4 4 2 2" xfId="8658"/>
    <cellStyle name="Separador de milhares 3 2 6 4 4 2 2 2" xfId="20512"/>
    <cellStyle name="Separador de milhares 3 2 6 4 4 2 2 2 2" xfId="46991"/>
    <cellStyle name="Separador de milhares 3 2 6 4 4 2 2 3" xfId="14585"/>
    <cellStyle name="Separador de milhares 3 2 6 4 4 2 2 3 2" xfId="41083"/>
    <cellStyle name="Separador de milhares 3 2 6 4 4 2 2 4" xfId="35175"/>
    <cellStyle name="Separador de milhares 3 2 6 4 4 2 2 5" xfId="28641"/>
    <cellStyle name="Separador de milhares 3 2 6 4 4 2 3" xfId="17548"/>
    <cellStyle name="Separador de milhares 3 2 6 4 4 2 3 2" xfId="44037"/>
    <cellStyle name="Separador de milhares 3 2 6 4 4 2 4" xfId="11621"/>
    <cellStyle name="Separador de milhares 3 2 6 4 4 2 4 2" xfId="38129"/>
    <cellStyle name="Separador de milhares 3 2 6 4 4 2 5" xfId="31970"/>
    <cellStyle name="Separador de milhares 3 2 6 4 4 2 6" xfId="25436"/>
    <cellStyle name="Separador de milhares 3 2 6 4 4 3" xfId="7185"/>
    <cellStyle name="Separador de milhares 3 2 6 4 4 3 2" xfId="19039"/>
    <cellStyle name="Separador de milhares 3 2 6 4 4 3 2 2" xfId="45523"/>
    <cellStyle name="Separador de milhares 3 2 6 4 4 3 3" xfId="13112"/>
    <cellStyle name="Separador de milhares 3 2 6 4 4 3 3 2" xfId="39615"/>
    <cellStyle name="Separador de milhares 3 2 6 4 4 3 4" xfId="33707"/>
    <cellStyle name="Separador de milhares 3 2 6 4 4 3 5" xfId="27173"/>
    <cellStyle name="Separador de milhares 3 2 6 4 4 4" xfId="16075"/>
    <cellStyle name="Separador de milhares 3 2 6 4 4 4 2" xfId="42569"/>
    <cellStyle name="Separador de milhares 3 2 6 4 4 4 3" xfId="23664"/>
    <cellStyle name="Separador de milhares 3 2 6 4 4 5" xfId="10148"/>
    <cellStyle name="Separador de milhares 3 2 6 4 4 5 2" xfId="36661"/>
    <cellStyle name="Separador de milhares 3 2 6 4 4 6" xfId="30198"/>
    <cellStyle name="Separador de milhares 3 2 6 4 4 7" xfId="21892"/>
    <cellStyle name="Separador de milhares 3 2 6 4 5" xfId="2478"/>
    <cellStyle name="Separador de milhares 3 2 6 4 5 2" xfId="5593"/>
    <cellStyle name="Separador de milhares 3 2 6 4 5 2 2" xfId="8805"/>
    <cellStyle name="Separador de milhares 3 2 6 4 5 2 2 2" xfId="20659"/>
    <cellStyle name="Separador de milhares 3 2 6 4 5 2 2 2 2" xfId="47138"/>
    <cellStyle name="Separador de milhares 3 2 6 4 5 2 2 3" xfId="14732"/>
    <cellStyle name="Separador de milhares 3 2 6 4 5 2 2 3 2" xfId="41230"/>
    <cellStyle name="Separador de milhares 3 2 6 4 5 2 2 4" xfId="35322"/>
    <cellStyle name="Separador de milhares 3 2 6 4 5 2 2 5" xfId="28788"/>
    <cellStyle name="Separador de milhares 3 2 6 4 5 2 3" xfId="17695"/>
    <cellStyle name="Separador de milhares 3 2 6 4 5 2 3 2" xfId="44184"/>
    <cellStyle name="Separador de milhares 3 2 6 4 5 2 4" xfId="11768"/>
    <cellStyle name="Separador de milhares 3 2 6 4 5 2 4 2" xfId="38276"/>
    <cellStyle name="Separador de milhares 3 2 6 4 5 2 5" xfId="32120"/>
    <cellStyle name="Separador de milhares 3 2 6 4 5 2 6" xfId="25586"/>
    <cellStyle name="Separador de milhares 3 2 6 4 5 3" xfId="7333"/>
    <cellStyle name="Separador de milhares 3 2 6 4 5 3 2" xfId="19187"/>
    <cellStyle name="Separador de milhares 3 2 6 4 5 3 2 2" xfId="45670"/>
    <cellStyle name="Separador de milhares 3 2 6 4 5 3 3" xfId="13260"/>
    <cellStyle name="Separador de milhares 3 2 6 4 5 3 3 2" xfId="39762"/>
    <cellStyle name="Separador de milhares 3 2 6 4 5 3 4" xfId="33854"/>
    <cellStyle name="Separador de milhares 3 2 6 4 5 3 5" xfId="27320"/>
    <cellStyle name="Separador de milhares 3 2 6 4 5 4" xfId="16223"/>
    <cellStyle name="Separador de milhares 3 2 6 4 5 4 2" xfId="42716"/>
    <cellStyle name="Separador de milhares 3 2 6 4 5 4 3" xfId="23814"/>
    <cellStyle name="Separador de milhares 3 2 6 4 5 5" xfId="10296"/>
    <cellStyle name="Separador de milhares 3 2 6 4 5 5 2" xfId="36808"/>
    <cellStyle name="Separador de milhares 3 2 6 4 5 6" xfId="30348"/>
    <cellStyle name="Separador de milhares 3 2 6 4 5 7" xfId="22042"/>
    <cellStyle name="Separador de milhares 3 2 6 4 6" xfId="3006"/>
    <cellStyle name="Separador de milhares 3 2 6 4 6 2" xfId="5740"/>
    <cellStyle name="Separador de milhares 3 2 6 4 6 2 2" xfId="8952"/>
    <cellStyle name="Separador de milhares 3 2 6 4 6 2 2 2" xfId="20806"/>
    <cellStyle name="Separador de milhares 3 2 6 4 6 2 2 2 2" xfId="47285"/>
    <cellStyle name="Separador de milhares 3 2 6 4 6 2 2 3" xfId="14879"/>
    <cellStyle name="Separador de milhares 3 2 6 4 6 2 2 3 2" xfId="41377"/>
    <cellStyle name="Separador de milhares 3 2 6 4 6 2 2 4" xfId="35469"/>
    <cellStyle name="Separador de milhares 3 2 6 4 6 2 2 5" xfId="28935"/>
    <cellStyle name="Separador de milhares 3 2 6 4 6 2 3" xfId="17842"/>
    <cellStyle name="Separador de milhares 3 2 6 4 6 2 3 2" xfId="44331"/>
    <cellStyle name="Separador de milhares 3 2 6 4 6 2 4" xfId="11915"/>
    <cellStyle name="Separador de milhares 3 2 6 4 6 2 4 2" xfId="38423"/>
    <cellStyle name="Separador de milhares 3 2 6 4 6 2 5" xfId="32267"/>
    <cellStyle name="Separador de milhares 3 2 6 4 6 2 6" xfId="25733"/>
    <cellStyle name="Separador de milhares 3 2 6 4 6 3" xfId="7481"/>
    <cellStyle name="Separador de milhares 3 2 6 4 6 3 2" xfId="19335"/>
    <cellStyle name="Separador de milhares 3 2 6 4 6 3 2 2" xfId="45817"/>
    <cellStyle name="Separador de milhares 3 2 6 4 6 3 3" xfId="13408"/>
    <cellStyle name="Separador de milhares 3 2 6 4 6 3 3 2" xfId="39909"/>
    <cellStyle name="Separador de milhares 3 2 6 4 6 3 4" xfId="34001"/>
    <cellStyle name="Separador de milhares 3 2 6 4 6 3 5" xfId="27467"/>
    <cellStyle name="Separador de milhares 3 2 6 4 6 4" xfId="16371"/>
    <cellStyle name="Separador de milhares 3 2 6 4 6 4 2" xfId="42863"/>
    <cellStyle name="Separador de milhares 3 2 6 4 6 4 3" xfId="23961"/>
    <cellStyle name="Separador de milhares 3 2 6 4 6 5" xfId="10444"/>
    <cellStyle name="Separador de milhares 3 2 6 4 6 5 2" xfId="36955"/>
    <cellStyle name="Separador de milhares 3 2 6 4 6 6" xfId="30495"/>
    <cellStyle name="Separador de milhares 3 2 6 4 6 7" xfId="22189"/>
    <cellStyle name="Separador de milhares 3 2 6 4 7" xfId="3534"/>
    <cellStyle name="Separador de milhares 3 2 6 4 7 2" xfId="5887"/>
    <cellStyle name="Separador de milhares 3 2 6 4 7 2 2" xfId="9099"/>
    <cellStyle name="Separador de milhares 3 2 6 4 7 2 2 2" xfId="20953"/>
    <cellStyle name="Separador de milhares 3 2 6 4 7 2 2 2 2" xfId="47432"/>
    <cellStyle name="Separador de milhares 3 2 6 4 7 2 2 3" xfId="15026"/>
    <cellStyle name="Separador de milhares 3 2 6 4 7 2 2 3 2" xfId="41524"/>
    <cellStyle name="Separador de milhares 3 2 6 4 7 2 2 4" xfId="35616"/>
    <cellStyle name="Separador de milhares 3 2 6 4 7 2 2 5" xfId="29082"/>
    <cellStyle name="Separador de milhares 3 2 6 4 7 2 3" xfId="17989"/>
    <cellStyle name="Separador de milhares 3 2 6 4 7 2 3 2" xfId="44478"/>
    <cellStyle name="Separador de milhares 3 2 6 4 7 2 4" xfId="12062"/>
    <cellStyle name="Separador de milhares 3 2 6 4 7 2 4 2" xfId="38570"/>
    <cellStyle name="Separador de milhares 3 2 6 4 7 2 5" xfId="32414"/>
    <cellStyle name="Separador de milhares 3 2 6 4 7 2 6" xfId="25880"/>
    <cellStyle name="Separador de milhares 3 2 6 4 7 3" xfId="7629"/>
    <cellStyle name="Separador de milhares 3 2 6 4 7 3 2" xfId="19483"/>
    <cellStyle name="Separador de milhares 3 2 6 4 7 3 2 2" xfId="45964"/>
    <cellStyle name="Separador de milhares 3 2 6 4 7 3 3" xfId="13556"/>
    <cellStyle name="Separador de milhares 3 2 6 4 7 3 3 2" xfId="40056"/>
    <cellStyle name="Separador de milhares 3 2 6 4 7 3 4" xfId="34148"/>
    <cellStyle name="Separador de milhares 3 2 6 4 7 3 5" xfId="27614"/>
    <cellStyle name="Separador de milhares 3 2 6 4 7 4" xfId="16519"/>
    <cellStyle name="Separador de milhares 3 2 6 4 7 4 2" xfId="43010"/>
    <cellStyle name="Separador de milhares 3 2 6 4 7 4 3" xfId="24108"/>
    <cellStyle name="Separador de milhares 3 2 6 4 7 5" xfId="10592"/>
    <cellStyle name="Separador de milhares 3 2 6 4 7 5 2" xfId="37102"/>
    <cellStyle name="Separador de milhares 3 2 6 4 7 6" xfId="30642"/>
    <cellStyle name="Separador de milhares 3 2 6 4 7 7" xfId="22336"/>
    <cellStyle name="Separador de milhares 3 2 6 4 8" xfId="4062"/>
    <cellStyle name="Separador de milhares 3 2 6 4 8 2" xfId="6034"/>
    <cellStyle name="Separador de milhares 3 2 6 4 8 2 2" xfId="9246"/>
    <cellStyle name="Separador de milhares 3 2 6 4 8 2 2 2" xfId="21100"/>
    <cellStyle name="Separador de milhares 3 2 6 4 8 2 2 2 2" xfId="47579"/>
    <cellStyle name="Separador de milhares 3 2 6 4 8 2 2 3" xfId="15173"/>
    <cellStyle name="Separador de milhares 3 2 6 4 8 2 2 3 2" xfId="41671"/>
    <cellStyle name="Separador de milhares 3 2 6 4 8 2 2 4" xfId="35763"/>
    <cellStyle name="Separador de milhares 3 2 6 4 8 2 2 5" xfId="29229"/>
    <cellStyle name="Separador de milhares 3 2 6 4 8 2 3" xfId="18136"/>
    <cellStyle name="Separador de milhares 3 2 6 4 8 2 3 2" xfId="44625"/>
    <cellStyle name="Separador de milhares 3 2 6 4 8 2 4" xfId="12209"/>
    <cellStyle name="Separador de milhares 3 2 6 4 8 2 4 2" xfId="38717"/>
    <cellStyle name="Separador de milhares 3 2 6 4 8 2 5" xfId="32561"/>
    <cellStyle name="Separador de milhares 3 2 6 4 8 2 6" xfId="26027"/>
    <cellStyle name="Separador de milhares 3 2 6 4 8 3" xfId="7777"/>
    <cellStyle name="Separador de milhares 3 2 6 4 8 3 2" xfId="19631"/>
    <cellStyle name="Separador de milhares 3 2 6 4 8 3 2 2" xfId="46111"/>
    <cellStyle name="Separador de milhares 3 2 6 4 8 3 3" xfId="13704"/>
    <cellStyle name="Separador de milhares 3 2 6 4 8 3 3 2" xfId="40203"/>
    <cellStyle name="Separador de milhares 3 2 6 4 8 3 4" xfId="34295"/>
    <cellStyle name="Separador de milhares 3 2 6 4 8 3 5" xfId="27761"/>
    <cellStyle name="Separador de milhares 3 2 6 4 8 4" xfId="16667"/>
    <cellStyle name="Separador de milhares 3 2 6 4 8 4 2" xfId="43157"/>
    <cellStyle name="Separador de milhares 3 2 6 4 8 4 3" xfId="24255"/>
    <cellStyle name="Separador de milhares 3 2 6 4 8 5" xfId="10740"/>
    <cellStyle name="Separador de milhares 3 2 6 4 8 5 2" xfId="37249"/>
    <cellStyle name="Separador de milhares 3 2 6 4 8 6" xfId="30789"/>
    <cellStyle name="Separador de milhares 3 2 6 4 8 7" xfId="22483"/>
    <cellStyle name="Separador de milhares 3 2 6 4 9" xfId="815"/>
    <cellStyle name="Separador de milhares 3 2 6 4 9 2" xfId="5128"/>
    <cellStyle name="Separador de milhares 3 2 6 4 9 2 2" xfId="8343"/>
    <cellStyle name="Separador de milhares 3 2 6 4 9 2 2 2" xfId="20197"/>
    <cellStyle name="Separador de milhares 3 2 6 4 9 2 2 2 2" xfId="46676"/>
    <cellStyle name="Separador de milhares 3 2 6 4 9 2 2 3" xfId="14270"/>
    <cellStyle name="Separador de milhares 3 2 6 4 9 2 2 3 2" xfId="40768"/>
    <cellStyle name="Separador de milhares 3 2 6 4 9 2 2 4" xfId="34860"/>
    <cellStyle name="Separador de milhares 3 2 6 4 9 2 2 5" xfId="28326"/>
    <cellStyle name="Separador de milhares 3 2 6 4 9 2 3" xfId="17233"/>
    <cellStyle name="Separador de milhares 3 2 6 4 9 2 3 2" xfId="43722"/>
    <cellStyle name="Separador de milhares 3 2 6 4 9 2 4" xfId="11306"/>
    <cellStyle name="Separador de milhares 3 2 6 4 9 2 4 2" xfId="37814"/>
    <cellStyle name="Separador de milhares 3 2 6 4 9 2 5" xfId="31655"/>
    <cellStyle name="Separador de milhares 3 2 6 4 9 2 6" xfId="25121"/>
    <cellStyle name="Separador de milhares 3 2 6 4 9 3" xfId="6870"/>
    <cellStyle name="Separador de milhares 3 2 6 4 9 3 2" xfId="18724"/>
    <cellStyle name="Separador de milhares 3 2 6 4 9 3 2 2" xfId="45208"/>
    <cellStyle name="Separador de milhares 3 2 6 4 9 3 3" xfId="12797"/>
    <cellStyle name="Separador de milhares 3 2 6 4 9 3 3 2" xfId="39300"/>
    <cellStyle name="Separador de milhares 3 2 6 4 9 3 4" xfId="33392"/>
    <cellStyle name="Separador de milhares 3 2 6 4 9 3 5" xfId="26858"/>
    <cellStyle name="Separador de milhares 3 2 6 4 9 4" xfId="15760"/>
    <cellStyle name="Separador de milhares 3 2 6 4 9 4 2" xfId="42254"/>
    <cellStyle name="Separador de milhares 3 2 6 4 9 4 3" xfId="23349"/>
    <cellStyle name="Separador de milhares 3 2 6 4 9 5" xfId="9833"/>
    <cellStyle name="Separador de milhares 3 2 6 4 9 5 2" xfId="36346"/>
    <cellStyle name="Separador de milhares 3 2 6 4 9 6" xfId="29883"/>
    <cellStyle name="Separador de milhares 3 2 6 4 9 7" xfId="21577"/>
    <cellStyle name="Separador de milhares 3 2 6 5" xfId="771"/>
    <cellStyle name="Separador de milhares 3 2 6 5 10" xfId="15723"/>
    <cellStyle name="Separador de milhares 3 2 6 5 10 2" xfId="42220"/>
    <cellStyle name="Separador de milhares 3 2 6 5 10 3" xfId="23315"/>
    <cellStyle name="Separador de milhares 3 2 6 5 11" xfId="9796"/>
    <cellStyle name="Separador de milhares 3 2 6 5 11 2" xfId="36312"/>
    <cellStyle name="Separador de milhares 3 2 6 5 12" xfId="29849"/>
    <cellStyle name="Separador de milhares 3 2 6 5 13" xfId="21543"/>
    <cellStyle name="Separador de milhares 3 2 6 5 2" xfId="1594"/>
    <cellStyle name="Separador de milhares 3 2 6 5 2 2" xfId="5345"/>
    <cellStyle name="Separador de milhares 3 2 6 5 2 2 2" xfId="8560"/>
    <cellStyle name="Separador de milhares 3 2 6 5 2 2 2 2" xfId="20414"/>
    <cellStyle name="Separador de milhares 3 2 6 5 2 2 2 2 2" xfId="46893"/>
    <cellStyle name="Separador de milhares 3 2 6 5 2 2 2 3" xfId="14487"/>
    <cellStyle name="Separador de milhares 3 2 6 5 2 2 2 3 2" xfId="40985"/>
    <cellStyle name="Separador de milhares 3 2 6 5 2 2 2 4" xfId="35077"/>
    <cellStyle name="Separador de milhares 3 2 6 5 2 2 2 5" xfId="28543"/>
    <cellStyle name="Separador de milhares 3 2 6 5 2 2 3" xfId="17450"/>
    <cellStyle name="Separador de milhares 3 2 6 5 2 2 3 2" xfId="43939"/>
    <cellStyle name="Separador de milhares 3 2 6 5 2 2 4" xfId="11523"/>
    <cellStyle name="Separador de milhares 3 2 6 5 2 2 4 2" xfId="38031"/>
    <cellStyle name="Separador de milhares 3 2 6 5 2 2 5" xfId="31872"/>
    <cellStyle name="Separador de milhares 3 2 6 5 2 2 6" xfId="25338"/>
    <cellStyle name="Separador de milhares 3 2 6 5 2 3" xfId="7087"/>
    <cellStyle name="Separador de milhares 3 2 6 5 2 3 2" xfId="18941"/>
    <cellStyle name="Separador de milhares 3 2 6 5 2 3 2 2" xfId="45425"/>
    <cellStyle name="Separador de milhares 3 2 6 5 2 3 3" xfId="13014"/>
    <cellStyle name="Separador de milhares 3 2 6 5 2 3 3 2" xfId="39517"/>
    <cellStyle name="Separador de milhares 3 2 6 5 2 3 4" xfId="33609"/>
    <cellStyle name="Separador de milhares 3 2 6 5 2 3 5" xfId="27075"/>
    <cellStyle name="Separador de milhares 3 2 6 5 2 4" xfId="15977"/>
    <cellStyle name="Separador de milhares 3 2 6 5 2 4 2" xfId="42471"/>
    <cellStyle name="Separador de milhares 3 2 6 5 2 4 3" xfId="23566"/>
    <cellStyle name="Separador de milhares 3 2 6 5 2 5" xfId="10050"/>
    <cellStyle name="Separador de milhares 3 2 6 5 2 5 2" xfId="36563"/>
    <cellStyle name="Separador de milhares 3 2 6 5 2 6" xfId="30100"/>
    <cellStyle name="Separador de milhares 3 2 6 5 2 7" xfId="21794"/>
    <cellStyle name="Separador de milhares 3 2 6 5 3" xfId="2029"/>
    <cellStyle name="Separador de milhares 3 2 6 5 3 2" xfId="5464"/>
    <cellStyle name="Separador de milhares 3 2 6 5 3 2 2" xfId="8679"/>
    <cellStyle name="Separador de milhares 3 2 6 5 3 2 2 2" xfId="20533"/>
    <cellStyle name="Separador de milhares 3 2 6 5 3 2 2 2 2" xfId="47012"/>
    <cellStyle name="Separador de milhares 3 2 6 5 3 2 2 3" xfId="14606"/>
    <cellStyle name="Separador de milhares 3 2 6 5 3 2 2 3 2" xfId="41104"/>
    <cellStyle name="Separador de milhares 3 2 6 5 3 2 2 4" xfId="35196"/>
    <cellStyle name="Separador de milhares 3 2 6 5 3 2 2 5" xfId="28662"/>
    <cellStyle name="Separador de milhares 3 2 6 5 3 2 3" xfId="17569"/>
    <cellStyle name="Separador de milhares 3 2 6 5 3 2 3 2" xfId="44058"/>
    <cellStyle name="Separador de milhares 3 2 6 5 3 2 4" xfId="11642"/>
    <cellStyle name="Separador de milhares 3 2 6 5 3 2 4 2" xfId="38150"/>
    <cellStyle name="Separador de milhares 3 2 6 5 3 2 5" xfId="31991"/>
    <cellStyle name="Separador de milhares 3 2 6 5 3 2 6" xfId="25457"/>
    <cellStyle name="Separador de milhares 3 2 6 5 3 3" xfId="7206"/>
    <cellStyle name="Separador de milhares 3 2 6 5 3 3 2" xfId="19060"/>
    <cellStyle name="Separador de milhares 3 2 6 5 3 3 2 2" xfId="45544"/>
    <cellStyle name="Separador de milhares 3 2 6 5 3 3 3" xfId="13133"/>
    <cellStyle name="Separador de milhares 3 2 6 5 3 3 3 2" xfId="39636"/>
    <cellStyle name="Separador de milhares 3 2 6 5 3 3 4" xfId="33728"/>
    <cellStyle name="Separador de milhares 3 2 6 5 3 3 5" xfId="27194"/>
    <cellStyle name="Separador de milhares 3 2 6 5 3 4" xfId="16096"/>
    <cellStyle name="Separador de milhares 3 2 6 5 3 4 2" xfId="42590"/>
    <cellStyle name="Separador de milhares 3 2 6 5 3 4 3" xfId="23685"/>
    <cellStyle name="Separador de milhares 3 2 6 5 3 5" xfId="10169"/>
    <cellStyle name="Separador de milhares 3 2 6 5 3 5 2" xfId="36682"/>
    <cellStyle name="Separador de milhares 3 2 6 5 3 6" xfId="30219"/>
    <cellStyle name="Separador de milhares 3 2 6 5 3 7" xfId="21913"/>
    <cellStyle name="Separador de milhares 3 2 6 5 4" xfId="2562"/>
    <cellStyle name="Separador de milhares 3 2 6 5 4 2" xfId="5614"/>
    <cellStyle name="Separador de milhares 3 2 6 5 4 2 2" xfId="8826"/>
    <cellStyle name="Separador de milhares 3 2 6 5 4 2 2 2" xfId="20680"/>
    <cellStyle name="Separador de milhares 3 2 6 5 4 2 2 2 2" xfId="47159"/>
    <cellStyle name="Separador de milhares 3 2 6 5 4 2 2 3" xfId="14753"/>
    <cellStyle name="Separador de milhares 3 2 6 5 4 2 2 3 2" xfId="41251"/>
    <cellStyle name="Separador de milhares 3 2 6 5 4 2 2 4" xfId="35343"/>
    <cellStyle name="Separador de milhares 3 2 6 5 4 2 2 5" xfId="28809"/>
    <cellStyle name="Separador de milhares 3 2 6 5 4 2 3" xfId="17716"/>
    <cellStyle name="Separador de milhares 3 2 6 5 4 2 3 2" xfId="44205"/>
    <cellStyle name="Separador de milhares 3 2 6 5 4 2 4" xfId="11789"/>
    <cellStyle name="Separador de milhares 3 2 6 5 4 2 4 2" xfId="38297"/>
    <cellStyle name="Separador de milhares 3 2 6 5 4 2 5" xfId="32141"/>
    <cellStyle name="Separador de milhares 3 2 6 5 4 2 6" xfId="25607"/>
    <cellStyle name="Separador de milhares 3 2 6 5 4 3" xfId="7354"/>
    <cellStyle name="Separador de milhares 3 2 6 5 4 3 2" xfId="19208"/>
    <cellStyle name="Separador de milhares 3 2 6 5 4 3 2 2" xfId="45691"/>
    <cellStyle name="Separador de milhares 3 2 6 5 4 3 3" xfId="13281"/>
    <cellStyle name="Separador de milhares 3 2 6 5 4 3 3 2" xfId="39783"/>
    <cellStyle name="Separador de milhares 3 2 6 5 4 3 4" xfId="33875"/>
    <cellStyle name="Separador de milhares 3 2 6 5 4 3 5" xfId="27341"/>
    <cellStyle name="Separador de milhares 3 2 6 5 4 4" xfId="16244"/>
    <cellStyle name="Separador de milhares 3 2 6 5 4 4 2" xfId="42737"/>
    <cellStyle name="Separador de milhares 3 2 6 5 4 4 3" xfId="23835"/>
    <cellStyle name="Separador de milhares 3 2 6 5 4 5" xfId="10317"/>
    <cellStyle name="Separador de milhares 3 2 6 5 4 5 2" xfId="36829"/>
    <cellStyle name="Separador de milhares 3 2 6 5 4 6" xfId="30369"/>
    <cellStyle name="Separador de milhares 3 2 6 5 4 7" xfId="22063"/>
    <cellStyle name="Separador de milhares 3 2 6 5 5" xfId="3090"/>
    <cellStyle name="Separador de milhares 3 2 6 5 5 2" xfId="5761"/>
    <cellStyle name="Separador de milhares 3 2 6 5 5 2 2" xfId="8973"/>
    <cellStyle name="Separador de milhares 3 2 6 5 5 2 2 2" xfId="20827"/>
    <cellStyle name="Separador de milhares 3 2 6 5 5 2 2 2 2" xfId="47306"/>
    <cellStyle name="Separador de milhares 3 2 6 5 5 2 2 3" xfId="14900"/>
    <cellStyle name="Separador de milhares 3 2 6 5 5 2 2 3 2" xfId="41398"/>
    <cellStyle name="Separador de milhares 3 2 6 5 5 2 2 4" xfId="35490"/>
    <cellStyle name="Separador de milhares 3 2 6 5 5 2 2 5" xfId="28956"/>
    <cellStyle name="Separador de milhares 3 2 6 5 5 2 3" xfId="17863"/>
    <cellStyle name="Separador de milhares 3 2 6 5 5 2 3 2" xfId="44352"/>
    <cellStyle name="Separador de milhares 3 2 6 5 5 2 4" xfId="11936"/>
    <cellStyle name="Separador de milhares 3 2 6 5 5 2 4 2" xfId="38444"/>
    <cellStyle name="Separador de milhares 3 2 6 5 5 2 5" xfId="32288"/>
    <cellStyle name="Separador de milhares 3 2 6 5 5 2 6" xfId="25754"/>
    <cellStyle name="Separador de milhares 3 2 6 5 5 3" xfId="7502"/>
    <cellStyle name="Separador de milhares 3 2 6 5 5 3 2" xfId="19356"/>
    <cellStyle name="Separador de milhares 3 2 6 5 5 3 2 2" xfId="45838"/>
    <cellStyle name="Separador de milhares 3 2 6 5 5 3 3" xfId="13429"/>
    <cellStyle name="Separador de milhares 3 2 6 5 5 3 3 2" xfId="39930"/>
    <cellStyle name="Separador de milhares 3 2 6 5 5 3 4" xfId="34022"/>
    <cellStyle name="Separador de milhares 3 2 6 5 5 3 5" xfId="27488"/>
    <cellStyle name="Separador de milhares 3 2 6 5 5 4" xfId="16392"/>
    <cellStyle name="Separador de milhares 3 2 6 5 5 4 2" xfId="42884"/>
    <cellStyle name="Separador de milhares 3 2 6 5 5 4 3" xfId="23982"/>
    <cellStyle name="Separador de milhares 3 2 6 5 5 5" xfId="10465"/>
    <cellStyle name="Separador de milhares 3 2 6 5 5 5 2" xfId="36976"/>
    <cellStyle name="Separador de milhares 3 2 6 5 5 6" xfId="30516"/>
    <cellStyle name="Separador de milhares 3 2 6 5 5 7" xfId="22210"/>
    <cellStyle name="Separador de milhares 3 2 6 5 6" xfId="3618"/>
    <cellStyle name="Separador de milhares 3 2 6 5 6 2" xfId="5908"/>
    <cellStyle name="Separador de milhares 3 2 6 5 6 2 2" xfId="9120"/>
    <cellStyle name="Separador de milhares 3 2 6 5 6 2 2 2" xfId="20974"/>
    <cellStyle name="Separador de milhares 3 2 6 5 6 2 2 2 2" xfId="47453"/>
    <cellStyle name="Separador de milhares 3 2 6 5 6 2 2 3" xfId="15047"/>
    <cellStyle name="Separador de milhares 3 2 6 5 6 2 2 3 2" xfId="41545"/>
    <cellStyle name="Separador de milhares 3 2 6 5 6 2 2 4" xfId="35637"/>
    <cellStyle name="Separador de milhares 3 2 6 5 6 2 2 5" xfId="29103"/>
    <cellStyle name="Separador de milhares 3 2 6 5 6 2 3" xfId="18010"/>
    <cellStyle name="Separador de milhares 3 2 6 5 6 2 3 2" xfId="44499"/>
    <cellStyle name="Separador de milhares 3 2 6 5 6 2 4" xfId="12083"/>
    <cellStyle name="Separador de milhares 3 2 6 5 6 2 4 2" xfId="38591"/>
    <cellStyle name="Separador de milhares 3 2 6 5 6 2 5" xfId="32435"/>
    <cellStyle name="Separador de milhares 3 2 6 5 6 2 6" xfId="25901"/>
    <cellStyle name="Separador de milhares 3 2 6 5 6 3" xfId="7650"/>
    <cellStyle name="Separador de milhares 3 2 6 5 6 3 2" xfId="19504"/>
    <cellStyle name="Separador de milhares 3 2 6 5 6 3 2 2" xfId="45985"/>
    <cellStyle name="Separador de milhares 3 2 6 5 6 3 3" xfId="13577"/>
    <cellStyle name="Separador de milhares 3 2 6 5 6 3 3 2" xfId="40077"/>
    <cellStyle name="Separador de milhares 3 2 6 5 6 3 4" xfId="34169"/>
    <cellStyle name="Separador de milhares 3 2 6 5 6 3 5" xfId="27635"/>
    <cellStyle name="Separador de milhares 3 2 6 5 6 4" xfId="16540"/>
    <cellStyle name="Separador de milhares 3 2 6 5 6 4 2" xfId="43031"/>
    <cellStyle name="Separador de milhares 3 2 6 5 6 4 3" xfId="24129"/>
    <cellStyle name="Separador de milhares 3 2 6 5 6 5" xfId="10613"/>
    <cellStyle name="Separador de milhares 3 2 6 5 6 5 2" xfId="37123"/>
    <cellStyle name="Separador de milhares 3 2 6 5 6 6" xfId="30663"/>
    <cellStyle name="Separador de milhares 3 2 6 5 6 7" xfId="22357"/>
    <cellStyle name="Separador de milhares 3 2 6 5 7" xfId="4146"/>
    <cellStyle name="Separador de milhares 3 2 6 5 7 2" xfId="6055"/>
    <cellStyle name="Separador de milhares 3 2 6 5 7 2 2" xfId="9267"/>
    <cellStyle name="Separador de milhares 3 2 6 5 7 2 2 2" xfId="21121"/>
    <cellStyle name="Separador de milhares 3 2 6 5 7 2 2 2 2" xfId="47600"/>
    <cellStyle name="Separador de milhares 3 2 6 5 7 2 2 3" xfId="15194"/>
    <cellStyle name="Separador de milhares 3 2 6 5 7 2 2 3 2" xfId="41692"/>
    <cellStyle name="Separador de milhares 3 2 6 5 7 2 2 4" xfId="35784"/>
    <cellStyle name="Separador de milhares 3 2 6 5 7 2 2 5" xfId="29250"/>
    <cellStyle name="Separador de milhares 3 2 6 5 7 2 3" xfId="18157"/>
    <cellStyle name="Separador de milhares 3 2 6 5 7 2 3 2" xfId="44646"/>
    <cellStyle name="Separador de milhares 3 2 6 5 7 2 4" xfId="12230"/>
    <cellStyle name="Separador de milhares 3 2 6 5 7 2 4 2" xfId="38738"/>
    <cellStyle name="Separador de milhares 3 2 6 5 7 2 5" xfId="32582"/>
    <cellStyle name="Separador de milhares 3 2 6 5 7 2 6" xfId="26048"/>
    <cellStyle name="Separador de milhares 3 2 6 5 7 3" xfId="7798"/>
    <cellStyle name="Separador de milhares 3 2 6 5 7 3 2" xfId="19652"/>
    <cellStyle name="Separador de milhares 3 2 6 5 7 3 2 2" xfId="46132"/>
    <cellStyle name="Separador de milhares 3 2 6 5 7 3 3" xfId="13725"/>
    <cellStyle name="Separador de milhares 3 2 6 5 7 3 3 2" xfId="40224"/>
    <cellStyle name="Separador de milhares 3 2 6 5 7 3 4" xfId="34316"/>
    <cellStyle name="Separador de milhares 3 2 6 5 7 3 5" xfId="27782"/>
    <cellStyle name="Separador de milhares 3 2 6 5 7 4" xfId="16688"/>
    <cellStyle name="Separador de milhares 3 2 6 5 7 4 2" xfId="43178"/>
    <cellStyle name="Separador de milhares 3 2 6 5 7 4 3" xfId="24276"/>
    <cellStyle name="Separador de milhares 3 2 6 5 7 5" xfId="10761"/>
    <cellStyle name="Separador de milhares 3 2 6 5 7 5 2" xfId="37270"/>
    <cellStyle name="Separador de milhares 3 2 6 5 7 6" xfId="30810"/>
    <cellStyle name="Separador de milhares 3 2 6 5 7 7" xfId="22504"/>
    <cellStyle name="Separador de milhares 3 2 6 5 8" xfId="5094"/>
    <cellStyle name="Separador de milhares 3 2 6 5 8 2" xfId="8309"/>
    <cellStyle name="Separador de milhares 3 2 6 5 8 2 2" xfId="20163"/>
    <cellStyle name="Separador de milhares 3 2 6 5 8 2 2 2" xfId="46642"/>
    <cellStyle name="Separador de milhares 3 2 6 5 8 2 3" xfId="14236"/>
    <cellStyle name="Separador de milhares 3 2 6 5 8 2 3 2" xfId="40734"/>
    <cellStyle name="Separador de milhares 3 2 6 5 8 2 4" xfId="34826"/>
    <cellStyle name="Separador de milhares 3 2 6 5 8 2 5" xfId="28292"/>
    <cellStyle name="Separador de milhares 3 2 6 5 8 3" xfId="17199"/>
    <cellStyle name="Separador de milhares 3 2 6 5 8 3 2" xfId="43688"/>
    <cellStyle name="Separador de milhares 3 2 6 5 8 4" xfId="11272"/>
    <cellStyle name="Separador de milhares 3 2 6 5 8 4 2" xfId="37780"/>
    <cellStyle name="Separador de milhares 3 2 6 5 8 5" xfId="31621"/>
    <cellStyle name="Separador de milhares 3 2 6 5 8 6" xfId="25087"/>
    <cellStyle name="Separador de milhares 3 2 6 5 9" xfId="6833"/>
    <cellStyle name="Separador de milhares 3 2 6 5 9 2" xfId="18687"/>
    <cellStyle name="Separador de milhares 3 2 6 5 9 2 2" xfId="45174"/>
    <cellStyle name="Separador de milhares 3 2 6 5 9 3" xfId="12760"/>
    <cellStyle name="Separador de milhares 3 2 6 5 9 3 2" xfId="39266"/>
    <cellStyle name="Separador de milhares 3 2 6 5 9 4" xfId="33358"/>
    <cellStyle name="Separador de milhares 3 2 6 5 9 5" xfId="26824"/>
    <cellStyle name="Separador de milhares 3 2 6 6" xfId="892"/>
    <cellStyle name="Separador de milhares 3 2 6 6 2" xfId="4323"/>
    <cellStyle name="Separador de milhares 3 2 6 6 2 2" xfId="6104"/>
    <cellStyle name="Separador de milhares 3 2 6 6 2 2 2" xfId="9316"/>
    <cellStyle name="Separador de milhares 3 2 6 6 2 2 2 2" xfId="21170"/>
    <cellStyle name="Separador de milhares 3 2 6 6 2 2 2 2 2" xfId="47649"/>
    <cellStyle name="Separador de milhares 3 2 6 6 2 2 2 3" xfId="15243"/>
    <cellStyle name="Separador de milhares 3 2 6 6 2 2 2 3 2" xfId="41741"/>
    <cellStyle name="Separador de milhares 3 2 6 6 2 2 2 4" xfId="35833"/>
    <cellStyle name="Separador de milhares 3 2 6 6 2 2 2 5" xfId="29299"/>
    <cellStyle name="Separador de milhares 3 2 6 6 2 2 3" xfId="18206"/>
    <cellStyle name="Separador de milhares 3 2 6 6 2 2 3 2" xfId="44695"/>
    <cellStyle name="Separador de milhares 3 2 6 6 2 2 4" xfId="12279"/>
    <cellStyle name="Separador de milhares 3 2 6 6 2 2 4 2" xfId="38787"/>
    <cellStyle name="Separador de milhares 3 2 6 6 2 2 5" xfId="32631"/>
    <cellStyle name="Separador de milhares 3 2 6 6 2 2 6" xfId="26097"/>
    <cellStyle name="Separador de milhares 3 2 6 6 2 3" xfId="7848"/>
    <cellStyle name="Separador de milhares 3 2 6 6 2 3 2" xfId="19702"/>
    <cellStyle name="Separador de milhares 3 2 6 6 2 3 2 2" xfId="46181"/>
    <cellStyle name="Separador de milhares 3 2 6 6 2 3 3" xfId="13775"/>
    <cellStyle name="Separador de milhares 3 2 6 6 2 3 3 2" xfId="40273"/>
    <cellStyle name="Separador de milhares 3 2 6 6 2 3 4" xfId="34365"/>
    <cellStyle name="Separador de milhares 3 2 6 6 2 3 5" xfId="27831"/>
    <cellStyle name="Separador de milhares 3 2 6 6 2 4" xfId="16738"/>
    <cellStyle name="Separador de milhares 3 2 6 6 2 4 2" xfId="43227"/>
    <cellStyle name="Separador de milhares 3 2 6 6 2 4 3" xfId="24325"/>
    <cellStyle name="Separador de milhares 3 2 6 6 2 5" xfId="10811"/>
    <cellStyle name="Separador de milhares 3 2 6 6 2 5 2" xfId="37319"/>
    <cellStyle name="Separador de milhares 3 2 6 6 2 6" xfId="30859"/>
    <cellStyle name="Separador de milhares 3 2 6 6 2 7" xfId="22553"/>
    <cellStyle name="Separador de milhares 3 2 6 6 3" xfId="5149"/>
    <cellStyle name="Separador de milhares 3 2 6 6 3 2" xfId="8364"/>
    <cellStyle name="Separador de milhares 3 2 6 6 3 2 2" xfId="20218"/>
    <cellStyle name="Separador de milhares 3 2 6 6 3 2 2 2" xfId="46697"/>
    <cellStyle name="Separador de milhares 3 2 6 6 3 2 3" xfId="14291"/>
    <cellStyle name="Separador de milhares 3 2 6 6 3 2 3 2" xfId="40789"/>
    <cellStyle name="Separador de milhares 3 2 6 6 3 2 4" xfId="34881"/>
    <cellStyle name="Separador de milhares 3 2 6 6 3 2 5" xfId="28347"/>
    <cellStyle name="Separador de milhares 3 2 6 6 3 3" xfId="17254"/>
    <cellStyle name="Separador de milhares 3 2 6 6 3 3 2" xfId="43743"/>
    <cellStyle name="Separador de milhares 3 2 6 6 3 4" xfId="11327"/>
    <cellStyle name="Separador de milhares 3 2 6 6 3 4 2" xfId="37835"/>
    <cellStyle name="Separador de milhares 3 2 6 6 3 5" xfId="31676"/>
    <cellStyle name="Separador de milhares 3 2 6 6 3 6" xfId="25142"/>
    <cellStyle name="Separador de milhares 3 2 6 6 4" xfId="6891"/>
    <cellStyle name="Separador de milhares 3 2 6 6 4 2" xfId="18745"/>
    <cellStyle name="Separador de milhares 3 2 6 6 4 2 2" xfId="45229"/>
    <cellStyle name="Separador de milhares 3 2 6 6 4 3" xfId="12818"/>
    <cellStyle name="Separador de milhares 3 2 6 6 4 3 2" xfId="39321"/>
    <cellStyle name="Separador de milhares 3 2 6 6 4 4" xfId="33413"/>
    <cellStyle name="Separador de milhares 3 2 6 6 4 5" xfId="26879"/>
    <cellStyle name="Separador de milhares 3 2 6 6 5" xfId="15781"/>
    <cellStyle name="Separador de milhares 3 2 6 6 5 2" xfId="42275"/>
    <cellStyle name="Separador de milhares 3 2 6 6 5 3" xfId="23370"/>
    <cellStyle name="Separador de milhares 3 2 6 6 6" xfId="9854"/>
    <cellStyle name="Separador de milhares 3 2 6 6 6 2" xfId="36367"/>
    <cellStyle name="Separador de milhares 3 2 6 6 7" xfId="29904"/>
    <cellStyle name="Separador de milhares 3 2 6 6 8" xfId="21598"/>
    <cellStyle name="Separador de milhares 3 2 6 7" xfId="1243"/>
    <cellStyle name="Separador de milhares 3 2 6 7 2" xfId="5247"/>
    <cellStyle name="Separador de milhares 3 2 6 7 2 2" xfId="8462"/>
    <cellStyle name="Separador de milhares 3 2 6 7 2 2 2" xfId="20316"/>
    <cellStyle name="Separador de milhares 3 2 6 7 2 2 2 2" xfId="46795"/>
    <cellStyle name="Separador de milhares 3 2 6 7 2 2 3" xfId="14389"/>
    <cellStyle name="Separador de milhares 3 2 6 7 2 2 3 2" xfId="40887"/>
    <cellStyle name="Separador de milhares 3 2 6 7 2 2 4" xfId="34979"/>
    <cellStyle name="Separador de milhares 3 2 6 7 2 2 5" xfId="28445"/>
    <cellStyle name="Separador de milhares 3 2 6 7 2 3" xfId="17352"/>
    <cellStyle name="Separador de milhares 3 2 6 7 2 3 2" xfId="43841"/>
    <cellStyle name="Separador de milhares 3 2 6 7 2 4" xfId="11425"/>
    <cellStyle name="Separador de milhares 3 2 6 7 2 4 2" xfId="37933"/>
    <cellStyle name="Separador de milhares 3 2 6 7 2 5" xfId="31774"/>
    <cellStyle name="Separador de milhares 3 2 6 7 2 6" xfId="25240"/>
    <cellStyle name="Separador de milhares 3 2 6 7 3" xfId="6989"/>
    <cellStyle name="Separador de milhares 3 2 6 7 3 2" xfId="18843"/>
    <cellStyle name="Separador de milhares 3 2 6 7 3 2 2" xfId="45327"/>
    <cellStyle name="Separador de milhares 3 2 6 7 3 3" xfId="12916"/>
    <cellStyle name="Separador de milhares 3 2 6 7 3 3 2" xfId="39419"/>
    <cellStyle name="Separador de milhares 3 2 6 7 3 4" xfId="33511"/>
    <cellStyle name="Separador de milhares 3 2 6 7 3 5" xfId="26977"/>
    <cellStyle name="Separador de milhares 3 2 6 7 4" xfId="15879"/>
    <cellStyle name="Separador de milhares 3 2 6 7 4 2" xfId="42373"/>
    <cellStyle name="Separador de milhares 3 2 6 7 4 3" xfId="23468"/>
    <cellStyle name="Separador de milhares 3 2 6 7 5" xfId="9952"/>
    <cellStyle name="Separador de milhares 3 2 6 7 5 2" xfId="36465"/>
    <cellStyle name="Separador de milhares 3 2 6 7 6" xfId="30002"/>
    <cellStyle name="Separador de milhares 3 2 6 7 7" xfId="21696"/>
    <cellStyle name="Separador de milhares 3 2 6 8" xfId="1678"/>
    <cellStyle name="Separador de milhares 3 2 6 8 2" xfId="5366"/>
    <cellStyle name="Separador de milhares 3 2 6 8 2 2" xfId="8581"/>
    <cellStyle name="Separador de milhares 3 2 6 8 2 2 2" xfId="20435"/>
    <cellStyle name="Separador de milhares 3 2 6 8 2 2 2 2" xfId="46914"/>
    <cellStyle name="Separador de milhares 3 2 6 8 2 2 3" xfId="14508"/>
    <cellStyle name="Separador de milhares 3 2 6 8 2 2 3 2" xfId="41006"/>
    <cellStyle name="Separador de milhares 3 2 6 8 2 2 4" xfId="35098"/>
    <cellStyle name="Separador de milhares 3 2 6 8 2 2 5" xfId="28564"/>
    <cellStyle name="Separador de milhares 3 2 6 8 2 3" xfId="17471"/>
    <cellStyle name="Separador de milhares 3 2 6 8 2 3 2" xfId="43960"/>
    <cellStyle name="Separador de milhares 3 2 6 8 2 4" xfId="11544"/>
    <cellStyle name="Separador de milhares 3 2 6 8 2 4 2" xfId="38052"/>
    <cellStyle name="Separador de milhares 3 2 6 8 2 5" xfId="31893"/>
    <cellStyle name="Separador de milhares 3 2 6 8 2 6" xfId="25359"/>
    <cellStyle name="Separador de milhares 3 2 6 8 3" xfId="7108"/>
    <cellStyle name="Separador de milhares 3 2 6 8 3 2" xfId="18962"/>
    <cellStyle name="Separador de milhares 3 2 6 8 3 2 2" xfId="45446"/>
    <cellStyle name="Separador de milhares 3 2 6 8 3 3" xfId="13035"/>
    <cellStyle name="Separador de milhares 3 2 6 8 3 3 2" xfId="39538"/>
    <cellStyle name="Separador de milhares 3 2 6 8 3 4" xfId="33630"/>
    <cellStyle name="Separador de milhares 3 2 6 8 3 5" xfId="27096"/>
    <cellStyle name="Separador de milhares 3 2 6 8 4" xfId="15998"/>
    <cellStyle name="Separador de milhares 3 2 6 8 4 2" xfId="42492"/>
    <cellStyle name="Separador de milhares 3 2 6 8 4 3" xfId="23587"/>
    <cellStyle name="Separador de milhares 3 2 6 8 5" xfId="10071"/>
    <cellStyle name="Separador de milhares 3 2 6 8 5 2" xfId="36584"/>
    <cellStyle name="Separador de milhares 3 2 6 8 6" xfId="30121"/>
    <cellStyle name="Separador de milhares 3 2 6 8 7" xfId="21815"/>
    <cellStyle name="Separador de milhares 3 2 6 9" xfId="2211"/>
    <cellStyle name="Separador de milhares 3 2 6 9 2" xfId="5516"/>
    <cellStyle name="Separador de milhares 3 2 6 9 2 2" xfId="8728"/>
    <cellStyle name="Separador de milhares 3 2 6 9 2 2 2" xfId="20582"/>
    <cellStyle name="Separador de milhares 3 2 6 9 2 2 2 2" xfId="47061"/>
    <cellStyle name="Separador de milhares 3 2 6 9 2 2 3" xfId="14655"/>
    <cellStyle name="Separador de milhares 3 2 6 9 2 2 3 2" xfId="41153"/>
    <cellStyle name="Separador de milhares 3 2 6 9 2 2 4" xfId="35245"/>
    <cellStyle name="Separador de milhares 3 2 6 9 2 2 5" xfId="28711"/>
    <cellStyle name="Separador de milhares 3 2 6 9 2 3" xfId="17618"/>
    <cellStyle name="Separador de milhares 3 2 6 9 2 3 2" xfId="44107"/>
    <cellStyle name="Separador de milhares 3 2 6 9 2 4" xfId="11691"/>
    <cellStyle name="Separador de milhares 3 2 6 9 2 4 2" xfId="38199"/>
    <cellStyle name="Separador de milhares 3 2 6 9 2 5" xfId="32043"/>
    <cellStyle name="Separador de milhares 3 2 6 9 2 6" xfId="25509"/>
    <cellStyle name="Separador de milhares 3 2 6 9 3" xfId="7256"/>
    <cellStyle name="Separador de milhares 3 2 6 9 3 2" xfId="19110"/>
    <cellStyle name="Separador de milhares 3 2 6 9 3 2 2" xfId="45593"/>
    <cellStyle name="Separador de milhares 3 2 6 9 3 3" xfId="13183"/>
    <cellStyle name="Separador de milhares 3 2 6 9 3 3 2" xfId="39685"/>
    <cellStyle name="Separador de milhares 3 2 6 9 3 4" xfId="33777"/>
    <cellStyle name="Separador de milhares 3 2 6 9 3 5" xfId="27243"/>
    <cellStyle name="Separador de milhares 3 2 6 9 4" xfId="16146"/>
    <cellStyle name="Separador de milhares 3 2 6 9 4 2" xfId="42639"/>
    <cellStyle name="Separador de milhares 3 2 6 9 4 3" xfId="23737"/>
    <cellStyle name="Separador de milhares 3 2 6 9 5" xfId="10219"/>
    <cellStyle name="Separador de milhares 3 2 6 9 5 2" xfId="36731"/>
    <cellStyle name="Separador de milhares 3 2 6 9 6" xfId="30271"/>
    <cellStyle name="Separador de milhares 3 2 6 9 7" xfId="21965"/>
    <cellStyle name="Separador de milhares 3 2 7" xfId="169"/>
    <cellStyle name="Separador de milhares 3 2 7 10" xfId="2679"/>
    <cellStyle name="Separador de milhares 3 2 7 10 2" xfId="5648"/>
    <cellStyle name="Separador de milhares 3 2 7 10 2 2" xfId="8860"/>
    <cellStyle name="Separador de milhares 3 2 7 10 2 2 2" xfId="20714"/>
    <cellStyle name="Separador de milhares 3 2 7 10 2 2 2 2" xfId="47193"/>
    <cellStyle name="Separador de milhares 3 2 7 10 2 2 3" xfId="14787"/>
    <cellStyle name="Separador de milhares 3 2 7 10 2 2 3 2" xfId="41285"/>
    <cellStyle name="Separador de milhares 3 2 7 10 2 2 4" xfId="35377"/>
    <cellStyle name="Separador de milhares 3 2 7 10 2 2 5" xfId="28843"/>
    <cellStyle name="Separador de milhares 3 2 7 10 2 3" xfId="17750"/>
    <cellStyle name="Separador de milhares 3 2 7 10 2 3 2" xfId="44239"/>
    <cellStyle name="Separador de milhares 3 2 7 10 2 4" xfId="11823"/>
    <cellStyle name="Separador de milhares 3 2 7 10 2 4 2" xfId="38331"/>
    <cellStyle name="Separador de milhares 3 2 7 10 2 5" xfId="32175"/>
    <cellStyle name="Separador de milhares 3 2 7 10 2 6" xfId="25641"/>
    <cellStyle name="Separador de milhares 3 2 7 10 3" xfId="7389"/>
    <cellStyle name="Separador de milhares 3 2 7 10 3 2" xfId="19243"/>
    <cellStyle name="Separador de milhares 3 2 7 10 3 2 2" xfId="45725"/>
    <cellStyle name="Separador de milhares 3 2 7 10 3 3" xfId="13316"/>
    <cellStyle name="Separador de milhares 3 2 7 10 3 3 2" xfId="39817"/>
    <cellStyle name="Separador de milhares 3 2 7 10 3 4" xfId="33909"/>
    <cellStyle name="Separador de milhares 3 2 7 10 3 5" xfId="27375"/>
    <cellStyle name="Separador de milhares 3 2 7 10 4" xfId="16279"/>
    <cellStyle name="Separador de milhares 3 2 7 10 4 2" xfId="42771"/>
    <cellStyle name="Separador de milhares 3 2 7 10 4 3" xfId="23869"/>
    <cellStyle name="Separador de milhares 3 2 7 10 5" xfId="10352"/>
    <cellStyle name="Separador de milhares 3 2 7 10 5 2" xfId="36863"/>
    <cellStyle name="Separador de milhares 3 2 7 10 6" xfId="30403"/>
    <cellStyle name="Separador de milhares 3 2 7 10 7" xfId="22097"/>
    <cellStyle name="Separador de milhares 3 2 7 11" xfId="3207"/>
    <cellStyle name="Separador de milhares 3 2 7 11 2" xfId="5795"/>
    <cellStyle name="Separador de milhares 3 2 7 11 2 2" xfId="9007"/>
    <cellStyle name="Separador de milhares 3 2 7 11 2 2 2" xfId="20861"/>
    <cellStyle name="Separador de milhares 3 2 7 11 2 2 2 2" xfId="47340"/>
    <cellStyle name="Separador de milhares 3 2 7 11 2 2 3" xfId="14934"/>
    <cellStyle name="Separador de milhares 3 2 7 11 2 2 3 2" xfId="41432"/>
    <cellStyle name="Separador de milhares 3 2 7 11 2 2 4" xfId="35524"/>
    <cellStyle name="Separador de milhares 3 2 7 11 2 2 5" xfId="28990"/>
    <cellStyle name="Separador de milhares 3 2 7 11 2 3" xfId="17897"/>
    <cellStyle name="Separador de milhares 3 2 7 11 2 3 2" xfId="44386"/>
    <cellStyle name="Separador de milhares 3 2 7 11 2 4" xfId="11970"/>
    <cellStyle name="Separador de milhares 3 2 7 11 2 4 2" xfId="38478"/>
    <cellStyle name="Separador de milhares 3 2 7 11 2 5" xfId="32322"/>
    <cellStyle name="Separador de milhares 3 2 7 11 2 6" xfId="25788"/>
    <cellStyle name="Separador de milhares 3 2 7 11 3" xfId="7537"/>
    <cellStyle name="Separador de milhares 3 2 7 11 3 2" xfId="19391"/>
    <cellStyle name="Separador de milhares 3 2 7 11 3 2 2" xfId="45872"/>
    <cellStyle name="Separador de milhares 3 2 7 11 3 3" xfId="13464"/>
    <cellStyle name="Separador de milhares 3 2 7 11 3 3 2" xfId="39964"/>
    <cellStyle name="Separador de milhares 3 2 7 11 3 4" xfId="34056"/>
    <cellStyle name="Separador de milhares 3 2 7 11 3 5" xfId="27522"/>
    <cellStyle name="Separador de milhares 3 2 7 11 4" xfId="16427"/>
    <cellStyle name="Separador de milhares 3 2 7 11 4 2" xfId="42918"/>
    <cellStyle name="Separador de milhares 3 2 7 11 4 3" xfId="24016"/>
    <cellStyle name="Separador de milhares 3 2 7 11 5" xfId="10500"/>
    <cellStyle name="Separador de milhares 3 2 7 11 5 2" xfId="37010"/>
    <cellStyle name="Separador de milhares 3 2 7 11 6" xfId="30550"/>
    <cellStyle name="Separador de milhares 3 2 7 11 7" xfId="22244"/>
    <cellStyle name="Separador de milhares 3 2 7 12" xfId="3735"/>
    <cellStyle name="Separador de milhares 3 2 7 12 2" xfId="5942"/>
    <cellStyle name="Separador de milhares 3 2 7 12 2 2" xfId="9154"/>
    <cellStyle name="Separador de milhares 3 2 7 12 2 2 2" xfId="21008"/>
    <cellStyle name="Separador de milhares 3 2 7 12 2 2 2 2" xfId="47487"/>
    <cellStyle name="Separador de milhares 3 2 7 12 2 2 3" xfId="15081"/>
    <cellStyle name="Separador de milhares 3 2 7 12 2 2 3 2" xfId="41579"/>
    <cellStyle name="Separador de milhares 3 2 7 12 2 2 4" xfId="35671"/>
    <cellStyle name="Separador de milhares 3 2 7 12 2 2 5" xfId="29137"/>
    <cellStyle name="Separador de milhares 3 2 7 12 2 3" xfId="18044"/>
    <cellStyle name="Separador de milhares 3 2 7 12 2 3 2" xfId="44533"/>
    <cellStyle name="Separador de milhares 3 2 7 12 2 4" xfId="12117"/>
    <cellStyle name="Separador de milhares 3 2 7 12 2 4 2" xfId="38625"/>
    <cellStyle name="Separador de milhares 3 2 7 12 2 5" xfId="32469"/>
    <cellStyle name="Separador de milhares 3 2 7 12 2 6" xfId="25935"/>
    <cellStyle name="Separador de milhares 3 2 7 12 3" xfId="7685"/>
    <cellStyle name="Separador de milhares 3 2 7 12 3 2" xfId="19539"/>
    <cellStyle name="Separador de milhares 3 2 7 12 3 2 2" xfId="46019"/>
    <cellStyle name="Separador de milhares 3 2 7 12 3 3" xfId="13612"/>
    <cellStyle name="Separador de milhares 3 2 7 12 3 3 2" xfId="40111"/>
    <cellStyle name="Separador de milhares 3 2 7 12 3 4" xfId="34203"/>
    <cellStyle name="Separador de milhares 3 2 7 12 3 5" xfId="27669"/>
    <cellStyle name="Separador de milhares 3 2 7 12 4" xfId="16575"/>
    <cellStyle name="Separador de milhares 3 2 7 12 4 2" xfId="43065"/>
    <cellStyle name="Separador de milhares 3 2 7 12 4 3" xfId="24163"/>
    <cellStyle name="Separador de milhares 3 2 7 12 5" xfId="10648"/>
    <cellStyle name="Separador de milhares 3 2 7 12 5 2" xfId="37157"/>
    <cellStyle name="Separador de milhares 3 2 7 12 6" xfId="30697"/>
    <cellStyle name="Separador de milhares 3 2 7 12 7" xfId="22391"/>
    <cellStyle name="Separador de milhares 3 2 7 13" xfId="4926"/>
    <cellStyle name="Separador de milhares 3 2 7 13 2" xfId="8150"/>
    <cellStyle name="Separador de milhares 3 2 7 13 2 2" xfId="20004"/>
    <cellStyle name="Separador de milhares 3 2 7 13 2 2 2" xfId="46483"/>
    <cellStyle name="Separador de milhares 3 2 7 13 2 3" xfId="14077"/>
    <cellStyle name="Separador de milhares 3 2 7 13 2 3 2" xfId="40575"/>
    <cellStyle name="Separador de milhares 3 2 7 13 2 4" xfId="34667"/>
    <cellStyle name="Separador de milhares 3 2 7 13 2 5" xfId="28133"/>
    <cellStyle name="Separador de milhares 3 2 7 13 3" xfId="17040"/>
    <cellStyle name="Separador de milhares 3 2 7 13 3 2" xfId="43529"/>
    <cellStyle name="Separador de milhares 3 2 7 13 4" xfId="11113"/>
    <cellStyle name="Separador de milhares 3 2 7 13 4 2" xfId="37621"/>
    <cellStyle name="Separador de milhares 3 2 7 13 5" xfId="31453"/>
    <cellStyle name="Separador de milhares 3 2 7 13 6" xfId="24919"/>
    <cellStyle name="Separador de milhares 3 2 7 14" xfId="6674"/>
    <cellStyle name="Separador de milhares 3 2 7 14 2" xfId="18528"/>
    <cellStyle name="Separador de milhares 3 2 7 14 2 2" xfId="45015"/>
    <cellStyle name="Separador de milhares 3 2 7 14 3" xfId="12601"/>
    <cellStyle name="Separador de milhares 3 2 7 14 3 2" xfId="39107"/>
    <cellStyle name="Separador de milhares 3 2 7 14 4" xfId="33199"/>
    <cellStyle name="Separador de milhares 3 2 7 14 5" xfId="26665"/>
    <cellStyle name="Separador de milhares 3 2 7 15" xfId="15564"/>
    <cellStyle name="Separador de milhares 3 2 7 15 2" xfId="42061"/>
    <cellStyle name="Separador de milhares 3 2 7 15 3" xfId="23147"/>
    <cellStyle name="Separador de milhares 3 2 7 16" xfId="9637"/>
    <cellStyle name="Separador de milhares 3 2 7 16 2" xfId="36153"/>
    <cellStyle name="Separador de milhares 3 2 7 17" xfId="29681"/>
    <cellStyle name="Separador de milhares 3 2 7 2" xfId="263"/>
    <cellStyle name="Separador de milhares 3 2 7 2 10" xfId="4955"/>
    <cellStyle name="Separador de milhares 3 2 7 2 10 2" xfId="8177"/>
    <cellStyle name="Separador de milhares 3 2 7 2 10 2 2" xfId="20031"/>
    <cellStyle name="Separador de milhares 3 2 7 2 10 2 2 2" xfId="46510"/>
    <cellStyle name="Separador de milhares 3 2 7 2 10 2 3" xfId="14104"/>
    <cellStyle name="Separador de milhares 3 2 7 2 10 2 3 2" xfId="40602"/>
    <cellStyle name="Separador de milhares 3 2 7 2 10 2 4" xfId="34694"/>
    <cellStyle name="Separador de milhares 3 2 7 2 10 2 5" xfId="28160"/>
    <cellStyle name="Separador de milhares 3 2 7 2 10 3" xfId="17067"/>
    <cellStyle name="Separador de milhares 3 2 7 2 10 3 2" xfId="43556"/>
    <cellStyle name="Separador de milhares 3 2 7 2 10 4" xfId="11140"/>
    <cellStyle name="Separador de milhares 3 2 7 2 10 4 2" xfId="37648"/>
    <cellStyle name="Separador de milhares 3 2 7 2 10 5" xfId="31482"/>
    <cellStyle name="Separador de milhares 3 2 7 2 10 6" xfId="24948"/>
    <cellStyle name="Separador de milhares 3 2 7 2 11" xfId="6701"/>
    <cellStyle name="Separador de milhares 3 2 7 2 11 2" xfId="18555"/>
    <cellStyle name="Separador de milhares 3 2 7 2 11 2 2" xfId="45042"/>
    <cellStyle name="Separador de milhares 3 2 7 2 11 3" xfId="12628"/>
    <cellStyle name="Separador de milhares 3 2 7 2 11 3 2" xfId="39134"/>
    <cellStyle name="Separador de milhares 3 2 7 2 11 4" xfId="33226"/>
    <cellStyle name="Separador de milhares 3 2 7 2 11 5" xfId="26692"/>
    <cellStyle name="Separador de milhares 3 2 7 2 12" xfId="15591"/>
    <cellStyle name="Separador de milhares 3 2 7 2 12 2" xfId="42088"/>
    <cellStyle name="Separador de milhares 3 2 7 2 12 3" xfId="23176"/>
    <cellStyle name="Separador de milhares 3 2 7 2 13" xfId="9664"/>
    <cellStyle name="Separador de milhares 3 2 7 2 13 2" xfId="36180"/>
    <cellStyle name="Separador de milhares 3 2 7 2 14" xfId="29710"/>
    <cellStyle name="Separador de milhares 3 2 7 2 15" xfId="21428"/>
    <cellStyle name="Separador de milhares 3 2 7 2 2" xfId="538"/>
    <cellStyle name="Separador de milhares 3 2 7 2 2 10" xfId="9738"/>
    <cellStyle name="Separador de milhares 3 2 7 2 2 10 2" xfId="36254"/>
    <cellStyle name="Separador de milhares 3 2 7 2 2 11" xfId="29791"/>
    <cellStyle name="Separador de milhares 3 2 7 2 2 12" xfId="21486"/>
    <cellStyle name="Separador de milhares 3 2 7 2 2 2" xfId="2059"/>
    <cellStyle name="Separador de milhares 3 2 7 2 2 2 2" xfId="5474"/>
    <cellStyle name="Separador de milhares 3 2 7 2 2 2 2 2" xfId="8689"/>
    <cellStyle name="Separador de milhares 3 2 7 2 2 2 2 2 2" xfId="20543"/>
    <cellStyle name="Separador de milhares 3 2 7 2 2 2 2 2 2 2" xfId="47022"/>
    <cellStyle name="Separador de milhares 3 2 7 2 2 2 2 2 3" xfId="14616"/>
    <cellStyle name="Separador de milhares 3 2 7 2 2 2 2 2 3 2" xfId="41114"/>
    <cellStyle name="Separador de milhares 3 2 7 2 2 2 2 2 4" xfId="35206"/>
    <cellStyle name="Separador de milhares 3 2 7 2 2 2 2 2 5" xfId="28672"/>
    <cellStyle name="Separador de milhares 3 2 7 2 2 2 2 3" xfId="17579"/>
    <cellStyle name="Separador de milhares 3 2 7 2 2 2 2 3 2" xfId="44068"/>
    <cellStyle name="Separador de milhares 3 2 7 2 2 2 2 4" xfId="11652"/>
    <cellStyle name="Separador de milhares 3 2 7 2 2 2 2 4 2" xfId="38160"/>
    <cellStyle name="Separador de milhares 3 2 7 2 2 2 2 5" xfId="32001"/>
    <cellStyle name="Separador de milhares 3 2 7 2 2 2 2 6" xfId="25467"/>
    <cellStyle name="Separador de milhares 3 2 7 2 2 2 3" xfId="7217"/>
    <cellStyle name="Separador de milhares 3 2 7 2 2 2 3 2" xfId="19071"/>
    <cellStyle name="Separador de milhares 3 2 7 2 2 2 3 2 2" xfId="45554"/>
    <cellStyle name="Separador de milhares 3 2 7 2 2 2 3 3" xfId="13144"/>
    <cellStyle name="Separador de milhares 3 2 7 2 2 2 3 3 2" xfId="39646"/>
    <cellStyle name="Separador de milhares 3 2 7 2 2 2 3 4" xfId="33738"/>
    <cellStyle name="Separador de milhares 3 2 7 2 2 2 3 5" xfId="27204"/>
    <cellStyle name="Separador de milhares 3 2 7 2 2 2 4" xfId="16107"/>
    <cellStyle name="Separador de milhares 3 2 7 2 2 2 4 2" xfId="42600"/>
    <cellStyle name="Separador de milhares 3 2 7 2 2 2 4 3" xfId="23695"/>
    <cellStyle name="Separador de milhares 3 2 7 2 2 2 5" xfId="10180"/>
    <cellStyle name="Separador de milhares 3 2 7 2 2 2 5 2" xfId="36692"/>
    <cellStyle name="Separador de milhares 3 2 7 2 2 2 6" xfId="30229"/>
    <cellStyle name="Separador de milhares 3 2 7 2 2 2 7" xfId="21923"/>
    <cellStyle name="Separador de milhares 3 2 7 2 2 3" xfId="2592"/>
    <cellStyle name="Separador de milhares 3 2 7 2 2 3 2" xfId="5624"/>
    <cellStyle name="Separador de milhares 3 2 7 2 2 3 2 2" xfId="8836"/>
    <cellStyle name="Separador de milhares 3 2 7 2 2 3 2 2 2" xfId="20690"/>
    <cellStyle name="Separador de milhares 3 2 7 2 2 3 2 2 2 2" xfId="47169"/>
    <cellStyle name="Separador de milhares 3 2 7 2 2 3 2 2 3" xfId="14763"/>
    <cellStyle name="Separador de milhares 3 2 7 2 2 3 2 2 3 2" xfId="41261"/>
    <cellStyle name="Separador de milhares 3 2 7 2 2 3 2 2 4" xfId="35353"/>
    <cellStyle name="Separador de milhares 3 2 7 2 2 3 2 2 5" xfId="28819"/>
    <cellStyle name="Separador de milhares 3 2 7 2 2 3 2 3" xfId="17726"/>
    <cellStyle name="Separador de milhares 3 2 7 2 2 3 2 3 2" xfId="44215"/>
    <cellStyle name="Separador de milhares 3 2 7 2 2 3 2 4" xfId="11799"/>
    <cellStyle name="Separador de milhares 3 2 7 2 2 3 2 4 2" xfId="38307"/>
    <cellStyle name="Separador de milhares 3 2 7 2 2 3 2 5" xfId="32151"/>
    <cellStyle name="Separador de milhares 3 2 7 2 2 3 2 6" xfId="25617"/>
    <cellStyle name="Separador de milhares 3 2 7 2 2 3 3" xfId="7365"/>
    <cellStyle name="Separador de milhares 3 2 7 2 2 3 3 2" xfId="19219"/>
    <cellStyle name="Separador de milhares 3 2 7 2 2 3 3 2 2" xfId="45701"/>
    <cellStyle name="Separador de milhares 3 2 7 2 2 3 3 3" xfId="13292"/>
    <cellStyle name="Separador de milhares 3 2 7 2 2 3 3 3 2" xfId="39793"/>
    <cellStyle name="Separador de milhares 3 2 7 2 2 3 3 4" xfId="33885"/>
    <cellStyle name="Separador de milhares 3 2 7 2 2 3 3 5" xfId="27351"/>
    <cellStyle name="Separador de milhares 3 2 7 2 2 3 4" xfId="16255"/>
    <cellStyle name="Separador de milhares 3 2 7 2 2 3 4 2" xfId="42747"/>
    <cellStyle name="Separador de milhares 3 2 7 2 2 3 4 3" xfId="23845"/>
    <cellStyle name="Separador de milhares 3 2 7 2 2 3 5" xfId="10328"/>
    <cellStyle name="Separador de milhares 3 2 7 2 2 3 5 2" xfId="36839"/>
    <cellStyle name="Separador de milhares 3 2 7 2 2 3 6" xfId="30379"/>
    <cellStyle name="Separador de milhares 3 2 7 2 2 3 7" xfId="22073"/>
    <cellStyle name="Separador de milhares 3 2 7 2 2 4" xfId="3120"/>
    <cellStyle name="Separador de milhares 3 2 7 2 2 4 2" xfId="5771"/>
    <cellStyle name="Separador de milhares 3 2 7 2 2 4 2 2" xfId="8983"/>
    <cellStyle name="Separador de milhares 3 2 7 2 2 4 2 2 2" xfId="20837"/>
    <cellStyle name="Separador de milhares 3 2 7 2 2 4 2 2 2 2" xfId="47316"/>
    <cellStyle name="Separador de milhares 3 2 7 2 2 4 2 2 3" xfId="14910"/>
    <cellStyle name="Separador de milhares 3 2 7 2 2 4 2 2 3 2" xfId="41408"/>
    <cellStyle name="Separador de milhares 3 2 7 2 2 4 2 2 4" xfId="35500"/>
    <cellStyle name="Separador de milhares 3 2 7 2 2 4 2 2 5" xfId="28966"/>
    <cellStyle name="Separador de milhares 3 2 7 2 2 4 2 3" xfId="17873"/>
    <cellStyle name="Separador de milhares 3 2 7 2 2 4 2 3 2" xfId="44362"/>
    <cellStyle name="Separador de milhares 3 2 7 2 2 4 2 4" xfId="11946"/>
    <cellStyle name="Separador de milhares 3 2 7 2 2 4 2 4 2" xfId="38454"/>
    <cellStyle name="Separador de milhares 3 2 7 2 2 4 2 5" xfId="32298"/>
    <cellStyle name="Separador de milhares 3 2 7 2 2 4 2 6" xfId="25764"/>
    <cellStyle name="Separador de milhares 3 2 7 2 2 4 3" xfId="7513"/>
    <cellStyle name="Separador de milhares 3 2 7 2 2 4 3 2" xfId="19367"/>
    <cellStyle name="Separador de milhares 3 2 7 2 2 4 3 2 2" xfId="45848"/>
    <cellStyle name="Separador de milhares 3 2 7 2 2 4 3 3" xfId="13440"/>
    <cellStyle name="Separador de milhares 3 2 7 2 2 4 3 3 2" xfId="39940"/>
    <cellStyle name="Separador de milhares 3 2 7 2 2 4 3 4" xfId="34032"/>
    <cellStyle name="Separador de milhares 3 2 7 2 2 4 3 5" xfId="27498"/>
    <cellStyle name="Separador de milhares 3 2 7 2 2 4 4" xfId="16403"/>
    <cellStyle name="Separador de milhares 3 2 7 2 2 4 4 2" xfId="42894"/>
    <cellStyle name="Separador de milhares 3 2 7 2 2 4 4 3" xfId="23992"/>
    <cellStyle name="Separador de milhares 3 2 7 2 2 4 5" xfId="10476"/>
    <cellStyle name="Separador de milhares 3 2 7 2 2 4 5 2" xfId="36986"/>
    <cellStyle name="Separador de milhares 3 2 7 2 2 4 6" xfId="30526"/>
    <cellStyle name="Separador de milhares 3 2 7 2 2 4 7" xfId="22220"/>
    <cellStyle name="Separador de milhares 3 2 7 2 2 5" xfId="3648"/>
    <cellStyle name="Separador de milhares 3 2 7 2 2 5 2" xfId="5918"/>
    <cellStyle name="Separador de milhares 3 2 7 2 2 5 2 2" xfId="9130"/>
    <cellStyle name="Separador de milhares 3 2 7 2 2 5 2 2 2" xfId="20984"/>
    <cellStyle name="Separador de milhares 3 2 7 2 2 5 2 2 2 2" xfId="47463"/>
    <cellStyle name="Separador de milhares 3 2 7 2 2 5 2 2 3" xfId="15057"/>
    <cellStyle name="Separador de milhares 3 2 7 2 2 5 2 2 3 2" xfId="41555"/>
    <cellStyle name="Separador de milhares 3 2 7 2 2 5 2 2 4" xfId="35647"/>
    <cellStyle name="Separador de milhares 3 2 7 2 2 5 2 2 5" xfId="29113"/>
    <cellStyle name="Separador de milhares 3 2 7 2 2 5 2 3" xfId="18020"/>
    <cellStyle name="Separador de milhares 3 2 7 2 2 5 2 3 2" xfId="44509"/>
    <cellStyle name="Separador de milhares 3 2 7 2 2 5 2 4" xfId="12093"/>
    <cellStyle name="Separador de milhares 3 2 7 2 2 5 2 4 2" xfId="38601"/>
    <cellStyle name="Separador de milhares 3 2 7 2 2 5 2 5" xfId="32445"/>
    <cellStyle name="Separador de milhares 3 2 7 2 2 5 2 6" xfId="25911"/>
    <cellStyle name="Separador de milhares 3 2 7 2 2 5 3" xfId="7661"/>
    <cellStyle name="Separador de milhares 3 2 7 2 2 5 3 2" xfId="19515"/>
    <cellStyle name="Separador de milhares 3 2 7 2 2 5 3 2 2" xfId="45995"/>
    <cellStyle name="Separador de milhares 3 2 7 2 2 5 3 3" xfId="13588"/>
    <cellStyle name="Separador de milhares 3 2 7 2 2 5 3 3 2" xfId="40087"/>
    <cellStyle name="Separador de milhares 3 2 7 2 2 5 3 4" xfId="34179"/>
    <cellStyle name="Separador de milhares 3 2 7 2 2 5 3 5" xfId="27645"/>
    <cellStyle name="Separador de milhares 3 2 7 2 2 5 4" xfId="16551"/>
    <cellStyle name="Separador de milhares 3 2 7 2 2 5 4 2" xfId="43041"/>
    <cellStyle name="Separador de milhares 3 2 7 2 2 5 4 3" xfId="24139"/>
    <cellStyle name="Separador de milhares 3 2 7 2 2 5 5" xfId="10624"/>
    <cellStyle name="Separador de milhares 3 2 7 2 2 5 5 2" xfId="37133"/>
    <cellStyle name="Separador de milhares 3 2 7 2 2 5 6" xfId="30673"/>
    <cellStyle name="Separador de milhares 3 2 7 2 2 5 7" xfId="22367"/>
    <cellStyle name="Separador de milhares 3 2 7 2 2 6" xfId="4176"/>
    <cellStyle name="Separador de milhares 3 2 7 2 2 6 2" xfId="6065"/>
    <cellStyle name="Separador de milhares 3 2 7 2 2 6 2 2" xfId="9277"/>
    <cellStyle name="Separador de milhares 3 2 7 2 2 6 2 2 2" xfId="21131"/>
    <cellStyle name="Separador de milhares 3 2 7 2 2 6 2 2 2 2" xfId="47610"/>
    <cellStyle name="Separador de milhares 3 2 7 2 2 6 2 2 3" xfId="15204"/>
    <cellStyle name="Separador de milhares 3 2 7 2 2 6 2 2 3 2" xfId="41702"/>
    <cellStyle name="Separador de milhares 3 2 7 2 2 6 2 2 4" xfId="35794"/>
    <cellStyle name="Separador de milhares 3 2 7 2 2 6 2 2 5" xfId="29260"/>
    <cellStyle name="Separador de milhares 3 2 7 2 2 6 2 3" xfId="18167"/>
    <cellStyle name="Separador de milhares 3 2 7 2 2 6 2 3 2" xfId="44656"/>
    <cellStyle name="Separador de milhares 3 2 7 2 2 6 2 4" xfId="12240"/>
    <cellStyle name="Separador de milhares 3 2 7 2 2 6 2 4 2" xfId="38748"/>
    <cellStyle name="Separador de milhares 3 2 7 2 2 6 2 5" xfId="32592"/>
    <cellStyle name="Separador de milhares 3 2 7 2 2 6 2 6" xfId="26058"/>
    <cellStyle name="Separador de milhares 3 2 7 2 2 6 3" xfId="7809"/>
    <cellStyle name="Separador de milhares 3 2 7 2 2 6 3 2" xfId="19663"/>
    <cellStyle name="Separador de milhares 3 2 7 2 2 6 3 2 2" xfId="46142"/>
    <cellStyle name="Separador de milhares 3 2 7 2 2 6 3 3" xfId="13736"/>
    <cellStyle name="Separador de milhares 3 2 7 2 2 6 3 3 2" xfId="40234"/>
    <cellStyle name="Separador de milhares 3 2 7 2 2 6 3 4" xfId="34326"/>
    <cellStyle name="Separador de milhares 3 2 7 2 2 6 3 5" xfId="27792"/>
    <cellStyle name="Separador de milhares 3 2 7 2 2 6 4" xfId="16699"/>
    <cellStyle name="Separador de milhares 3 2 7 2 2 6 4 2" xfId="43188"/>
    <cellStyle name="Separador de milhares 3 2 7 2 2 6 4 3" xfId="24286"/>
    <cellStyle name="Separador de milhares 3 2 7 2 2 6 5" xfId="10772"/>
    <cellStyle name="Separador de milhares 3 2 7 2 2 6 5 2" xfId="37280"/>
    <cellStyle name="Separador de milhares 3 2 7 2 2 6 6" xfId="30820"/>
    <cellStyle name="Separador de milhares 3 2 7 2 2 6 7" xfId="22514"/>
    <cellStyle name="Separador de milhares 3 2 7 2 2 7" xfId="5036"/>
    <cellStyle name="Separador de milhares 3 2 7 2 2 7 2" xfId="8251"/>
    <cellStyle name="Separador de milhares 3 2 7 2 2 7 2 2" xfId="20105"/>
    <cellStyle name="Separador de milhares 3 2 7 2 2 7 2 2 2" xfId="46584"/>
    <cellStyle name="Separador de milhares 3 2 7 2 2 7 2 3" xfId="14178"/>
    <cellStyle name="Separador de milhares 3 2 7 2 2 7 2 3 2" xfId="40676"/>
    <cellStyle name="Separador de milhares 3 2 7 2 2 7 2 4" xfId="34768"/>
    <cellStyle name="Separador de milhares 3 2 7 2 2 7 2 5" xfId="28234"/>
    <cellStyle name="Separador de milhares 3 2 7 2 2 7 3" xfId="17141"/>
    <cellStyle name="Separador de milhares 3 2 7 2 2 7 3 2" xfId="43630"/>
    <cellStyle name="Separador de milhares 3 2 7 2 2 7 4" xfId="11214"/>
    <cellStyle name="Separador de milhares 3 2 7 2 2 7 4 2" xfId="37722"/>
    <cellStyle name="Separador de milhares 3 2 7 2 2 7 5" xfId="31563"/>
    <cellStyle name="Separador de milhares 3 2 7 2 2 7 6" xfId="25029"/>
    <cellStyle name="Separador de milhares 3 2 7 2 2 8" xfId="6775"/>
    <cellStyle name="Separador de milhares 3 2 7 2 2 8 2" xfId="18629"/>
    <cellStyle name="Separador de milhares 3 2 7 2 2 8 2 2" xfId="45116"/>
    <cellStyle name="Separador de milhares 3 2 7 2 2 8 3" xfId="12702"/>
    <cellStyle name="Separador de milhares 3 2 7 2 2 8 3 2" xfId="39208"/>
    <cellStyle name="Separador de milhares 3 2 7 2 2 8 4" xfId="33300"/>
    <cellStyle name="Separador de milhares 3 2 7 2 2 8 5" xfId="26766"/>
    <cellStyle name="Separador de milhares 3 2 7 2 2 9" xfId="15665"/>
    <cellStyle name="Separador de milhares 3 2 7 2 2 9 2" xfId="42162"/>
    <cellStyle name="Separador de milhares 3 2 7 2 2 9 3" xfId="23257"/>
    <cellStyle name="Separador de milhares 3 2 7 2 3" xfId="1012"/>
    <cellStyle name="Separador de milhares 3 2 7 2 3 2" xfId="5187"/>
    <cellStyle name="Separador de milhares 3 2 7 2 3 2 2" xfId="8402"/>
    <cellStyle name="Separador de milhares 3 2 7 2 3 2 2 2" xfId="20256"/>
    <cellStyle name="Separador de milhares 3 2 7 2 3 2 2 2 2" xfId="46735"/>
    <cellStyle name="Separador de milhares 3 2 7 2 3 2 2 3" xfId="14329"/>
    <cellStyle name="Separador de milhares 3 2 7 2 3 2 2 3 2" xfId="40827"/>
    <cellStyle name="Separador de milhares 3 2 7 2 3 2 2 4" xfId="34919"/>
    <cellStyle name="Separador de milhares 3 2 7 2 3 2 2 5" xfId="28385"/>
    <cellStyle name="Separador de milhares 3 2 7 2 3 2 3" xfId="17292"/>
    <cellStyle name="Separador de milhares 3 2 7 2 3 2 3 2" xfId="43781"/>
    <cellStyle name="Separador de milhares 3 2 7 2 3 2 4" xfId="11365"/>
    <cellStyle name="Separador de milhares 3 2 7 2 3 2 4 2" xfId="37873"/>
    <cellStyle name="Separador de milhares 3 2 7 2 3 2 5" xfId="31714"/>
    <cellStyle name="Separador de milhares 3 2 7 2 3 2 6" xfId="25180"/>
    <cellStyle name="Separador de milhares 3 2 7 2 3 3" xfId="6929"/>
    <cellStyle name="Separador de milhares 3 2 7 2 3 3 2" xfId="18783"/>
    <cellStyle name="Separador de milhares 3 2 7 2 3 3 2 2" xfId="45267"/>
    <cellStyle name="Separador de milhares 3 2 7 2 3 3 3" xfId="12856"/>
    <cellStyle name="Separador de milhares 3 2 7 2 3 3 3 2" xfId="39359"/>
    <cellStyle name="Separador de milhares 3 2 7 2 3 3 4" xfId="33451"/>
    <cellStyle name="Separador de milhares 3 2 7 2 3 3 5" xfId="26917"/>
    <cellStyle name="Separador de milhares 3 2 7 2 3 4" xfId="15819"/>
    <cellStyle name="Separador de milhares 3 2 7 2 3 4 2" xfId="42313"/>
    <cellStyle name="Separador de milhares 3 2 7 2 3 4 3" xfId="23408"/>
    <cellStyle name="Separador de milhares 3 2 7 2 3 5" xfId="9892"/>
    <cellStyle name="Separador de milhares 3 2 7 2 3 5 2" xfId="36405"/>
    <cellStyle name="Separador de milhares 3 2 7 2 3 6" xfId="29942"/>
    <cellStyle name="Separador de milhares 3 2 7 2 3 7" xfId="21636"/>
    <cellStyle name="Separador de milhares 3 2 7 2 4" xfId="1363"/>
    <cellStyle name="Separador de milhares 3 2 7 2 4 2" xfId="5285"/>
    <cellStyle name="Separador de milhares 3 2 7 2 4 2 2" xfId="8500"/>
    <cellStyle name="Separador de milhares 3 2 7 2 4 2 2 2" xfId="20354"/>
    <cellStyle name="Separador de milhares 3 2 7 2 4 2 2 2 2" xfId="46833"/>
    <cellStyle name="Separador de milhares 3 2 7 2 4 2 2 3" xfId="14427"/>
    <cellStyle name="Separador de milhares 3 2 7 2 4 2 2 3 2" xfId="40925"/>
    <cellStyle name="Separador de milhares 3 2 7 2 4 2 2 4" xfId="35017"/>
    <cellStyle name="Separador de milhares 3 2 7 2 4 2 2 5" xfId="28483"/>
    <cellStyle name="Separador de milhares 3 2 7 2 4 2 3" xfId="17390"/>
    <cellStyle name="Separador de milhares 3 2 7 2 4 2 3 2" xfId="43879"/>
    <cellStyle name="Separador de milhares 3 2 7 2 4 2 4" xfId="11463"/>
    <cellStyle name="Separador de milhares 3 2 7 2 4 2 4 2" xfId="37971"/>
    <cellStyle name="Separador de milhares 3 2 7 2 4 2 5" xfId="31812"/>
    <cellStyle name="Separador de milhares 3 2 7 2 4 2 6" xfId="25278"/>
    <cellStyle name="Separador de milhares 3 2 7 2 4 3" xfId="7027"/>
    <cellStyle name="Separador de milhares 3 2 7 2 4 3 2" xfId="18881"/>
    <cellStyle name="Separador de milhares 3 2 7 2 4 3 2 2" xfId="45365"/>
    <cellStyle name="Separador de milhares 3 2 7 2 4 3 3" xfId="12954"/>
    <cellStyle name="Separador de milhares 3 2 7 2 4 3 3 2" xfId="39457"/>
    <cellStyle name="Separador de milhares 3 2 7 2 4 3 4" xfId="33549"/>
    <cellStyle name="Separador de milhares 3 2 7 2 4 3 5" xfId="27015"/>
    <cellStyle name="Separador de milhares 3 2 7 2 4 4" xfId="15917"/>
    <cellStyle name="Separador de milhares 3 2 7 2 4 4 2" xfId="42411"/>
    <cellStyle name="Separador de milhares 3 2 7 2 4 4 3" xfId="23506"/>
    <cellStyle name="Separador de milhares 3 2 7 2 4 5" xfId="9990"/>
    <cellStyle name="Separador de milhares 3 2 7 2 4 5 2" xfId="36503"/>
    <cellStyle name="Separador de milhares 3 2 7 2 4 6" xfId="30040"/>
    <cellStyle name="Separador de milhares 3 2 7 2 4 7" xfId="21734"/>
    <cellStyle name="Separador de milhares 3 2 7 2 5" xfId="1798"/>
    <cellStyle name="Separador de milhares 3 2 7 2 5 2" xfId="5404"/>
    <cellStyle name="Separador de milhares 3 2 7 2 5 2 2" xfId="8619"/>
    <cellStyle name="Separador de milhares 3 2 7 2 5 2 2 2" xfId="20473"/>
    <cellStyle name="Separador de milhares 3 2 7 2 5 2 2 2 2" xfId="46952"/>
    <cellStyle name="Separador de milhares 3 2 7 2 5 2 2 3" xfId="14546"/>
    <cellStyle name="Separador de milhares 3 2 7 2 5 2 2 3 2" xfId="41044"/>
    <cellStyle name="Separador de milhares 3 2 7 2 5 2 2 4" xfId="35136"/>
    <cellStyle name="Separador de milhares 3 2 7 2 5 2 2 5" xfId="28602"/>
    <cellStyle name="Separador de milhares 3 2 7 2 5 2 3" xfId="17509"/>
    <cellStyle name="Separador de milhares 3 2 7 2 5 2 3 2" xfId="43998"/>
    <cellStyle name="Separador de milhares 3 2 7 2 5 2 4" xfId="11582"/>
    <cellStyle name="Separador de milhares 3 2 7 2 5 2 4 2" xfId="38090"/>
    <cellStyle name="Separador de milhares 3 2 7 2 5 2 5" xfId="31931"/>
    <cellStyle name="Separador de milhares 3 2 7 2 5 2 6" xfId="25397"/>
    <cellStyle name="Separador de milhares 3 2 7 2 5 3" xfId="7146"/>
    <cellStyle name="Separador de milhares 3 2 7 2 5 3 2" xfId="19000"/>
    <cellStyle name="Separador de milhares 3 2 7 2 5 3 2 2" xfId="45484"/>
    <cellStyle name="Separador de milhares 3 2 7 2 5 3 3" xfId="13073"/>
    <cellStyle name="Separador de milhares 3 2 7 2 5 3 3 2" xfId="39576"/>
    <cellStyle name="Separador de milhares 3 2 7 2 5 3 4" xfId="33668"/>
    <cellStyle name="Separador de milhares 3 2 7 2 5 3 5" xfId="27134"/>
    <cellStyle name="Separador de milhares 3 2 7 2 5 4" xfId="16036"/>
    <cellStyle name="Separador de milhares 3 2 7 2 5 4 2" xfId="42530"/>
    <cellStyle name="Separador de milhares 3 2 7 2 5 4 3" xfId="23625"/>
    <cellStyle name="Separador de milhares 3 2 7 2 5 5" xfId="10109"/>
    <cellStyle name="Separador de milhares 3 2 7 2 5 5 2" xfId="36622"/>
    <cellStyle name="Separador de milhares 3 2 7 2 5 6" xfId="30159"/>
    <cellStyle name="Separador de milhares 3 2 7 2 5 7" xfId="21853"/>
    <cellStyle name="Separador de milhares 3 2 7 2 6" xfId="2331"/>
    <cellStyle name="Separador de milhares 3 2 7 2 6 2" xfId="5554"/>
    <cellStyle name="Separador de milhares 3 2 7 2 6 2 2" xfId="8766"/>
    <cellStyle name="Separador de milhares 3 2 7 2 6 2 2 2" xfId="20620"/>
    <cellStyle name="Separador de milhares 3 2 7 2 6 2 2 2 2" xfId="47099"/>
    <cellStyle name="Separador de milhares 3 2 7 2 6 2 2 3" xfId="14693"/>
    <cellStyle name="Separador de milhares 3 2 7 2 6 2 2 3 2" xfId="41191"/>
    <cellStyle name="Separador de milhares 3 2 7 2 6 2 2 4" xfId="35283"/>
    <cellStyle name="Separador de milhares 3 2 7 2 6 2 2 5" xfId="28749"/>
    <cellStyle name="Separador de milhares 3 2 7 2 6 2 3" xfId="17656"/>
    <cellStyle name="Separador de milhares 3 2 7 2 6 2 3 2" xfId="44145"/>
    <cellStyle name="Separador de milhares 3 2 7 2 6 2 4" xfId="11729"/>
    <cellStyle name="Separador de milhares 3 2 7 2 6 2 4 2" xfId="38237"/>
    <cellStyle name="Separador de milhares 3 2 7 2 6 2 5" xfId="32081"/>
    <cellStyle name="Separador de milhares 3 2 7 2 6 2 6" xfId="25547"/>
    <cellStyle name="Separador de milhares 3 2 7 2 6 3" xfId="7294"/>
    <cellStyle name="Separador de milhares 3 2 7 2 6 3 2" xfId="19148"/>
    <cellStyle name="Separador de milhares 3 2 7 2 6 3 2 2" xfId="45631"/>
    <cellStyle name="Separador de milhares 3 2 7 2 6 3 3" xfId="13221"/>
    <cellStyle name="Separador de milhares 3 2 7 2 6 3 3 2" xfId="39723"/>
    <cellStyle name="Separador de milhares 3 2 7 2 6 3 4" xfId="33815"/>
    <cellStyle name="Separador de milhares 3 2 7 2 6 3 5" xfId="27281"/>
    <cellStyle name="Separador de milhares 3 2 7 2 6 4" xfId="16184"/>
    <cellStyle name="Separador de milhares 3 2 7 2 6 4 2" xfId="42677"/>
    <cellStyle name="Separador de milhares 3 2 7 2 6 4 3" xfId="23775"/>
    <cellStyle name="Separador de milhares 3 2 7 2 6 5" xfId="10257"/>
    <cellStyle name="Separador de milhares 3 2 7 2 6 5 2" xfId="36769"/>
    <cellStyle name="Separador de milhares 3 2 7 2 6 6" xfId="30309"/>
    <cellStyle name="Separador de milhares 3 2 7 2 6 7" xfId="22003"/>
    <cellStyle name="Separador de milhares 3 2 7 2 7" xfId="2859"/>
    <cellStyle name="Separador de milhares 3 2 7 2 7 2" xfId="5701"/>
    <cellStyle name="Separador de milhares 3 2 7 2 7 2 2" xfId="8913"/>
    <cellStyle name="Separador de milhares 3 2 7 2 7 2 2 2" xfId="20767"/>
    <cellStyle name="Separador de milhares 3 2 7 2 7 2 2 2 2" xfId="47246"/>
    <cellStyle name="Separador de milhares 3 2 7 2 7 2 2 3" xfId="14840"/>
    <cellStyle name="Separador de milhares 3 2 7 2 7 2 2 3 2" xfId="41338"/>
    <cellStyle name="Separador de milhares 3 2 7 2 7 2 2 4" xfId="35430"/>
    <cellStyle name="Separador de milhares 3 2 7 2 7 2 2 5" xfId="28896"/>
    <cellStyle name="Separador de milhares 3 2 7 2 7 2 3" xfId="17803"/>
    <cellStyle name="Separador de milhares 3 2 7 2 7 2 3 2" xfId="44292"/>
    <cellStyle name="Separador de milhares 3 2 7 2 7 2 4" xfId="11876"/>
    <cellStyle name="Separador de milhares 3 2 7 2 7 2 4 2" xfId="38384"/>
    <cellStyle name="Separador de milhares 3 2 7 2 7 2 5" xfId="32228"/>
    <cellStyle name="Separador de milhares 3 2 7 2 7 2 6" xfId="25694"/>
    <cellStyle name="Separador de milhares 3 2 7 2 7 3" xfId="7442"/>
    <cellStyle name="Separador de milhares 3 2 7 2 7 3 2" xfId="19296"/>
    <cellStyle name="Separador de milhares 3 2 7 2 7 3 2 2" xfId="45778"/>
    <cellStyle name="Separador de milhares 3 2 7 2 7 3 3" xfId="13369"/>
    <cellStyle name="Separador de milhares 3 2 7 2 7 3 3 2" xfId="39870"/>
    <cellStyle name="Separador de milhares 3 2 7 2 7 3 4" xfId="33962"/>
    <cellStyle name="Separador de milhares 3 2 7 2 7 3 5" xfId="27428"/>
    <cellStyle name="Separador de milhares 3 2 7 2 7 4" xfId="16332"/>
    <cellStyle name="Separador de milhares 3 2 7 2 7 4 2" xfId="42824"/>
    <cellStyle name="Separador de milhares 3 2 7 2 7 4 3" xfId="23922"/>
    <cellStyle name="Separador de milhares 3 2 7 2 7 5" xfId="10405"/>
    <cellStyle name="Separador de milhares 3 2 7 2 7 5 2" xfId="36916"/>
    <cellStyle name="Separador de milhares 3 2 7 2 7 6" xfId="30456"/>
    <cellStyle name="Separador de milhares 3 2 7 2 7 7" xfId="22150"/>
    <cellStyle name="Separador de milhares 3 2 7 2 8" xfId="3387"/>
    <cellStyle name="Separador de milhares 3 2 7 2 8 2" xfId="5848"/>
    <cellStyle name="Separador de milhares 3 2 7 2 8 2 2" xfId="9060"/>
    <cellStyle name="Separador de milhares 3 2 7 2 8 2 2 2" xfId="20914"/>
    <cellStyle name="Separador de milhares 3 2 7 2 8 2 2 2 2" xfId="47393"/>
    <cellStyle name="Separador de milhares 3 2 7 2 8 2 2 3" xfId="14987"/>
    <cellStyle name="Separador de milhares 3 2 7 2 8 2 2 3 2" xfId="41485"/>
    <cellStyle name="Separador de milhares 3 2 7 2 8 2 2 4" xfId="35577"/>
    <cellStyle name="Separador de milhares 3 2 7 2 8 2 2 5" xfId="29043"/>
    <cellStyle name="Separador de milhares 3 2 7 2 8 2 3" xfId="17950"/>
    <cellStyle name="Separador de milhares 3 2 7 2 8 2 3 2" xfId="44439"/>
    <cellStyle name="Separador de milhares 3 2 7 2 8 2 4" xfId="12023"/>
    <cellStyle name="Separador de milhares 3 2 7 2 8 2 4 2" xfId="38531"/>
    <cellStyle name="Separador de milhares 3 2 7 2 8 2 5" xfId="32375"/>
    <cellStyle name="Separador de milhares 3 2 7 2 8 2 6" xfId="25841"/>
    <cellStyle name="Separador de milhares 3 2 7 2 8 3" xfId="7590"/>
    <cellStyle name="Separador de milhares 3 2 7 2 8 3 2" xfId="19444"/>
    <cellStyle name="Separador de milhares 3 2 7 2 8 3 2 2" xfId="45925"/>
    <cellStyle name="Separador de milhares 3 2 7 2 8 3 3" xfId="13517"/>
    <cellStyle name="Separador de milhares 3 2 7 2 8 3 3 2" xfId="40017"/>
    <cellStyle name="Separador de milhares 3 2 7 2 8 3 4" xfId="34109"/>
    <cellStyle name="Separador de milhares 3 2 7 2 8 3 5" xfId="27575"/>
    <cellStyle name="Separador de milhares 3 2 7 2 8 4" xfId="16480"/>
    <cellStyle name="Separador de milhares 3 2 7 2 8 4 2" xfId="42971"/>
    <cellStyle name="Separador de milhares 3 2 7 2 8 4 3" xfId="24069"/>
    <cellStyle name="Separador de milhares 3 2 7 2 8 5" xfId="10553"/>
    <cellStyle name="Separador de milhares 3 2 7 2 8 5 2" xfId="37063"/>
    <cellStyle name="Separador de milhares 3 2 7 2 8 6" xfId="30603"/>
    <cellStyle name="Separador de milhares 3 2 7 2 8 7" xfId="22297"/>
    <cellStyle name="Separador de milhares 3 2 7 2 9" xfId="3915"/>
    <cellStyle name="Separador de milhares 3 2 7 2 9 2" xfId="5995"/>
    <cellStyle name="Separador de milhares 3 2 7 2 9 2 2" xfId="9207"/>
    <cellStyle name="Separador de milhares 3 2 7 2 9 2 2 2" xfId="21061"/>
    <cellStyle name="Separador de milhares 3 2 7 2 9 2 2 2 2" xfId="47540"/>
    <cellStyle name="Separador de milhares 3 2 7 2 9 2 2 3" xfId="15134"/>
    <cellStyle name="Separador de milhares 3 2 7 2 9 2 2 3 2" xfId="41632"/>
    <cellStyle name="Separador de milhares 3 2 7 2 9 2 2 4" xfId="35724"/>
    <cellStyle name="Separador de milhares 3 2 7 2 9 2 2 5" xfId="29190"/>
    <cellStyle name="Separador de milhares 3 2 7 2 9 2 3" xfId="18097"/>
    <cellStyle name="Separador de milhares 3 2 7 2 9 2 3 2" xfId="44586"/>
    <cellStyle name="Separador de milhares 3 2 7 2 9 2 4" xfId="12170"/>
    <cellStyle name="Separador de milhares 3 2 7 2 9 2 4 2" xfId="38678"/>
    <cellStyle name="Separador de milhares 3 2 7 2 9 2 5" xfId="32522"/>
    <cellStyle name="Separador de milhares 3 2 7 2 9 2 6" xfId="25988"/>
    <cellStyle name="Separador de milhares 3 2 7 2 9 3" xfId="7738"/>
    <cellStyle name="Separador de milhares 3 2 7 2 9 3 2" xfId="19592"/>
    <cellStyle name="Separador de milhares 3 2 7 2 9 3 2 2" xfId="46072"/>
    <cellStyle name="Separador de milhares 3 2 7 2 9 3 3" xfId="13665"/>
    <cellStyle name="Separador de milhares 3 2 7 2 9 3 3 2" xfId="40164"/>
    <cellStyle name="Separador de milhares 3 2 7 2 9 3 4" xfId="34256"/>
    <cellStyle name="Separador de milhares 3 2 7 2 9 3 5" xfId="27722"/>
    <cellStyle name="Separador de milhares 3 2 7 2 9 4" xfId="16628"/>
    <cellStyle name="Separador de milhares 3 2 7 2 9 4 2" xfId="43118"/>
    <cellStyle name="Separador de milhares 3 2 7 2 9 4 3" xfId="24216"/>
    <cellStyle name="Separador de milhares 3 2 7 2 9 5" xfId="10701"/>
    <cellStyle name="Separador de milhares 3 2 7 2 9 5 2" xfId="37210"/>
    <cellStyle name="Separador de milhares 3 2 7 2 9 6" xfId="30750"/>
    <cellStyle name="Separador de milhares 3 2 7 2 9 7" xfId="22444"/>
    <cellStyle name="Separador de milhares 3 2 7 3" xfId="360"/>
    <cellStyle name="Separador de milhares 3 2 7 3 10" xfId="4986"/>
    <cellStyle name="Separador de milhares 3 2 7 3 10 2" xfId="8205"/>
    <cellStyle name="Separador de milhares 3 2 7 3 10 2 2" xfId="20059"/>
    <cellStyle name="Separador de milhares 3 2 7 3 10 2 2 2" xfId="46538"/>
    <cellStyle name="Separador de milhares 3 2 7 3 10 2 3" xfId="14132"/>
    <cellStyle name="Separador de milhares 3 2 7 3 10 2 3 2" xfId="40630"/>
    <cellStyle name="Separador de milhares 3 2 7 3 10 2 4" xfId="34722"/>
    <cellStyle name="Separador de milhares 3 2 7 3 10 2 5" xfId="28188"/>
    <cellStyle name="Separador de milhares 3 2 7 3 10 3" xfId="17095"/>
    <cellStyle name="Separador de milhares 3 2 7 3 10 3 2" xfId="43584"/>
    <cellStyle name="Separador de milhares 3 2 7 3 10 4" xfId="11168"/>
    <cellStyle name="Separador de milhares 3 2 7 3 10 4 2" xfId="37676"/>
    <cellStyle name="Separador de milhares 3 2 7 3 10 5" xfId="31513"/>
    <cellStyle name="Separador de milhares 3 2 7 3 10 6" xfId="24979"/>
    <cellStyle name="Separador de milhares 3 2 7 3 11" xfId="6729"/>
    <cellStyle name="Separador de milhares 3 2 7 3 11 2" xfId="18583"/>
    <cellStyle name="Separador de milhares 3 2 7 3 11 2 2" xfId="45070"/>
    <cellStyle name="Separador de milhares 3 2 7 3 11 3" xfId="12656"/>
    <cellStyle name="Separador de milhares 3 2 7 3 11 3 2" xfId="39162"/>
    <cellStyle name="Separador de milhares 3 2 7 3 11 4" xfId="33254"/>
    <cellStyle name="Separador de milhares 3 2 7 3 11 5" xfId="26720"/>
    <cellStyle name="Separador de milhares 3 2 7 3 12" xfId="15619"/>
    <cellStyle name="Separador de milhares 3 2 7 3 12 2" xfId="42116"/>
    <cellStyle name="Separador de milhares 3 2 7 3 12 3" xfId="23207"/>
    <cellStyle name="Separador de milhares 3 2 7 3 13" xfId="9692"/>
    <cellStyle name="Separador de milhares 3 2 7 3 13 2" xfId="36208"/>
    <cellStyle name="Separador de milhares 3 2 7 3 14" xfId="29741"/>
    <cellStyle name="Separador de milhares 3 2 7 3 15" xfId="21459"/>
    <cellStyle name="Separador de milhares 3 2 7 3 2" xfId="623"/>
    <cellStyle name="Separador de milhares 3 2 7 3 2 2" xfId="5057"/>
    <cellStyle name="Separador de milhares 3 2 7 3 2 2 2" xfId="8272"/>
    <cellStyle name="Separador de milhares 3 2 7 3 2 2 2 2" xfId="20126"/>
    <cellStyle name="Separador de milhares 3 2 7 3 2 2 2 2 2" xfId="46605"/>
    <cellStyle name="Separador de milhares 3 2 7 3 2 2 2 3" xfId="14199"/>
    <cellStyle name="Separador de milhares 3 2 7 3 2 2 2 3 2" xfId="40697"/>
    <cellStyle name="Separador de milhares 3 2 7 3 2 2 2 4" xfId="34789"/>
    <cellStyle name="Separador de milhares 3 2 7 3 2 2 2 5" xfId="28255"/>
    <cellStyle name="Separador de milhares 3 2 7 3 2 2 3" xfId="17162"/>
    <cellStyle name="Separador de milhares 3 2 7 3 2 2 3 2" xfId="43651"/>
    <cellStyle name="Separador de milhares 3 2 7 3 2 2 4" xfId="11235"/>
    <cellStyle name="Separador de milhares 3 2 7 3 2 2 4 2" xfId="37743"/>
    <cellStyle name="Separador de milhares 3 2 7 3 2 2 5" xfId="31584"/>
    <cellStyle name="Separador de milhares 3 2 7 3 2 2 6" xfId="25050"/>
    <cellStyle name="Separador de milhares 3 2 7 3 2 3" xfId="6796"/>
    <cellStyle name="Separador de milhares 3 2 7 3 2 3 2" xfId="18650"/>
    <cellStyle name="Separador de milhares 3 2 7 3 2 3 2 2" xfId="45137"/>
    <cellStyle name="Separador de milhares 3 2 7 3 2 3 3" xfId="12723"/>
    <cellStyle name="Separador de milhares 3 2 7 3 2 3 3 2" xfId="39229"/>
    <cellStyle name="Separador de milhares 3 2 7 3 2 3 4" xfId="33321"/>
    <cellStyle name="Separador de milhares 3 2 7 3 2 3 5" xfId="26787"/>
    <cellStyle name="Separador de milhares 3 2 7 3 2 4" xfId="15686"/>
    <cellStyle name="Separador de milhares 3 2 7 3 2 4 2" xfId="42183"/>
    <cellStyle name="Separador de milhares 3 2 7 3 2 4 3" xfId="23278"/>
    <cellStyle name="Separador de milhares 3 2 7 3 2 5" xfId="9759"/>
    <cellStyle name="Separador de milhares 3 2 7 3 2 5 2" xfId="36275"/>
    <cellStyle name="Separador de milhares 3 2 7 3 2 6" xfId="29812"/>
    <cellStyle name="Separador de milhares 3 2 7 3 2 7" xfId="21507"/>
    <cellStyle name="Separador de milhares 3 2 7 3 3" xfId="921"/>
    <cellStyle name="Separador de milhares 3 2 7 3 3 2" xfId="5159"/>
    <cellStyle name="Separador de milhares 3 2 7 3 3 2 2" xfId="8374"/>
    <cellStyle name="Separador de milhares 3 2 7 3 3 2 2 2" xfId="20228"/>
    <cellStyle name="Separador de milhares 3 2 7 3 3 2 2 2 2" xfId="46707"/>
    <cellStyle name="Separador de milhares 3 2 7 3 3 2 2 3" xfId="14301"/>
    <cellStyle name="Separador de milhares 3 2 7 3 3 2 2 3 2" xfId="40799"/>
    <cellStyle name="Separador de milhares 3 2 7 3 3 2 2 4" xfId="34891"/>
    <cellStyle name="Separador de milhares 3 2 7 3 3 2 2 5" xfId="28357"/>
    <cellStyle name="Separador de milhares 3 2 7 3 3 2 3" xfId="17264"/>
    <cellStyle name="Separador de milhares 3 2 7 3 3 2 3 2" xfId="43753"/>
    <cellStyle name="Separador de milhares 3 2 7 3 3 2 4" xfId="11337"/>
    <cellStyle name="Separador de milhares 3 2 7 3 3 2 4 2" xfId="37845"/>
    <cellStyle name="Separador de milhares 3 2 7 3 3 2 5" xfId="31686"/>
    <cellStyle name="Separador de milhares 3 2 7 3 3 2 6" xfId="25152"/>
    <cellStyle name="Separador de milhares 3 2 7 3 3 3" xfId="6901"/>
    <cellStyle name="Separador de milhares 3 2 7 3 3 3 2" xfId="18755"/>
    <cellStyle name="Separador de milhares 3 2 7 3 3 3 2 2" xfId="45239"/>
    <cellStyle name="Separador de milhares 3 2 7 3 3 3 3" xfId="12828"/>
    <cellStyle name="Separador de milhares 3 2 7 3 3 3 3 2" xfId="39331"/>
    <cellStyle name="Separador de milhares 3 2 7 3 3 3 4" xfId="33423"/>
    <cellStyle name="Separador de milhares 3 2 7 3 3 3 5" xfId="26889"/>
    <cellStyle name="Separador de milhares 3 2 7 3 3 4" xfId="15791"/>
    <cellStyle name="Separador de milhares 3 2 7 3 3 4 2" xfId="42285"/>
    <cellStyle name="Separador de milhares 3 2 7 3 3 4 3" xfId="23380"/>
    <cellStyle name="Separador de milhares 3 2 7 3 3 5" xfId="9864"/>
    <cellStyle name="Separador de milhares 3 2 7 3 3 5 2" xfId="36377"/>
    <cellStyle name="Separador de milhares 3 2 7 3 3 6" xfId="29914"/>
    <cellStyle name="Separador de milhares 3 2 7 3 3 7" xfId="21608"/>
    <cellStyle name="Separador de milhares 3 2 7 3 4" xfId="1272"/>
    <cellStyle name="Separador de milhares 3 2 7 3 4 2" xfId="5257"/>
    <cellStyle name="Separador de milhares 3 2 7 3 4 2 2" xfId="8472"/>
    <cellStyle name="Separador de milhares 3 2 7 3 4 2 2 2" xfId="20326"/>
    <cellStyle name="Separador de milhares 3 2 7 3 4 2 2 2 2" xfId="46805"/>
    <cellStyle name="Separador de milhares 3 2 7 3 4 2 2 3" xfId="14399"/>
    <cellStyle name="Separador de milhares 3 2 7 3 4 2 2 3 2" xfId="40897"/>
    <cellStyle name="Separador de milhares 3 2 7 3 4 2 2 4" xfId="34989"/>
    <cellStyle name="Separador de milhares 3 2 7 3 4 2 2 5" xfId="28455"/>
    <cellStyle name="Separador de milhares 3 2 7 3 4 2 3" xfId="17362"/>
    <cellStyle name="Separador de milhares 3 2 7 3 4 2 3 2" xfId="43851"/>
    <cellStyle name="Separador de milhares 3 2 7 3 4 2 4" xfId="11435"/>
    <cellStyle name="Separador de milhares 3 2 7 3 4 2 4 2" xfId="37943"/>
    <cellStyle name="Separador de milhares 3 2 7 3 4 2 5" xfId="31784"/>
    <cellStyle name="Separador de milhares 3 2 7 3 4 2 6" xfId="25250"/>
    <cellStyle name="Separador de milhares 3 2 7 3 4 3" xfId="6999"/>
    <cellStyle name="Separador de milhares 3 2 7 3 4 3 2" xfId="18853"/>
    <cellStyle name="Separador de milhares 3 2 7 3 4 3 2 2" xfId="45337"/>
    <cellStyle name="Separador de milhares 3 2 7 3 4 3 3" xfId="12926"/>
    <cellStyle name="Separador de milhares 3 2 7 3 4 3 3 2" xfId="39429"/>
    <cellStyle name="Separador de milhares 3 2 7 3 4 3 4" xfId="33521"/>
    <cellStyle name="Separador de milhares 3 2 7 3 4 3 5" xfId="26987"/>
    <cellStyle name="Separador de milhares 3 2 7 3 4 4" xfId="15889"/>
    <cellStyle name="Separador de milhares 3 2 7 3 4 4 2" xfId="42383"/>
    <cellStyle name="Separador de milhares 3 2 7 3 4 4 3" xfId="23478"/>
    <cellStyle name="Separador de milhares 3 2 7 3 4 5" xfId="9962"/>
    <cellStyle name="Separador de milhares 3 2 7 3 4 5 2" xfId="36475"/>
    <cellStyle name="Separador de milhares 3 2 7 3 4 6" xfId="30012"/>
    <cellStyle name="Separador de milhares 3 2 7 3 4 7" xfId="21706"/>
    <cellStyle name="Separador de milhares 3 2 7 3 5" xfId="1707"/>
    <cellStyle name="Separador de milhares 3 2 7 3 5 2" xfId="5376"/>
    <cellStyle name="Separador de milhares 3 2 7 3 5 2 2" xfId="8591"/>
    <cellStyle name="Separador de milhares 3 2 7 3 5 2 2 2" xfId="20445"/>
    <cellStyle name="Separador de milhares 3 2 7 3 5 2 2 2 2" xfId="46924"/>
    <cellStyle name="Separador de milhares 3 2 7 3 5 2 2 3" xfId="14518"/>
    <cellStyle name="Separador de milhares 3 2 7 3 5 2 2 3 2" xfId="41016"/>
    <cellStyle name="Separador de milhares 3 2 7 3 5 2 2 4" xfId="35108"/>
    <cellStyle name="Separador de milhares 3 2 7 3 5 2 2 5" xfId="28574"/>
    <cellStyle name="Separador de milhares 3 2 7 3 5 2 3" xfId="17481"/>
    <cellStyle name="Separador de milhares 3 2 7 3 5 2 3 2" xfId="43970"/>
    <cellStyle name="Separador de milhares 3 2 7 3 5 2 4" xfId="11554"/>
    <cellStyle name="Separador de milhares 3 2 7 3 5 2 4 2" xfId="38062"/>
    <cellStyle name="Separador de milhares 3 2 7 3 5 2 5" xfId="31903"/>
    <cellStyle name="Separador de milhares 3 2 7 3 5 2 6" xfId="25369"/>
    <cellStyle name="Separador de milhares 3 2 7 3 5 3" xfId="7118"/>
    <cellStyle name="Separador de milhares 3 2 7 3 5 3 2" xfId="18972"/>
    <cellStyle name="Separador de milhares 3 2 7 3 5 3 2 2" xfId="45456"/>
    <cellStyle name="Separador de milhares 3 2 7 3 5 3 3" xfId="13045"/>
    <cellStyle name="Separador de milhares 3 2 7 3 5 3 3 2" xfId="39548"/>
    <cellStyle name="Separador de milhares 3 2 7 3 5 3 4" xfId="33640"/>
    <cellStyle name="Separador de milhares 3 2 7 3 5 3 5" xfId="27106"/>
    <cellStyle name="Separador de milhares 3 2 7 3 5 4" xfId="16008"/>
    <cellStyle name="Separador de milhares 3 2 7 3 5 4 2" xfId="42502"/>
    <cellStyle name="Separador de milhares 3 2 7 3 5 4 3" xfId="23597"/>
    <cellStyle name="Separador de milhares 3 2 7 3 5 5" xfId="10081"/>
    <cellStyle name="Separador de milhares 3 2 7 3 5 5 2" xfId="36594"/>
    <cellStyle name="Separador de milhares 3 2 7 3 5 6" xfId="30131"/>
    <cellStyle name="Separador de milhares 3 2 7 3 5 7" xfId="21825"/>
    <cellStyle name="Separador de milhares 3 2 7 3 6" xfId="2240"/>
    <cellStyle name="Separador de milhares 3 2 7 3 6 2" xfId="5526"/>
    <cellStyle name="Separador de milhares 3 2 7 3 6 2 2" xfId="8738"/>
    <cellStyle name="Separador de milhares 3 2 7 3 6 2 2 2" xfId="20592"/>
    <cellStyle name="Separador de milhares 3 2 7 3 6 2 2 2 2" xfId="47071"/>
    <cellStyle name="Separador de milhares 3 2 7 3 6 2 2 3" xfId="14665"/>
    <cellStyle name="Separador de milhares 3 2 7 3 6 2 2 3 2" xfId="41163"/>
    <cellStyle name="Separador de milhares 3 2 7 3 6 2 2 4" xfId="35255"/>
    <cellStyle name="Separador de milhares 3 2 7 3 6 2 2 5" xfId="28721"/>
    <cellStyle name="Separador de milhares 3 2 7 3 6 2 3" xfId="17628"/>
    <cellStyle name="Separador de milhares 3 2 7 3 6 2 3 2" xfId="44117"/>
    <cellStyle name="Separador de milhares 3 2 7 3 6 2 4" xfId="11701"/>
    <cellStyle name="Separador de milhares 3 2 7 3 6 2 4 2" xfId="38209"/>
    <cellStyle name="Separador de milhares 3 2 7 3 6 2 5" xfId="32053"/>
    <cellStyle name="Separador de milhares 3 2 7 3 6 2 6" xfId="25519"/>
    <cellStyle name="Separador de milhares 3 2 7 3 6 3" xfId="7266"/>
    <cellStyle name="Separador de milhares 3 2 7 3 6 3 2" xfId="19120"/>
    <cellStyle name="Separador de milhares 3 2 7 3 6 3 2 2" xfId="45603"/>
    <cellStyle name="Separador de milhares 3 2 7 3 6 3 3" xfId="13193"/>
    <cellStyle name="Separador de milhares 3 2 7 3 6 3 3 2" xfId="39695"/>
    <cellStyle name="Separador de milhares 3 2 7 3 6 3 4" xfId="33787"/>
    <cellStyle name="Separador de milhares 3 2 7 3 6 3 5" xfId="27253"/>
    <cellStyle name="Separador de milhares 3 2 7 3 6 4" xfId="16156"/>
    <cellStyle name="Separador de milhares 3 2 7 3 6 4 2" xfId="42649"/>
    <cellStyle name="Separador de milhares 3 2 7 3 6 4 3" xfId="23747"/>
    <cellStyle name="Separador de milhares 3 2 7 3 6 5" xfId="10229"/>
    <cellStyle name="Separador de milhares 3 2 7 3 6 5 2" xfId="36741"/>
    <cellStyle name="Separador de milhares 3 2 7 3 6 6" xfId="30281"/>
    <cellStyle name="Separador de milhares 3 2 7 3 6 7" xfId="21975"/>
    <cellStyle name="Separador de milhares 3 2 7 3 7" xfId="2768"/>
    <cellStyle name="Separador de milhares 3 2 7 3 7 2" xfId="5673"/>
    <cellStyle name="Separador de milhares 3 2 7 3 7 2 2" xfId="8885"/>
    <cellStyle name="Separador de milhares 3 2 7 3 7 2 2 2" xfId="20739"/>
    <cellStyle name="Separador de milhares 3 2 7 3 7 2 2 2 2" xfId="47218"/>
    <cellStyle name="Separador de milhares 3 2 7 3 7 2 2 3" xfId="14812"/>
    <cellStyle name="Separador de milhares 3 2 7 3 7 2 2 3 2" xfId="41310"/>
    <cellStyle name="Separador de milhares 3 2 7 3 7 2 2 4" xfId="35402"/>
    <cellStyle name="Separador de milhares 3 2 7 3 7 2 2 5" xfId="28868"/>
    <cellStyle name="Separador de milhares 3 2 7 3 7 2 3" xfId="17775"/>
    <cellStyle name="Separador de milhares 3 2 7 3 7 2 3 2" xfId="44264"/>
    <cellStyle name="Separador de milhares 3 2 7 3 7 2 4" xfId="11848"/>
    <cellStyle name="Separador de milhares 3 2 7 3 7 2 4 2" xfId="38356"/>
    <cellStyle name="Separador de milhares 3 2 7 3 7 2 5" xfId="32200"/>
    <cellStyle name="Separador de milhares 3 2 7 3 7 2 6" xfId="25666"/>
    <cellStyle name="Separador de milhares 3 2 7 3 7 3" xfId="7414"/>
    <cellStyle name="Separador de milhares 3 2 7 3 7 3 2" xfId="19268"/>
    <cellStyle name="Separador de milhares 3 2 7 3 7 3 2 2" xfId="45750"/>
    <cellStyle name="Separador de milhares 3 2 7 3 7 3 3" xfId="13341"/>
    <cellStyle name="Separador de milhares 3 2 7 3 7 3 3 2" xfId="39842"/>
    <cellStyle name="Separador de milhares 3 2 7 3 7 3 4" xfId="33934"/>
    <cellStyle name="Separador de milhares 3 2 7 3 7 3 5" xfId="27400"/>
    <cellStyle name="Separador de milhares 3 2 7 3 7 4" xfId="16304"/>
    <cellStyle name="Separador de milhares 3 2 7 3 7 4 2" xfId="42796"/>
    <cellStyle name="Separador de milhares 3 2 7 3 7 4 3" xfId="23894"/>
    <cellStyle name="Separador de milhares 3 2 7 3 7 5" xfId="10377"/>
    <cellStyle name="Separador de milhares 3 2 7 3 7 5 2" xfId="36888"/>
    <cellStyle name="Separador de milhares 3 2 7 3 7 6" xfId="30428"/>
    <cellStyle name="Separador de milhares 3 2 7 3 7 7" xfId="22122"/>
    <cellStyle name="Separador de milhares 3 2 7 3 8" xfId="3296"/>
    <cellStyle name="Separador de milhares 3 2 7 3 8 2" xfId="5820"/>
    <cellStyle name="Separador de milhares 3 2 7 3 8 2 2" xfId="9032"/>
    <cellStyle name="Separador de milhares 3 2 7 3 8 2 2 2" xfId="20886"/>
    <cellStyle name="Separador de milhares 3 2 7 3 8 2 2 2 2" xfId="47365"/>
    <cellStyle name="Separador de milhares 3 2 7 3 8 2 2 3" xfId="14959"/>
    <cellStyle name="Separador de milhares 3 2 7 3 8 2 2 3 2" xfId="41457"/>
    <cellStyle name="Separador de milhares 3 2 7 3 8 2 2 4" xfId="35549"/>
    <cellStyle name="Separador de milhares 3 2 7 3 8 2 2 5" xfId="29015"/>
    <cellStyle name="Separador de milhares 3 2 7 3 8 2 3" xfId="17922"/>
    <cellStyle name="Separador de milhares 3 2 7 3 8 2 3 2" xfId="44411"/>
    <cellStyle name="Separador de milhares 3 2 7 3 8 2 4" xfId="11995"/>
    <cellStyle name="Separador de milhares 3 2 7 3 8 2 4 2" xfId="38503"/>
    <cellStyle name="Separador de milhares 3 2 7 3 8 2 5" xfId="32347"/>
    <cellStyle name="Separador de milhares 3 2 7 3 8 2 6" xfId="25813"/>
    <cellStyle name="Separador de milhares 3 2 7 3 8 3" xfId="7562"/>
    <cellStyle name="Separador de milhares 3 2 7 3 8 3 2" xfId="19416"/>
    <cellStyle name="Separador de milhares 3 2 7 3 8 3 2 2" xfId="45897"/>
    <cellStyle name="Separador de milhares 3 2 7 3 8 3 3" xfId="13489"/>
    <cellStyle name="Separador de milhares 3 2 7 3 8 3 3 2" xfId="39989"/>
    <cellStyle name="Separador de milhares 3 2 7 3 8 3 4" xfId="34081"/>
    <cellStyle name="Separador de milhares 3 2 7 3 8 3 5" xfId="27547"/>
    <cellStyle name="Separador de milhares 3 2 7 3 8 4" xfId="16452"/>
    <cellStyle name="Separador de milhares 3 2 7 3 8 4 2" xfId="42943"/>
    <cellStyle name="Separador de milhares 3 2 7 3 8 4 3" xfId="24041"/>
    <cellStyle name="Separador de milhares 3 2 7 3 8 5" xfId="10525"/>
    <cellStyle name="Separador de milhares 3 2 7 3 8 5 2" xfId="37035"/>
    <cellStyle name="Separador de milhares 3 2 7 3 8 6" xfId="30575"/>
    <cellStyle name="Separador de milhares 3 2 7 3 8 7" xfId="22269"/>
    <cellStyle name="Separador de milhares 3 2 7 3 9" xfId="3824"/>
    <cellStyle name="Separador de milhares 3 2 7 3 9 2" xfId="5967"/>
    <cellStyle name="Separador de milhares 3 2 7 3 9 2 2" xfId="9179"/>
    <cellStyle name="Separador de milhares 3 2 7 3 9 2 2 2" xfId="21033"/>
    <cellStyle name="Separador de milhares 3 2 7 3 9 2 2 2 2" xfId="47512"/>
    <cellStyle name="Separador de milhares 3 2 7 3 9 2 2 3" xfId="15106"/>
    <cellStyle name="Separador de milhares 3 2 7 3 9 2 2 3 2" xfId="41604"/>
    <cellStyle name="Separador de milhares 3 2 7 3 9 2 2 4" xfId="35696"/>
    <cellStyle name="Separador de milhares 3 2 7 3 9 2 2 5" xfId="29162"/>
    <cellStyle name="Separador de milhares 3 2 7 3 9 2 3" xfId="18069"/>
    <cellStyle name="Separador de milhares 3 2 7 3 9 2 3 2" xfId="44558"/>
    <cellStyle name="Separador de milhares 3 2 7 3 9 2 4" xfId="12142"/>
    <cellStyle name="Separador de milhares 3 2 7 3 9 2 4 2" xfId="38650"/>
    <cellStyle name="Separador de milhares 3 2 7 3 9 2 5" xfId="32494"/>
    <cellStyle name="Separador de milhares 3 2 7 3 9 2 6" xfId="25960"/>
    <cellStyle name="Separador de milhares 3 2 7 3 9 3" xfId="7710"/>
    <cellStyle name="Separador de milhares 3 2 7 3 9 3 2" xfId="19564"/>
    <cellStyle name="Separador de milhares 3 2 7 3 9 3 2 2" xfId="46044"/>
    <cellStyle name="Separador de milhares 3 2 7 3 9 3 3" xfId="13637"/>
    <cellStyle name="Separador de milhares 3 2 7 3 9 3 3 2" xfId="40136"/>
    <cellStyle name="Separador de milhares 3 2 7 3 9 3 4" xfId="34228"/>
    <cellStyle name="Separador de milhares 3 2 7 3 9 3 5" xfId="27694"/>
    <cellStyle name="Separador de milhares 3 2 7 3 9 4" xfId="16600"/>
    <cellStyle name="Separador de milhares 3 2 7 3 9 4 2" xfId="43090"/>
    <cellStyle name="Separador de milhares 3 2 7 3 9 4 3" xfId="24188"/>
    <cellStyle name="Separador de milhares 3 2 7 3 9 5" xfId="10673"/>
    <cellStyle name="Separador de milhares 3 2 7 3 9 5 2" xfId="37182"/>
    <cellStyle name="Separador de milhares 3 2 7 3 9 6" xfId="30722"/>
    <cellStyle name="Separador de milhares 3 2 7 3 9 7" xfId="22416"/>
    <cellStyle name="Separador de milhares 3 2 7 4" xfId="453"/>
    <cellStyle name="Separador de milhares 3 2 7 4 10" xfId="5014"/>
    <cellStyle name="Separador de milhares 3 2 7 4 10 2" xfId="8230"/>
    <cellStyle name="Separador de milhares 3 2 7 4 10 2 2" xfId="20084"/>
    <cellStyle name="Separador de milhares 3 2 7 4 10 2 2 2" xfId="46563"/>
    <cellStyle name="Separador de milhares 3 2 7 4 10 2 3" xfId="14157"/>
    <cellStyle name="Separador de milhares 3 2 7 4 10 2 3 2" xfId="40655"/>
    <cellStyle name="Separador de milhares 3 2 7 4 10 2 4" xfId="34747"/>
    <cellStyle name="Separador de milhares 3 2 7 4 10 2 5" xfId="28213"/>
    <cellStyle name="Separador de milhares 3 2 7 4 10 3" xfId="17120"/>
    <cellStyle name="Separador de milhares 3 2 7 4 10 3 2" xfId="43609"/>
    <cellStyle name="Separador de milhares 3 2 7 4 10 4" xfId="11193"/>
    <cellStyle name="Separador de milhares 3 2 7 4 10 4 2" xfId="37701"/>
    <cellStyle name="Separador de milhares 3 2 7 4 10 5" xfId="31541"/>
    <cellStyle name="Separador de milhares 3 2 7 4 10 6" xfId="25007"/>
    <cellStyle name="Separador de milhares 3 2 7 4 11" xfId="6754"/>
    <cellStyle name="Separador de milhares 3 2 7 4 11 2" xfId="18608"/>
    <cellStyle name="Separador de milhares 3 2 7 4 11 2 2" xfId="45095"/>
    <cellStyle name="Separador de milhares 3 2 7 4 11 3" xfId="12681"/>
    <cellStyle name="Separador de milhares 3 2 7 4 11 3 2" xfId="39187"/>
    <cellStyle name="Separador de milhares 3 2 7 4 11 4" xfId="33279"/>
    <cellStyle name="Separador de milhares 3 2 7 4 11 5" xfId="26745"/>
    <cellStyle name="Separador de milhares 3 2 7 4 12" xfId="15644"/>
    <cellStyle name="Separador de milhares 3 2 7 4 12 2" xfId="42141"/>
    <cellStyle name="Separador de milhares 3 2 7 4 12 3" xfId="23235"/>
    <cellStyle name="Separador de milhares 3 2 7 4 13" xfId="9717"/>
    <cellStyle name="Separador de milhares 3 2 7 4 13 2" xfId="36233"/>
    <cellStyle name="Separador de milhares 3 2 7 4 14" xfId="29769"/>
    <cellStyle name="Separador de milhares 3 2 7 4 2" xfId="1099"/>
    <cellStyle name="Separador de milhares 3 2 7 4 2 2" xfId="5211"/>
    <cellStyle name="Separador de milhares 3 2 7 4 2 2 2" xfId="8426"/>
    <cellStyle name="Separador de milhares 3 2 7 4 2 2 2 2" xfId="20280"/>
    <cellStyle name="Separador de milhares 3 2 7 4 2 2 2 2 2" xfId="46759"/>
    <cellStyle name="Separador de milhares 3 2 7 4 2 2 2 3" xfId="14353"/>
    <cellStyle name="Separador de milhares 3 2 7 4 2 2 2 3 2" xfId="40851"/>
    <cellStyle name="Separador de milhares 3 2 7 4 2 2 2 4" xfId="34943"/>
    <cellStyle name="Separador de milhares 3 2 7 4 2 2 2 5" xfId="28409"/>
    <cellStyle name="Separador de milhares 3 2 7 4 2 2 3" xfId="17316"/>
    <cellStyle name="Separador de milhares 3 2 7 4 2 2 3 2" xfId="43805"/>
    <cellStyle name="Separador de milhares 3 2 7 4 2 2 4" xfId="11389"/>
    <cellStyle name="Separador de milhares 3 2 7 4 2 2 4 2" xfId="37897"/>
    <cellStyle name="Separador de milhares 3 2 7 4 2 2 5" xfId="31738"/>
    <cellStyle name="Separador de milhares 3 2 7 4 2 2 6" xfId="25204"/>
    <cellStyle name="Separador de milhares 3 2 7 4 2 3" xfId="6953"/>
    <cellStyle name="Separador de milhares 3 2 7 4 2 3 2" xfId="18807"/>
    <cellStyle name="Separador de milhares 3 2 7 4 2 3 2 2" xfId="45291"/>
    <cellStyle name="Separador de milhares 3 2 7 4 2 3 3" xfId="12880"/>
    <cellStyle name="Separador de milhares 3 2 7 4 2 3 3 2" xfId="39383"/>
    <cellStyle name="Separador de milhares 3 2 7 4 2 3 4" xfId="33475"/>
    <cellStyle name="Separador de milhares 3 2 7 4 2 3 5" xfId="26941"/>
    <cellStyle name="Separador de milhares 3 2 7 4 2 4" xfId="15843"/>
    <cellStyle name="Separador de milhares 3 2 7 4 2 4 2" xfId="42337"/>
    <cellStyle name="Separador de milhares 3 2 7 4 2 4 3" xfId="23432"/>
    <cellStyle name="Separador de milhares 3 2 7 4 2 5" xfId="9916"/>
    <cellStyle name="Separador de milhares 3 2 7 4 2 5 2" xfId="36429"/>
    <cellStyle name="Separador de milhares 3 2 7 4 2 6" xfId="29966"/>
    <cellStyle name="Separador de milhares 3 2 7 4 2 7" xfId="21660"/>
    <cellStyle name="Separador de milhares 3 2 7 4 3" xfId="1450"/>
    <cellStyle name="Separador de milhares 3 2 7 4 3 2" xfId="5309"/>
    <cellStyle name="Separador de milhares 3 2 7 4 3 2 2" xfId="8524"/>
    <cellStyle name="Separador de milhares 3 2 7 4 3 2 2 2" xfId="20378"/>
    <cellStyle name="Separador de milhares 3 2 7 4 3 2 2 2 2" xfId="46857"/>
    <cellStyle name="Separador de milhares 3 2 7 4 3 2 2 3" xfId="14451"/>
    <cellStyle name="Separador de milhares 3 2 7 4 3 2 2 3 2" xfId="40949"/>
    <cellStyle name="Separador de milhares 3 2 7 4 3 2 2 4" xfId="35041"/>
    <cellStyle name="Separador de milhares 3 2 7 4 3 2 2 5" xfId="28507"/>
    <cellStyle name="Separador de milhares 3 2 7 4 3 2 3" xfId="17414"/>
    <cellStyle name="Separador de milhares 3 2 7 4 3 2 3 2" xfId="43903"/>
    <cellStyle name="Separador de milhares 3 2 7 4 3 2 4" xfId="11487"/>
    <cellStyle name="Separador de milhares 3 2 7 4 3 2 4 2" xfId="37995"/>
    <cellStyle name="Separador de milhares 3 2 7 4 3 2 5" xfId="31836"/>
    <cellStyle name="Separador de milhares 3 2 7 4 3 2 6" xfId="25302"/>
    <cellStyle name="Separador de milhares 3 2 7 4 3 3" xfId="7051"/>
    <cellStyle name="Separador de milhares 3 2 7 4 3 3 2" xfId="18905"/>
    <cellStyle name="Separador de milhares 3 2 7 4 3 3 2 2" xfId="45389"/>
    <cellStyle name="Separador de milhares 3 2 7 4 3 3 3" xfId="12978"/>
    <cellStyle name="Separador de milhares 3 2 7 4 3 3 3 2" xfId="39481"/>
    <cellStyle name="Separador de milhares 3 2 7 4 3 3 4" xfId="33573"/>
    <cellStyle name="Separador de milhares 3 2 7 4 3 3 5" xfId="27039"/>
    <cellStyle name="Separador de milhares 3 2 7 4 3 4" xfId="15941"/>
    <cellStyle name="Separador de milhares 3 2 7 4 3 4 2" xfId="42435"/>
    <cellStyle name="Separador de milhares 3 2 7 4 3 4 3" xfId="23530"/>
    <cellStyle name="Separador de milhares 3 2 7 4 3 5" xfId="10014"/>
    <cellStyle name="Separador de milhares 3 2 7 4 3 5 2" xfId="36527"/>
    <cellStyle name="Separador de milhares 3 2 7 4 3 6" xfId="30064"/>
    <cellStyle name="Separador de milhares 3 2 7 4 3 7" xfId="21758"/>
    <cellStyle name="Separador de milhares 3 2 7 4 4" xfId="1885"/>
    <cellStyle name="Separador de milhares 3 2 7 4 4 2" xfId="5428"/>
    <cellStyle name="Separador de milhares 3 2 7 4 4 2 2" xfId="8643"/>
    <cellStyle name="Separador de milhares 3 2 7 4 4 2 2 2" xfId="20497"/>
    <cellStyle name="Separador de milhares 3 2 7 4 4 2 2 2 2" xfId="46976"/>
    <cellStyle name="Separador de milhares 3 2 7 4 4 2 2 3" xfId="14570"/>
    <cellStyle name="Separador de milhares 3 2 7 4 4 2 2 3 2" xfId="41068"/>
    <cellStyle name="Separador de milhares 3 2 7 4 4 2 2 4" xfId="35160"/>
    <cellStyle name="Separador de milhares 3 2 7 4 4 2 2 5" xfId="28626"/>
    <cellStyle name="Separador de milhares 3 2 7 4 4 2 3" xfId="17533"/>
    <cellStyle name="Separador de milhares 3 2 7 4 4 2 3 2" xfId="44022"/>
    <cellStyle name="Separador de milhares 3 2 7 4 4 2 4" xfId="11606"/>
    <cellStyle name="Separador de milhares 3 2 7 4 4 2 4 2" xfId="38114"/>
    <cellStyle name="Separador de milhares 3 2 7 4 4 2 5" xfId="31955"/>
    <cellStyle name="Separador de milhares 3 2 7 4 4 2 6" xfId="25421"/>
    <cellStyle name="Separador de milhares 3 2 7 4 4 3" xfId="7170"/>
    <cellStyle name="Separador de milhares 3 2 7 4 4 3 2" xfId="19024"/>
    <cellStyle name="Separador de milhares 3 2 7 4 4 3 2 2" xfId="45508"/>
    <cellStyle name="Separador de milhares 3 2 7 4 4 3 3" xfId="13097"/>
    <cellStyle name="Separador de milhares 3 2 7 4 4 3 3 2" xfId="39600"/>
    <cellStyle name="Separador de milhares 3 2 7 4 4 3 4" xfId="33692"/>
    <cellStyle name="Separador de milhares 3 2 7 4 4 3 5" xfId="27158"/>
    <cellStyle name="Separador de milhares 3 2 7 4 4 4" xfId="16060"/>
    <cellStyle name="Separador de milhares 3 2 7 4 4 4 2" xfId="42554"/>
    <cellStyle name="Separador de milhares 3 2 7 4 4 4 3" xfId="23649"/>
    <cellStyle name="Separador de milhares 3 2 7 4 4 5" xfId="10133"/>
    <cellStyle name="Separador de milhares 3 2 7 4 4 5 2" xfId="36646"/>
    <cellStyle name="Separador de milhares 3 2 7 4 4 6" xfId="30183"/>
    <cellStyle name="Separador de milhares 3 2 7 4 4 7" xfId="21877"/>
    <cellStyle name="Separador de milhares 3 2 7 4 5" xfId="2418"/>
    <cellStyle name="Separador de milhares 3 2 7 4 5 2" xfId="5578"/>
    <cellStyle name="Separador de milhares 3 2 7 4 5 2 2" xfId="8790"/>
    <cellStyle name="Separador de milhares 3 2 7 4 5 2 2 2" xfId="20644"/>
    <cellStyle name="Separador de milhares 3 2 7 4 5 2 2 2 2" xfId="47123"/>
    <cellStyle name="Separador de milhares 3 2 7 4 5 2 2 3" xfId="14717"/>
    <cellStyle name="Separador de milhares 3 2 7 4 5 2 2 3 2" xfId="41215"/>
    <cellStyle name="Separador de milhares 3 2 7 4 5 2 2 4" xfId="35307"/>
    <cellStyle name="Separador de milhares 3 2 7 4 5 2 2 5" xfId="28773"/>
    <cellStyle name="Separador de milhares 3 2 7 4 5 2 3" xfId="17680"/>
    <cellStyle name="Separador de milhares 3 2 7 4 5 2 3 2" xfId="44169"/>
    <cellStyle name="Separador de milhares 3 2 7 4 5 2 4" xfId="11753"/>
    <cellStyle name="Separador de milhares 3 2 7 4 5 2 4 2" xfId="38261"/>
    <cellStyle name="Separador de milhares 3 2 7 4 5 2 5" xfId="32105"/>
    <cellStyle name="Separador de milhares 3 2 7 4 5 2 6" xfId="25571"/>
    <cellStyle name="Separador de milhares 3 2 7 4 5 3" xfId="7318"/>
    <cellStyle name="Separador de milhares 3 2 7 4 5 3 2" xfId="19172"/>
    <cellStyle name="Separador de milhares 3 2 7 4 5 3 2 2" xfId="45655"/>
    <cellStyle name="Separador de milhares 3 2 7 4 5 3 3" xfId="13245"/>
    <cellStyle name="Separador de milhares 3 2 7 4 5 3 3 2" xfId="39747"/>
    <cellStyle name="Separador de milhares 3 2 7 4 5 3 4" xfId="33839"/>
    <cellStyle name="Separador de milhares 3 2 7 4 5 3 5" xfId="27305"/>
    <cellStyle name="Separador de milhares 3 2 7 4 5 4" xfId="16208"/>
    <cellStyle name="Separador de milhares 3 2 7 4 5 4 2" xfId="42701"/>
    <cellStyle name="Separador de milhares 3 2 7 4 5 4 3" xfId="23799"/>
    <cellStyle name="Separador de milhares 3 2 7 4 5 5" xfId="10281"/>
    <cellStyle name="Separador de milhares 3 2 7 4 5 5 2" xfId="36793"/>
    <cellStyle name="Separador de milhares 3 2 7 4 5 6" xfId="30333"/>
    <cellStyle name="Separador de milhares 3 2 7 4 5 7" xfId="22027"/>
    <cellStyle name="Separador de milhares 3 2 7 4 6" xfId="2946"/>
    <cellStyle name="Separador de milhares 3 2 7 4 6 2" xfId="5725"/>
    <cellStyle name="Separador de milhares 3 2 7 4 6 2 2" xfId="8937"/>
    <cellStyle name="Separador de milhares 3 2 7 4 6 2 2 2" xfId="20791"/>
    <cellStyle name="Separador de milhares 3 2 7 4 6 2 2 2 2" xfId="47270"/>
    <cellStyle name="Separador de milhares 3 2 7 4 6 2 2 3" xfId="14864"/>
    <cellStyle name="Separador de milhares 3 2 7 4 6 2 2 3 2" xfId="41362"/>
    <cellStyle name="Separador de milhares 3 2 7 4 6 2 2 4" xfId="35454"/>
    <cellStyle name="Separador de milhares 3 2 7 4 6 2 2 5" xfId="28920"/>
    <cellStyle name="Separador de milhares 3 2 7 4 6 2 3" xfId="17827"/>
    <cellStyle name="Separador de milhares 3 2 7 4 6 2 3 2" xfId="44316"/>
    <cellStyle name="Separador de milhares 3 2 7 4 6 2 4" xfId="11900"/>
    <cellStyle name="Separador de milhares 3 2 7 4 6 2 4 2" xfId="38408"/>
    <cellStyle name="Separador de milhares 3 2 7 4 6 2 5" xfId="32252"/>
    <cellStyle name="Separador de milhares 3 2 7 4 6 2 6" xfId="25718"/>
    <cellStyle name="Separador de milhares 3 2 7 4 6 3" xfId="7466"/>
    <cellStyle name="Separador de milhares 3 2 7 4 6 3 2" xfId="19320"/>
    <cellStyle name="Separador de milhares 3 2 7 4 6 3 2 2" xfId="45802"/>
    <cellStyle name="Separador de milhares 3 2 7 4 6 3 3" xfId="13393"/>
    <cellStyle name="Separador de milhares 3 2 7 4 6 3 3 2" xfId="39894"/>
    <cellStyle name="Separador de milhares 3 2 7 4 6 3 4" xfId="33986"/>
    <cellStyle name="Separador de milhares 3 2 7 4 6 3 5" xfId="27452"/>
    <cellStyle name="Separador de milhares 3 2 7 4 6 4" xfId="16356"/>
    <cellStyle name="Separador de milhares 3 2 7 4 6 4 2" xfId="42848"/>
    <cellStyle name="Separador de milhares 3 2 7 4 6 4 3" xfId="23946"/>
    <cellStyle name="Separador de milhares 3 2 7 4 6 5" xfId="10429"/>
    <cellStyle name="Separador de milhares 3 2 7 4 6 5 2" xfId="36940"/>
    <cellStyle name="Separador de milhares 3 2 7 4 6 6" xfId="30480"/>
    <cellStyle name="Separador de milhares 3 2 7 4 6 7" xfId="22174"/>
    <cellStyle name="Separador de milhares 3 2 7 4 7" xfId="3474"/>
    <cellStyle name="Separador de milhares 3 2 7 4 7 2" xfId="5872"/>
    <cellStyle name="Separador de milhares 3 2 7 4 7 2 2" xfId="9084"/>
    <cellStyle name="Separador de milhares 3 2 7 4 7 2 2 2" xfId="20938"/>
    <cellStyle name="Separador de milhares 3 2 7 4 7 2 2 2 2" xfId="47417"/>
    <cellStyle name="Separador de milhares 3 2 7 4 7 2 2 3" xfId="15011"/>
    <cellStyle name="Separador de milhares 3 2 7 4 7 2 2 3 2" xfId="41509"/>
    <cellStyle name="Separador de milhares 3 2 7 4 7 2 2 4" xfId="35601"/>
    <cellStyle name="Separador de milhares 3 2 7 4 7 2 2 5" xfId="29067"/>
    <cellStyle name="Separador de milhares 3 2 7 4 7 2 3" xfId="17974"/>
    <cellStyle name="Separador de milhares 3 2 7 4 7 2 3 2" xfId="44463"/>
    <cellStyle name="Separador de milhares 3 2 7 4 7 2 4" xfId="12047"/>
    <cellStyle name="Separador de milhares 3 2 7 4 7 2 4 2" xfId="38555"/>
    <cellStyle name="Separador de milhares 3 2 7 4 7 2 5" xfId="32399"/>
    <cellStyle name="Separador de milhares 3 2 7 4 7 2 6" xfId="25865"/>
    <cellStyle name="Separador de milhares 3 2 7 4 7 3" xfId="7614"/>
    <cellStyle name="Separador de milhares 3 2 7 4 7 3 2" xfId="19468"/>
    <cellStyle name="Separador de milhares 3 2 7 4 7 3 2 2" xfId="45949"/>
    <cellStyle name="Separador de milhares 3 2 7 4 7 3 3" xfId="13541"/>
    <cellStyle name="Separador de milhares 3 2 7 4 7 3 3 2" xfId="40041"/>
    <cellStyle name="Separador de milhares 3 2 7 4 7 3 4" xfId="34133"/>
    <cellStyle name="Separador de milhares 3 2 7 4 7 3 5" xfId="27599"/>
    <cellStyle name="Separador de milhares 3 2 7 4 7 4" xfId="16504"/>
    <cellStyle name="Separador de milhares 3 2 7 4 7 4 2" xfId="42995"/>
    <cellStyle name="Separador de milhares 3 2 7 4 7 4 3" xfId="24093"/>
    <cellStyle name="Separador de milhares 3 2 7 4 7 5" xfId="10577"/>
    <cellStyle name="Separador de milhares 3 2 7 4 7 5 2" xfId="37087"/>
    <cellStyle name="Separador de milhares 3 2 7 4 7 6" xfId="30627"/>
    <cellStyle name="Separador de milhares 3 2 7 4 7 7" xfId="22321"/>
    <cellStyle name="Separador de milhares 3 2 7 4 8" xfId="4002"/>
    <cellStyle name="Separador de milhares 3 2 7 4 8 2" xfId="6019"/>
    <cellStyle name="Separador de milhares 3 2 7 4 8 2 2" xfId="9231"/>
    <cellStyle name="Separador de milhares 3 2 7 4 8 2 2 2" xfId="21085"/>
    <cellStyle name="Separador de milhares 3 2 7 4 8 2 2 2 2" xfId="47564"/>
    <cellStyle name="Separador de milhares 3 2 7 4 8 2 2 3" xfId="15158"/>
    <cellStyle name="Separador de milhares 3 2 7 4 8 2 2 3 2" xfId="41656"/>
    <cellStyle name="Separador de milhares 3 2 7 4 8 2 2 4" xfId="35748"/>
    <cellStyle name="Separador de milhares 3 2 7 4 8 2 2 5" xfId="29214"/>
    <cellStyle name="Separador de milhares 3 2 7 4 8 2 3" xfId="18121"/>
    <cellStyle name="Separador de milhares 3 2 7 4 8 2 3 2" xfId="44610"/>
    <cellStyle name="Separador de milhares 3 2 7 4 8 2 4" xfId="12194"/>
    <cellStyle name="Separador de milhares 3 2 7 4 8 2 4 2" xfId="38702"/>
    <cellStyle name="Separador de milhares 3 2 7 4 8 2 5" xfId="32546"/>
    <cellStyle name="Separador de milhares 3 2 7 4 8 2 6" xfId="26012"/>
    <cellStyle name="Separador de milhares 3 2 7 4 8 3" xfId="7762"/>
    <cellStyle name="Separador de milhares 3 2 7 4 8 3 2" xfId="19616"/>
    <cellStyle name="Separador de milhares 3 2 7 4 8 3 2 2" xfId="46096"/>
    <cellStyle name="Separador de milhares 3 2 7 4 8 3 3" xfId="13689"/>
    <cellStyle name="Separador de milhares 3 2 7 4 8 3 3 2" xfId="40188"/>
    <cellStyle name="Separador de milhares 3 2 7 4 8 3 4" xfId="34280"/>
    <cellStyle name="Separador de milhares 3 2 7 4 8 3 5" xfId="27746"/>
    <cellStyle name="Separador de milhares 3 2 7 4 8 4" xfId="16652"/>
    <cellStyle name="Separador de milhares 3 2 7 4 8 4 2" xfId="43142"/>
    <cellStyle name="Separador de milhares 3 2 7 4 8 4 3" xfId="24240"/>
    <cellStyle name="Separador de milhares 3 2 7 4 8 5" xfId="10725"/>
    <cellStyle name="Separador de milhares 3 2 7 4 8 5 2" xfId="37234"/>
    <cellStyle name="Separador de milhares 3 2 7 4 8 6" xfId="30774"/>
    <cellStyle name="Separador de milhares 3 2 7 4 8 7" xfId="22468"/>
    <cellStyle name="Separador de milhares 3 2 7 4 9" xfId="800"/>
    <cellStyle name="Separador de milhares 3 2 7 4 9 2" xfId="5113"/>
    <cellStyle name="Separador de milhares 3 2 7 4 9 2 2" xfId="8328"/>
    <cellStyle name="Separador de milhares 3 2 7 4 9 2 2 2" xfId="20182"/>
    <cellStyle name="Separador de milhares 3 2 7 4 9 2 2 2 2" xfId="46661"/>
    <cellStyle name="Separador de milhares 3 2 7 4 9 2 2 3" xfId="14255"/>
    <cellStyle name="Separador de milhares 3 2 7 4 9 2 2 3 2" xfId="40753"/>
    <cellStyle name="Separador de milhares 3 2 7 4 9 2 2 4" xfId="34845"/>
    <cellStyle name="Separador de milhares 3 2 7 4 9 2 2 5" xfId="28311"/>
    <cellStyle name="Separador de milhares 3 2 7 4 9 2 3" xfId="17218"/>
    <cellStyle name="Separador de milhares 3 2 7 4 9 2 3 2" xfId="43707"/>
    <cellStyle name="Separador de milhares 3 2 7 4 9 2 4" xfId="11291"/>
    <cellStyle name="Separador de milhares 3 2 7 4 9 2 4 2" xfId="37799"/>
    <cellStyle name="Separador de milhares 3 2 7 4 9 2 5" xfId="31640"/>
    <cellStyle name="Separador de milhares 3 2 7 4 9 2 6" xfId="25106"/>
    <cellStyle name="Separador de milhares 3 2 7 4 9 3" xfId="6855"/>
    <cellStyle name="Separador de milhares 3 2 7 4 9 3 2" xfId="18709"/>
    <cellStyle name="Separador de milhares 3 2 7 4 9 3 2 2" xfId="45193"/>
    <cellStyle name="Separador de milhares 3 2 7 4 9 3 3" xfId="12782"/>
    <cellStyle name="Separador de milhares 3 2 7 4 9 3 3 2" xfId="39285"/>
    <cellStyle name="Separador de milhares 3 2 7 4 9 3 4" xfId="33377"/>
    <cellStyle name="Separador de milhares 3 2 7 4 9 3 5" xfId="26843"/>
    <cellStyle name="Separador de milhares 3 2 7 4 9 4" xfId="15745"/>
    <cellStyle name="Separador de milhares 3 2 7 4 9 4 2" xfId="42239"/>
    <cellStyle name="Separador de milhares 3 2 7 4 9 4 3" xfId="23334"/>
    <cellStyle name="Separador de milhares 3 2 7 4 9 5" xfId="9818"/>
    <cellStyle name="Separador de milhares 3 2 7 4 9 5 2" xfId="36331"/>
    <cellStyle name="Separador de milhares 3 2 7 4 9 6" xfId="29868"/>
    <cellStyle name="Separador de milhares 3 2 7 4 9 7" xfId="21562"/>
    <cellStyle name="Separador de milhares 3 2 7 5" xfId="711"/>
    <cellStyle name="Separador de milhares 3 2 7 5 10" xfId="15708"/>
    <cellStyle name="Separador de milhares 3 2 7 5 10 2" xfId="42205"/>
    <cellStyle name="Separador de milhares 3 2 7 5 10 3" xfId="23300"/>
    <cellStyle name="Separador de milhares 3 2 7 5 11" xfId="9781"/>
    <cellStyle name="Separador de milhares 3 2 7 5 11 2" xfId="36297"/>
    <cellStyle name="Separador de milhares 3 2 7 5 12" xfId="29834"/>
    <cellStyle name="Separador de milhares 3 2 7 5 13" xfId="21528"/>
    <cellStyle name="Separador de milhares 3 2 7 5 2" xfId="1534"/>
    <cellStyle name="Separador de milhares 3 2 7 5 2 2" xfId="5330"/>
    <cellStyle name="Separador de milhares 3 2 7 5 2 2 2" xfId="8545"/>
    <cellStyle name="Separador de milhares 3 2 7 5 2 2 2 2" xfId="20399"/>
    <cellStyle name="Separador de milhares 3 2 7 5 2 2 2 2 2" xfId="46878"/>
    <cellStyle name="Separador de milhares 3 2 7 5 2 2 2 3" xfId="14472"/>
    <cellStyle name="Separador de milhares 3 2 7 5 2 2 2 3 2" xfId="40970"/>
    <cellStyle name="Separador de milhares 3 2 7 5 2 2 2 4" xfId="35062"/>
    <cellStyle name="Separador de milhares 3 2 7 5 2 2 2 5" xfId="28528"/>
    <cellStyle name="Separador de milhares 3 2 7 5 2 2 3" xfId="17435"/>
    <cellStyle name="Separador de milhares 3 2 7 5 2 2 3 2" xfId="43924"/>
    <cellStyle name="Separador de milhares 3 2 7 5 2 2 4" xfId="11508"/>
    <cellStyle name="Separador de milhares 3 2 7 5 2 2 4 2" xfId="38016"/>
    <cellStyle name="Separador de milhares 3 2 7 5 2 2 5" xfId="31857"/>
    <cellStyle name="Separador de milhares 3 2 7 5 2 2 6" xfId="25323"/>
    <cellStyle name="Separador de milhares 3 2 7 5 2 3" xfId="7072"/>
    <cellStyle name="Separador de milhares 3 2 7 5 2 3 2" xfId="18926"/>
    <cellStyle name="Separador de milhares 3 2 7 5 2 3 2 2" xfId="45410"/>
    <cellStyle name="Separador de milhares 3 2 7 5 2 3 3" xfId="12999"/>
    <cellStyle name="Separador de milhares 3 2 7 5 2 3 3 2" xfId="39502"/>
    <cellStyle name="Separador de milhares 3 2 7 5 2 3 4" xfId="33594"/>
    <cellStyle name="Separador de milhares 3 2 7 5 2 3 5" xfId="27060"/>
    <cellStyle name="Separador de milhares 3 2 7 5 2 4" xfId="15962"/>
    <cellStyle name="Separador de milhares 3 2 7 5 2 4 2" xfId="42456"/>
    <cellStyle name="Separador de milhares 3 2 7 5 2 4 3" xfId="23551"/>
    <cellStyle name="Separador de milhares 3 2 7 5 2 5" xfId="10035"/>
    <cellStyle name="Separador de milhares 3 2 7 5 2 5 2" xfId="36548"/>
    <cellStyle name="Separador de milhares 3 2 7 5 2 6" xfId="30085"/>
    <cellStyle name="Separador de milhares 3 2 7 5 2 7" xfId="21779"/>
    <cellStyle name="Separador de milhares 3 2 7 5 3" xfId="1969"/>
    <cellStyle name="Separador de milhares 3 2 7 5 3 2" xfId="5449"/>
    <cellStyle name="Separador de milhares 3 2 7 5 3 2 2" xfId="8664"/>
    <cellStyle name="Separador de milhares 3 2 7 5 3 2 2 2" xfId="20518"/>
    <cellStyle name="Separador de milhares 3 2 7 5 3 2 2 2 2" xfId="46997"/>
    <cellStyle name="Separador de milhares 3 2 7 5 3 2 2 3" xfId="14591"/>
    <cellStyle name="Separador de milhares 3 2 7 5 3 2 2 3 2" xfId="41089"/>
    <cellStyle name="Separador de milhares 3 2 7 5 3 2 2 4" xfId="35181"/>
    <cellStyle name="Separador de milhares 3 2 7 5 3 2 2 5" xfId="28647"/>
    <cellStyle name="Separador de milhares 3 2 7 5 3 2 3" xfId="17554"/>
    <cellStyle name="Separador de milhares 3 2 7 5 3 2 3 2" xfId="44043"/>
    <cellStyle name="Separador de milhares 3 2 7 5 3 2 4" xfId="11627"/>
    <cellStyle name="Separador de milhares 3 2 7 5 3 2 4 2" xfId="38135"/>
    <cellStyle name="Separador de milhares 3 2 7 5 3 2 5" xfId="31976"/>
    <cellStyle name="Separador de milhares 3 2 7 5 3 2 6" xfId="25442"/>
    <cellStyle name="Separador de milhares 3 2 7 5 3 3" xfId="7191"/>
    <cellStyle name="Separador de milhares 3 2 7 5 3 3 2" xfId="19045"/>
    <cellStyle name="Separador de milhares 3 2 7 5 3 3 2 2" xfId="45529"/>
    <cellStyle name="Separador de milhares 3 2 7 5 3 3 3" xfId="13118"/>
    <cellStyle name="Separador de milhares 3 2 7 5 3 3 3 2" xfId="39621"/>
    <cellStyle name="Separador de milhares 3 2 7 5 3 3 4" xfId="33713"/>
    <cellStyle name="Separador de milhares 3 2 7 5 3 3 5" xfId="27179"/>
    <cellStyle name="Separador de milhares 3 2 7 5 3 4" xfId="16081"/>
    <cellStyle name="Separador de milhares 3 2 7 5 3 4 2" xfId="42575"/>
    <cellStyle name="Separador de milhares 3 2 7 5 3 4 3" xfId="23670"/>
    <cellStyle name="Separador de milhares 3 2 7 5 3 5" xfId="10154"/>
    <cellStyle name="Separador de milhares 3 2 7 5 3 5 2" xfId="36667"/>
    <cellStyle name="Separador de milhares 3 2 7 5 3 6" xfId="30204"/>
    <cellStyle name="Separador de milhares 3 2 7 5 3 7" xfId="21898"/>
    <cellStyle name="Separador de milhares 3 2 7 5 4" xfId="2502"/>
    <cellStyle name="Separador de milhares 3 2 7 5 4 2" xfId="5599"/>
    <cellStyle name="Separador de milhares 3 2 7 5 4 2 2" xfId="8811"/>
    <cellStyle name="Separador de milhares 3 2 7 5 4 2 2 2" xfId="20665"/>
    <cellStyle name="Separador de milhares 3 2 7 5 4 2 2 2 2" xfId="47144"/>
    <cellStyle name="Separador de milhares 3 2 7 5 4 2 2 3" xfId="14738"/>
    <cellStyle name="Separador de milhares 3 2 7 5 4 2 2 3 2" xfId="41236"/>
    <cellStyle name="Separador de milhares 3 2 7 5 4 2 2 4" xfId="35328"/>
    <cellStyle name="Separador de milhares 3 2 7 5 4 2 2 5" xfId="28794"/>
    <cellStyle name="Separador de milhares 3 2 7 5 4 2 3" xfId="17701"/>
    <cellStyle name="Separador de milhares 3 2 7 5 4 2 3 2" xfId="44190"/>
    <cellStyle name="Separador de milhares 3 2 7 5 4 2 4" xfId="11774"/>
    <cellStyle name="Separador de milhares 3 2 7 5 4 2 4 2" xfId="38282"/>
    <cellStyle name="Separador de milhares 3 2 7 5 4 2 5" xfId="32126"/>
    <cellStyle name="Separador de milhares 3 2 7 5 4 2 6" xfId="25592"/>
    <cellStyle name="Separador de milhares 3 2 7 5 4 3" xfId="7339"/>
    <cellStyle name="Separador de milhares 3 2 7 5 4 3 2" xfId="19193"/>
    <cellStyle name="Separador de milhares 3 2 7 5 4 3 2 2" xfId="45676"/>
    <cellStyle name="Separador de milhares 3 2 7 5 4 3 3" xfId="13266"/>
    <cellStyle name="Separador de milhares 3 2 7 5 4 3 3 2" xfId="39768"/>
    <cellStyle name="Separador de milhares 3 2 7 5 4 3 4" xfId="33860"/>
    <cellStyle name="Separador de milhares 3 2 7 5 4 3 5" xfId="27326"/>
    <cellStyle name="Separador de milhares 3 2 7 5 4 4" xfId="16229"/>
    <cellStyle name="Separador de milhares 3 2 7 5 4 4 2" xfId="42722"/>
    <cellStyle name="Separador de milhares 3 2 7 5 4 4 3" xfId="23820"/>
    <cellStyle name="Separador de milhares 3 2 7 5 4 5" xfId="10302"/>
    <cellStyle name="Separador de milhares 3 2 7 5 4 5 2" xfId="36814"/>
    <cellStyle name="Separador de milhares 3 2 7 5 4 6" xfId="30354"/>
    <cellStyle name="Separador de milhares 3 2 7 5 4 7" xfId="22048"/>
    <cellStyle name="Separador de milhares 3 2 7 5 5" xfId="3030"/>
    <cellStyle name="Separador de milhares 3 2 7 5 5 2" xfId="5746"/>
    <cellStyle name="Separador de milhares 3 2 7 5 5 2 2" xfId="8958"/>
    <cellStyle name="Separador de milhares 3 2 7 5 5 2 2 2" xfId="20812"/>
    <cellStyle name="Separador de milhares 3 2 7 5 5 2 2 2 2" xfId="47291"/>
    <cellStyle name="Separador de milhares 3 2 7 5 5 2 2 3" xfId="14885"/>
    <cellStyle name="Separador de milhares 3 2 7 5 5 2 2 3 2" xfId="41383"/>
    <cellStyle name="Separador de milhares 3 2 7 5 5 2 2 4" xfId="35475"/>
    <cellStyle name="Separador de milhares 3 2 7 5 5 2 2 5" xfId="28941"/>
    <cellStyle name="Separador de milhares 3 2 7 5 5 2 3" xfId="17848"/>
    <cellStyle name="Separador de milhares 3 2 7 5 5 2 3 2" xfId="44337"/>
    <cellStyle name="Separador de milhares 3 2 7 5 5 2 4" xfId="11921"/>
    <cellStyle name="Separador de milhares 3 2 7 5 5 2 4 2" xfId="38429"/>
    <cellStyle name="Separador de milhares 3 2 7 5 5 2 5" xfId="32273"/>
    <cellStyle name="Separador de milhares 3 2 7 5 5 2 6" xfId="25739"/>
    <cellStyle name="Separador de milhares 3 2 7 5 5 3" xfId="7487"/>
    <cellStyle name="Separador de milhares 3 2 7 5 5 3 2" xfId="19341"/>
    <cellStyle name="Separador de milhares 3 2 7 5 5 3 2 2" xfId="45823"/>
    <cellStyle name="Separador de milhares 3 2 7 5 5 3 3" xfId="13414"/>
    <cellStyle name="Separador de milhares 3 2 7 5 5 3 3 2" xfId="39915"/>
    <cellStyle name="Separador de milhares 3 2 7 5 5 3 4" xfId="34007"/>
    <cellStyle name="Separador de milhares 3 2 7 5 5 3 5" xfId="27473"/>
    <cellStyle name="Separador de milhares 3 2 7 5 5 4" xfId="16377"/>
    <cellStyle name="Separador de milhares 3 2 7 5 5 4 2" xfId="42869"/>
    <cellStyle name="Separador de milhares 3 2 7 5 5 4 3" xfId="23967"/>
    <cellStyle name="Separador de milhares 3 2 7 5 5 5" xfId="10450"/>
    <cellStyle name="Separador de milhares 3 2 7 5 5 5 2" xfId="36961"/>
    <cellStyle name="Separador de milhares 3 2 7 5 5 6" xfId="30501"/>
    <cellStyle name="Separador de milhares 3 2 7 5 5 7" xfId="22195"/>
    <cellStyle name="Separador de milhares 3 2 7 5 6" xfId="3558"/>
    <cellStyle name="Separador de milhares 3 2 7 5 6 2" xfId="5893"/>
    <cellStyle name="Separador de milhares 3 2 7 5 6 2 2" xfId="9105"/>
    <cellStyle name="Separador de milhares 3 2 7 5 6 2 2 2" xfId="20959"/>
    <cellStyle name="Separador de milhares 3 2 7 5 6 2 2 2 2" xfId="47438"/>
    <cellStyle name="Separador de milhares 3 2 7 5 6 2 2 3" xfId="15032"/>
    <cellStyle name="Separador de milhares 3 2 7 5 6 2 2 3 2" xfId="41530"/>
    <cellStyle name="Separador de milhares 3 2 7 5 6 2 2 4" xfId="35622"/>
    <cellStyle name="Separador de milhares 3 2 7 5 6 2 2 5" xfId="29088"/>
    <cellStyle name="Separador de milhares 3 2 7 5 6 2 3" xfId="17995"/>
    <cellStyle name="Separador de milhares 3 2 7 5 6 2 3 2" xfId="44484"/>
    <cellStyle name="Separador de milhares 3 2 7 5 6 2 4" xfId="12068"/>
    <cellStyle name="Separador de milhares 3 2 7 5 6 2 4 2" xfId="38576"/>
    <cellStyle name="Separador de milhares 3 2 7 5 6 2 5" xfId="32420"/>
    <cellStyle name="Separador de milhares 3 2 7 5 6 2 6" xfId="25886"/>
    <cellStyle name="Separador de milhares 3 2 7 5 6 3" xfId="7635"/>
    <cellStyle name="Separador de milhares 3 2 7 5 6 3 2" xfId="19489"/>
    <cellStyle name="Separador de milhares 3 2 7 5 6 3 2 2" xfId="45970"/>
    <cellStyle name="Separador de milhares 3 2 7 5 6 3 3" xfId="13562"/>
    <cellStyle name="Separador de milhares 3 2 7 5 6 3 3 2" xfId="40062"/>
    <cellStyle name="Separador de milhares 3 2 7 5 6 3 4" xfId="34154"/>
    <cellStyle name="Separador de milhares 3 2 7 5 6 3 5" xfId="27620"/>
    <cellStyle name="Separador de milhares 3 2 7 5 6 4" xfId="16525"/>
    <cellStyle name="Separador de milhares 3 2 7 5 6 4 2" xfId="43016"/>
    <cellStyle name="Separador de milhares 3 2 7 5 6 4 3" xfId="24114"/>
    <cellStyle name="Separador de milhares 3 2 7 5 6 5" xfId="10598"/>
    <cellStyle name="Separador de milhares 3 2 7 5 6 5 2" xfId="37108"/>
    <cellStyle name="Separador de milhares 3 2 7 5 6 6" xfId="30648"/>
    <cellStyle name="Separador de milhares 3 2 7 5 6 7" xfId="22342"/>
    <cellStyle name="Separador de milhares 3 2 7 5 7" xfId="4086"/>
    <cellStyle name="Separador de milhares 3 2 7 5 7 2" xfId="6040"/>
    <cellStyle name="Separador de milhares 3 2 7 5 7 2 2" xfId="9252"/>
    <cellStyle name="Separador de milhares 3 2 7 5 7 2 2 2" xfId="21106"/>
    <cellStyle name="Separador de milhares 3 2 7 5 7 2 2 2 2" xfId="47585"/>
    <cellStyle name="Separador de milhares 3 2 7 5 7 2 2 3" xfId="15179"/>
    <cellStyle name="Separador de milhares 3 2 7 5 7 2 2 3 2" xfId="41677"/>
    <cellStyle name="Separador de milhares 3 2 7 5 7 2 2 4" xfId="35769"/>
    <cellStyle name="Separador de milhares 3 2 7 5 7 2 2 5" xfId="29235"/>
    <cellStyle name="Separador de milhares 3 2 7 5 7 2 3" xfId="18142"/>
    <cellStyle name="Separador de milhares 3 2 7 5 7 2 3 2" xfId="44631"/>
    <cellStyle name="Separador de milhares 3 2 7 5 7 2 4" xfId="12215"/>
    <cellStyle name="Separador de milhares 3 2 7 5 7 2 4 2" xfId="38723"/>
    <cellStyle name="Separador de milhares 3 2 7 5 7 2 5" xfId="32567"/>
    <cellStyle name="Separador de milhares 3 2 7 5 7 2 6" xfId="26033"/>
    <cellStyle name="Separador de milhares 3 2 7 5 7 3" xfId="7783"/>
    <cellStyle name="Separador de milhares 3 2 7 5 7 3 2" xfId="19637"/>
    <cellStyle name="Separador de milhares 3 2 7 5 7 3 2 2" xfId="46117"/>
    <cellStyle name="Separador de milhares 3 2 7 5 7 3 3" xfId="13710"/>
    <cellStyle name="Separador de milhares 3 2 7 5 7 3 3 2" xfId="40209"/>
    <cellStyle name="Separador de milhares 3 2 7 5 7 3 4" xfId="34301"/>
    <cellStyle name="Separador de milhares 3 2 7 5 7 3 5" xfId="27767"/>
    <cellStyle name="Separador de milhares 3 2 7 5 7 4" xfId="16673"/>
    <cellStyle name="Separador de milhares 3 2 7 5 7 4 2" xfId="43163"/>
    <cellStyle name="Separador de milhares 3 2 7 5 7 4 3" xfId="24261"/>
    <cellStyle name="Separador de milhares 3 2 7 5 7 5" xfId="10746"/>
    <cellStyle name="Separador de milhares 3 2 7 5 7 5 2" xfId="37255"/>
    <cellStyle name="Separador de milhares 3 2 7 5 7 6" xfId="30795"/>
    <cellStyle name="Separador de milhares 3 2 7 5 7 7" xfId="22489"/>
    <cellStyle name="Separador de milhares 3 2 7 5 8" xfId="5079"/>
    <cellStyle name="Separador de milhares 3 2 7 5 8 2" xfId="8294"/>
    <cellStyle name="Separador de milhares 3 2 7 5 8 2 2" xfId="20148"/>
    <cellStyle name="Separador de milhares 3 2 7 5 8 2 2 2" xfId="46627"/>
    <cellStyle name="Separador de milhares 3 2 7 5 8 2 3" xfId="14221"/>
    <cellStyle name="Separador de milhares 3 2 7 5 8 2 3 2" xfId="40719"/>
    <cellStyle name="Separador de milhares 3 2 7 5 8 2 4" xfId="34811"/>
    <cellStyle name="Separador de milhares 3 2 7 5 8 2 5" xfId="28277"/>
    <cellStyle name="Separador de milhares 3 2 7 5 8 3" xfId="17184"/>
    <cellStyle name="Separador de milhares 3 2 7 5 8 3 2" xfId="43673"/>
    <cellStyle name="Separador de milhares 3 2 7 5 8 4" xfId="11257"/>
    <cellStyle name="Separador de milhares 3 2 7 5 8 4 2" xfId="37765"/>
    <cellStyle name="Separador de milhares 3 2 7 5 8 5" xfId="31606"/>
    <cellStyle name="Separador de milhares 3 2 7 5 8 6" xfId="25072"/>
    <cellStyle name="Separador de milhares 3 2 7 5 9" xfId="6818"/>
    <cellStyle name="Separador de milhares 3 2 7 5 9 2" xfId="18672"/>
    <cellStyle name="Separador de milhares 3 2 7 5 9 2 2" xfId="45159"/>
    <cellStyle name="Separador de milhares 3 2 7 5 9 3" xfId="12745"/>
    <cellStyle name="Separador de milhares 3 2 7 5 9 3 2" xfId="39251"/>
    <cellStyle name="Separador de milhares 3 2 7 5 9 4" xfId="33343"/>
    <cellStyle name="Separador de milhares 3 2 7 5 9 5" xfId="26809"/>
    <cellStyle name="Separador de milhares 3 2 7 6" xfId="832"/>
    <cellStyle name="Separador de milhares 3 2 7 6 2" xfId="4263"/>
    <cellStyle name="Separador de milhares 3 2 7 6 2 2" xfId="6089"/>
    <cellStyle name="Separador de milhares 3 2 7 6 2 2 2" xfId="9301"/>
    <cellStyle name="Separador de milhares 3 2 7 6 2 2 2 2" xfId="21155"/>
    <cellStyle name="Separador de milhares 3 2 7 6 2 2 2 2 2" xfId="47634"/>
    <cellStyle name="Separador de milhares 3 2 7 6 2 2 2 3" xfId="15228"/>
    <cellStyle name="Separador de milhares 3 2 7 6 2 2 2 3 2" xfId="41726"/>
    <cellStyle name="Separador de milhares 3 2 7 6 2 2 2 4" xfId="35818"/>
    <cellStyle name="Separador de milhares 3 2 7 6 2 2 2 5" xfId="29284"/>
    <cellStyle name="Separador de milhares 3 2 7 6 2 2 3" xfId="18191"/>
    <cellStyle name="Separador de milhares 3 2 7 6 2 2 3 2" xfId="44680"/>
    <cellStyle name="Separador de milhares 3 2 7 6 2 2 4" xfId="12264"/>
    <cellStyle name="Separador de milhares 3 2 7 6 2 2 4 2" xfId="38772"/>
    <cellStyle name="Separador de milhares 3 2 7 6 2 2 5" xfId="32616"/>
    <cellStyle name="Separador de milhares 3 2 7 6 2 2 6" xfId="26082"/>
    <cellStyle name="Separador de milhares 3 2 7 6 2 3" xfId="7833"/>
    <cellStyle name="Separador de milhares 3 2 7 6 2 3 2" xfId="19687"/>
    <cellStyle name="Separador de milhares 3 2 7 6 2 3 2 2" xfId="46166"/>
    <cellStyle name="Separador de milhares 3 2 7 6 2 3 3" xfId="13760"/>
    <cellStyle name="Separador de milhares 3 2 7 6 2 3 3 2" xfId="40258"/>
    <cellStyle name="Separador de milhares 3 2 7 6 2 3 4" xfId="34350"/>
    <cellStyle name="Separador de milhares 3 2 7 6 2 3 5" xfId="27816"/>
    <cellStyle name="Separador de milhares 3 2 7 6 2 4" xfId="16723"/>
    <cellStyle name="Separador de milhares 3 2 7 6 2 4 2" xfId="43212"/>
    <cellStyle name="Separador de milhares 3 2 7 6 2 4 3" xfId="24310"/>
    <cellStyle name="Separador de milhares 3 2 7 6 2 5" xfId="10796"/>
    <cellStyle name="Separador de milhares 3 2 7 6 2 5 2" xfId="37304"/>
    <cellStyle name="Separador de milhares 3 2 7 6 2 6" xfId="30844"/>
    <cellStyle name="Separador de milhares 3 2 7 6 2 7" xfId="22538"/>
    <cellStyle name="Separador de milhares 3 2 7 6 3" xfId="5134"/>
    <cellStyle name="Separador de milhares 3 2 7 6 3 2" xfId="8349"/>
    <cellStyle name="Separador de milhares 3 2 7 6 3 2 2" xfId="20203"/>
    <cellStyle name="Separador de milhares 3 2 7 6 3 2 2 2" xfId="46682"/>
    <cellStyle name="Separador de milhares 3 2 7 6 3 2 3" xfId="14276"/>
    <cellStyle name="Separador de milhares 3 2 7 6 3 2 3 2" xfId="40774"/>
    <cellStyle name="Separador de milhares 3 2 7 6 3 2 4" xfId="34866"/>
    <cellStyle name="Separador de milhares 3 2 7 6 3 2 5" xfId="28332"/>
    <cellStyle name="Separador de milhares 3 2 7 6 3 3" xfId="17239"/>
    <cellStyle name="Separador de milhares 3 2 7 6 3 3 2" xfId="43728"/>
    <cellStyle name="Separador de milhares 3 2 7 6 3 4" xfId="11312"/>
    <cellStyle name="Separador de milhares 3 2 7 6 3 4 2" xfId="37820"/>
    <cellStyle name="Separador de milhares 3 2 7 6 3 5" xfId="31661"/>
    <cellStyle name="Separador de milhares 3 2 7 6 3 6" xfId="25127"/>
    <cellStyle name="Separador de milhares 3 2 7 6 4" xfId="6876"/>
    <cellStyle name="Separador de milhares 3 2 7 6 4 2" xfId="18730"/>
    <cellStyle name="Separador de milhares 3 2 7 6 4 2 2" xfId="45214"/>
    <cellStyle name="Separador de milhares 3 2 7 6 4 3" xfId="12803"/>
    <cellStyle name="Separador de milhares 3 2 7 6 4 3 2" xfId="39306"/>
    <cellStyle name="Separador de milhares 3 2 7 6 4 4" xfId="33398"/>
    <cellStyle name="Separador de milhares 3 2 7 6 4 5" xfId="26864"/>
    <cellStyle name="Separador de milhares 3 2 7 6 5" xfId="15766"/>
    <cellStyle name="Separador de milhares 3 2 7 6 5 2" xfId="42260"/>
    <cellStyle name="Separador de milhares 3 2 7 6 5 3" xfId="23355"/>
    <cellStyle name="Separador de milhares 3 2 7 6 6" xfId="9839"/>
    <cellStyle name="Separador de milhares 3 2 7 6 6 2" xfId="36352"/>
    <cellStyle name="Separador de milhares 3 2 7 6 7" xfId="29889"/>
    <cellStyle name="Separador de milhares 3 2 7 6 8" xfId="21583"/>
    <cellStyle name="Separador de milhares 3 2 7 7" xfId="1183"/>
    <cellStyle name="Separador de milhares 3 2 7 7 2" xfId="5232"/>
    <cellStyle name="Separador de milhares 3 2 7 7 2 2" xfId="8447"/>
    <cellStyle name="Separador de milhares 3 2 7 7 2 2 2" xfId="20301"/>
    <cellStyle name="Separador de milhares 3 2 7 7 2 2 2 2" xfId="46780"/>
    <cellStyle name="Separador de milhares 3 2 7 7 2 2 3" xfId="14374"/>
    <cellStyle name="Separador de milhares 3 2 7 7 2 2 3 2" xfId="40872"/>
    <cellStyle name="Separador de milhares 3 2 7 7 2 2 4" xfId="34964"/>
    <cellStyle name="Separador de milhares 3 2 7 7 2 2 5" xfId="28430"/>
    <cellStyle name="Separador de milhares 3 2 7 7 2 3" xfId="17337"/>
    <cellStyle name="Separador de milhares 3 2 7 7 2 3 2" xfId="43826"/>
    <cellStyle name="Separador de milhares 3 2 7 7 2 4" xfId="11410"/>
    <cellStyle name="Separador de milhares 3 2 7 7 2 4 2" xfId="37918"/>
    <cellStyle name="Separador de milhares 3 2 7 7 2 5" xfId="31759"/>
    <cellStyle name="Separador de milhares 3 2 7 7 2 6" xfId="25225"/>
    <cellStyle name="Separador de milhares 3 2 7 7 3" xfId="6974"/>
    <cellStyle name="Separador de milhares 3 2 7 7 3 2" xfId="18828"/>
    <cellStyle name="Separador de milhares 3 2 7 7 3 2 2" xfId="45312"/>
    <cellStyle name="Separador de milhares 3 2 7 7 3 3" xfId="12901"/>
    <cellStyle name="Separador de milhares 3 2 7 7 3 3 2" xfId="39404"/>
    <cellStyle name="Separador de milhares 3 2 7 7 3 4" xfId="33496"/>
    <cellStyle name="Separador de milhares 3 2 7 7 3 5" xfId="26962"/>
    <cellStyle name="Separador de milhares 3 2 7 7 4" xfId="15864"/>
    <cellStyle name="Separador de milhares 3 2 7 7 4 2" xfId="42358"/>
    <cellStyle name="Separador de milhares 3 2 7 7 4 3" xfId="23453"/>
    <cellStyle name="Separador de milhares 3 2 7 7 5" xfId="9937"/>
    <cellStyle name="Separador de milhares 3 2 7 7 5 2" xfId="36450"/>
    <cellStyle name="Separador de milhares 3 2 7 7 6" xfId="29987"/>
    <cellStyle name="Separador de milhares 3 2 7 7 7" xfId="21681"/>
    <cellStyle name="Separador de milhares 3 2 7 8" xfId="1618"/>
    <cellStyle name="Separador de milhares 3 2 7 8 2" xfId="5351"/>
    <cellStyle name="Separador de milhares 3 2 7 8 2 2" xfId="8566"/>
    <cellStyle name="Separador de milhares 3 2 7 8 2 2 2" xfId="20420"/>
    <cellStyle name="Separador de milhares 3 2 7 8 2 2 2 2" xfId="46899"/>
    <cellStyle name="Separador de milhares 3 2 7 8 2 2 3" xfId="14493"/>
    <cellStyle name="Separador de milhares 3 2 7 8 2 2 3 2" xfId="40991"/>
    <cellStyle name="Separador de milhares 3 2 7 8 2 2 4" xfId="35083"/>
    <cellStyle name="Separador de milhares 3 2 7 8 2 2 5" xfId="28549"/>
    <cellStyle name="Separador de milhares 3 2 7 8 2 3" xfId="17456"/>
    <cellStyle name="Separador de milhares 3 2 7 8 2 3 2" xfId="43945"/>
    <cellStyle name="Separador de milhares 3 2 7 8 2 4" xfId="11529"/>
    <cellStyle name="Separador de milhares 3 2 7 8 2 4 2" xfId="38037"/>
    <cellStyle name="Separador de milhares 3 2 7 8 2 5" xfId="31878"/>
    <cellStyle name="Separador de milhares 3 2 7 8 2 6" xfId="25344"/>
    <cellStyle name="Separador de milhares 3 2 7 8 3" xfId="7093"/>
    <cellStyle name="Separador de milhares 3 2 7 8 3 2" xfId="18947"/>
    <cellStyle name="Separador de milhares 3 2 7 8 3 2 2" xfId="45431"/>
    <cellStyle name="Separador de milhares 3 2 7 8 3 3" xfId="13020"/>
    <cellStyle name="Separador de milhares 3 2 7 8 3 3 2" xfId="39523"/>
    <cellStyle name="Separador de milhares 3 2 7 8 3 4" xfId="33615"/>
    <cellStyle name="Separador de milhares 3 2 7 8 3 5" xfId="27081"/>
    <cellStyle name="Separador de milhares 3 2 7 8 4" xfId="15983"/>
    <cellStyle name="Separador de milhares 3 2 7 8 4 2" xfId="42477"/>
    <cellStyle name="Separador de milhares 3 2 7 8 4 3" xfId="23572"/>
    <cellStyle name="Separador de milhares 3 2 7 8 5" xfId="10056"/>
    <cellStyle name="Separador de milhares 3 2 7 8 5 2" xfId="36569"/>
    <cellStyle name="Separador de milhares 3 2 7 8 6" xfId="30106"/>
    <cellStyle name="Separador de milhares 3 2 7 8 7" xfId="21800"/>
    <cellStyle name="Separador de milhares 3 2 7 9" xfId="2151"/>
    <cellStyle name="Separador de milhares 3 2 7 9 2" xfId="5501"/>
    <cellStyle name="Separador de milhares 3 2 7 9 2 2" xfId="8713"/>
    <cellStyle name="Separador de milhares 3 2 7 9 2 2 2" xfId="20567"/>
    <cellStyle name="Separador de milhares 3 2 7 9 2 2 2 2" xfId="47046"/>
    <cellStyle name="Separador de milhares 3 2 7 9 2 2 3" xfId="14640"/>
    <cellStyle name="Separador de milhares 3 2 7 9 2 2 3 2" xfId="41138"/>
    <cellStyle name="Separador de milhares 3 2 7 9 2 2 4" xfId="35230"/>
    <cellStyle name="Separador de milhares 3 2 7 9 2 2 5" xfId="28696"/>
    <cellStyle name="Separador de milhares 3 2 7 9 2 3" xfId="17603"/>
    <cellStyle name="Separador de milhares 3 2 7 9 2 3 2" xfId="44092"/>
    <cellStyle name="Separador de milhares 3 2 7 9 2 4" xfId="11676"/>
    <cellStyle name="Separador de milhares 3 2 7 9 2 4 2" xfId="38184"/>
    <cellStyle name="Separador de milhares 3 2 7 9 2 5" xfId="32028"/>
    <cellStyle name="Separador de milhares 3 2 7 9 2 6" xfId="25494"/>
    <cellStyle name="Separador de milhares 3 2 7 9 3" xfId="7241"/>
    <cellStyle name="Separador de milhares 3 2 7 9 3 2" xfId="19095"/>
    <cellStyle name="Separador de milhares 3 2 7 9 3 2 2" xfId="45578"/>
    <cellStyle name="Separador de milhares 3 2 7 9 3 3" xfId="13168"/>
    <cellStyle name="Separador de milhares 3 2 7 9 3 3 2" xfId="39670"/>
    <cellStyle name="Separador de milhares 3 2 7 9 3 4" xfId="33762"/>
    <cellStyle name="Separador de milhares 3 2 7 9 3 5" xfId="27228"/>
    <cellStyle name="Separador de milhares 3 2 7 9 4" xfId="16131"/>
    <cellStyle name="Separador de milhares 3 2 7 9 4 2" xfId="42624"/>
    <cellStyle name="Separador de milhares 3 2 7 9 4 3" xfId="23722"/>
    <cellStyle name="Separador de milhares 3 2 7 9 5" xfId="10204"/>
    <cellStyle name="Separador de milhares 3 2 7 9 5 2" xfId="36716"/>
    <cellStyle name="Separador de milhares 3 2 7 9 6" xfId="30256"/>
    <cellStyle name="Separador de milhares 3 2 7 9 7" xfId="21950"/>
    <cellStyle name="Separador de milhares 3 2 8" xfId="255"/>
    <cellStyle name="Separador de milhares 3 2 8 10" xfId="4953"/>
    <cellStyle name="Separador de milhares 3 2 8 10 2" xfId="8175"/>
    <cellStyle name="Separador de milhares 3 2 8 10 2 2" xfId="20029"/>
    <cellStyle name="Separador de milhares 3 2 8 10 2 2 2" xfId="46508"/>
    <cellStyle name="Separador de milhares 3 2 8 10 2 3" xfId="14102"/>
    <cellStyle name="Separador de milhares 3 2 8 10 2 3 2" xfId="40600"/>
    <cellStyle name="Separador de milhares 3 2 8 10 2 4" xfId="34692"/>
    <cellStyle name="Separador de milhares 3 2 8 10 2 5" xfId="28158"/>
    <cellStyle name="Separador de milhares 3 2 8 10 3" xfId="17065"/>
    <cellStyle name="Separador de milhares 3 2 8 10 3 2" xfId="43554"/>
    <cellStyle name="Separador de milhares 3 2 8 10 4" xfId="11138"/>
    <cellStyle name="Separador de milhares 3 2 8 10 4 2" xfId="37646"/>
    <cellStyle name="Separador de milhares 3 2 8 10 5" xfId="31480"/>
    <cellStyle name="Separador de milhares 3 2 8 10 6" xfId="24946"/>
    <cellStyle name="Separador de milhares 3 2 8 11" xfId="6699"/>
    <cellStyle name="Separador de milhares 3 2 8 11 2" xfId="18553"/>
    <cellStyle name="Separador de milhares 3 2 8 11 2 2" xfId="45040"/>
    <cellStyle name="Separador de milhares 3 2 8 11 3" xfId="12626"/>
    <cellStyle name="Separador de milhares 3 2 8 11 3 2" xfId="39132"/>
    <cellStyle name="Separador de milhares 3 2 8 11 4" xfId="33224"/>
    <cellStyle name="Separador de milhares 3 2 8 11 5" xfId="26690"/>
    <cellStyle name="Separador de milhares 3 2 8 12" xfId="15589"/>
    <cellStyle name="Separador de milhares 3 2 8 12 2" xfId="42086"/>
    <cellStyle name="Separador de milhares 3 2 8 12 3" xfId="23174"/>
    <cellStyle name="Separador de milhares 3 2 8 13" xfId="9662"/>
    <cellStyle name="Separador de milhares 3 2 8 13 2" xfId="36178"/>
    <cellStyle name="Separador de milhares 3 2 8 14" xfId="29708"/>
    <cellStyle name="Separador de milhares 3 2 8 15" xfId="21426"/>
    <cellStyle name="Separador de milhares 3 2 8 2" xfId="530"/>
    <cellStyle name="Separador de milhares 3 2 8 2 10" xfId="9736"/>
    <cellStyle name="Separador de milhares 3 2 8 2 10 2" xfId="36252"/>
    <cellStyle name="Separador de milhares 3 2 8 2 11" xfId="29789"/>
    <cellStyle name="Separador de milhares 3 2 8 2 12" xfId="21484"/>
    <cellStyle name="Separador de milhares 3 2 8 2 2" xfId="2051"/>
    <cellStyle name="Separador de milhares 3 2 8 2 2 2" xfId="5472"/>
    <cellStyle name="Separador de milhares 3 2 8 2 2 2 2" xfId="8687"/>
    <cellStyle name="Separador de milhares 3 2 8 2 2 2 2 2" xfId="20541"/>
    <cellStyle name="Separador de milhares 3 2 8 2 2 2 2 2 2" xfId="47020"/>
    <cellStyle name="Separador de milhares 3 2 8 2 2 2 2 3" xfId="14614"/>
    <cellStyle name="Separador de milhares 3 2 8 2 2 2 2 3 2" xfId="41112"/>
    <cellStyle name="Separador de milhares 3 2 8 2 2 2 2 4" xfId="35204"/>
    <cellStyle name="Separador de milhares 3 2 8 2 2 2 2 5" xfId="28670"/>
    <cellStyle name="Separador de milhares 3 2 8 2 2 2 3" xfId="17577"/>
    <cellStyle name="Separador de milhares 3 2 8 2 2 2 3 2" xfId="44066"/>
    <cellStyle name="Separador de milhares 3 2 8 2 2 2 4" xfId="11650"/>
    <cellStyle name="Separador de milhares 3 2 8 2 2 2 4 2" xfId="38158"/>
    <cellStyle name="Separador de milhares 3 2 8 2 2 2 5" xfId="31999"/>
    <cellStyle name="Separador de milhares 3 2 8 2 2 2 6" xfId="25465"/>
    <cellStyle name="Separador de milhares 3 2 8 2 2 3" xfId="7215"/>
    <cellStyle name="Separador de milhares 3 2 8 2 2 3 2" xfId="19069"/>
    <cellStyle name="Separador de milhares 3 2 8 2 2 3 2 2" xfId="45552"/>
    <cellStyle name="Separador de milhares 3 2 8 2 2 3 3" xfId="13142"/>
    <cellStyle name="Separador de milhares 3 2 8 2 2 3 3 2" xfId="39644"/>
    <cellStyle name="Separador de milhares 3 2 8 2 2 3 4" xfId="33736"/>
    <cellStyle name="Separador de milhares 3 2 8 2 2 3 5" xfId="27202"/>
    <cellStyle name="Separador de milhares 3 2 8 2 2 4" xfId="16105"/>
    <cellStyle name="Separador de milhares 3 2 8 2 2 4 2" xfId="42598"/>
    <cellStyle name="Separador de milhares 3 2 8 2 2 4 3" xfId="23693"/>
    <cellStyle name="Separador de milhares 3 2 8 2 2 5" xfId="10178"/>
    <cellStyle name="Separador de milhares 3 2 8 2 2 5 2" xfId="36690"/>
    <cellStyle name="Separador de milhares 3 2 8 2 2 6" xfId="30227"/>
    <cellStyle name="Separador de milhares 3 2 8 2 2 7" xfId="21921"/>
    <cellStyle name="Separador de milhares 3 2 8 2 3" xfId="2584"/>
    <cellStyle name="Separador de milhares 3 2 8 2 3 2" xfId="5622"/>
    <cellStyle name="Separador de milhares 3 2 8 2 3 2 2" xfId="8834"/>
    <cellStyle name="Separador de milhares 3 2 8 2 3 2 2 2" xfId="20688"/>
    <cellStyle name="Separador de milhares 3 2 8 2 3 2 2 2 2" xfId="47167"/>
    <cellStyle name="Separador de milhares 3 2 8 2 3 2 2 3" xfId="14761"/>
    <cellStyle name="Separador de milhares 3 2 8 2 3 2 2 3 2" xfId="41259"/>
    <cellStyle name="Separador de milhares 3 2 8 2 3 2 2 4" xfId="35351"/>
    <cellStyle name="Separador de milhares 3 2 8 2 3 2 2 5" xfId="28817"/>
    <cellStyle name="Separador de milhares 3 2 8 2 3 2 3" xfId="17724"/>
    <cellStyle name="Separador de milhares 3 2 8 2 3 2 3 2" xfId="44213"/>
    <cellStyle name="Separador de milhares 3 2 8 2 3 2 4" xfId="11797"/>
    <cellStyle name="Separador de milhares 3 2 8 2 3 2 4 2" xfId="38305"/>
    <cellStyle name="Separador de milhares 3 2 8 2 3 2 5" xfId="32149"/>
    <cellStyle name="Separador de milhares 3 2 8 2 3 2 6" xfId="25615"/>
    <cellStyle name="Separador de milhares 3 2 8 2 3 3" xfId="7363"/>
    <cellStyle name="Separador de milhares 3 2 8 2 3 3 2" xfId="19217"/>
    <cellStyle name="Separador de milhares 3 2 8 2 3 3 2 2" xfId="45699"/>
    <cellStyle name="Separador de milhares 3 2 8 2 3 3 3" xfId="13290"/>
    <cellStyle name="Separador de milhares 3 2 8 2 3 3 3 2" xfId="39791"/>
    <cellStyle name="Separador de milhares 3 2 8 2 3 3 4" xfId="33883"/>
    <cellStyle name="Separador de milhares 3 2 8 2 3 3 5" xfId="27349"/>
    <cellStyle name="Separador de milhares 3 2 8 2 3 4" xfId="16253"/>
    <cellStyle name="Separador de milhares 3 2 8 2 3 4 2" xfId="42745"/>
    <cellStyle name="Separador de milhares 3 2 8 2 3 4 3" xfId="23843"/>
    <cellStyle name="Separador de milhares 3 2 8 2 3 5" xfId="10326"/>
    <cellStyle name="Separador de milhares 3 2 8 2 3 5 2" xfId="36837"/>
    <cellStyle name="Separador de milhares 3 2 8 2 3 6" xfId="30377"/>
    <cellStyle name="Separador de milhares 3 2 8 2 3 7" xfId="22071"/>
    <cellStyle name="Separador de milhares 3 2 8 2 4" xfId="3112"/>
    <cellStyle name="Separador de milhares 3 2 8 2 4 2" xfId="5769"/>
    <cellStyle name="Separador de milhares 3 2 8 2 4 2 2" xfId="8981"/>
    <cellStyle name="Separador de milhares 3 2 8 2 4 2 2 2" xfId="20835"/>
    <cellStyle name="Separador de milhares 3 2 8 2 4 2 2 2 2" xfId="47314"/>
    <cellStyle name="Separador de milhares 3 2 8 2 4 2 2 3" xfId="14908"/>
    <cellStyle name="Separador de milhares 3 2 8 2 4 2 2 3 2" xfId="41406"/>
    <cellStyle name="Separador de milhares 3 2 8 2 4 2 2 4" xfId="35498"/>
    <cellStyle name="Separador de milhares 3 2 8 2 4 2 2 5" xfId="28964"/>
    <cellStyle name="Separador de milhares 3 2 8 2 4 2 3" xfId="17871"/>
    <cellStyle name="Separador de milhares 3 2 8 2 4 2 3 2" xfId="44360"/>
    <cellStyle name="Separador de milhares 3 2 8 2 4 2 4" xfId="11944"/>
    <cellStyle name="Separador de milhares 3 2 8 2 4 2 4 2" xfId="38452"/>
    <cellStyle name="Separador de milhares 3 2 8 2 4 2 5" xfId="32296"/>
    <cellStyle name="Separador de milhares 3 2 8 2 4 2 6" xfId="25762"/>
    <cellStyle name="Separador de milhares 3 2 8 2 4 3" xfId="7511"/>
    <cellStyle name="Separador de milhares 3 2 8 2 4 3 2" xfId="19365"/>
    <cellStyle name="Separador de milhares 3 2 8 2 4 3 2 2" xfId="45846"/>
    <cellStyle name="Separador de milhares 3 2 8 2 4 3 3" xfId="13438"/>
    <cellStyle name="Separador de milhares 3 2 8 2 4 3 3 2" xfId="39938"/>
    <cellStyle name="Separador de milhares 3 2 8 2 4 3 4" xfId="34030"/>
    <cellStyle name="Separador de milhares 3 2 8 2 4 3 5" xfId="27496"/>
    <cellStyle name="Separador de milhares 3 2 8 2 4 4" xfId="16401"/>
    <cellStyle name="Separador de milhares 3 2 8 2 4 4 2" xfId="42892"/>
    <cellStyle name="Separador de milhares 3 2 8 2 4 4 3" xfId="23990"/>
    <cellStyle name="Separador de milhares 3 2 8 2 4 5" xfId="10474"/>
    <cellStyle name="Separador de milhares 3 2 8 2 4 5 2" xfId="36984"/>
    <cellStyle name="Separador de milhares 3 2 8 2 4 6" xfId="30524"/>
    <cellStyle name="Separador de milhares 3 2 8 2 4 7" xfId="22218"/>
    <cellStyle name="Separador de milhares 3 2 8 2 5" xfId="3640"/>
    <cellStyle name="Separador de milhares 3 2 8 2 5 2" xfId="5916"/>
    <cellStyle name="Separador de milhares 3 2 8 2 5 2 2" xfId="9128"/>
    <cellStyle name="Separador de milhares 3 2 8 2 5 2 2 2" xfId="20982"/>
    <cellStyle name="Separador de milhares 3 2 8 2 5 2 2 2 2" xfId="47461"/>
    <cellStyle name="Separador de milhares 3 2 8 2 5 2 2 3" xfId="15055"/>
    <cellStyle name="Separador de milhares 3 2 8 2 5 2 2 3 2" xfId="41553"/>
    <cellStyle name="Separador de milhares 3 2 8 2 5 2 2 4" xfId="35645"/>
    <cellStyle name="Separador de milhares 3 2 8 2 5 2 2 5" xfId="29111"/>
    <cellStyle name="Separador de milhares 3 2 8 2 5 2 3" xfId="18018"/>
    <cellStyle name="Separador de milhares 3 2 8 2 5 2 3 2" xfId="44507"/>
    <cellStyle name="Separador de milhares 3 2 8 2 5 2 4" xfId="12091"/>
    <cellStyle name="Separador de milhares 3 2 8 2 5 2 4 2" xfId="38599"/>
    <cellStyle name="Separador de milhares 3 2 8 2 5 2 5" xfId="32443"/>
    <cellStyle name="Separador de milhares 3 2 8 2 5 2 6" xfId="25909"/>
    <cellStyle name="Separador de milhares 3 2 8 2 5 3" xfId="7659"/>
    <cellStyle name="Separador de milhares 3 2 8 2 5 3 2" xfId="19513"/>
    <cellStyle name="Separador de milhares 3 2 8 2 5 3 2 2" xfId="45993"/>
    <cellStyle name="Separador de milhares 3 2 8 2 5 3 3" xfId="13586"/>
    <cellStyle name="Separador de milhares 3 2 8 2 5 3 3 2" xfId="40085"/>
    <cellStyle name="Separador de milhares 3 2 8 2 5 3 4" xfId="34177"/>
    <cellStyle name="Separador de milhares 3 2 8 2 5 3 5" xfId="27643"/>
    <cellStyle name="Separador de milhares 3 2 8 2 5 4" xfId="16549"/>
    <cellStyle name="Separador de milhares 3 2 8 2 5 4 2" xfId="43039"/>
    <cellStyle name="Separador de milhares 3 2 8 2 5 4 3" xfId="24137"/>
    <cellStyle name="Separador de milhares 3 2 8 2 5 5" xfId="10622"/>
    <cellStyle name="Separador de milhares 3 2 8 2 5 5 2" xfId="37131"/>
    <cellStyle name="Separador de milhares 3 2 8 2 5 6" xfId="30671"/>
    <cellStyle name="Separador de milhares 3 2 8 2 5 7" xfId="22365"/>
    <cellStyle name="Separador de milhares 3 2 8 2 6" xfId="4168"/>
    <cellStyle name="Separador de milhares 3 2 8 2 6 2" xfId="6063"/>
    <cellStyle name="Separador de milhares 3 2 8 2 6 2 2" xfId="9275"/>
    <cellStyle name="Separador de milhares 3 2 8 2 6 2 2 2" xfId="21129"/>
    <cellStyle name="Separador de milhares 3 2 8 2 6 2 2 2 2" xfId="47608"/>
    <cellStyle name="Separador de milhares 3 2 8 2 6 2 2 3" xfId="15202"/>
    <cellStyle name="Separador de milhares 3 2 8 2 6 2 2 3 2" xfId="41700"/>
    <cellStyle name="Separador de milhares 3 2 8 2 6 2 2 4" xfId="35792"/>
    <cellStyle name="Separador de milhares 3 2 8 2 6 2 2 5" xfId="29258"/>
    <cellStyle name="Separador de milhares 3 2 8 2 6 2 3" xfId="18165"/>
    <cellStyle name="Separador de milhares 3 2 8 2 6 2 3 2" xfId="44654"/>
    <cellStyle name="Separador de milhares 3 2 8 2 6 2 4" xfId="12238"/>
    <cellStyle name="Separador de milhares 3 2 8 2 6 2 4 2" xfId="38746"/>
    <cellStyle name="Separador de milhares 3 2 8 2 6 2 5" xfId="32590"/>
    <cellStyle name="Separador de milhares 3 2 8 2 6 2 6" xfId="26056"/>
    <cellStyle name="Separador de milhares 3 2 8 2 6 3" xfId="7807"/>
    <cellStyle name="Separador de milhares 3 2 8 2 6 3 2" xfId="19661"/>
    <cellStyle name="Separador de milhares 3 2 8 2 6 3 2 2" xfId="46140"/>
    <cellStyle name="Separador de milhares 3 2 8 2 6 3 3" xfId="13734"/>
    <cellStyle name="Separador de milhares 3 2 8 2 6 3 3 2" xfId="40232"/>
    <cellStyle name="Separador de milhares 3 2 8 2 6 3 4" xfId="34324"/>
    <cellStyle name="Separador de milhares 3 2 8 2 6 3 5" xfId="27790"/>
    <cellStyle name="Separador de milhares 3 2 8 2 6 4" xfId="16697"/>
    <cellStyle name="Separador de milhares 3 2 8 2 6 4 2" xfId="43186"/>
    <cellStyle name="Separador de milhares 3 2 8 2 6 4 3" xfId="24284"/>
    <cellStyle name="Separador de milhares 3 2 8 2 6 5" xfId="10770"/>
    <cellStyle name="Separador de milhares 3 2 8 2 6 5 2" xfId="37278"/>
    <cellStyle name="Separador de milhares 3 2 8 2 6 6" xfId="30818"/>
    <cellStyle name="Separador de milhares 3 2 8 2 6 7" xfId="22512"/>
    <cellStyle name="Separador de milhares 3 2 8 2 7" xfId="5034"/>
    <cellStyle name="Separador de milhares 3 2 8 2 7 2" xfId="8249"/>
    <cellStyle name="Separador de milhares 3 2 8 2 7 2 2" xfId="20103"/>
    <cellStyle name="Separador de milhares 3 2 8 2 7 2 2 2" xfId="46582"/>
    <cellStyle name="Separador de milhares 3 2 8 2 7 2 3" xfId="14176"/>
    <cellStyle name="Separador de milhares 3 2 8 2 7 2 3 2" xfId="40674"/>
    <cellStyle name="Separador de milhares 3 2 8 2 7 2 4" xfId="34766"/>
    <cellStyle name="Separador de milhares 3 2 8 2 7 2 5" xfId="28232"/>
    <cellStyle name="Separador de milhares 3 2 8 2 7 3" xfId="17139"/>
    <cellStyle name="Separador de milhares 3 2 8 2 7 3 2" xfId="43628"/>
    <cellStyle name="Separador de milhares 3 2 8 2 7 4" xfId="11212"/>
    <cellStyle name="Separador de milhares 3 2 8 2 7 4 2" xfId="37720"/>
    <cellStyle name="Separador de milhares 3 2 8 2 7 5" xfId="31561"/>
    <cellStyle name="Separador de milhares 3 2 8 2 7 6" xfId="25027"/>
    <cellStyle name="Separador de milhares 3 2 8 2 8" xfId="6773"/>
    <cellStyle name="Separador de milhares 3 2 8 2 8 2" xfId="18627"/>
    <cellStyle name="Separador de milhares 3 2 8 2 8 2 2" xfId="45114"/>
    <cellStyle name="Separador de milhares 3 2 8 2 8 3" xfId="12700"/>
    <cellStyle name="Separador de milhares 3 2 8 2 8 3 2" xfId="39206"/>
    <cellStyle name="Separador de milhares 3 2 8 2 8 4" xfId="33298"/>
    <cellStyle name="Separador de milhares 3 2 8 2 8 5" xfId="26764"/>
    <cellStyle name="Separador de milhares 3 2 8 2 9" xfId="15663"/>
    <cellStyle name="Separador de milhares 3 2 8 2 9 2" xfId="42160"/>
    <cellStyle name="Separador de milhares 3 2 8 2 9 3" xfId="23255"/>
    <cellStyle name="Separador de milhares 3 2 8 3" xfId="1004"/>
    <cellStyle name="Separador de milhares 3 2 8 3 2" xfId="5185"/>
    <cellStyle name="Separador de milhares 3 2 8 3 2 2" xfId="8400"/>
    <cellStyle name="Separador de milhares 3 2 8 3 2 2 2" xfId="20254"/>
    <cellStyle name="Separador de milhares 3 2 8 3 2 2 2 2" xfId="46733"/>
    <cellStyle name="Separador de milhares 3 2 8 3 2 2 3" xfId="14327"/>
    <cellStyle name="Separador de milhares 3 2 8 3 2 2 3 2" xfId="40825"/>
    <cellStyle name="Separador de milhares 3 2 8 3 2 2 4" xfId="34917"/>
    <cellStyle name="Separador de milhares 3 2 8 3 2 2 5" xfId="28383"/>
    <cellStyle name="Separador de milhares 3 2 8 3 2 3" xfId="17290"/>
    <cellStyle name="Separador de milhares 3 2 8 3 2 3 2" xfId="43779"/>
    <cellStyle name="Separador de milhares 3 2 8 3 2 4" xfId="11363"/>
    <cellStyle name="Separador de milhares 3 2 8 3 2 4 2" xfId="37871"/>
    <cellStyle name="Separador de milhares 3 2 8 3 2 5" xfId="31712"/>
    <cellStyle name="Separador de milhares 3 2 8 3 2 6" xfId="25178"/>
    <cellStyle name="Separador de milhares 3 2 8 3 3" xfId="6927"/>
    <cellStyle name="Separador de milhares 3 2 8 3 3 2" xfId="18781"/>
    <cellStyle name="Separador de milhares 3 2 8 3 3 2 2" xfId="45265"/>
    <cellStyle name="Separador de milhares 3 2 8 3 3 3" xfId="12854"/>
    <cellStyle name="Separador de milhares 3 2 8 3 3 3 2" xfId="39357"/>
    <cellStyle name="Separador de milhares 3 2 8 3 3 4" xfId="33449"/>
    <cellStyle name="Separador de milhares 3 2 8 3 3 5" xfId="26915"/>
    <cellStyle name="Separador de milhares 3 2 8 3 4" xfId="15817"/>
    <cellStyle name="Separador de milhares 3 2 8 3 4 2" xfId="42311"/>
    <cellStyle name="Separador de milhares 3 2 8 3 4 3" xfId="23406"/>
    <cellStyle name="Separador de milhares 3 2 8 3 5" xfId="9890"/>
    <cellStyle name="Separador de milhares 3 2 8 3 5 2" xfId="36403"/>
    <cellStyle name="Separador de milhares 3 2 8 3 6" xfId="29940"/>
    <cellStyle name="Separador de milhares 3 2 8 3 7" xfId="21634"/>
    <cellStyle name="Separador de milhares 3 2 8 4" xfId="1355"/>
    <cellStyle name="Separador de milhares 3 2 8 4 2" xfId="5283"/>
    <cellStyle name="Separador de milhares 3 2 8 4 2 2" xfId="8498"/>
    <cellStyle name="Separador de milhares 3 2 8 4 2 2 2" xfId="20352"/>
    <cellStyle name="Separador de milhares 3 2 8 4 2 2 2 2" xfId="46831"/>
    <cellStyle name="Separador de milhares 3 2 8 4 2 2 3" xfId="14425"/>
    <cellStyle name="Separador de milhares 3 2 8 4 2 2 3 2" xfId="40923"/>
    <cellStyle name="Separador de milhares 3 2 8 4 2 2 4" xfId="35015"/>
    <cellStyle name="Separador de milhares 3 2 8 4 2 2 5" xfId="28481"/>
    <cellStyle name="Separador de milhares 3 2 8 4 2 3" xfId="17388"/>
    <cellStyle name="Separador de milhares 3 2 8 4 2 3 2" xfId="43877"/>
    <cellStyle name="Separador de milhares 3 2 8 4 2 4" xfId="11461"/>
    <cellStyle name="Separador de milhares 3 2 8 4 2 4 2" xfId="37969"/>
    <cellStyle name="Separador de milhares 3 2 8 4 2 5" xfId="31810"/>
    <cellStyle name="Separador de milhares 3 2 8 4 2 6" xfId="25276"/>
    <cellStyle name="Separador de milhares 3 2 8 4 3" xfId="7025"/>
    <cellStyle name="Separador de milhares 3 2 8 4 3 2" xfId="18879"/>
    <cellStyle name="Separador de milhares 3 2 8 4 3 2 2" xfId="45363"/>
    <cellStyle name="Separador de milhares 3 2 8 4 3 3" xfId="12952"/>
    <cellStyle name="Separador de milhares 3 2 8 4 3 3 2" xfId="39455"/>
    <cellStyle name="Separador de milhares 3 2 8 4 3 4" xfId="33547"/>
    <cellStyle name="Separador de milhares 3 2 8 4 3 5" xfId="27013"/>
    <cellStyle name="Separador de milhares 3 2 8 4 4" xfId="15915"/>
    <cellStyle name="Separador de milhares 3 2 8 4 4 2" xfId="42409"/>
    <cellStyle name="Separador de milhares 3 2 8 4 4 3" xfId="23504"/>
    <cellStyle name="Separador de milhares 3 2 8 4 5" xfId="9988"/>
    <cellStyle name="Separador de milhares 3 2 8 4 5 2" xfId="36501"/>
    <cellStyle name="Separador de milhares 3 2 8 4 6" xfId="30038"/>
    <cellStyle name="Separador de milhares 3 2 8 4 7" xfId="21732"/>
    <cellStyle name="Separador de milhares 3 2 8 5" xfId="1790"/>
    <cellStyle name="Separador de milhares 3 2 8 5 2" xfId="5402"/>
    <cellStyle name="Separador de milhares 3 2 8 5 2 2" xfId="8617"/>
    <cellStyle name="Separador de milhares 3 2 8 5 2 2 2" xfId="20471"/>
    <cellStyle name="Separador de milhares 3 2 8 5 2 2 2 2" xfId="46950"/>
    <cellStyle name="Separador de milhares 3 2 8 5 2 2 3" xfId="14544"/>
    <cellStyle name="Separador de milhares 3 2 8 5 2 2 3 2" xfId="41042"/>
    <cellStyle name="Separador de milhares 3 2 8 5 2 2 4" xfId="35134"/>
    <cellStyle name="Separador de milhares 3 2 8 5 2 2 5" xfId="28600"/>
    <cellStyle name="Separador de milhares 3 2 8 5 2 3" xfId="17507"/>
    <cellStyle name="Separador de milhares 3 2 8 5 2 3 2" xfId="43996"/>
    <cellStyle name="Separador de milhares 3 2 8 5 2 4" xfId="11580"/>
    <cellStyle name="Separador de milhares 3 2 8 5 2 4 2" xfId="38088"/>
    <cellStyle name="Separador de milhares 3 2 8 5 2 5" xfId="31929"/>
    <cellStyle name="Separador de milhares 3 2 8 5 2 6" xfId="25395"/>
    <cellStyle name="Separador de milhares 3 2 8 5 3" xfId="7144"/>
    <cellStyle name="Separador de milhares 3 2 8 5 3 2" xfId="18998"/>
    <cellStyle name="Separador de milhares 3 2 8 5 3 2 2" xfId="45482"/>
    <cellStyle name="Separador de milhares 3 2 8 5 3 3" xfId="13071"/>
    <cellStyle name="Separador de milhares 3 2 8 5 3 3 2" xfId="39574"/>
    <cellStyle name="Separador de milhares 3 2 8 5 3 4" xfId="33666"/>
    <cellStyle name="Separador de milhares 3 2 8 5 3 5" xfId="27132"/>
    <cellStyle name="Separador de milhares 3 2 8 5 4" xfId="16034"/>
    <cellStyle name="Separador de milhares 3 2 8 5 4 2" xfId="42528"/>
    <cellStyle name="Separador de milhares 3 2 8 5 4 3" xfId="23623"/>
    <cellStyle name="Separador de milhares 3 2 8 5 5" xfId="10107"/>
    <cellStyle name="Separador de milhares 3 2 8 5 5 2" xfId="36620"/>
    <cellStyle name="Separador de milhares 3 2 8 5 6" xfId="30157"/>
    <cellStyle name="Separador de milhares 3 2 8 5 7" xfId="21851"/>
    <cellStyle name="Separador de milhares 3 2 8 6" xfId="2323"/>
    <cellStyle name="Separador de milhares 3 2 8 6 2" xfId="5552"/>
    <cellStyle name="Separador de milhares 3 2 8 6 2 2" xfId="8764"/>
    <cellStyle name="Separador de milhares 3 2 8 6 2 2 2" xfId="20618"/>
    <cellStyle name="Separador de milhares 3 2 8 6 2 2 2 2" xfId="47097"/>
    <cellStyle name="Separador de milhares 3 2 8 6 2 2 3" xfId="14691"/>
    <cellStyle name="Separador de milhares 3 2 8 6 2 2 3 2" xfId="41189"/>
    <cellStyle name="Separador de milhares 3 2 8 6 2 2 4" xfId="35281"/>
    <cellStyle name="Separador de milhares 3 2 8 6 2 2 5" xfId="28747"/>
    <cellStyle name="Separador de milhares 3 2 8 6 2 3" xfId="17654"/>
    <cellStyle name="Separador de milhares 3 2 8 6 2 3 2" xfId="44143"/>
    <cellStyle name="Separador de milhares 3 2 8 6 2 4" xfId="11727"/>
    <cellStyle name="Separador de milhares 3 2 8 6 2 4 2" xfId="38235"/>
    <cellStyle name="Separador de milhares 3 2 8 6 2 5" xfId="32079"/>
    <cellStyle name="Separador de milhares 3 2 8 6 2 6" xfId="25545"/>
    <cellStyle name="Separador de milhares 3 2 8 6 3" xfId="7292"/>
    <cellStyle name="Separador de milhares 3 2 8 6 3 2" xfId="19146"/>
    <cellStyle name="Separador de milhares 3 2 8 6 3 2 2" xfId="45629"/>
    <cellStyle name="Separador de milhares 3 2 8 6 3 3" xfId="13219"/>
    <cellStyle name="Separador de milhares 3 2 8 6 3 3 2" xfId="39721"/>
    <cellStyle name="Separador de milhares 3 2 8 6 3 4" xfId="33813"/>
    <cellStyle name="Separador de milhares 3 2 8 6 3 5" xfId="27279"/>
    <cellStyle name="Separador de milhares 3 2 8 6 4" xfId="16182"/>
    <cellStyle name="Separador de milhares 3 2 8 6 4 2" xfId="42675"/>
    <cellStyle name="Separador de milhares 3 2 8 6 4 3" xfId="23773"/>
    <cellStyle name="Separador de milhares 3 2 8 6 5" xfId="10255"/>
    <cellStyle name="Separador de milhares 3 2 8 6 5 2" xfId="36767"/>
    <cellStyle name="Separador de milhares 3 2 8 6 6" xfId="30307"/>
    <cellStyle name="Separador de milhares 3 2 8 6 7" xfId="22001"/>
    <cellStyle name="Separador de milhares 3 2 8 7" xfId="2851"/>
    <cellStyle name="Separador de milhares 3 2 8 7 2" xfId="5699"/>
    <cellStyle name="Separador de milhares 3 2 8 7 2 2" xfId="8911"/>
    <cellStyle name="Separador de milhares 3 2 8 7 2 2 2" xfId="20765"/>
    <cellStyle name="Separador de milhares 3 2 8 7 2 2 2 2" xfId="47244"/>
    <cellStyle name="Separador de milhares 3 2 8 7 2 2 3" xfId="14838"/>
    <cellStyle name="Separador de milhares 3 2 8 7 2 2 3 2" xfId="41336"/>
    <cellStyle name="Separador de milhares 3 2 8 7 2 2 4" xfId="35428"/>
    <cellStyle name="Separador de milhares 3 2 8 7 2 2 5" xfId="28894"/>
    <cellStyle name="Separador de milhares 3 2 8 7 2 3" xfId="17801"/>
    <cellStyle name="Separador de milhares 3 2 8 7 2 3 2" xfId="44290"/>
    <cellStyle name="Separador de milhares 3 2 8 7 2 4" xfId="11874"/>
    <cellStyle name="Separador de milhares 3 2 8 7 2 4 2" xfId="38382"/>
    <cellStyle name="Separador de milhares 3 2 8 7 2 5" xfId="32226"/>
    <cellStyle name="Separador de milhares 3 2 8 7 2 6" xfId="25692"/>
    <cellStyle name="Separador de milhares 3 2 8 7 3" xfId="7440"/>
    <cellStyle name="Separador de milhares 3 2 8 7 3 2" xfId="19294"/>
    <cellStyle name="Separador de milhares 3 2 8 7 3 2 2" xfId="45776"/>
    <cellStyle name="Separador de milhares 3 2 8 7 3 3" xfId="13367"/>
    <cellStyle name="Separador de milhares 3 2 8 7 3 3 2" xfId="39868"/>
    <cellStyle name="Separador de milhares 3 2 8 7 3 4" xfId="33960"/>
    <cellStyle name="Separador de milhares 3 2 8 7 3 5" xfId="27426"/>
    <cellStyle name="Separador de milhares 3 2 8 7 4" xfId="16330"/>
    <cellStyle name="Separador de milhares 3 2 8 7 4 2" xfId="42822"/>
    <cellStyle name="Separador de milhares 3 2 8 7 4 3" xfId="23920"/>
    <cellStyle name="Separador de milhares 3 2 8 7 5" xfId="10403"/>
    <cellStyle name="Separador de milhares 3 2 8 7 5 2" xfId="36914"/>
    <cellStyle name="Separador de milhares 3 2 8 7 6" xfId="30454"/>
    <cellStyle name="Separador de milhares 3 2 8 7 7" xfId="22148"/>
    <cellStyle name="Separador de milhares 3 2 8 8" xfId="3379"/>
    <cellStyle name="Separador de milhares 3 2 8 8 2" xfId="5846"/>
    <cellStyle name="Separador de milhares 3 2 8 8 2 2" xfId="9058"/>
    <cellStyle name="Separador de milhares 3 2 8 8 2 2 2" xfId="20912"/>
    <cellStyle name="Separador de milhares 3 2 8 8 2 2 2 2" xfId="47391"/>
    <cellStyle name="Separador de milhares 3 2 8 8 2 2 3" xfId="14985"/>
    <cellStyle name="Separador de milhares 3 2 8 8 2 2 3 2" xfId="41483"/>
    <cellStyle name="Separador de milhares 3 2 8 8 2 2 4" xfId="35575"/>
    <cellStyle name="Separador de milhares 3 2 8 8 2 2 5" xfId="29041"/>
    <cellStyle name="Separador de milhares 3 2 8 8 2 3" xfId="17948"/>
    <cellStyle name="Separador de milhares 3 2 8 8 2 3 2" xfId="44437"/>
    <cellStyle name="Separador de milhares 3 2 8 8 2 4" xfId="12021"/>
    <cellStyle name="Separador de milhares 3 2 8 8 2 4 2" xfId="38529"/>
    <cellStyle name="Separador de milhares 3 2 8 8 2 5" xfId="32373"/>
    <cellStyle name="Separador de milhares 3 2 8 8 2 6" xfId="25839"/>
    <cellStyle name="Separador de milhares 3 2 8 8 3" xfId="7588"/>
    <cellStyle name="Separador de milhares 3 2 8 8 3 2" xfId="19442"/>
    <cellStyle name="Separador de milhares 3 2 8 8 3 2 2" xfId="45923"/>
    <cellStyle name="Separador de milhares 3 2 8 8 3 3" xfId="13515"/>
    <cellStyle name="Separador de milhares 3 2 8 8 3 3 2" xfId="40015"/>
    <cellStyle name="Separador de milhares 3 2 8 8 3 4" xfId="34107"/>
    <cellStyle name="Separador de milhares 3 2 8 8 3 5" xfId="27573"/>
    <cellStyle name="Separador de milhares 3 2 8 8 4" xfId="16478"/>
    <cellStyle name="Separador de milhares 3 2 8 8 4 2" xfId="42969"/>
    <cellStyle name="Separador de milhares 3 2 8 8 4 3" xfId="24067"/>
    <cellStyle name="Separador de milhares 3 2 8 8 5" xfId="10551"/>
    <cellStyle name="Separador de milhares 3 2 8 8 5 2" xfId="37061"/>
    <cellStyle name="Separador de milhares 3 2 8 8 6" xfId="30601"/>
    <cellStyle name="Separador de milhares 3 2 8 8 7" xfId="22295"/>
    <cellStyle name="Separador de milhares 3 2 8 9" xfId="3907"/>
    <cellStyle name="Separador de milhares 3 2 8 9 2" xfId="5993"/>
    <cellStyle name="Separador de milhares 3 2 8 9 2 2" xfId="9205"/>
    <cellStyle name="Separador de milhares 3 2 8 9 2 2 2" xfId="21059"/>
    <cellStyle name="Separador de milhares 3 2 8 9 2 2 2 2" xfId="47538"/>
    <cellStyle name="Separador de milhares 3 2 8 9 2 2 3" xfId="15132"/>
    <cellStyle name="Separador de milhares 3 2 8 9 2 2 3 2" xfId="41630"/>
    <cellStyle name="Separador de milhares 3 2 8 9 2 2 4" xfId="35722"/>
    <cellStyle name="Separador de milhares 3 2 8 9 2 2 5" xfId="29188"/>
    <cellStyle name="Separador de milhares 3 2 8 9 2 3" xfId="18095"/>
    <cellStyle name="Separador de milhares 3 2 8 9 2 3 2" xfId="44584"/>
    <cellStyle name="Separador de milhares 3 2 8 9 2 4" xfId="12168"/>
    <cellStyle name="Separador de milhares 3 2 8 9 2 4 2" xfId="38676"/>
    <cellStyle name="Separador de milhares 3 2 8 9 2 5" xfId="32520"/>
    <cellStyle name="Separador de milhares 3 2 8 9 2 6" xfId="25986"/>
    <cellStyle name="Separador de milhares 3 2 8 9 3" xfId="7736"/>
    <cellStyle name="Separador de milhares 3 2 8 9 3 2" xfId="19590"/>
    <cellStyle name="Separador de milhares 3 2 8 9 3 2 2" xfId="46070"/>
    <cellStyle name="Separador de milhares 3 2 8 9 3 3" xfId="13663"/>
    <cellStyle name="Separador de milhares 3 2 8 9 3 3 2" xfId="40162"/>
    <cellStyle name="Separador de milhares 3 2 8 9 3 4" xfId="34254"/>
    <cellStyle name="Separador de milhares 3 2 8 9 3 5" xfId="27720"/>
    <cellStyle name="Separador de milhares 3 2 8 9 4" xfId="16626"/>
    <cellStyle name="Separador de milhares 3 2 8 9 4 2" xfId="43116"/>
    <cellStyle name="Separador de milhares 3 2 8 9 4 3" xfId="24214"/>
    <cellStyle name="Separador de milhares 3 2 8 9 5" xfId="10699"/>
    <cellStyle name="Separador de milhares 3 2 8 9 5 2" xfId="37208"/>
    <cellStyle name="Separador de milhares 3 2 8 9 6" xfId="30748"/>
    <cellStyle name="Separador de milhares 3 2 8 9 7" xfId="22442"/>
    <cellStyle name="Separador de milhares 3 2 9" xfId="352"/>
    <cellStyle name="Separador de milhares 3 2 9 10" xfId="4984"/>
    <cellStyle name="Separador de milhares 3 2 9 10 2" xfId="8203"/>
    <cellStyle name="Separador de milhares 3 2 9 10 2 2" xfId="20057"/>
    <cellStyle name="Separador de milhares 3 2 9 10 2 2 2" xfId="46536"/>
    <cellStyle name="Separador de milhares 3 2 9 10 2 3" xfId="14130"/>
    <cellStyle name="Separador de milhares 3 2 9 10 2 3 2" xfId="40628"/>
    <cellStyle name="Separador de milhares 3 2 9 10 2 4" xfId="34720"/>
    <cellStyle name="Separador de milhares 3 2 9 10 2 5" xfId="28186"/>
    <cellStyle name="Separador de milhares 3 2 9 10 3" xfId="17093"/>
    <cellStyle name="Separador de milhares 3 2 9 10 3 2" xfId="43582"/>
    <cellStyle name="Separador de milhares 3 2 9 10 4" xfId="11166"/>
    <cellStyle name="Separador de milhares 3 2 9 10 4 2" xfId="37674"/>
    <cellStyle name="Separador de milhares 3 2 9 10 5" xfId="31511"/>
    <cellStyle name="Separador de milhares 3 2 9 10 6" xfId="24977"/>
    <cellStyle name="Separador de milhares 3 2 9 11" xfId="6727"/>
    <cellStyle name="Separador de milhares 3 2 9 11 2" xfId="18581"/>
    <cellStyle name="Separador de milhares 3 2 9 11 2 2" xfId="45068"/>
    <cellStyle name="Separador de milhares 3 2 9 11 3" xfId="12654"/>
    <cellStyle name="Separador de milhares 3 2 9 11 3 2" xfId="39160"/>
    <cellStyle name="Separador de milhares 3 2 9 11 4" xfId="33252"/>
    <cellStyle name="Separador de milhares 3 2 9 11 5" xfId="26718"/>
    <cellStyle name="Separador de milhares 3 2 9 12" xfId="15617"/>
    <cellStyle name="Separador de milhares 3 2 9 12 2" xfId="42114"/>
    <cellStyle name="Separador de milhares 3 2 9 12 3" xfId="23205"/>
    <cellStyle name="Separador de milhares 3 2 9 13" xfId="9690"/>
    <cellStyle name="Separador de milhares 3 2 9 13 2" xfId="36206"/>
    <cellStyle name="Separador de milhares 3 2 9 14" xfId="29739"/>
    <cellStyle name="Separador de milhares 3 2 9 15" xfId="21457"/>
    <cellStyle name="Separador de milhares 3 2 9 2" xfId="615"/>
    <cellStyle name="Separador de milhares 3 2 9 2 2" xfId="5055"/>
    <cellStyle name="Separador de milhares 3 2 9 2 2 2" xfId="8270"/>
    <cellStyle name="Separador de milhares 3 2 9 2 2 2 2" xfId="20124"/>
    <cellStyle name="Separador de milhares 3 2 9 2 2 2 2 2" xfId="46603"/>
    <cellStyle name="Separador de milhares 3 2 9 2 2 2 3" xfId="14197"/>
    <cellStyle name="Separador de milhares 3 2 9 2 2 2 3 2" xfId="40695"/>
    <cellStyle name="Separador de milhares 3 2 9 2 2 2 4" xfId="34787"/>
    <cellStyle name="Separador de milhares 3 2 9 2 2 2 5" xfId="28253"/>
    <cellStyle name="Separador de milhares 3 2 9 2 2 3" xfId="17160"/>
    <cellStyle name="Separador de milhares 3 2 9 2 2 3 2" xfId="43649"/>
    <cellStyle name="Separador de milhares 3 2 9 2 2 4" xfId="11233"/>
    <cellStyle name="Separador de milhares 3 2 9 2 2 4 2" xfId="37741"/>
    <cellStyle name="Separador de milhares 3 2 9 2 2 5" xfId="31582"/>
    <cellStyle name="Separador de milhares 3 2 9 2 2 6" xfId="25048"/>
    <cellStyle name="Separador de milhares 3 2 9 2 3" xfId="6794"/>
    <cellStyle name="Separador de milhares 3 2 9 2 3 2" xfId="18648"/>
    <cellStyle name="Separador de milhares 3 2 9 2 3 2 2" xfId="45135"/>
    <cellStyle name="Separador de milhares 3 2 9 2 3 3" xfId="12721"/>
    <cellStyle name="Separador de milhares 3 2 9 2 3 3 2" xfId="39227"/>
    <cellStyle name="Separador de milhares 3 2 9 2 3 4" xfId="33319"/>
    <cellStyle name="Separador de milhares 3 2 9 2 3 5" xfId="26785"/>
    <cellStyle name="Separador de milhares 3 2 9 2 4" xfId="15684"/>
    <cellStyle name="Separador de milhares 3 2 9 2 4 2" xfId="42181"/>
    <cellStyle name="Separador de milhares 3 2 9 2 4 3" xfId="23276"/>
    <cellStyle name="Separador de milhares 3 2 9 2 5" xfId="9757"/>
    <cellStyle name="Separador de milhares 3 2 9 2 5 2" xfId="36273"/>
    <cellStyle name="Separador de milhares 3 2 9 2 6" xfId="29810"/>
    <cellStyle name="Separador de milhares 3 2 9 2 7" xfId="21505"/>
    <cellStyle name="Separador de milhares 3 2 9 3" xfId="913"/>
    <cellStyle name="Separador de milhares 3 2 9 3 2" xfId="5157"/>
    <cellStyle name="Separador de milhares 3 2 9 3 2 2" xfId="8372"/>
    <cellStyle name="Separador de milhares 3 2 9 3 2 2 2" xfId="20226"/>
    <cellStyle name="Separador de milhares 3 2 9 3 2 2 2 2" xfId="46705"/>
    <cellStyle name="Separador de milhares 3 2 9 3 2 2 3" xfId="14299"/>
    <cellStyle name="Separador de milhares 3 2 9 3 2 2 3 2" xfId="40797"/>
    <cellStyle name="Separador de milhares 3 2 9 3 2 2 4" xfId="34889"/>
    <cellStyle name="Separador de milhares 3 2 9 3 2 2 5" xfId="28355"/>
    <cellStyle name="Separador de milhares 3 2 9 3 2 3" xfId="17262"/>
    <cellStyle name="Separador de milhares 3 2 9 3 2 3 2" xfId="43751"/>
    <cellStyle name="Separador de milhares 3 2 9 3 2 4" xfId="11335"/>
    <cellStyle name="Separador de milhares 3 2 9 3 2 4 2" xfId="37843"/>
    <cellStyle name="Separador de milhares 3 2 9 3 2 5" xfId="31684"/>
    <cellStyle name="Separador de milhares 3 2 9 3 2 6" xfId="25150"/>
    <cellStyle name="Separador de milhares 3 2 9 3 3" xfId="6899"/>
    <cellStyle name="Separador de milhares 3 2 9 3 3 2" xfId="18753"/>
    <cellStyle name="Separador de milhares 3 2 9 3 3 2 2" xfId="45237"/>
    <cellStyle name="Separador de milhares 3 2 9 3 3 3" xfId="12826"/>
    <cellStyle name="Separador de milhares 3 2 9 3 3 3 2" xfId="39329"/>
    <cellStyle name="Separador de milhares 3 2 9 3 3 4" xfId="33421"/>
    <cellStyle name="Separador de milhares 3 2 9 3 3 5" xfId="26887"/>
    <cellStyle name="Separador de milhares 3 2 9 3 4" xfId="15789"/>
    <cellStyle name="Separador de milhares 3 2 9 3 4 2" xfId="42283"/>
    <cellStyle name="Separador de milhares 3 2 9 3 4 3" xfId="23378"/>
    <cellStyle name="Separador de milhares 3 2 9 3 5" xfId="9862"/>
    <cellStyle name="Separador de milhares 3 2 9 3 5 2" xfId="36375"/>
    <cellStyle name="Separador de milhares 3 2 9 3 6" xfId="29912"/>
    <cellStyle name="Separador de milhares 3 2 9 3 7" xfId="21606"/>
    <cellStyle name="Separador de milhares 3 2 9 4" xfId="1264"/>
    <cellStyle name="Separador de milhares 3 2 9 4 2" xfId="5255"/>
    <cellStyle name="Separador de milhares 3 2 9 4 2 2" xfId="8470"/>
    <cellStyle name="Separador de milhares 3 2 9 4 2 2 2" xfId="20324"/>
    <cellStyle name="Separador de milhares 3 2 9 4 2 2 2 2" xfId="46803"/>
    <cellStyle name="Separador de milhares 3 2 9 4 2 2 3" xfId="14397"/>
    <cellStyle name="Separador de milhares 3 2 9 4 2 2 3 2" xfId="40895"/>
    <cellStyle name="Separador de milhares 3 2 9 4 2 2 4" xfId="34987"/>
    <cellStyle name="Separador de milhares 3 2 9 4 2 2 5" xfId="28453"/>
    <cellStyle name="Separador de milhares 3 2 9 4 2 3" xfId="17360"/>
    <cellStyle name="Separador de milhares 3 2 9 4 2 3 2" xfId="43849"/>
    <cellStyle name="Separador de milhares 3 2 9 4 2 4" xfId="11433"/>
    <cellStyle name="Separador de milhares 3 2 9 4 2 4 2" xfId="37941"/>
    <cellStyle name="Separador de milhares 3 2 9 4 2 5" xfId="31782"/>
    <cellStyle name="Separador de milhares 3 2 9 4 2 6" xfId="25248"/>
    <cellStyle name="Separador de milhares 3 2 9 4 3" xfId="6997"/>
    <cellStyle name="Separador de milhares 3 2 9 4 3 2" xfId="18851"/>
    <cellStyle name="Separador de milhares 3 2 9 4 3 2 2" xfId="45335"/>
    <cellStyle name="Separador de milhares 3 2 9 4 3 3" xfId="12924"/>
    <cellStyle name="Separador de milhares 3 2 9 4 3 3 2" xfId="39427"/>
    <cellStyle name="Separador de milhares 3 2 9 4 3 4" xfId="33519"/>
    <cellStyle name="Separador de milhares 3 2 9 4 3 5" xfId="26985"/>
    <cellStyle name="Separador de milhares 3 2 9 4 4" xfId="15887"/>
    <cellStyle name="Separador de milhares 3 2 9 4 4 2" xfId="42381"/>
    <cellStyle name="Separador de milhares 3 2 9 4 4 3" xfId="23476"/>
    <cellStyle name="Separador de milhares 3 2 9 4 5" xfId="9960"/>
    <cellStyle name="Separador de milhares 3 2 9 4 5 2" xfId="36473"/>
    <cellStyle name="Separador de milhares 3 2 9 4 6" xfId="30010"/>
    <cellStyle name="Separador de milhares 3 2 9 4 7" xfId="21704"/>
    <cellStyle name="Separador de milhares 3 2 9 5" xfId="1699"/>
    <cellStyle name="Separador de milhares 3 2 9 5 2" xfId="5374"/>
    <cellStyle name="Separador de milhares 3 2 9 5 2 2" xfId="8589"/>
    <cellStyle name="Separador de milhares 3 2 9 5 2 2 2" xfId="20443"/>
    <cellStyle name="Separador de milhares 3 2 9 5 2 2 2 2" xfId="46922"/>
    <cellStyle name="Separador de milhares 3 2 9 5 2 2 3" xfId="14516"/>
    <cellStyle name="Separador de milhares 3 2 9 5 2 2 3 2" xfId="41014"/>
    <cellStyle name="Separador de milhares 3 2 9 5 2 2 4" xfId="35106"/>
    <cellStyle name="Separador de milhares 3 2 9 5 2 2 5" xfId="28572"/>
    <cellStyle name="Separador de milhares 3 2 9 5 2 3" xfId="17479"/>
    <cellStyle name="Separador de milhares 3 2 9 5 2 3 2" xfId="43968"/>
    <cellStyle name="Separador de milhares 3 2 9 5 2 4" xfId="11552"/>
    <cellStyle name="Separador de milhares 3 2 9 5 2 4 2" xfId="38060"/>
    <cellStyle name="Separador de milhares 3 2 9 5 2 5" xfId="31901"/>
    <cellStyle name="Separador de milhares 3 2 9 5 2 6" xfId="25367"/>
    <cellStyle name="Separador de milhares 3 2 9 5 3" xfId="7116"/>
    <cellStyle name="Separador de milhares 3 2 9 5 3 2" xfId="18970"/>
    <cellStyle name="Separador de milhares 3 2 9 5 3 2 2" xfId="45454"/>
    <cellStyle name="Separador de milhares 3 2 9 5 3 3" xfId="13043"/>
    <cellStyle name="Separador de milhares 3 2 9 5 3 3 2" xfId="39546"/>
    <cellStyle name="Separador de milhares 3 2 9 5 3 4" xfId="33638"/>
    <cellStyle name="Separador de milhares 3 2 9 5 3 5" xfId="27104"/>
    <cellStyle name="Separador de milhares 3 2 9 5 4" xfId="16006"/>
    <cellStyle name="Separador de milhares 3 2 9 5 4 2" xfId="42500"/>
    <cellStyle name="Separador de milhares 3 2 9 5 4 3" xfId="23595"/>
    <cellStyle name="Separador de milhares 3 2 9 5 5" xfId="10079"/>
    <cellStyle name="Separador de milhares 3 2 9 5 5 2" xfId="36592"/>
    <cellStyle name="Separador de milhares 3 2 9 5 6" xfId="30129"/>
    <cellStyle name="Separador de milhares 3 2 9 5 7" xfId="21823"/>
    <cellStyle name="Separador de milhares 3 2 9 6" xfId="2232"/>
    <cellStyle name="Separador de milhares 3 2 9 6 2" xfId="5524"/>
    <cellStyle name="Separador de milhares 3 2 9 6 2 2" xfId="8736"/>
    <cellStyle name="Separador de milhares 3 2 9 6 2 2 2" xfId="20590"/>
    <cellStyle name="Separador de milhares 3 2 9 6 2 2 2 2" xfId="47069"/>
    <cellStyle name="Separador de milhares 3 2 9 6 2 2 3" xfId="14663"/>
    <cellStyle name="Separador de milhares 3 2 9 6 2 2 3 2" xfId="41161"/>
    <cellStyle name="Separador de milhares 3 2 9 6 2 2 4" xfId="35253"/>
    <cellStyle name="Separador de milhares 3 2 9 6 2 2 5" xfId="28719"/>
    <cellStyle name="Separador de milhares 3 2 9 6 2 3" xfId="17626"/>
    <cellStyle name="Separador de milhares 3 2 9 6 2 3 2" xfId="44115"/>
    <cellStyle name="Separador de milhares 3 2 9 6 2 4" xfId="11699"/>
    <cellStyle name="Separador de milhares 3 2 9 6 2 4 2" xfId="38207"/>
    <cellStyle name="Separador de milhares 3 2 9 6 2 5" xfId="32051"/>
    <cellStyle name="Separador de milhares 3 2 9 6 2 6" xfId="25517"/>
    <cellStyle name="Separador de milhares 3 2 9 6 3" xfId="7264"/>
    <cellStyle name="Separador de milhares 3 2 9 6 3 2" xfId="19118"/>
    <cellStyle name="Separador de milhares 3 2 9 6 3 2 2" xfId="45601"/>
    <cellStyle name="Separador de milhares 3 2 9 6 3 3" xfId="13191"/>
    <cellStyle name="Separador de milhares 3 2 9 6 3 3 2" xfId="39693"/>
    <cellStyle name="Separador de milhares 3 2 9 6 3 4" xfId="33785"/>
    <cellStyle name="Separador de milhares 3 2 9 6 3 5" xfId="27251"/>
    <cellStyle name="Separador de milhares 3 2 9 6 4" xfId="16154"/>
    <cellStyle name="Separador de milhares 3 2 9 6 4 2" xfId="42647"/>
    <cellStyle name="Separador de milhares 3 2 9 6 4 3" xfId="23745"/>
    <cellStyle name="Separador de milhares 3 2 9 6 5" xfId="10227"/>
    <cellStyle name="Separador de milhares 3 2 9 6 5 2" xfId="36739"/>
    <cellStyle name="Separador de milhares 3 2 9 6 6" xfId="30279"/>
    <cellStyle name="Separador de milhares 3 2 9 6 7" xfId="21973"/>
    <cellStyle name="Separador de milhares 3 2 9 7" xfId="2760"/>
    <cellStyle name="Separador de milhares 3 2 9 7 2" xfId="5671"/>
    <cellStyle name="Separador de milhares 3 2 9 7 2 2" xfId="8883"/>
    <cellStyle name="Separador de milhares 3 2 9 7 2 2 2" xfId="20737"/>
    <cellStyle name="Separador de milhares 3 2 9 7 2 2 2 2" xfId="47216"/>
    <cellStyle name="Separador de milhares 3 2 9 7 2 2 3" xfId="14810"/>
    <cellStyle name="Separador de milhares 3 2 9 7 2 2 3 2" xfId="41308"/>
    <cellStyle name="Separador de milhares 3 2 9 7 2 2 4" xfId="35400"/>
    <cellStyle name="Separador de milhares 3 2 9 7 2 2 5" xfId="28866"/>
    <cellStyle name="Separador de milhares 3 2 9 7 2 3" xfId="17773"/>
    <cellStyle name="Separador de milhares 3 2 9 7 2 3 2" xfId="44262"/>
    <cellStyle name="Separador de milhares 3 2 9 7 2 4" xfId="11846"/>
    <cellStyle name="Separador de milhares 3 2 9 7 2 4 2" xfId="38354"/>
    <cellStyle name="Separador de milhares 3 2 9 7 2 5" xfId="32198"/>
    <cellStyle name="Separador de milhares 3 2 9 7 2 6" xfId="25664"/>
    <cellStyle name="Separador de milhares 3 2 9 7 3" xfId="7412"/>
    <cellStyle name="Separador de milhares 3 2 9 7 3 2" xfId="19266"/>
    <cellStyle name="Separador de milhares 3 2 9 7 3 2 2" xfId="45748"/>
    <cellStyle name="Separador de milhares 3 2 9 7 3 3" xfId="13339"/>
    <cellStyle name="Separador de milhares 3 2 9 7 3 3 2" xfId="39840"/>
    <cellStyle name="Separador de milhares 3 2 9 7 3 4" xfId="33932"/>
    <cellStyle name="Separador de milhares 3 2 9 7 3 5" xfId="27398"/>
    <cellStyle name="Separador de milhares 3 2 9 7 4" xfId="16302"/>
    <cellStyle name="Separador de milhares 3 2 9 7 4 2" xfId="42794"/>
    <cellStyle name="Separador de milhares 3 2 9 7 4 3" xfId="23892"/>
    <cellStyle name="Separador de milhares 3 2 9 7 5" xfId="10375"/>
    <cellStyle name="Separador de milhares 3 2 9 7 5 2" xfId="36886"/>
    <cellStyle name="Separador de milhares 3 2 9 7 6" xfId="30426"/>
    <cellStyle name="Separador de milhares 3 2 9 7 7" xfId="22120"/>
    <cellStyle name="Separador de milhares 3 2 9 8" xfId="3288"/>
    <cellStyle name="Separador de milhares 3 2 9 8 2" xfId="5818"/>
    <cellStyle name="Separador de milhares 3 2 9 8 2 2" xfId="9030"/>
    <cellStyle name="Separador de milhares 3 2 9 8 2 2 2" xfId="20884"/>
    <cellStyle name="Separador de milhares 3 2 9 8 2 2 2 2" xfId="47363"/>
    <cellStyle name="Separador de milhares 3 2 9 8 2 2 3" xfId="14957"/>
    <cellStyle name="Separador de milhares 3 2 9 8 2 2 3 2" xfId="41455"/>
    <cellStyle name="Separador de milhares 3 2 9 8 2 2 4" xfId="35547"/>
    <cellStyle name="Separador de milhares 3 2 9 8 2 2 5" xfId="29013"/>
    <cellStyle name="Separador de milhares 3 2 9 8 2 3" xfId="17920"/>
    <cellStyle name="Separador de milhares 3 2 9 8 2 3 2" xfId="44409"/>
    <cellStyle name="Separador de milhares 3 2 9 8 2 4" xfId="11993"/>
    <cellStyle name="Separador de milhares 3 2 9 8 2 4 2" xfId="38501"/>
    <cellStyle name="Separador de milhares 3 2 9 8 2 5" xfId="32345"/>
    <cellStyle name="Separador de milhares 3 2 9 8 2 6" xfId="25811"/>
    <cellStyle name="Separador de milhares 3 2 9 8 3" xfId="7560"/>
    <cellStyle name="Separador de milhares 3 2 9 8 3 2" xfId="19414"/>
    <cellStyle name="Separador de milhares 3 2 9 8 3 2 2" xfId="45895"/>
    <cellStyle name="Separador de milhares 3 2 9 8 3 3" xfId="13487"/>
    <cellStyle name="Separador de milhares 3 2 9 8 3 3 2" xfId="39987"/>
    <cellStyle name="Separador de milhares 3 2 9 8 3 4" xfId="34079"/>
    <cellStyle name="Separador de milhares 3 2 9 8 3 5" xfId="27545"/>
    <cellStyle name="Separador de milhares 3 2 9 8 4" xfId="16450"/>
    <cellStyle name="Separador de milhares 3 2 9 8 4 2" xfId="42941"/>
    <cellStyle name="Separador de milhares 3 2 9 8 4 3" xfId="24039"/>
    <cellStyle name="Separador de milhares 3 2 9 8 5" xfId="10523"/>
    <cellStyle name="Separador de milhares 3 2 9 8 5 2" xfId="37033"/>
    <cellStyle name="Separador de milhares 3 2 9 8 6" xfId="30573"/>
    <cellStyle name="Separador de milhares 3 2 9 8 7" xfId="22267"/>
    <cellStyle name="Separador de milhares 3 2 9 9" xfId="3816"/>
    <cellStyle name="Separador de milhares 3 2 9 9 2" xfId="5965"/>
    <cellStyle name="Separador de milhares 3 2 9 9 2 2" xfId="9177"/>
    <cellStyle name="Separador de milhares 3 2 9 9 2 2 2" xfId="21031"/>
    <cellStyle name="Separador de milhares 3 2 9 9 2 2 2 2" xfId="47510"/>
    <cellStyle name="Separador de milhares 3 2 9 9 2 2 3" xfId="15104"/>
    <cellStyle name="Separador de milhares 3 2 9 9 2 2 3 2" xfId="41602"/>
    <cellStyle name="Separador de milhares 3 2 9 9 2 2 4" xfId="35694"/>
    <cellStyle name="Separador de milhares 3 2 9 9 2 2 5" xfId="29160"/>
    <cellStyle name="Separador de milhares 3 2 9 9 2 3" xfId="18067"/>
    <cellStyle name="Separador de milhares 3 2 9 9 2 3 2" xfId="44556"/>
    <cellStyle name="Separador de milhares 3 2 9 9 2 4" xfId="12140"/>
    <cellStyle name="Separador de milhares 3 2 9 9 2 4 2" xfId="38648"/>
    <cellStyle name="Separador de milhares 3 2 9 9 2 5" xfId="32492"/>
    <cellStyle name="Separador de milhares 3 2 9 9 2 6" xfId="25958"/>
    <cellStyle name="Separador de milhares 3 2 9 9 3" xfId="7708"/>
    <cellStyle name="Separador de milhares 3 2 9 9 3 2" xfId="19562"/>
    <cellStyle name="Separador de milhares 3 2 9 9 3 2 2" xfId="46042"/>
    <cellStyle name="Separador de milhares 3 2 9 9 3 3" xfId="13635"/>
    <cellStyle name="Separador de milhares 3 2 9 9 3 3 2" xfId="40134"/>
    <cellStyle name="Separador de milhares 3 2 9 9 3 4" xfId="34226"/>
    <cellStyle name="Separador de milhares 3 2 9 9 3 5" xfId="27692"/>
    <cellStyle name="Separador de milhares 3 2 9 9 4" xfId="16598"/>
    <cellStyle name="Separador de milhares 3 2 9 9 4 2" xfId="43088"/>
    <cellStyle name="Separador de milhares 3 2 9 9 4 3" xfId="24186"/>
    <cellStyle name="Separador de milhares 3 2 9 9 5" xfId="10671"/>
    <cellStyle name="Separador de milhares 3 2 9 9 5 2" xfId="37180"/>
    <cellStyle name="Separador de milhares 3 2 9 9 6" xfId="30720"/>
    <cellStyle name="Separador de milhares 3 2 9 9 7" xfId="22414"/>
    <cellStyle name="Separador de milhares 3 20" xfId="820"/>
    <cellStyle name="Separador de milhares 3 20 2" xfId="4251"/>
    <cellStyle name="Separador de milhares 3 20 2 2" xfId="6086"/>
    <cellStyle name="Separador de milhares 3 20 2 2 2" xfId="9298"/>
    <cellStyle name="Separador de milhares 3 20 2 2 2 2" xfId="21152"/>
    <cellStyle name="Separador de milhares 3 20 2 2 2 2 2" xfId="47631"/>
    <cellStyle name="Separador de milhares 3 20 2 2 2 3" xfId="15225"/>
    <cellStyle name="Separador de milhares 3 20 2 2 2 3 2" xfId="41723"/>
    <cellStyle name="Separador de milhares 3 20 2 2 2 4" xfId="35815"/>
    <cellStyle name="Separador de milhares 3 20 2 2 2 5" xfId="29281"/>
    <cellStyle name="Separador de milhares 3 20 2 2 3" xfId="18188"/>
    <cellStyle name="Separador de milhares 3 20 2 2 3 2" xfId="44677"/>
    <cellStyle name="Separador de milhares 3 20 2 2 4" xfId="12261"/>
    <cellStyle name="Separador de milhares 3 20 2 2 4 2" xfId="38769"/>
    <cellStyle name="Separador de milhares 3 20 2 2 5" xfId="32613"/>
    <cellStyle name="Separador de milhares 3 20 2 2 6" xfId="26079"/>
    <cellStyle name="Separador de milhares 3 20 2 3" xfId="7830"/>
    <cellStyle name="Separador de milhares 3 20 2 3 2" xfId="19684"/>
    <cellStyle name="Separador de milhares 3 20 2 3 2 2" xfId="46163"/>
    <cellStyle name="Separador de milhares 3 20 2 3 3" xfId="13757"/>
    <cellStyle name="Separador de milhares 3 20 2 3 3 2" xfId="40255"/>
    <cellStyle name="Separador de milhares 3 20 2 3 4" xfId="34347"/>
    <cellStyle name="Separador de milhares 3 20 2 3 5" xfId="27813"/>
    <cellStyle name="Separador de milhares 3 20 2 4" xfId="16720"/>
    <cellStyle name="Separador de milhares 3 20 2 4 2" xfId="43209"/>
    <cellStyle name="Separador de milhares 3 20 2 4 3" xfId="24307"/>
    <cellStyle name="Separador de milhares 3 20 2 5" xfId="10793"/>
    <cellStyle name="Separador de milhares 3 20 2 5 2" xfId="37301"/>
    <cellStyle name="Separador de milhares 3 20 2 6" xfId="30841"/>
    <cellStyle name="Separador de milhares 3 20 2 7" xfId="22535"/>
    <cellStyle name="Separador de milhares 3 20 3" xfId="5131"/>
    <cellStyle name="Separador de milhares 3 20 3 2" xfId="8346"/>
    <cellStyle name="Separador de milhares 3 20 3 2 2" xfId="20200"/>
    <cellStyle name="Separador de milhares 3 20 3 2 2 2" xfId="46679"/>
    <cellStyle name="Separador de milhares 3 20 3 2 3" xfId="14273"/>
    <cellStyle name="Separador de milhares 3 20 3 2 3 2" xfId="40771"/>
    <cellStyle name="Separador de milhares 3 20 3 2 4" xfId="34863"/>
    <cellStyle name="Separador de milhares 3 20 3 2 5" xfId="28329"/>
    <cellStyle name="Separador de milhares 3 20 3 3" xfId="17236"/>
    <cellStyle name="Separador de milhares 3 20 3 3 2" xfId="43725"/>
    <cellStyle name="Separador de milhares 3 20 3 4" xfId="11309"/>
    <cellStyle name="Separador de milhares 3 20 3 4 2" xfId="37817"/>
    <cellStyle name="Separador de milhares 3 20 3 5" xfId="31658"/>
    <cellStyle name="Separador de milhares 3 20 3 6" xfId="25124"/>
    <cellStyle name="Separador de milhares 3 20 4" xfId="6873"/>
    <cellStyle name="Separador de milhares 3 20 4 2" xfId="18727"/>
    <cellStyle name="Separador de milhares 3 20 4 2 2" xfId="45211"/>
    <cellStyle name="Separador de milhares 3 20 4 3" xfId="12800"/>
    <cellStyle name="Separador de milhares 3 20 4 3 2" xfId="39303"/>
    <cellStyle name="Separador de milhares 3 20 4 4" xfId="33395"/>
    <cellStyle name="Separador de milhares 3 20 4 5" xfId="26861"/>
    <cellStyle name="Separador de milhares 3 20 5" xfId="15763"/>
    <cellStyle name="Separador de milhares 3 20 5 2" xfId="42257"/>
    <cellStyle name="Separador de milhares 3 20 5 3" xfId="23352"/>
    <cellStyle name="Separador de milhares 3 20 6" xfId="9836"/>
    <cellStyle name="Separador de milhares 3 20 6 2" xfId="36349"/>
    <cellStyle name="Separador de milhares 3 20 7" xfId="29886"/>
    <cellStyle name="Separador de milhares 3 20 8" xfId="21580"/>
    <cellStyle name="Separador de milhares 3 21" xfId="1171"/>
    <cellStyle name="Separador de milhares 3 21 2" xfId="5229"/>
    <cellStyle name="Separador de milhares 3 21 2 2" xfId="8444"/>
    <cellStyle name="Separador de milhares 3 21 2 2 2" xfId="20298"/>
    <cellStyle name="Separador de milhares 3 21 2 2 2 2" xfId="46777"/>
    <cellStyle name="Separador de milhares 3 21 2 2 3" xfId="14371"/>
    <cellStyle name="Separador de milhares 3 21 2 2 3 2" xfId="40869"/>
    <cellStyle name="Separador de milhares 3 21 2 2 4" xfId="34961"/>
    <cellStyle name="Separador de milhares 3 21 2 2 5" xfId="28427"/>
    <cellStyle name="Separador de milhares 3 21 2 3" xfId="17334"/>
    <cellStyle name="Separador de milhares 3 21 2 3 2" xfId="43823"/>
    <cellStyle name="Separador de milhares 3 21 2 4" xfId="11407"/>
    <cellStyle name="Separador de milhares 3 21 2 4 2" xfId="37915"/>
    <cellStyle name="Separador de milhares 3 21 2 5" xfId="31756"/>
    <cellStyle name="Separador de milhares 3 21 2 6" xfId="25222"/>
    <cellStyle name="Separador de milhares 3 21 3" xfId="6971"/>
    <cellStyle name="Separador de milhares 3 21 3 2" xfId="18825"/>
    <cellStyle name="Separador de milhares 3 21 3 2 2" xfId="45309"/>
    <cellStyle name="Separador de milhares 3 21 3 3" xfId="12898"/>
    <cellStyle name="Separador de milhares 3 21 3 3 2" xfId="39401"/>
    <cellStyle name="Separador de milhares 3 21 3 4" xfId="33493"/>
    <cellStyle name="Separador de milhares 3 21 3 5" xfId="26959"/>
    <cellStyle name="Separador de milhares 3 21 4" xfId="15861"/>
    <cellStyle name="Separador de milhares 3 21 4 2" xfId="42355"/>
    <cellStyle name="Separador de milhares 3 21 4 3" xfId="23450"/>
    <cellStyle name="Separador de milhares 3 21 5" xfId="9934"/>
    <cellStyle name="Separador de milhares 3 21 5 2" xfId="36447"/>
    <cellStyle name="Separador de milhares 3 21 6" xfId="29984"/>
    <cellStyle name="Separador de milhares 3 21 7" xfId="21678"/>
    <cellStyle name="Separador de milhares 3 22" xfId="1606"/>
    <cellStyle name="Separador de milhares 3 22 2" xfId="5348"/>
    <cellStyle name="Separador de milhares 3 22 2 2" xfId="8563"/>
    <cellStyle name="Separador de milhares 3 22 2 2 2" xfId="20417"/>
    <cellStyle name="Separador de milhares 3 22 2 2 2 2" xfId="46896"/>
    <cellStyle name="Separador de milhares 3 22 2 2 3" xfId="14490"/>
    <cellStyle name="Separador de milhares 3 22 2 2 3 2" xfId="40988"/>
    <cellStyle name="Separador de milhares 3 22 2 2 4" xfId="35080"/>
    <cellStyle name="Separador de milhares 3 22 2 2 5" xfId="28546"/>
    <cellStyle name="Separador de milhares 3 22 2 3" xfId="17453"/>
    <cellStyle name="Separador de milhares 3 22 2 3 2" xfId="43942"/>
    <cellStyle name="Separador de milhares 3 22 2 4" xfId="11526"/>
    <cellStyle name="Separador de milhares 3 22 2 4 2" xfId="38034"/>
    <cellStyle name="Separador de milhares 3 22 2 5" xfId="31875"/>
    <cellStyle name="Separador de milhares 3 22 2 6" xfId="25341"/>
    <cellStyle name="Separador de milhares 3 22 3" xfId="7090"/>
    <cellStyle name="Separador de milhares 3 22 3 2" xfId="18944"/>
    <cellStyle name="Separador de milhares 3 22 3 2 2" xfId="45428"/>
    <cellStyle name="Separador de milhares 3 22 3 3" xfId="13017"/>
    <cellStyle name="Separador de milhares 3 22 3 3 2" xfId="39520"/>
    <cellStyle name="Separador de milhares 3 22 3 4" xfId="33612"/>
    <cellStyle name="Separador de milhares 3 22 3 5" xfId="27078"/>
    <cellStyle name="Separador de milhares 3 22 4" xfId="15980"/>
    <cellStyle name="Separador de milhares 3 22 4 2" xfId="42474"/>
    <cellStyle name="Separador de milhares 3 22 4 3" xfId="23569"/>
    <cellStyle name="Separador de milhares 3 22 5" xfId="10053"/>
    <cellStyle name="Separador de milhares 3 22 5 2" xfId="36566"/>
    <cellStyle name="Separador de milhares 3 22 6" xfId="30103"/>
    <cellStyle name="Separador de milhares 3 22 7" xfId="21797"/>
    <cellStyle name="Separador de milhares 3 23" xfId="2139"/>
    <cellStyle name="Separador de milhares 3 23 2" xfId="5498"/>
    <cellStyle name="Separador de milhares 3 23 2 2" xfId="8710"/>
    <cellStyle name="Separador de milhares 3 23 2 2 2" xfId="20564"/>
    <cellStyle name="Separador de milhares 3 23 2 2 2 2" xfId="47043"/>
    <cellStyle name="Separador de milhares 3 23 2 2 3" xfId="14637"/>
    <cellStyle name="Separador de milhares 3 23 2 2 3 2" xfId="41135"/>
    <cellStyle name="Separador de milhares 3 23 2 2 4" xfId="35227"/>
    <cellStyle name="Separador de milhares 3 23 2 2 5" xfId="28693"/>
    <cellStyle name="Separador de milhares 3 23 2 3" xfId="17600"/>
    <cellStyle name="Separador de milhares 3 23 2 3 2" xfId="44089"/>
    <cellStyle name="Separador de milhares 3 23 2 4" xfId="11673"/>
    <cellStyle name="Separador de milhares 3 23 2 4 2" xfId="38181"/>
    <cellStyle name="Separador de milhares 3 23 2 5" xfId="32025"/>
    <cellStyle name="Separador de milhares 3 23 2 6" xfId="25491"/>
    <cellStyle name="Separador de milhares 3 23 3" xfId="7238"/>
    <cellStyle name="Separador de milhares 3 23 3 2" xfId="19092"/>
    <cellStyle name="Separador de milhares 3 23 3 2 2" xfId="45575"/>
    <cellStyle name="Separador de milhares 3 23 3 3" xfId="13165"/>
    <cellStyle name="Separador de milhares 3 23 3 3 2" xfId="39667"/>
    <cellStyle name="Separador de milhares 3 23 3 4" xfId="33759"/>
    <cellStyle name="Separador de milhares 3 23 3 5" xfId="27225"/>
    <cellStyle name="Separador de milhares 3 23 4" xfId="16128"/>
    <cellStyle name="Separador de milhares 3 23 4 2" xfId="42621"/>
    <cellStyle name="Separador de milhares 3 23 4 3" xfId="23719"/>
    <cellStyle name="Separador de milhares 3 23 5" xfId="10201"/>
    <cellStyle name="Separador de milhares 3 23 5 2" xfId="36713"/>
    <cellStyle name="Separador de milhares 3 23 6" xfId="30253"/>
    <cellStyle name="Separador de milhares 3 23 7" xfId="21947"/>
    <cellStyle name="Separador de milhares 3 24" xfId="2667"/>
    <cellStyle name="Separador de milhares 3 24 2" xfId="5645"/>
    <cellStyle name="Separador de milhares 3 24 2 2" xfId="8857"/>
    <cellStyle name="Separador de milhares 3 24 2 2 2" xfId="20711"/>
    <cellStyle name="Separador de milhares 3 24 2 2 2 2" xfId="47190"/>
    <cellStyle name="Separador de milhares 3 24 2 2 3" xfId="14784"/>
    <cellStyle name="Separador de milhares 3 24 2 2 3 2" xfId="41282"/>
    <cellStyle name="Separador de milhares 3 24 2 2 4" xfId="35374"/>
    <cellStyle name="Separador de milhares 3 24 2 2 5" xfId="28840"/>
    <cellStyle name="Separador de milhares 3 24 2 3" xfId="17747"/>
    <cellStyle name="Separador de milhares 3 24 2 3 2" xfId="44236"/>
    <cellStyle name="Separador de milhares 3 24 2 4" xfId="11820"/>
    <cellStyle name="Separador de milhares 3 24 2 4 2" xfId="38328"/>
    <cellStyle name="Separador de milhares 3 24 2 5" xfId="32172"/>
    <cellStyle name="Separador de milhares 3 24 2 6" xfId="25638"/>
    <cellStyle name="Separador de milhares 3 24 3" xfId="7386"/>
    <cellStyle name="Separador de milhares 3 24 3 2" xfId="19240"/>
    <cellStyle name="Separador de milhares 3 24 3 2 2" xfId="45722"/>
    <cellStyle name="Separador de milhares 3 24 3 3" xfId="13313"/>
    <cellStyle name="Separador de milhares 3 24 3 3 2" xfId="39814"/>
    <cellStyle name="Separador de milhares 3 24 3 4" xfId="33906"/>
    <cellStyle name="Separador de milhares 3 24 3 5" xfId="27372"/>
    <cellStyle name="Separador de milhares 3 24 4" xfId="16276"/>
    <cellStyle name="Separador de milhares 3 24 4 2" xfId="42768"/>
    <cellStyle name="Separador de milhares 3 24 4 3" xfId="23866"/>
    <cellStyle name="Separador de milhares 3 24 5" xfId="10349"/>
    <cellStyle name="Separador de milhares 3 24 5 2" xfId="36860"/>
    <cellStyle name="Separador de milhares 3 24 6" xfId="30400"/>
    <cellStyle name="Separador de milhares 3 24 7" xfId="22094"/>
    <cellStyle name="Separador de milhares 3 25" xfId="3195"/>
    <cellStyle name="Separador de milhares 3 25 2" xfId="5792"/>
    <cellStyle name="Separador de milhares 3 25 2 2" xfId="9004"/>
    <cellStyle name="Separador de milhares 3 25 2 2 2" xfId="20858"/>
    <cellStyle name="Separador de milhares 3 25 2 2 2 2" xfId="47337"/>
    <cellStyle name="Separador de milhares 3 25 2 2 3" xfId="14931"/>
    <cellStyle name="Separador de milhares 3 25 2 2 3 2" xfId="41429"/>
    <cellStyle name="Separador de milhares 3 25 2 2 4" xfId="35521"/>
    <cellStyle name="Separador de milhares 3 25 2 2 5" xfId="28987"/>
    <cellStyle name="Separador de milhares 3 25 2 3" xfId="17894"/>
    <cellStyle name="Separador de milhares 3 25 2 3 2" xfId="44383"/>
    <cellStyle name="Separador de milhares 3 25 2 4" xfId="11967"/>
    <cellStyle name="Separador de milhares 3 25 2 4 2" xfId="38475"/>
    <cellStyle name="Separador de milhares 3 25 2 5" xfId="32319"/>
    <cellStyle name="Separador de milhares 3 25 2 6" xfId="25785"/>
    <cellStyle name="Separador de milhares 3 25 3" xfId="7534"/>
    <cellStyle name="Separador de milhares 3 25 3 2" xfId="19388"/>
    <cellStyle name="Separador de milhares 3 25 3 2 2" xfId="45869"/>
    <cellStyle name="Separador de milhares 3 25 3 3" xfId="13461"/>
    <cellStyle name="Separador de milhares 3 25 3 3 2" xfId="39961"/>
    <cellStyle name="Separador de milhares 3 25 3 4" xfId="34053"/>
    <cellStyle name="Separador de milhares 3 25 3 5" xfId="27519"/>
    <cellStyle name="Separador de milhares 3 25 4" xfId="16424"/>
    <cellStyle name="Separador de milhares 3 25 4 2" xfId="42915"/>
    <cellStyle name="Separador de milhares 3 25 4 3" xfId="24013"/>
    <cellStyle name="Separador de milhares 3 25 5" xfId="10497"/>
    <cellStyle name="Separador de milhares 3 25 5 2" xfId="37007"/>
    <cellStyle name="Separador de milhares 3 25 6" xfId="30547"/>
    <cellStyle name="Separador de milhares 3 25 7" xfId="22241"/>
    <cellStyle name="Separador de milhares 3 26" xfId="3723"/>
    <cellStyle name="Separador de milhares 3 26 2" xfId="5939"/>
    <cellStyle name="Separador de milhares 3 26 2 2" xfId="9151"/>
    <cellStyle name="Separador de milhares 3 26 2 2 2" xfId="21005"/>
    <cellStyle name="Separador de milhares 3 26 2 2 2 2" xfId="47484"/>
    <cellStyle name="Separador de milhares 3 26 2 2 3" xfId="15078"/>
    <cellStyle name="Separador de milhares 3 26 2 2 3 2" xfId="41576"/>
    <cellStyle name="Separador de milhares 3 26 2 2 4" xfId="35668"/>
    <cellStyle name="Separador de milhares 3 26 2 2 5" xfId="29134"/>
    <cellStyle name="Separador de milhares 3 26 2 3" xfId="18041"/>
    <cellStyle name="Separador de milhares 3 26 2 3 2" xfId="44530"/>
    <cellStyle name="Separador de milhares 3 26 2 4" xfId="12114"/>
    <cellStyle name="Separador de milhares 3 26 2 4 2" xfId="38622"/>
    <cellStyle name="Separador de milhares 3 26 2 5" xfId="32466"/>
    <cellStyle name="Separador de milhares 3 26 2 6" xfId="25932"/>
    <cellStyle name="Separador de milhares 3 26 3" xfId="7682"/>
    <cellStyle name="Separador de milhares 3 26 3 2" xfId="19536"/>
    <cellStyle name="Separador de milhares 3 26 3 2 2" xfId="46016"/>
    <cellStyle name="Separador de milhares 3 26 3 3" xfId="13609"/>
    <cellStyle name="Separador de milhares 3 26 3 3 2" xfId="40108"/>
    <cellStyle name="Separador de milhares 3 26 3 4" xfId="34200"/>
    <cellStyle name="Separador de milhares 3 26 3 5" xfId="27666"/>
    <cellStyle name="Separador de milhares 3 26 4" xfId="16572"/>
    <cellStyle name="Separador de milhares 3 26 4 2" xfId="43062"/>
    <cellStyle name="Separador de milhares 3 26 4 3" xfId="24160"/>
    <cellStyle name="Separador de milhares 3 26 5" xfId="10645"/>
    <cellStyle name="Separador de milhares 3 26 5 2" xfId="37154"/>
    <cellStyle name="Separador de milhares 3 26 6" xfId="30694"/>
    <cellStyle name="Separador de milhares 3 26 7" xfId="22388"/>
    <cellStyle name="Separador de milhares 3 27" xfId="4923"/>
    <cellStyle name="Separador de milhares 3 27 2" xfId="8147"/>
    <cellStyle name="Separador de milhares 3 27 2 2" xfId="20001"/>
    <cellStyle name="Separador de milhares 3 27 2 2 2" xfId="46480"/>
    <cellStyle name="Separador de milhares 3 27 2 3" xfId="14074"/>
    <cellStyle name="Separador de milhares 3 27 2 3 2" xfId="40572"/>
    <cellStyle name="Separador de milhares 3 27 2 4" xfId="34664"/>
    <cellStyle name="Separador de milhares 3 27 2 5" xfId="28130"/>
    <cellStyle name="Separador de milhares 3 27 3" xfId="17037"/>
    <cellStyle name="Separador de milhares 3 27 3 2" xfId="43526"/>
    <cellStyle name="Separador de milhares 3 27 4" xfId="11110"/>
    <cellStyle name="Separador de milhares 3 27 4 2" xfId="37618"/>
    <cellStyle name="Separador de milhares 3 27 5" xfId="31450"/>
    <cellStyle name="Separador de milhares 3 27 6" xfId="24916"/>
    <cellStyle name="Separador de milhares 3 28" xfId="6671"/>
    <cellStyle name="Separador de milhares 3 28 2" xfId="18525"/>
    <cellStyle name="Separador de milhares 3 28 2 2" xfId="45012"/>
    <cellStyle name="Separador de milhares 3 28 3" xfId="12598"/>
    <cellStyle name="Separador de milhares 3 28 3 2" xfId="39104"/>
    <cellStyle name="Separador de milhares 3 28 4" xfId="33196"/>
    <cellStyle name="Separador de milhares 3 28 5" xfId="26662"/>
    <cellStyle name="Separador de milhares 3 29" xfId="15561"/>
    <cellStyle name="Separador de milhares 3 29 2" xfId="42058"/>
    <cellStyle name="Separador de milhares 3 29 3" xfId="23144"/>
    <cellStyle name="Separador de milhares 3 3" xfId="173"/>
    <cellStyle name="Separador de milhares 3 3 10" xfId="2683"/>
    <cellStyle name="Separador de milhares 3 3 10 2" xfId="5649"/>
    <cellStyle name="Separador de milhares 3 3 10 2 2" xfId="8861"/>
    <cellStyle name="Separador de milhares 3 3 10 2 2 2" xfId="20715"/>
    <cellStyle name="Separador de milhares 3 3 10 2 2 2 2" xfId="47194"/>
    <cellStyle name="Separador de milhares 3 3 10 2 2 3" xfId="14788"/>
    <cellStyle name="Separador de milhares 3 3 10 2 2 3 2" xfId="41286"/>
    <cellStyle name="Separador de milhares 3 3 10 2 2 4" xfId="35378"/>
    <cellStyle name="Separador de milhares 3 3 10 2 2 5" xfId="28844"/>
    <cellStyle name="Separador de milhares 3 3 10 2 3" xfId="17751"/>
    <cellStyle name="Separador de milhares 3 3 10 2 3 2" xfId="44240"/>
    <cellStyle name="Separador de milhares 3 3 10 2 4" xfId="11824"/>
    <cellStyle name="Separador de milhares 3 3 10 2 4 2" xfId="38332"/>
    <cellStyle name="Separador de milhares 3 3 10 2 5" xfId="32176"/>
    <cellStyle name="Separador de milhares 3 3 10 2 6" xfId="25642"/>
    <cellStyle name="Separador de milhares 3 3 10 3" xfId="7390"/>
    <cellStyle name="Separador de milhares 3 3 10 3 2" xfId="19244"/>
    <cellStyle name="Separador de milhares 3 3 10 3 2 2" xfId="45726"/>
    <cellStyle name="Separador de milhares 3 3 10 3 3" xfId="13317"/>
    <cellStyle name="Separador de milhares 3 3 10 3 3 2" xfId="39818"/>
    <cellStyle name="Separador de milhares 3 3 10 3 4" xfId="33910"/>
    <cellStyle name="Separador de milhares 3 3 10 3 5" xfId="27376"/>
    <cellStyle name="Separador de milhares 3 3 10 4" xfId="16280"/>
    <cellStyle name="Separador de milhares 3 3 10 4 2" xfId="42772"/>
    <cellStyle name="Separador de milhares 3 3 10 4 3" xfId="23870"/>
    <cellStyle name="Separador de milhares 3 3 10 5" xfId="10353"/>
    <cellStyle name="Separador de milhares 3 3 10 5 2" xfId="36864"/>
    <cellStyle name="Separador de milhares 3 3 10 6" xfId="30404"/>
    <cellStyle name="Separador de milhares 3 3 10 7" xfId="22098"/>
    <cellStyle name="Separador de milhares 3 3 11" xfId="3211"/>
    <cellStyle name="Separador de milhares 3 3 11 2" xfId="5796"/>
    <cellStyle name="Separador de milhares 3 3 11 2 2" xfId="9008"/>
    <cellStyle name="Separador de milhares 3 3 11 2 2 2" xfId="20862"/>
    <cellStyle name="Separador de milhares 3 3 11 2 2 2 2" xfId="47341"/>
    <cellStyle name="Separador de milhares 3 3 11 2 2 3" xfId="14935"/>
    <cellStyle name="Separador de milhares 3 3 11 2 2 3 2" xfId="41433"/>
    <cellStyle name="Separador de milhares 3 3 11 2 2 4" xfId="35525"/>
    <cellStyle name="Separador de milhares 3 3 11 2 2 5" xfId="28991"/>
    <cellStyle name="Separador de milhares 3 3 11 2 3" xfId="17898"/>
    <cellStyle name="Separador de milhares 3 3 11 2 3 2" xfId="44387"/>
    <cellStyle name="Separador de milhares 3 3 11 2 4" xfId="11971"/>
    <cellStyle name="Separador de milhares 3 3 11 2 4 2" xfId="38479"/>
    <cellStyle name="Separador de milhares 3 3 11 2 5" xfId="32323"/>
    <cellStyle name="Separador de milhares 3 3 11 2 6" xfId="25789"/>
    <cellStyle name="Separador de milhares 3 3 11 3" xfId="7538"/>
    <cellStyle name="Separador de milhares 3 3 11 3 2" xfId="19392"/>
    <cellStyle name="Separador de milhares 3 3 11 3 2 2" xfId="45873"/>
    <cellStyle name="Separador de milhares 3 3 11 3 3" xfId="13465"/>
    <cellStyle name="Separador de milhares 3 3 11 3 3 2" xfId="39965"/>
    <cellStyle name="Separador de milhares 3 3 11 3 4" xfId="34057"/>
    <cellStyle name="Separador de milhares 3 3 11 3 5" xfId="27523"/>
    <cellStyle name="Separador de milhares 3 3 11 4" xfId="16428"/>
    <cellStyle name="Separador de milhares 3 3 11 4 2" xfId="42919"/>
    <cellStyle name="Separador de milhares 3 3 11 4 3" xfId="24017"/>
    <cellStyle name="Separador de milhares 3 3 11 5" xfId="10501"/>
    <cellStyle name="Separador de milhares 3 3 11 5 2" xfId="37011"/>
    <cellStyle name="Separador de milhares 3 3 11 6" xfId="30551"/>
    <cellStyle name="Separador de milhares 3 3 11 7" xfId="22245"/>
    <cellStyle name="Separador de milhares 3 3 12" xfId="3739"/>
    <cellStyle name="Separador de milhares 3 3 12 2" xfId="5943"/>
    <cellStyle name="Separador de milhares 3 3 12 2 2" xfId="9155"/>
    <cellStyle name="Separador de milhares 3 3 12 2 2 2" xfId="21009"/>
    <cellStyle name="Separador de milhares 3 3 12 2 2 2 2" xfId="47488"/>
    <cellStyle name="Separador de milhares 3 3 12 2 2 3" xfId="15082"/>
    <cellStyle name="Separador de milhares 3 3 12 2 2 3 2" xfId="41580"/>
    <cellStyle name="Separador de milhares 3 3 12 2 2 4" xfId="35672"/>
    <cellStyle name="Separador de milhares 3 3 12 2 2 5" xfId="29138"/>
    <cellStyle name="Separador de milhares 3 3 12 2 3" xfId="18045"/>
    <cellStyle name="Separador de milhares 3 3 12 2 3 2" xfId="44534"/>
    <cellStyle name="Separador de milhares 3 3 12 2 4" xfId="12118"/>
    <cellStyle name="Separador de milhares 3 3 12 2 4 2" xfId="38626"/>
    <cellStyle name="Separador de milhares 3 3 12 2 5" xfId="32470"/>
    <cellStyle name="Separador de milhares 3 3 12 2 6" xfId="25936"/>
    <cellStyle name="Separador de milhares 3 3 12 3" xfId="7686"/>
    <cellStyle name="Separador de milhares 3 3 12 3 2" xfId="19540"/>
    <cellStyle name="Separador de milhares 3 3 12 3 2 2" xfId="46020"/>
    <cellStyle name="Separador de milhares 3 3 12 3 3" xfId="13613"/>
    <cellStyle name="Separador de milhares 3 3 12 3 3 2" xfId="40112"/>
    <cellStyle name="Separador de milhares 3 3 12 3 4" xfId="34204"/>
    <cellStyle name="Separador de milhares 3 3 12 3 5" xfId="27670"/>
    <cellStyle name="Separador de milhares 3 3 12 4" xfId="16576"/>
    <cellStyle name="Separador de milhares 3 3 12 4 2" xfId="43066"/>
    <cellStyle name="Separador de milhares 3 3 12 4 3" xfId="24164"/>
    <cellStyle name="Separador de milhares 3 3 12 5" xfId="10649"/>
    <cellStyle name="Separador de milhares 3 3 12 5 2" xfId="37158"/>
    <cellStyle name="Separador de milhares 3 3 12 6" xfId="30698"/>
    <cellStyle name="Separador de milhares 3 3 12 7" xfId="22392"/>
    <cellStyle name="Separador de milhares 3 3 13" xfId="4927"/>
    <cellStyle name="Separador de milhares 3 3 13 2" xfId="8151"/>
    <cellStyle name="Separador de milhares 3 3 13 2 2" xfId="20005"/>
    <cellStyle name="Separador de milhares 3 3 13 2 2 2" xfId="46484"/>
    <cellStyle name="Separador de milhares 3 3 13 2 3" xfId="14078"/>
    <cellStyle name="Separador de milhares 3 3 13 2 3 2" xfId="40576"/>
    <cellStyle name="Separador de milhares 3 3 13 2 4" xfId="34668"/>
    <cellStyle name="Separador de milhares 3 3 13 2 5" xfId="28134"/>
    <cellStyle name="Separador de milhares 3 3 13 3" xfId="17041"/>
    <cellStyle name="Separador de milhares 3 3 13 3 2" xfId="43530"/>
    <cellStyle name="Separador de milhares 3 3 13 4" xfId="11114"/>
    <cellStyle name="Separador de milhares 3 3 13 4 2" xfId="37622"/>
    <cellStyle name="Separador de milhares 3 3 13 5" xfId="31454"/>
    <cellStyle name="Separador de milhares 3 3 13 6" xfId="24920"/>
    <cellStyle name="Separador de milhares 3 3 14" xfId="6675"/>
    <cellStyle name="Separador de milhares 3 3 14 2" xfId="18529"/>
    <cellStyle name="Separador de milhares 3 3 14 2 2" xfId="45016"/>
    <cellStyle name="Separador de milhares 3 3 14 3" xfId="12602"/>
    <cellStyle name="Separador de milhares 3 3 14 3 2" xfId="39108"/>
    <cellStyle name="Separador de milhares 3 3 14 4" xfId="33200"/>
    <cellStyle name="Separador de milhares 3 3 14 5" xfId="26666"/>
    <cellStyle name="Separador de milhares 3 3 15" xfId="15565"/>
    <cellStyle name="Separador de milhares 3 3 15 2" xfId="42062"/>
    <cellStyle name="Separador de milhares 3 3 15 3" xfId="23148"/>
    <cellStyle name="Separador de milhares 3 3 16" xfId="9638"/>
    <cellStyle name="Separador de milhares 3 3 16 2" xfId="36154"/>
    <cellStyle name="Separador de milhares 3 3 17" xfId="29682"/>
    <cellStyle name="Separador de milhares 3 3 2" xfId="267"/>
    <cellStyle name="Separador de milhares 3 3 2 10" xfId="4956"/>
    <cellStyle name="Separador de milhares 3 3 2 10 2" xfId="8178"/>
    <cellStyle name="Separador de milhares 3 3 2 10 2 2" xfId="20032"/>
    <cellStyle name="Separador de milhares 3 3 2 10 2 2 2" xfId="46511"/>
    <cellStyle name="Separador de milhares 3 3 2 10 2 3" xfId="14105"/>
    <cellStyle name="Separador de milhares 3 3 2 10 2 3 2" xfId="40603"/>
    <cellStyle name="Separador de milhares 3 3 2 10 2 4" xfId="34695"/>
    <cellStyle name="Separador de milhares 3 3 2 10 2 5" xfId="28161"/>
    <cellStyle name="Separador de milhares 3 3 2 10 3" xfId="17068"/>
    <cellStyle name="Separador de milhares 3 3 2 10 3 2" xfId="43557"/>
    <cellStyle name="Separador de milhares 3 3 2 10 4" xfId="11141"/>
    <cellStyle name="Separador de milhares 3 3 2 10 4 2" xfId="37649"/>
    <cellStyle name="Separador de milhares 3 3 2 10 5" xfId="31483"/>
    <cellStyle name="Separador de milhares 3 3 2 10 6" xfId="24949"/>
    <cellStyle name="Separador de milhares 3 3 2 11" xfId="6702"/>
    <cellStyle name="Separador de milhares 3 3 2 11 2" xfId="18556"/>
    <cellStyle name="Separador de milhares 3 3 2 11 2 2" xfId="45043"/>
    <cellStyle name="Separador de milhares 3 3 2 11 3" xfId="12629"/>
    <cellStyle name="Separador de milhares 3 3 2 11 3 2" xfId="39135"/>
    <cellStyle name="Separador de milhares 3 3 2 11 4" xfId="33227"/>
    <cellStyle name="Separador de milhares 3 3 2 11 5" xfId="26693"/>
    <cellStyle name="Separador de milhares 3 3 2 12" xfId="15592"/>
    <cellStyle name="Separador de milhares 3 3 2 12 2" xfId="42089"/>
    <cellStyle name="Separador de milhares 3 3 2 12 3" xfId="23177"/>
    <cellStyle name="Separador de milhares 3 3 2 13" xfId="9665"/>
    <cellStyle name="Separador de milhares 3 3 2 13 2" xfId="36181"/>
    <cellStyle name="Separador de milhares 3 3 2 14" xfId="29711"/>
    <cellStyle name="Separador de milhares 3 3 2 15" xfId="21429"/>
    <cellStyle name="Separador de milhares 3 3 2 2" xfId="542"/>
    <cellStyle name="Separador de milhares 3 3 2 2 10" xfId="9739"/>
    <cellStyle name="Separador de milhares 3 3 2 2 10 2" xfId="36255"/>
    <cellStyle name="Separador de milhares 3 3 2 2 11" xfId="29792"/>
    <cellStyle name="Separador de milhares 3 3 2 2 12" xfId="21487"/>
    <cellStyle name="Separador de milhares 3 3 2 2 2" xfId="2063"/>
    <cellStyle name="Separador de milhares 3 3 2 2 2 2" xfId="5475"/>
    <cellStyle name="Separador de milhares 3 3 2 2 2 2 2" xfId="8690"/>
    <cellStyle name="Separador de milhares 3 3 2 2 2 2 2 2" xfId="20544"/>
    <cellStyle name="Separador de milhares 3 3 2 2 2 2 2 2 2" xfId="47023"/>
    <cellStyle name="Separador de milhares 3 3 2 2 2 2 2 3" xfId="14617"/>
    <cellStyle name="Separador de milhares 3 3 2 2 2 2 2 3 2" xfId="41115"/>
    <cellStyle name="Separador de milhares 3 3 2 2 2 2 2 4" xfId="35207"/>
    <cellStyle name="Separador de milhares 3 3 2 2 2 2 2 5" xfId="28673"/>
    <cellStyle name="Separador de milhares 3 3 2 2 2 2 3" xfId="17580"/>
    <cellStyle name="Separador de milhares 3 3 2 2 2 2 3 2" xfId="44069"/>
    <cellStyle name="Separador de milhares 3 3 2 2 2 2 4" xfId="11653"/>
    <cellStyle name="Separador de milhares 3 3 2 2 2 2 4 2" xfId="38161"/>
    <cellStyle name="Separador de milhares 3 3 2 2 2 2 5" xfId="32002"/>
    <cellStyle name="Separador de milhares 3 3 2 2 2 2 6" xfId="25468"/>
    <cellStyle name="Separador de milhares 3 3 2 2 2 3" xfId="7218"/>
    <cellStyle name="Separador de milhares 3 3 2 2 2 3 2" xfId="19072"/>
    <cellStyle name="Separador de milhares 3 3 2 2 2 3 2 2" xfId="45555"/>
    <cellStyle name="Separador de milhares 3 3 2 2 2 3 3" xfId="13145"/>
    <cellStyle name="Separador de milhares 3 3 2 2 2 3 3 2" xfId="39647"/>
    <cellStyle name="Separador de milhares 3 3 2 2 2 3 4" xfId="33739"/>
    <cellStyle name="Separador de milhares 3 3 2 2 2 3 5" xfId="27205"/>
    <cellStyle name="Separador de milhares 3 3 2 2 2 4" xfId="16108"/>
    <cellStyle name="Separador de milhares 3 3 2 2 2 4 2" xfId="42601"/>
    <cellStyle name="Separador de milhares 3 3 2 2 2 4 3" xfId="23696"/>
    <cellStyle name="Separador de milhares 3 3 2 2 2 5" xfId="10181"/>
    <cellStyle name="Separador de milhares 3 3 2 2 2 5 2" xfId="36693"/>
    <cellStyle name="Separador de milhares 3 3 2 2 2 6" xfId="30230"/>
    <cellStyle name="Separador de milhares 3 3 2 2 2 7" xfId="21924"/>
    <cellStyle name="Separador de milhares 3 3 2 2 3" xfId="2596"/>
    <cellStyle name="Separador de milhares 3 3 2 2 3 2" xfId="5625"/>
    <cellStyle name="Separador de milhares 3 3 2 2 3 2 2" xfId="8837"/>
    <cellStyle name="Separador de milhares 3 3 2 2 3 2 2 2" xfId="20691"/>
    <cellStyle name="Separador de milhares 3 3 2 2 3 2 2 2 2" xfId="47170"/>
    <cellStyle name="Separador de milhares 3 3 2 2 3 2 2 3" xfId="14764"/>
    <cellStyle name="Separador de milhares 3 3 2 2 3 2 2 3 2" xfId="41262"/>
    <cellStyle name="Separador de milhares 3 3 2 2 3 2 2 4" xfId="35354"/>
    <cellStyle name="Separador de milhares 3 3 2 2 3 2 2 5" xfId="28820"/>
    <cellStyle name="Separador de milhares 3 3 2 2 3 2 3" xfId="17727"/>
    <cellStyle name="Separador de milhares 3 3 2 2 3 2 3 2" xfId="44216"/>
    <cellStyle name="Separador de milhares 3 3 2 2 3 2 4" xfId="11800"/>
    <cellStyle name="Separador de milhares 3 3 2 2 3 2 4 2" xfId="38308"/>
    <cellStyle name="Separador de milhares 3 3 2 2 3 2 5" xfId="32152"/>
    <cellStyle name="Separador de milhares 3 3 2 2 3 2 6" xfId="25618"/>
    <cellStyle name="Separador de milhares 3 3 2 2 3 3" xfId="7366"/>
    <cellStyle name="Separador de milhares 3 3 2 2 3 3 2" xfId="19220"/>
    <cellStyle name="Separador de milhares 3 3 2 2 3 3 2 2" xfId="45702"/>
    <cellStyle name="Separador de milhares 3 3 2 2 3 3 3" xfId="13293"/>
    <cellStyle name="Separador de milhares 3 3 2 2 3 3 3 2" xfId="39794"/>
    <cellStyle name="Separador de milhares 3 3 2 2 3 3 4" xfId="33886"/>
    <cellStyle name="Separador de milhares 3 3 2 2 3 3 5" xfId="27352"/>
    <cellStyle name="Separador de milhares 3 3 2 2 3 4" xfId="16256"/>
    <cellStyle name="Separador de milhares 3 3 2 2 3 4 2" xfId="42748"/>
    <cellStyle name="Separador de milhares 3 3 2 2 3 4 3" xfId="23846"/>
    <cellStyle name="Separador de milhares 3 3 2 2 3 5" xfId="10329"/>
    <cellStyle name="Separador de milhares 3 3 2 2 3 5 2" xfId="36840"/>
    <cellStyle name="Separador de milhares 3 3 2 2 3 6" xfId="30380"/>
    <cellStyle name="Separador de milhares 3 3 2 2 3 7" xfId="22074"/>
    <cellStyle name="Separador de milhares 3 3 2 2 4" xfId="3124"/>
    <cellStyle name="Separador de milhares 3 3 2 2 4 2" xfId="5772"/>
    <cellStyle name="Separador de milhares 3 3 2 2 4 2 2" xfId="8984"/>
    <cellStyle name="Separador de milhares 3 3 2 2 4 2 2 2" xfId="20838"/>
    <cellStyle name="Separador de milhares 3 3 2 2 4 2 2 2 2" xfId="47317"/>
    <cellStyle name="Separador de milhares 3 3 2 2 4 2 2 3" xfId="14911"/>
    <cellStyle name="Separador de milhares 3 3 2 2 4 2 2 3 2" xfId="41409"/>
    <cellStyle name="Separador de milhares 3 3 2 2 4 2 2 4" xfId="35501"/>
    <cellStyle name="Separador de milhares 3 3 2 2 4 2 2 5" xfId="28967"/>
    <cellStyle name="Separador de milhares 3 3 2 2 4 2 3" xfId="17874"/>
    <cellStyle name="Separador de milhares 3 3 2 2 4 2 3 2" xfId="44363"/>
    <cellStyle name="Separador de milhares 3 3 2 2 4 2 4" xfId="11947"/>
    <cellStyle name="Separador de milhares 3 3 2 2 4 2 4 2" xfId="38455"/>
    <cellStyle name="Separador de milhares 3 3 2 2 4 2 5" xfId="32299"/>
    <cellStyle name="Separador de milhares 3 3 2 2 4 2 6" xfId="25765"/>
    <cellStyle name="Separador de milhares 3 3 2 2 4 3" xfId="7514"/>
    <cellStyle name="Separador de milhares 3 3 2 2 4 3 2" xfId="19368"/>
    <cellStyle name="Separador de milhares 3 3 2 2 4 3 2 2" xfId="45849"/>
    <cellStyle name="Separador de milhares 3 3 2 2 4 3 3" xfId="13441"/>
    <cellStyle name="Separador de milhares 3 3 2 2 4 3 3 2" xfId="39941"/>
    <cellStyle name="Separador de milhares 3 3 2 2 4 3 4" xfId="34033"/>
    <cellStyle name="Separador de milhares 3 3 2 2 4 3 5" xfId="27499"/>
    <cellStyle name="Separador de milhares 3 3 2 2 4 4" xfId="16404"/>
    <cellStyle name="Separador de milhares 3 3 2 2 4 4 2" xfId="42895"/>
    <cellStyle name="Separador de milhares 3 3 2 2 4 4 3" xfId="23993"/>
    <cellStyle name="Separador de milhares 3 3 2 2 4 5" xfId="10477"/>
    <cellStyle name="Separador de milhares 3 3 2 2 4 5 2" xfId="36987"/>
    <cellStyle name="Separador de milhares 3 3 2 2 4 6" xfId="30527"/>
    <cellStyle name="Separador de milhares 3 3 2 2 4 7" xfId="22221"/>
    <cellStyle name="Separador de milhares 3 3 2 2 5" xfId="3652"/>
    <cellStyle name="Separador de milhares 3 3 2 2 5 2" xfId="5919"/>
    <cellStyle name="Separador de milhares 3 3 2 2 5 2 2" xfId="9131"/>
    <cellStyle name="Separador de milhares 3 3 2 2 5 2 2 2" xfId="20985"/>
    <cellStyle name="Separador de milhares 3 3 2 2 5 2 2 2 2" xfId="47464"/>
    <cellStyle name="Separador de milhares 3 3 2 2 5 2 2 3" xfId="15058"/>
    <cellStyle name="Separador de milhares 3 3 2 2 5 2 2 3 2" xfId="41556"/>
    <cellStyle name="Separador de milhares 3 3 2 2 5 2 2 4" xfId="35648"/>
    <cellStyle name="Separador de milhares 3 3 2 2 5 2 2 5" xfId="29114"/>
    <cellStyle name="Separador de milhares 3 3 2 2 5 2 3" xfId="18021"/>
    <cellStyle name="Separador de milhares 3 3 2 2 5 2 3 2" xfId="44510"/>
    <cellStyle name="Separador de milhares 3 3 2 2 5 2 4" xfId="12094"/>
    <cellStyle name="Separador de milhares 3 3 2 2 5 2 4 2" xfId="38602"/>
    <cellStyle name="Separador de milhares 3 3 2 2 5 2 5" xfId="32446"/>
    <cellStyle name="Separador de milhares 3 3 2 2 5 2 6" xfId="25912"/>
    <cellStyle name="Separador de milhares 3 3 2 2 5 3" xfId="7662"/>
    <cellStyle name="Separador de milhares 3 3 2 2 5 3 2" xfId="19516"/>
    <cellStyle name="Separador de milhares 3 3 2 2 5 3 2 2" xfId="45996"/>
    <cellStyle name="Separador de milhares 3 3 2 2 5 3 3" xfId="13589"/>
    <cellStyle name="Separador de milhares 3 3 2 2 5 3 3 2" xfId="40088"/>
    <cellStyle name="Separador de milhares 3 3 2 2 5 3 4" xfId="34180"/>
    <cellStyle name="Separador de milhares 3 3 2 2 5 3 5" xfId="27646"/>
    <cellStyle name="Separador de milhares 3 3 2 2 5 4" xfId="16552"/>
    <cellStyle name="Separador de milhares 3 3 2 2 5 4 2" xfId="43042"/>
    <cellStyle name="Separador de milhares 3 3 2 2 5 4 3" xfId="24140"/>
    <cellStyle name="Separador de milhares 3 3 2 2 5 5" xfId="10625"/>
    <cellStyle name="Separador de milhares 3 3 2 2 5 5 2" xfId="37134"/>
    <cellStyle name="Separador de milhares 3 3 2 2 5 6" xfId="30674"/>
    <cellStyle name="Separador de milhares 3 3 2 2 5 7" xfId="22368"/>
    <cellStyle name="Separador de milhares 3 3 2 2 6" xfId="4180"/>
    <cellStyle name="Separador de milhares 3 3 2 2 6 2" xfId="6066"/>
    <cellStyle name="Separador de milhares 3 3 2 2 6 2 2" xfId="9278"/>
    <cellStyle name="Separador de milhares 3 3 2 2 6 2 2 2" xfId="21132"/>
    <cellStyle name="Separador de milhares 3 3 2 2 6 2 2 2 2" xfId="47611"/>
    <cellStyle name="Separador de milhares 3 3 2 2 6 2 2 3" xfId="15205"/>
    <cellStyle name="Separador de milhares 3 3 2 2 6 2 2 3 2" xfId="41703"/>
    <cellStyle name="Separador de milhares 3 3 2 2 6 2 2 4" xfId="35795"/>
    <cellStyle name="Separador de milhares 3 3 2 2 6 2 2 5" xfId="29261"/>
    <cellStyle name="Separador de milhares 3 3 2 2 6 2 3" xfId="18168"/>
    <cellStyle name="Separador de milhares 3 3 2 2 6 2 3 2" xfId="44657"/>
    <cellStyle name="Separador de milhares 3 3 2 2 6 2 4" xfId="12241"/>
    <cellStyle name="Separador de milhares 3 3 2 2 6 2 4 2" xfId="38749"/>
    <cellStyle name="Separador de milhares 3 3 2 2 6 2 5" xfId="32593"/>
    <cellStyle name="Separador de milhares 3 3 2 2 6 2 6" xfId="26059"/>
    <cellStyle name="Separador de milhares 3 3 2 2 6 3" xfId="7810"/>
    <cellStyle name="Separador de milhares 3 3 2 2 6 3 2" xfId="19664"/>
    <cellStyle name="Separador de milhares 3 3 2 2 6 3 2 2" xfId="46143"/>
    <cellStyle name="Separador de milhares 3 3 2 2 6 3 3" xfId="13737"/>
    <cellStyle name="Separador de milhares 3 3 2 2 6 3 3 2" xfId="40235"/>
    <cellStyle name="Separador de milhares 3 3 2 2 6 3 4" xfId="34327"/>
    <cellStyle name="Separador de milhares 3 3 2 2 6 3 5" xfId="27793"/>
    <cellStyle name="Separador de milhares 3 3 2 2 6 4" xfId="16700"/>
    <cellStyle name="Separador de milhares 3 3 2 2 6 4 2" xfId="43189"/>
    <cellStyle name="Separador de milhares 3 3 2 2 6 4 3" xfId="24287"/>
    <cellStyle name="Separador de milhares 3 3 2 2 6 5" xfId="10773"/>
    <cellStyle name="Separador de milhares 3 3 2 2 6 5 2" xfId="37281"/>
    <cellStyle name="Separador de milhares 3 3 2 2 6 6" xfId="30821"/>
    <cellStyle name="Separador de milhares 3 3 2 2 6 7" xfId="22515"/>
    <cellStyle name="Separador de milhares 3 3 2 2 7" xfId="5037"/>
    <cellStyle name="Separador de milhares 3 3 2 2 7 2" xfId="8252"/>
    <cellStyle name="Separador de milhares 3 3 2 2 7 2 2" xfId="20106"/>
    <cellStyle name="Separador de milhares 3 3 2 2 7 2 2 2" xfId="46585"/>
    <cellStyle name="Separador de milhares 3 3 2 2 7 2 3" xfId="14179"/>
    <cellStyle name="Separador de milhares 3 3 2 2 7 2 3 2" xfId="40677"/>
    <cellStyle name="Separador de milhares 3 3 2 2 7 2 4" xfId="34769"/>
    <cellStyle name="Separador de milhares 3 3 2 2 7 2 5" xfId="28235"/>
    <cellStyle name="Separador de milhares 3 3 2 2 7 3" xfId="17142"/>
    <cellStyle name="Separador de milhares 3 3 2 2 7 3 2" xfId="43631"/>
    <cellStyle name="Separador de milhares 3 3 2 2 7 4" xfId="11215"/>
    <cellStyle name="Separador de milhares 3 3 2 2 7 4 2" xfId="37723"/>
    <cellStyle name="Separador de milhares 3 3 2 2 7 5" xfId="31564"/>
    <cellStyle name="Separador de milhares 3 3 2 2 7 6" xfId="25030"/>
    <cellStyle name="Separador de milhares 3 3 2 2 8" xfId="6776"/>
    <cellStyle name="Separador de milhares 3 3 2 2 8 2" xfId="18630"/>
    <cellStyle name="Separador de milhares 3 3 2 2 8 2 2" xfId="45117"/>
    <cellStyle name="Separador de milhares 3 3 2 2 8 3" xfId="12703"/>
    <cellStyle name="Separador de milhares 3 3 2 2 8 3 2" xfId="39209"/>
    <cellStyle name="Separador de milhares 3 3 2 2 8 4" xfId="33301"/>
    <cellStyle name="Separador de milhares 3 3 2 2 8 5" xfId="26767"/>
    <cellStyle name="Separador de milhares 3 3 2 2 9" xfId="15666"/>
    <cellStyle name="Separador de milhares 3 3 2 2 9 2" xfId="42163"/>
    <cellStyle name="Separador de milhares 3 3 2 2 9 3" xfId="23258"/>
    <cellStyle name="Separador de milhares 3 3 2 3" xfId="1016"/>
    <cellStyle name="Separador de milhares 3 3 2 3 2" xfId="5188"/>
    <cellStyle name="Separador de milhares 3 3 2 3 2 2" xfId="8403"/>
    <cellStyle name="Separador de milhares 3 3 2 3 2 2 2" xfId="20257"/>
    <cellStyle name="Separador de milhares 3 3 2 3 2 2 2 2" xfId="46736"/>
    <cellStyle name="Separador de milhares 3 3 2 3 2 2 3" xfId="14330"/>
    <cellStyle name="Separador de milhares 3 3 2 3 2 2 3 2" xfId="40828"/>
    <cellStyle name="Separador de milhares 3 3 2 3 2 2 4" xfId="34920"/>
    <cellStyle name="Separador de milhares 3 3 2 3 2 2 5" xfId="28386"/>
    <cellStyle name="Separador de milhares 3 3 2 3 2 3" xfId="17293"/>
    <cellStyle name="Separador de milhares 3 3 2 3 2 3 2" xfId="43782"/>
    <cellStyle name="Separador de milhares 3 3 2 3 2 4" xfId="11366"/>
    <cellStyle name="Separador de milhares 3 3 2 3 2 4 2" xfId="37874"/>
    <cellStyle name="Separador de milhares 3 3 2 3 2 5" xfId="31715"/>
    <cellStyle name="Separador de milhares 3 3 2 3 2 6" xfId="25181"/>
    <cellStyle name="Separador de milhares 3 3 2 3 3" xfId="6930"/>
    <cellStyle name="Separador de milhares 3 3 2 3 3 2" xfId="18784"/>
    <cellStyle name="Separador de milhares 3 3 2 3 3 2 2" xfId="45268"/>
    <cellStyle name="Separador de milhares 3 3 2 3 3 3" xfId="12857"/>
    <cellStyle name="Separador de milhares 3 3 2 3 3 3 2" xfId="39360"/>
    <cellStyle name="Separador de milhares 3 3 2 3 3 4" xfId="33452"/>
    <cellStyle name="Separador de milhares 3 3 2 3 3 5" xfId="26918"/>
    <cellStyle name="Separador de milhares 3 3 2 3 4" xfId="15820"/>
    <cellStyle name="Separador de milhares 3 3 2 3 4 2" xfId="42314"/>
    <cellStyle name="Separador de milhares 3 3 2 3 4 3" xfId="23409"/>
    <cellStyle name="Separador de milhares 3 3 2 3 5" xfId="9893"/>
    <cellStyle name="Separador de milhares 3 3 2 3 5 2" xfId="36406"/>
    <cellStyle name="Separador de milhares 3 3 2 3 6" xfId="29943"/>
    <cellStyle name="Separador de milhares 3 3 2 3 7" xfId="21637"/>
    <cellStyle name="Separador de milhares 3 3 2 4" xfId="1367"/>
    <cellStyle name="Separador de milhares 3 3 2 4 2" xfId="5286"/>
    <cellStyle name="Separador de milhares 3 3 2 4 2 2" xfId="8501"/>
    <cellStyle name="Separador de milhares 3 3 2 4 2 2 2" xfId="20355"/>
    <cellStyle name="Separador de milhares 3 3 2 4 2 2 2 2" xfId="46834"/>
    <cellStyle name="Separador de milhares 3 3 2 4 2 2 3" xfId="14428"/>
    <cellStyle name="Separador de milhares 3 3 2 4 2 2 3 2" xfId="40926"/>
    <cellStyle name="Separador de milhares 3 3 2 4 2 2 4" xfId="35018"/>
    <cellStyle name="Separador de milhares 3 3 2 4 2 2 5" xfId="28484"/>
    <cellStyle name="Separador de milhares 3 3 2 4 2 3" xfId="17391"/>
    <cellStyle name="Separador de milhares 3 3 2 4 2 3 2" xfId="43880"/>
    <cellStyle name="Separador de milhares 3 3 2 4 2 4" xfId="11464"/>
    <cellStyle name="Separador de milhares 3 3 2 4 2 4 2" xfId="37972"/>
    <cellStyle name="Separador de milhares 3 3 2 4 2 5" xfId="31813"/>
    <cellStyle name="Separador de milhares 3 3 2 4 2 6" xfId="25279"/>
    <cellStyle name="Separador de milhares 3 3 2 4 3" xfId="7028"/>
    <cellStyle name="Separador de milhares 3 3 2 4 3 2" xfId="18882"/>
    <cellStyle name="Separador de milhares 3 3 2 4 3 2 2" xfId="45366"/>
    <cellStyle name="Separador de milhares 3 3 2 4 3 3" xfId="12955"/>
    <cellStyle name="Separador de milhares 3 3 2 4 3 3 2" xfId="39458"/>
    <cellStyle name="Separador de milhares 3 3 2 4 3 4" xfId="33550"/>
    <cellStyle name="Separador de milhares 3 3 2 4 3 5" xfId="27016"/>
    <cellStyle name="Separador de milhares 3 3 2 4 4" xfId="15918"/>
    <cellStyle name="Separador de milhares 3 3 2 4 4 2" xfId="42412"/>
    <cellStyle name="Separador de milhares 3 3 2 4 4 3" xfId="23507"/>
    <cellStyle name="Separador de milhares 3 3 2 4 5" xfId="9991"/>
    <cellStyle name="Separador de milhares 3 3 2 4 5 2" xfId="36504"/>
    <cellStyle name="Separador de milhares 3 3 2 4 6" xfId="30041"/>
    <cellStyle name="Separador de milhares 3 3 2 4 7" xfId="21735"/>
    <cellStyle name="Separador de milhares 3 3 2 5" xfId="1802"/>
    <cellStyle name="Separador de milhares 3 3 2 5 2" xfId="5405"/>
    <cellStyle name="Separador de milhares 3 3 2 5 2 2" xfId="8620"/>
    <cellStyle name="Separador de milhares 3 3 2 5 2 2 2" xfId="20474"/>
    <cellStyle name="Separador de milhares 3 3 2 5 2 2 2 2" xfId="46953"/>
    <cellStyle name="Separador de milhares 3 3 2 5 2 2 3" xfId="14547"/>
    <cellStyle name="Separador de milhares 3 3 2 5 2 2 3 2" xfId="41045"/>
    <cellStyle name="Separador de milhares 3 3 2 5 2 2 4" xfId="35137"/>
    <cellStyle name="Separador de milhares 3 3 2 5 2 2 5" xfId="28603"/>
    <cellStyle name="Separador de milhares 3 3 2 5 2 3" xfId="17510"/>
    <cellStyle name="Separador de milhares 3 3 2 5 2 3 2" xfId="43999"/>
    <cellStyle name="Separador de milhares 3 3 2 5 2 4" xfId="11583"/>
    <cellStyle name="Separador de milhares 3 3 2 5 2 4 2" xfId="38091"/>
    <cellStyle name="Separador de milhares 3 3 2 5 2 5" xfId="31932"/>
    <cellStyle name="Separador de milhares 3 3 2 5 2 6" xfId="25398"/>
    <cellStyle name="Separador de milhares 3 3 2 5 3" xfId="7147"/>
    <cellStyle name="Separador de milhares 3 3 2 5 3 2" xfId="19001"/>
    <cellStyle name="Separador de milhares 3 3 2 5 3 2 2" xfId="45485"/>
    <cellStyle name="Separador de milhares 3 3 2 5 3 3" xfId="13074"/>
    <cellStyle name="Separador de milhares 3 3 2 5 3 3 2" xfId="39577"/>
    <cellStyle name="Separador de milhares 3 3 2 5 3 4" xfId="33669"/>
    <cellStyle name="Separador de milhares 3 3 2 5 3 5" xfId="27135"/>
    <cellStyle name="Separador de milhares 3 3 2 5 4" xfId="16037"/>
    <cellStyle name="Separador de milhares 3 3 2 5 4 2" xfId="42531"/>
    <cellStyle name="Separador de milhares 3 3 2 5 4 3" xfId="23626"/>
    <cellStyle name="Separador de milhares 3 3 2 5 5" xfId="10110"/>
    <cellStyle name="Separador de milhares 3 3 2 5 5 2" xfId="36623"/>
    <cellStyle name="Separador de milhares 3 3 2 5 6" xfId="30160"/>
    <cellStyle name="Separador de milhares 3 3 2 5 7" xfId="21854"/>
    <cellStyle name="Separador de milhares 3 3 2 6" xfId="2335"/>
    <cellStyle name="Separador de milhares 3 3 2 6 2" xfId="5555"/>
    <cellStyle name="Separador de milhares 3 3 2 6 2 2" xfId="8767"/>
    <cellStyle name="Separador de milhares 3 3 2 6 2 2 2" xfId="20621"/>
    <cellStyle name="Separador de milhares 3 3 2 6 2 2 2 2" xfId="47100"/>
    <cellStyle name="Separador de milhares 3 3 2 6 2 2 3" xfId="14694"/>
    <cellStyle name="Separador de milhares 3 3 2 6 2 2 3 2" xfId="41192"/>
    <cellStyle name="Separador de milhares 3 3 2 6 2 2 4" xfId="35284"/>
    <cellStyle name="Separador de milhares 3 3 2 6 2 2 5" xfId="28750"/>
    <cellStyle name="Separador de milhares 3 3 2 6 2 3" xfId="17657"/>
    <cellStyle name="Separador de milhares 3 3 2 6 2 3 2" xfId="44146"/>
    <cellStyle name="Separador de milhares 3 3 2 6 2 4" xfId="11730"/>
    <cellStyle name="Separador de milhares 3 3 2 6 2 4 2" xfId="38238"/>
    <cellStyle name="Separador de milhares 3 3 2 6 2 5" xfId="32082"/>
    <cellStyle name="Separador de milhares 3 3 2 6 2 6" xfId="25548"/>
    <cellStyle name="Separador de milhares 3 3 2 6 3" xfId="7295"/>
    <cellStyle name="Separador de milhares 3 3 2 6 3 2" xfId="19149"/>
    <cellStyle name="Separador de milhares 3 3 2 6 3 2 2" xfId="45632"/>
    <cellStyle name="Separador de milhares 3 3 2 6 3 3" xfId="13222"/>
    <cellStyle name="Separador de milhares 3 3 2 6 3 3 2" xfId="39724"/>
    <cellStyle name="Separador de milhares 3 3 2 6 3 4" xfId="33816"/>
    <cellStyle name="Separador de milhares 3 3 2 6 3 5" xfId="27282"/>
    <cellStyle name="Separador de milhares 3 3 2 6 4" xfId="16185"/>
    <cellStyle name="Separador de milhares 3 3 2 6 4 2" xfId="42678"/>
    <cellStyle name="Separador de milhares 3 3 2 6 4 3" xfId="23776"/>
    <cellStyle name="Separador de milhares 3 3 2 6 5" xfId="10258"/>
    <cellStyle name="Separador de milhares 3 3 2 6 5 2" xfId="36770"/>
    <cellStyle name="Separador de milhares 3 3 2 6 6" xfId="30310"/>
    <cellStyle name="Separador de milhares 3 3 2 6 7" xfId="22004"/>
    <cellStyle name="Separador de milhares 3 3 2 7" xfId="2863"/>
    <cellStyle name="Separador de milhares 3 3 2 7 2" xfId="5702"/>
    <cellStyle name="Separador de milhares 3 3 2 7 2 2" xfId="8914"/>
    <cellStyle name="Separador de milhares 3 3 2 7 2 2 2" xfId="20768"/>
    <cellStyle name="Separador de milhares 3 3 2 7 2 2 2 2" xfId="47247"/>
    <cellStyle name="Separador de milhares 3 3 2 7 2 2 3" xfId="14841"/>
    <cellStyle name="Separador de milhares 3 3 2 7 2 2 3 2" xfId="41339"/>
    <cellStyle name="Separador de milhares 3 3 2 7 2 2 4" xfId="35431"/>
    <cellStyle name="Separador de milhares 3 3 2 7 2 2 5" xfId="28897"/>
    <cellStyle name="Separador de milhares 3 3 2 7 2 3" xfId="17804"/>
    <cellStyle name="Separador de milhares 3 3 2 7 2 3 2" xfId="44293"/>
    <cellStyle name="Separador de milhares 3 3 2 7 2 4" xfId="11877"/>
    <cellStyle name="Separador de milhares 3 3 2 7 2 4 2" xfId="38385"/>
    <cellStyle name="Separador de milhares 3 3 2 7 2 5" xfId="32229"/>
    <cellStyle name="Separador de milhares 3 3 2 7 2 6" xfId="25695"/>
    <cellStyle name="Separador de milhares 3 3 2 7 3" xfId="7443"/>
    <cellStyle name="Separador de milhares 3 3 2 7 3 2" xfId="19297"/>
    <cellStyle name="Separador de milhares 3 3 2 7 3 2 2" xfId="45779"/>
    <cellStyle name="Separador de milhares 3 3 2 7 3 3" xfId="13370"/>
    <cellStyle name="Separador de milhares 3 3 2 7 3 3 2" xfId="39871"/>
    <cellStyle name="Separador de milhares 3 3 2 7 3 4" xfId="33963"/>
    <cellStyle name="Separador de milhares 3 3 2 7 3 5" xfId="27429"/>
    <cellStyle name="Separador de milhares 3 3 2 7 4" xfId="16333"/>
    <cellStyle name="Separador de milhares 3 3 2 7 4 2" xfId="42825"/>
    <cellStyle name="Separador de milhares 3 3 2 7 4 3" xfId="23923"/>
    <cellStyle name="Separador de milhares 3 3 2 7 5" xfId="10406"/>
    <cellStyle name="Separador de milhares 3 3 2 7 5 2" xfId="36917"/>
    <cellStyle name="Separador de milhares 3 3 2 7 6" xfId="30457"/>
    <cellStyle name="Separador de milhares 3 3 2 7 7" xfId="22151"/>
    <cellStyle name="Separador de milhares 3 3 2 8" xfId="3391"/>
    <cellStyle name="Separador de milhares 3 3 2 8 2" xfId="5849"/>
    <cellStyle name="Separador de milhares 3 3 2 8 2 2" xfId="9061"/>
    <cellStyle name="Separador de milhares 3 3 2 8 2 2 2" xfId="20915"/>
    <cellStyle name="Separador de milhares 3 3 2 8 2 2 2 2" xfId="47394"/>
    <cellStyle name="Separador de milhares 3 3 2 8 2 2 3" xfId="14988"/>
    <cellStyle name="Separador de milhares 3 3 2 8 2 2 3 2" xfId="41486"/>
    <cellStyle name="Separador de milhares 3 3 2 8 2 2 4" xfId="35578"/>
    <cellStyle name="Separador de milhares 3 3 2 8 2 2 5" xfId="29044"/>
    <cellStyle name="Separador de milhares 3 3 2 8 2 3" xfId="17951"/>
    <cellStyle name="Separador de milhares 3 3 2 8 2 3 2" xfId="44440"/>
    <cellStyle name="Separador de milhares 3 3 2 8 2 4" xfId="12024"/>
    <cellStyle name="Separador de milhares 3 3 2 8 2 4 2" xfId="38532"/>
    <cellStyle name="Separador de milhares 3 3 2 8 2 5" xfId="32376"/>
    <cellStyle name="Separador de milhares 3 3 2 8 2 6" xfId="25842"/>
    <cellStyle name="Separador de milhares 3 3 2 8 3" xfId="7591"/>
    <cellStyle name="Separador de milhares 3 3 2 8 3 2" xfId="19445"/>
    <cellStyle name="Separador de milhares 3 3 2 8 3 2 2" xfId="45926"/>
    <cellStyle name="Separador de milhares 3 3 2 8 3 3" xfId="13518"/>
    <cellStyle name="Separador de milhares 3 3 2 8 3 3 2" xfId="40018"/>
    <cellStyle name="Separador de milhares 3 3 2 8 3 4" xfId="34110"/>
    <cellStyle name="Separador de milhares 3 3 2 8 3 5" xfId="27576"/>
    <cellStyle name="Separador de milhares 3 3 2 8 4" xfId="16481"/>
    <cellStyle name="Separador de milhares 3 3 2 8 4 2" xfId="42972"/>
    <cellStyle name="Separador de milhares 3 3 2 8 4 3" xfId="24070"/>
    <cellStyle name="Separador de milhares 3 3 2 8 5" xfId="10554"/>
    <cellStyle name="Separador de milhares 3 3 2 8 5 2" xfId="37064"/>
    <cellStyle name="Separador de milhares 3 3 2 8 6" xfId="30604"/>
    <cellStyle name="Separador de milhares 3 3 2 8 7" xfId="22298"/>
    <cellStyle name="Separador de milhares 3 3 2 9" xfId="3919"/>
    <cellStyle name="Separador de milhares 3 3 2 9 2" xfId="5996"/>
    <cellStyle name="Separador de milhares 3 3 2 9 2 2" xfId="9208"/>
    <cellStyle name="Separador de milhares 3 3 2 9 2 2 2" xfId="21062"/>
    <cellStyle name="Separador de milhares 3 3 2 9 2 2 2 2" xfId="47541"/>
    <cellStyle name="Separador de milhares 3 3 2 9 2 2 3" xfId="15135"/>
    <cellStyle name="Separador de milhares 3 3 2 9 2 2 3 2" xfId="41633"/>
    <cellStyle name="Separador de milhares 3 3 2 9 2 2 4" xfId="35725"/>
    <cellStyle name="Separador de milhares 3 3 2 9 2 2 5" xfId="29191"/>
    <cellStyle name="Separador de milhares 3 3 2 9 2 3" xfId="18098"/>
    <cellStyle name="Separador de milhares 3 3 2 9 2 3 2" xfId="44587"/>
    <cellStyle name="Separador de milhares 3 3 2 9 2 4" xfId="12171"/>
    <cellStyle name="Separador de milhares 3 3 2 9 2 4 2" xfId="38679"/>
    <cellStyle name="Separador de milhares 3 3 2 9 2 5" xfId="32523"/>
    <cellStyle name="Separador de milhares 3 3 2 9 2 6" xfId="25989"/>
    <cellStyle name="Separador de milhares 3 3 2 9 3" xfId="7739"/>
    <cellStyle name="Separador de milhares 3 3 2 9 3 2" xfId="19593"/>
    <cellStyle name="Separador de milhares 3 3 2 9 3 2 2" xfId="46073"/>
    <cellStyle name="Separador de milhares 3 3 2 9 3 3" xfId="13666"/>
    <cellStyle name="Separador de milhares 3 3 2 9 3 3 2" xfId="40165"/>
    <cellStyle name="Separador de milhares 3 3 2 9 3 4" xfId="34257"/>
    <cellStyle name="Separador de milhares 3 3 2 9 3 5" xfId="27723"/>
    <cellStyle name="Separador de milhares 3 3 2 9 4" xfId="16629"/>
    <cellStyle name="Separador de milhares 3 3 2 9 4 2" xfId="43119"/>
    <cellStyle name="Separador de milhares 3 3 2 9 4 3" xfId="24217"/>
    <cellStyle name="Separador de milhares 3 3 2 9 5" xfId="10702"/>
    <cellStyle name="Separador de milhares 3 3 2 9 5 2" xfId="37211"/>
    <cellStyle name="Separador de milhares 3 3 2 9 6" xfId="30751"/>
    <cellStyle name="Separador de milhares 3 3 2 9 7" xfId="22445"/>
    <cellStyle name="Separador de milhares 3 3 3" xfId="364"/>
    <cellStyle name="Separador de milhares 3 3 3 10" xfId="4987"/>
    <cellStyle name="Separador de milhares 3 3 3 10 2" xfId="8206"/>
    <cellStyle name="Separador de milhares 3 3 3 10 2 2" xfId="20060"/>
    <cellStyle name="Separador de milhares 3 3 3 10 2 2 2" xfId="46539"/>
    <cellStyle name="Separador de milhares 3 3 3 10 2 3" xfId="14133"/>
    <cellStyle name="Separador de milhares 3 3 3 10 2 3 2" xfId="40631"/>
    <cellStyle name="Separador de milhares 3 3 3 10 2 4" xfId="34723"/>
    <cellStyle name="Separador de milhares 3 3 3 10 2 5" xfId="28189"/>
    <cellStyle name="Separador de milhares 3 3 3 10 3" xfId="17096"/>
    <cellStyle name="Separador de milhares 3 3 3 10 3 2" xfId="43585"/>
    <cellStyle name="Separador de milhares 3 3 3 10 4" xfId="11169"/>
    <cellStyle name="Separador de milhares 3 3 3 10 4 2" xfId="37677"/>
    <cellStyle name="Separador de milhares 3 3 3 10 5" xfId="31514"/>
    <cellStyle name="Separador de milhares 3 3 3 10 6" xfId="24980"/>
    <cellStyle name="Separador de milhares 3 3 3 11" xfId="6730"/>
    <cellStyle name="Separador de milhares 3 3 3 11 2" xfId="18584"/>
    <cellStyle name="Separador de milhares 3 3 3 11 2 2" xfId="45071"/>
    <cellStyle name="Separador de milhares 3 3 3 11 3" xfId="12657"/>
    <cellStyle name="Separador de milhares 3 3 3 11 3 2" xfId="39163"/>
    <cellStyle name="Separador de milhares 3 3 3 11 4" xfId="33255"/>
    <cellStyle name="Separador de milhares 3 3 3 11 5" xfId="26721"/>
    <cellStyle name="Separador de milhares 3 3 3 12" xfId="15620"/>
    <cellStyle name="Separador de milhares 3 3 3 12 2" xfId="42117"/>
    <cellStyle name="Separador de milhares 3 3 3 12 3" xfId="23208"/>
    <cellStyle name="Separador de milhares 3 3 3 13" xfId="9693"/>
    <cellStyle name="Separador de milhares 3 3 3 13 2" xfId="36209"/>
    <cellStyle name="Separador de milhares 3 3 3 14" xfId="29742"/>
    <cellStyle name="Separador de milhares 3 3 3 15" xfId="21460"/>
    <cellStyle name="Separador de milhares 3 3 3 2" xfId="627"/>
    <cellStyle name="Separador de milhares 3 3 3 2 2" xfId="5058"/>
    <cellStyle name="Separador de milhares 3 3 3 2 2 2" xfId="8273"/>
    <cellStyle name="Separador de milhares 3 3 3 2 2 2 2" xfId="20127"/>
    <cellStyle name="Separador de milhares 3 3 3 2 2 2 2 2" xfId="46606"/>
    <cellStyle name="Separador de milhares 3 3 3 2 2 2 3" xfId="14200"/>
    <cellStyle name="Separador de milhares 3 3 3 2 2 2 3 2" xfId="40698"/>
    <cellStyle name="Separador de milhares 3 3 3 2 2 2 4" xfId="34790"/>
    <cellStyle name="Separador de milhares 3 3 3 2 2 2 5" xfId="28256"/>
    <cellStyle name="Separador de milhares 3 3 3 2 2 3" xfId="17163"/>
    <cellStyle name="Separador de milhares 3 3 3 2 2 3 2" xfId="43652"/>
    <cellStyle name="Separador de milhares 3 3 3 2 2 4" xfId="11236"/>
    <cellStyle name="Separador de milhares 3 3 3 2 2 4 2" xfId="37744"/>
    <cellStyle name="Separador de milhares 3 3 3 2 2 5" xfId="31585"/>
    <cellStyle name="Separador de milhares 3 3 3 2 2 6" xfId="25051"/>
    <cellStyle name="Separador de milhares 3 3 3 2 3" xfId="6797"/>
    <cellStyle name="Separador de milhares 3 3 3 2 3 2" xfId="18651"/>
    <cellStyle name="Separador de milhares 3 3 3 2 3 2 2" xfId="45138"/>
    <cellStyle name="Separador de milhares 3 3 3 2 3 3" xfId="12724"/>
    <cellStyle name="Separador de milhares 3 3 3 2 3 3 2" xfId="39230"/>
    <cellStyle name="Separador de milhares 3 3 3 2 3 4" xfId="33322"/>
    <cellStyle name="Separador de milhares 3 3 3 2 3 5" xfId="26788"/>
    <cellStyle name="Separador de milhares 3 3 3 2 4" xfId="15687"/>
    <cellStyle name="Separador de milhares 3 3 3 2 4 2" xfId="42184"/>
    <cellStyle name="Separador de milhares 3 3 3 2 4 3" xfId="23279"/>
    <cellStyle name="Separador de milhares 3 3 3 2 5" xfId="9760"/>
    <cellStyle name="Separador de milhares 3 3 3 2 5 2" xfId="36276"/>
    <cellStyle name="Separador de milhares 3 3 3 2 6" xfId="29813"/>
    <cellStyle name="Separador de milhares 3 3 3 2 7" xfId="21508"/>
    <cellStyle name="Separador de milhares 3 3 3 3" xfId="925"/>
    <cellStyle name="Separador de milhares 3 3 3 3 2" xfId="5160"/>
    <cellStyle name="Separador de milhares 3 3 3 3 2 2" xfId="8375"/>
    <cellStyle name="Separador de milhares 3 3 3 3 2 2 2" xfId="20229"/>
    <cellStyle name="Separador de milhares 3 3 3 3 2 2 2 2" xfId="46708"/>
    <cellStyle name="Separador de milhares 3 3 3 3 2 2 3" xfId="14302"/>
    <cellStyle name="Separador de milhares 3 3 3 3 2 2 3 2" xfId="40800"/>
    <cellStyle name="Separador de milhares 3 3 3 3 2 2 4" xfId="34892"/>
    <cellStyle name="Separador de milhares 3 3 3 3 2 2 5" xfId="28358"/>
    <cellStyle name="Separador de milhares 3 3 3 3 2 3" xfId="17265"/>
    <cellStyle name="Separador de milhares 3 3 3 3 2 3 2" xfId="43754"/>
    <cellStyle name="Separador de milhares 3 3 3 3 2 4" xfId="11338"/>
    <cellStyle name="Separador de milhares 3 3 3 3 2 4 2" xfId="37846"/>
    <cellStyle name="Separador de milhares 3 3 3 3 2 5" xfId="31687"/>
    <cellStyle name="Separador de milhares 3 3 3 3 2 6" xfId="25153"/>
    <cellStyle name="Separador de milhares 3 3 3 3 3" xfId="6902"/>
    <cellStyle name="Separador de milhares 3 3 3 3 3 2" xfId="18756"/>
    <cellStyle name="Separador de milhares 3 3 3 3 3 2 2" xfId="45240"/>
    <cellStyle name="Separador de milhares 3 3 3 3 3 3" xfId="12829"/>
    <cellStyle name="Separador de milhares 3 3 3 3 3 3 2" xfId="39332"/>
    <cellStyle name="Separador de milhares 3 3 3 3 3 4" xfId="33424"/>
    <cellStyle name="Separador de milhares 3 3 3 3 3 5" xfId="26890"/>
    <cellStyle name="Separador de milhares 3 3 3 3 4" xfId="15792"/>
    <cellStyle name="Separador de milhares 3 3 3 3 4 2" xfId="42286"/>
    <cellStyle name="Separador de milhares 3 3 3 3 4 3" xfId="23381"/>
    <cellStyle name="Separador de milhares 3 3 3 3 5" xfId="9865"/>
    <cellStyle name="Separador de milhares 3 3 3 3 5 2" xfId="36378"/>
    <cellStyle name="Separador de milhares 3 3 3 3 6" xfId="29915"/>
    <cellStyle name="Separador de milhares 3 3 3 3 7" xfId="21609"/>
    <cellStyle name="Separador de milhares 3 3 3 4" xfId="1276"/>
    <cellStyle name="Separador de milhares 3 3 3 4 2" xfId="5258"/>
    <cellStyle name="Separador de milhares 3 3 3 4 2 2" xfId="8473"/>
    <cellStyle name="Separador de milhares 3 3 3 4 2 2 2" xfId="20327"/>
    <cellStyle name="Separador de milhares 3 3 3 4 2 2 2 2" xfId="46806"/>
    <cellStyle name="Separador de milhares 3 3 3 4 2 2 3" xfId="14400"/>
    <cellStyle name="Separador de milhares 3 3 3 4 2 2 3 2" xfId="40898"/>
    <cellStyle name="Separador de milhares 3 3 3 4 2 2 4" xfId="34990"/>
    <cellStyle name="Separador de milhares 3 3 3 4 2 2 5" xfId="28456"/>
    <cellStyle name="Separador de milhares 3 3 3 4 2 3" xfId="17363"/>
    <cellStyle name="Separador de milhares 3 3 3 4 2 3 2" xfId="43852"/>
    <cellStyle name="Separador de milhares 3 3 3 4 2 4" xfId="11436"/>
    <cellStyle name="Separador de milhares 3 3 3 4 2 4 2" xfId="37944"/>
    <cellStyle name="Separador de milhares 3 3 3 4 2 5" xfId="31785"/>
    <cellStyle name="Separador de milhares 3 3 3 4 2 6" xfId="25251"/>
    <cellStyle name="Separador de milhares 3 3 3 4 3" xfId="7000"/>
    <cellStyle name="Separador de milhares 3 3 3 4 3 2" xfId="18854"/>
    <cellStyle name="Separador de milhares 3 3 3 4 3 2 2" xfId="45338"/>
    <cellStyle name="Separador de milhares 3 3 3 4 3 3" xfId="12927"/>
    <cellStyle name="Separador de milhares 3 3 3 4 3 3 2" xfId="39430"/>
    <cellStyle name="Separador de milhares 3 3 3 4 3 4" xfId="33522"/>
    <cellStyle name="Separador de milhares 3 3 3 4 3 5" xfId="26988"/>
    <cellStyle name="Separador de milhares 3 3 3 4 4" xfId="15890"/>
    <cellStyle name="Separador de milhares 3 3 3 4 4 2" xfId="42384"/>
    <cellStyle name="Separador de milhares 3 3 3 4 4 3" xfId="23479"/>
    <cellStyle name="Separador de milhares 3 3 3 4 5" xfId="9963"/>
    <cellStyle name="Separador de milhares 3 3 3 4 5 2" xfId="36476"/>
    <cellStyle name="Separador de milhares 3 3 3 4 6" xfId="30013"/>
    <cellStyle name="Separador de milhares 3 3 3 4 7" xfId="21707"/>
    <cellStyle name="Separador de milhares 3 3 3 5" xfId="1711"/>
    <cellStyle name="Separador de milhares 3 3 3 5 2" xfId="5377"/>
    <cellStyle name="Separador de milhares 3 3 3 5 2 2" xfId="8592"/>
    <cellStyle name="Separador de milhares 3 3 3 5 2 2 2" xfId="20446"/>
    <cellStyle name="Separador de milhares 3 3 3 5 2 2 2 2" xfId="46925"/>
    <cellStyle name="Separador de milhares 3 3 3 5 2 2 3" xfId="14519"/>
    <cellStyle name="Separador de milhares 3 3 3 5 2 2 3 2" xfId="41017"/>
    <cellStyle name="Separador de milhares 3 3 3 5 2 2 4" xfId="35109"/>
    <cellStyle name="Separador de milhares 3 3 3 5 2 2 5" xfId="28575"/>
    <cellStyle name="Separador de milhares 3 3 3 5 2 3" xfId="17482"/>
    <cellStyle name="Separador de milhares 3 3 3 5 2 3 2" xfId="43971"/>
    <cellStyle name="Separador de milhares 3 3 3 5 2 4" xfId="11555"/>
    <cellStyle name="Separador de milhares 3 3 3 5 2 4 2" xfId="38063"/>
    <cellStyle name="Separador de milhares 3 3 3 5 2 5" xfId="31904"/>
    <cellStyle name="Separador de milhares 3 3 3 5 2 6" xfId="25370"/>
    <cellStyle name="Separador de milhares 3 3 3 5 3" xfId="7119"/>
    <cellStyle name="Separador de milhares 3 3 3 5 3 2" xfId="18973"/>
    <cellStyle name="Separador de milhares 3 3 3 5 3 2 2" xfId="45457"/>
    <cellStyle name="Separador de milhares 3 3 3 5 3 3" xfId="13046"/>
    <cellStyle name="Separador de milhares 3 3 3 5 3 3 2" xfId="39549"/>
    <cellStyle name="Separador de milhares 3 3 3 5 3 4" xfId="33641"/>
    <cellStyle name="Separador de milhares 3 3 3 5 3 5" xfId="27107"/>
    <cellStyle name="Separador de milhares 3 3 3 5 4" xfId="16009"/>
    <cellStyle name="Separador de milhares 3 3 3 5 4 2" xfId="42503"/>
    <cellStyle name="Separador de milhares 3 3 3 5 4 3" xfId="23598"/>
    <cellStyle name="Separador de milhares 3 3 3 5 5" xfId="10082"/>
    <cellStyle name="Separador de milhares 3 3 3 5 5 2" xfId="36595"/>
    <cellStyle name="Separador de milhares 3 3 3 5 6" xfId="30132"/>
    <cellStyle name="Separador de milhares 3 3 3 5 7" xfId="21826"/>
    <cellStyle name="Separador de milhares 3 3 3 6" xfId="2244"/>
    <cellStyle name="Separador de milhares 3 3 3 6 2" xfId="5527"/>
    <cellStyle name="Separador de milhares 3 3 3 6 2 2" xfId="8739"/>
    <cellStyle name="Separador de milhares 3 3 3 6 2 2 2" xfId="20593"/>
    <cellStyle name="Separador de milhares 3 3 3 6 2 2 2 2" xfId="47072"/>
    <cellStyle name="Separador de milhares 3 3 3 6 2 2 3" xfId="14666"/>
    <cellStyle name="Separador de milhares 3 3 3 6 2 2 3 2" xfId="41164"/>
    <cellStyle name="Separador de milhares 3 3 3 6 2 2 4" xfId="35256"/>
    <cellStyle name="Separador de milhares 3 3 3 6 2 2 5" xfId="28722"/>
    <cellStyle name="Separador de milhares 3 3 3 6 2 3" xfId="17629"/>
    <cellStyle name="Separador de milhares 3 3 3 6 2 3 2" xfId="44118"/>
    <cellStyle name="Separador de milhares 3 3 3 6 2 4" xfId="11702"/>
    <cellStyle name="Separador de milhares 3 3 3 6 2 4 2" xfId="38210"/>
    <cellStyle name="Separador de milhares 3 3 3 6 2 5" xfId="32054"/>
    <cellStyle name="Separador de milhares 3 3 3 6 2 6" xfId="25520"/>
    <cellStyle name="Separador de milhares 3 3 3 6 3" xfId="7267"/>
    <cellStyle name="Separador de milhares 3 3 3 6 3 2" xfId="19121"/>
    <cellStyle name="Separador de milhares 3 3 3 6 3 2 2" xfId="45604"/>
    <cellStyle name="Separador de milhares 3 3 3 6 3 3" xfId="13194"/>
    <cellStyle name="Separador de milhares 3 3 3 6 3 3 2" xfId="39696"/>
    <cellStyle name="Separador de milhares 3 3 3 6 3 4" xfId="33788"/>
    <cellStyle name="Separador de milhares 3 3 3 6 3 5" xfId="27254"/>
    <cellStyle name="Separador de milhares 3 3 3 6 4" xfId="16157"/>
    <cellStyle name="Separador de milhares 3 3 3 6 4 2" xfId="42650"/>
    <cellStyle name="Separador de milhares 3 3 3 6 4 3" xfId="23748"/>
    <cellStyle name="Separador de milhares 3 3 3 6 5" xfId="10230"/>
    <cellStyle name="Separador de milhares 3 3 3 6 5 2" xfId="36742"/>
    <cellStyle name="Separador de milhares 3 3 3 6 6" xfId="30282"/>
    <cellStyle name="Separador de milhares 3 3 3 6 7" xfId="21976"/>
    <cellStyle name="Separador de milhares 3 3 3 7" xfId="2772"/>
    <cellStyle name="Separador de milhares 3 3 3 7 2" xfId="5674"/>
    <cellStyle name="Separador de milhares 3 3 3 7 2 2" xfId="8886"/>
    <cellStyle name="Separador de milhares 3 3 3 7 2 2 2" xfId="20740"/>
    <cellStyle name="Separador de milhares 3 3 3 7 2 2 2 2" xfId="47219"/>
    <cellStyle name="Separador de milhares 3 3 3 7 2 2 3" xfId="14813"/>
    <cellStyle name="Separador de milhares 3 3 3 7 2 2 3 2" xfId="41311"/>
    <cellStyle name="Separador de milhares 3 3 3 7 2 2 4" xfId="35403"/>
    <cellStyle name="Separador de milhares 3 3 3 7 2 2 5" xfId="28869"/>
    <cellStyle name="Separador de milhares 3 3 3 7 2 3" xfId="17776"/>
    <cellStyle name="Separador de milhares 3 3 3 7 2 3 2" xfId="44265"/>
    <cellStyle name="Separador de milhares 3 3 3 7 2 4" xfId="11849"/>
    <cellStyle name="Separador de milhares 3 3 3 7 2 4 2" xfId="38357"/>
    <cellStyle name="Separador de milhares 3 3 3 7 2 5" xfId="32201"/>
    <cellStyle name="Separador de milhares 3 3 3 7 2 6" xfId="25667"/>
    <cellStyle name="Separador de milhares 3 3 3 7 3" xfId="7415"/>
    <cellStyle name="Separador de milhares 3 3 3 7 3 2" xfId="19269"/>
    <cellStyle name="Separador de milhares 3 3 3 7 3 2 2" xfId="45751"/>
    <cellStyle name="Separador de milhares 3 3 3 7 3 3" xfId="13342"/>
    <cellStyle name="Separador de milhares 3 3 3 7 3 3 2" xfId="39843"/>
    <cellStyle name="Separador de milhares 3 3 3 7 3 4" xfId="33935"/>
    <cellStyle name="Separador de milhares 3 3 3 7 3 5" xfId="27401"/>
    <cellStyle name="Separador de milhares 3 3 3 7 4" xfId="16305"/>
    <cellStyle name="Separador de milhares 3 3 3 7 4 2" xfId="42797"/>
    <cellStyle name="Separador de milhares 3 3 3 7 4 3" xfId="23895"/>
    <cellStyle name="Separador de milhares 3 3 3 7 5" xfId="10378"/>
    <cellStyle name="Separador de milhares 3 3 3 7 5 2" xfId="36889"/>
    <cellStyle name="Separador de milhares 3 3 3 7 6" xfId="30429"/>
    <cellStyle name="Separador de milhares 3 3 3 7 7" xfId="22123"/>
    <cellStyle name="Separador de milhares 3 3 3 8" xfId="3300"/>
    <cellStyle name="Separador de milhares 3 3 3 8 2" xfId="5821"/>
    <cellStyle name="Separador de milhares 3 3 3 8 2 2" xfId="9033"/>
    <cellStyle name="Separador de milhares 3 3 3 8 2 2 2" xfId="20887"/>
    <cellStyle name="Separador de milhares 3 3 3 8 2 2 2 2" xfId="47366"/>
    <cellStyle name="Separador de milhares 3 3 3 8 2 2 3" xfId="14960"/>
    <cellStyle name="Separador de milhares 3 3 3 8 2 2 3 2" xfId="41458"/>
    <cellStyle name="Separador de milhares 3 3 3 8 2 2 4" xfId="35550"/>
    <cellStyle name="Separador de milhares 3 3 3 8 2 2 5" xfId="29016"/>
    <cellStyle name="Separador de milhares 3 3 3 8 2 3" xfId="17923"/>
    <cellStyle name="Separador de milhares 3 3 3 8 2 3 2" xfId="44412"/>
    <cellStyle name="Separador de milhares 3 3 3 8 2 4" xfId="11996"/>
    <cellStyle name="Separador de milhares 3 3 3 8 2 4 2" xfId="38504"/>
    <cellStyle name="Separador de milhares 3 3 3 8 2 5" xfId="32348"/>
    <cellStyle name="Separador de milhares 3 3 3 8 2 6" xfId="25814"/>
    <cellStyle name="Separador de milhares 3 3 3 8 3" xfId="7563"/>
    <cellStyle name="Separador de milhares 3 3 3 8 3 2" xfId="19417"/>
    <cellStyle name="Separador de milhares 3 3 3 8 3 2 2" xfId="45898"/>
    <cellStyle name="Separador de milhares 3 3 3 8 3 3" xfId="13490"/>
    <cellStyle name="Separador de milhares 3 3 3 8 3 3 2" xfId="39990"/>
    <cellStyle name="Separador de milhares 3 3 3 8 3 4" xfId="34082"/>
    <cellStyle name="Separador de milhares 3 3 3 8 3 5" xfId="27548"/>
    <cellStyle name="Separador de milhares 3 3 3 8 4" xfId="16453"/>
    <cellStyle name="Separador de milhares 3 3 3 8 4 2" xfId="42944"/>
    <cellStyle name="Separador de milhares 3 3 3 8 4 3" xfId="24042"/>
    <cellStyle name="Separador de milhares 3 3 3 8 5" xfId="10526"/>
    <cellStyle name="Separador de milhares 3 3 3 8 5 2" xfId="37036"/>
    <cellStyle name="Separador de milhares 3 3 3 8 6" xfId="30576"/>
    <cellStyle name="Separador de milhares 3 3 3 8 7" xfId="22270"/>
    <cellStyle name="Separador de milhares 3 3 3 9" xfId="3828"/>
    <cellStyle name="Separador de milhares 3 3 3 9 2" xfId="5968"/>
    <cellStyle name="Separador de milhares 3 3 3 9 2 2" xfId="9180"/>
    <cellStyle name="Separador de milhares 3 3 3 9 2 2 2" xfId="21034"/>
    <cellStyle name="Separador de milhares 3 3 3 9 2 2 2 2" xfId="47513"/>
    <cellStyle name="Separador de milhares 3 3 3 9 2 2 3" xfId="15107"/>
    <cellStyle name="Separador de milhares 3 3 3 9 2 2 3 2" xfId="41605"/>
    <cellStyle name="Separador de milhares 3 3 3 9 2 2 4" xfId="35697"/>
    <cellStyle name="Separador de milhares 3 3 3 9 2 2 5" xfId="29163"/>
    <cellStyle name="Separador de milhares 3 3 3 9 2 3" xfId="18070"/>
    <cellStyle name="Separador de milhares 3 3 3 9 2 3 2" xfId="44559"/>
    <cellStyle name="Separador de milhares 3 3 3 9 2 4" xfId="12143"/>
    <cellStyle name="Separador de milhares 3 3 3 9 2 4 2" xfId="38651"/>
    <cellStyle name="Separador de milhares 3 3 3 9 2 5" xfId="32495"/>
    <cellStyle name="Separador de milhares 3 3 3 9 2 6" xfId="25961"/>
    <cellStyle name="Separador de milhares 3 3 3 9 3" xfId="7711"/>
    <cellStyle name="Separador de milhares 3 3 3 9 3 2" xfId="19565"/>
    <cellStyle name="Separador de milhares 3 3 3 9 3 2 2" xfId="46045"/>
    <cellStyle name="Separador de milhares 3 3 3 9 3 3" xfId="13638"/>
    <cellStyle name="Separador de milhares 3 3 3 9 3 3 2" xfId="40137"/>
    <cellStyle name="Separador de milhares 3 3 3 9 3 4" xfId="34229"/>
    <cellStyle name="Separador de milhares 3 3 3 9 3 5" xfId="27695"/>
    <cellStyle name="Separador de milhares 3 3 3 9 4" xfId="16601"/>
    <cellStyle name="Separador de milhares 3 3 3 9 4 2" xfId="43091"/>
    <cellStyle name="Separador de milhares 3 3 3 9 4 3" xfId="24189"/>
    <cellStyle name="Separador de milhares 3 3 3 9 5" xfId="10674"/>
    <cellStyle name="Separador de milhares 3 3 3 9 5 2" xfId="37183"/>
    <cellStyle name="Separador de milhares 3 3 3 9 6" xfId="30723"/>
    <cellStyle name="Separador de milhares 3 3 3 9 7" xfId="22417"/>
    <cellStyle name="Separador de milhares 3 3 4" xfId="457"/>
    <cellStyle name="Separador de milhares 3 3 4 10" xfId="5015"/>
    <cellStyle name="Separador de milhares 3 3 4 10 2" xfId="8231"/>
    <cellStyle name="Separador de milhares 3 3 4 10 2 2" xfId="20085"/>
    <cellStyle name="Separador de milhares 3 3 4 10 2 2 2" xfId="46564"/>
    <cellStyle name="Separador de milhares 3 3 4 10 2 3" xfId="14158"/>
    <cellStyle name="Separador de milhares 3 3 4 10 2 3 2" xfId="40656"/>
    <cellStyle name="Separador de milhares 3 3 4 10 2 4" xfId="34748"/>
    <cellStyle name="Separador de milhares 3 3 4 10 2 5" xfId="28214"/>
    <cellStyle name="Separador de milhares 3 3 4 10 3" xfId="17121"/>
    <cellStyle name="Separador de milhares 3 3 4 10 3 2" xfId="43610"/>
    <cellStyle name="Separador de milhares 3 3 4 10 4" xfId="11194"/>
    <cellStyle name="Separador de milhares 3 3 4 10 4 2" xfId="37702"/>
    <cellStyle name="Separador de milhares 3 3 4 10 5" xfId="31542"/>
    <cellStyle name="Separador de milhares 3 3 4 10 6" xfId="25008"/>
    <cellStyle name="Separador de milhares 3 3 4 11" xfId="6755"/>
    <cellStyle name="Separador de milhares 3 3 4 11 2" xfId="18609"/>
    <cellStyle name="Separador de milhares 3 3 4 11 2 2" xfId="45096"/>
    <cellStyle name="Separador de milhares 3 3 4 11 3" xfId="12682"/>
    <cellStyle name="Separador de milhares 3 3 4 11 3 2" xfId="39188"/>
    <cellStyle name="Separador de milhares 3 3 4 11 4" xfId="33280"/>
    <cellStyle name="Separador de milhares 3 3 4 11 5" xfId="26746"/>
    <cellStyle name="Separador de milhares 3 3 4 12" xfId="15645"/>
    <cellStyle name="Separador de milhares 3 3 4 12 2" xfId="42142"/>
    <cellStyle name="Separador de milhares 3 3 4 12 3" xfId="23236"/>
    <cellStyle name="Separador de milhares 3 3 4 13" xfId="9718"/>
    <cellStyle name="Separador de milhares 3 3 4 13 2" xfId="36234"/>
    <cellStyle name="Separador de milhares 3 3 4 14" xfId="29770"/>
    <cellStyle name="Separador de milhares 3 3 4 2" xfId="1103"/>
    <cellStyle name="Separador de milhares 3 3 4 2 2" xfId="5212"/>
    <cellStyle name="Separador de milhares 3 3 4 2 2 2" xfId="8427"/>
    <cellStyle name="Separador de milhares 3 3 4 2 2 2 2" xfId="20281"/>
    <cellStyle name="Separador de milhares 3 3 4 2 2 2 2 2" xfId="46760"/>
    <cellStyle name="Separador de milhares 3 3 4 2 2 2 3" xfId="14354"/>
    <cellStyle name="Separador de milhares 3 3 4 2 2 2 3 2" xfId="40852"/>
    <cellStyle name="Separador de milhares 3 3 4 2 2 2 4" xfId="34944"/>
    <cellStyle name="Separador de milhares 3 3 4 2 2 2 5" xfId="28410"/>
    <cellStyle name="Separador de milhares 3 3 4 2 2 3" xfId="17317"/>
    <cellStyle name="Separador de milhares 3 3 4 2 2 3 2" xfId="43806"/>
    <cellStyle name="Separador de milhares 3 3 4 2 2 4" xfId="11390"/>
    <cellStyle name="Separador de milhares 3 3 4 2 2 4 2" xfId="37898"/>
    <cellStyle name="Separador de milhares 3 3 4 2 2 5" xfId="31739"/>
    <cellStyle name="Separador de milhares 3 3 4 2 2 6" xfId="25205"/>
    <cellStyle name="Separador de milhares 3 3 4 2 3" xfId="6954"/>
    <cellStyle name="Separador de milhares 3 3 4 2 3 2" xfId="18808"/>
    <cellStyle name="Separador de milhares 3 3 4 2 3 2 2" xfId="45292"/>
    <cellStyle name="Separador de milhares 3 3 4 2 3 3" xfId="12881"/>
    <cellStyle name="Separador de milhares 3 3 4 2 3 3 2" xfId="39384"/>
    <cellStyle name="Separador de milhares 3 3 4 2 3 4" xfId="33476"/>
    <cellStyle name="Separador de milhares 3 3 4 2 3 5" xfId="26942"/>
    <cellStyle name="Separador de milhares 3 3 4 2 4" xfId="15844"/>
    <cellStyle name="Separador de milhares 3 3 4 2 4 2" xfId="42338"/>
    <cellStyle name="Separador de milhares 3 3 4 2 4 3" xfId="23433"/>
    <cellStyle name="Separador de milhares 3 3 4 2 5" xfId="9917"/>
    <cellStyle name="Separador de milhares 3 3 4 2 5 2" xfId="36430"/>
    <cellStyle name="Separador de milhares 3 3 4 2 6" xfId="29967"/>
    <cellStyle name="Separador de milhares 3 3 4 2 7" xfId="21661"/>
    <cellStyle name="Separador de milhares 3 3 4 3" xfId="1454"/>
    <cellStyle name="Separador de milhares 3 3 4 3 2" xfId="5310"/>
    <cellStyle name="Separador de milhares 3 3 4 3 2 2" xfId="8525"/>
    <cellStyle name="Separador de milhares 3 3 4 3 2 2 2" xfId="20379"/>
    <cellStyle name="Separador de milhares 3 3 4 3 2 2 2 2" xfId="46858"/>
    <cellStyle name="Separador de milhares 3 3 4 3 2 2 3" xfId="14452"/>
    <cellStyle name="Separador de milhares 3 3 4 3 2 2 3 2" xfId="40950"/>
    <cellStyle name="Separador de milhares 3 3 4 3 2 2 4" xfId="35042"/>
    <cellStyle name="Separador de milhares 3 3 4 3 2 2 5" xfId="28508"/>
    <cellStyle name="Separador de milhares 3 3 4 3 2 3" xfId="17415"/>
    <cellStyle name="Separador de milhares 3 3 4 3 2 3 2" xfId="43904"/>
    <cellStyle name="Separador de milhares 3 3 4 3 2 4" xfId="11488"/>
    <cellStyle name="Separador de milhares 3 3 4 3 2 4 2" xfId="37996"/>
    <cellStyle name="Separador de milhares 3 3 4 3 2 5" xfId="31837"/>
    <cellStyle name="Separador de milhares 3 3 4 3 2 6" xfId="25303"/>
    <cellStyle name="Separador de milhares 3 3 4 3 3" xfId="7052"/>
    <cellStyle name="Separador de milhares 3 3 4 3 3 2" xfId="18906"/>
    <cellStyle name="Separador de milhares 3 3 4 3 3 2 2" xfId="45390"/>
    <cellStyle name="Separador de milhares 3 3 4 3 3 3" xfId="12979"/>
    <cellStyle name="Separador de milhares 3 3 4 3 3 3 2" xfId="39482"/>
    <cellStyle name="Separador de milhares 3 3 4 3 3 4" xfId="33574"/>
    <cellStyle name="Separador de milhares 3 3 4 3 3 5" xfId="27040"/>
    <cellStyle name="Separador de milhares 3 3 4 3 4" xfId="15942"/>
    <cellStyle name="Separador de milhares 3 3 4 3 4 2" xfId="42436"/>
    <cellStyle name="Separador de milhares 3 3 4 3 4 3" xfId="23531"/>
    <cellStyle name="Separador de milhares 3 3 4 3 5" xfId="10015"/>
    <cellStyle name="Separador de milhares 3 3 4 3 5 2" xfId="36528"/>
    <cellStyle name="Separador de milhares 3 3 4 3 6" xfId="30065"/>
    <cellStyle name="Separador de milhares 3 3 4 3 7" xfId="21759"/>
    <cellStyle name="Separador de milhares 3 3 4 4" xfId="1889"/>
    <cellStyle name="Separador de milhares 3 3 4 4 2" xfId="5429"/>
    <cellStyle name="Separador de milhares 3 3 4 4 2 2" xfId="8644"/>
    <cellStyle name="Separador de milhares 3 3 4 4 2 2 2" xfId="20498"/>
    <cellStyle name="Separador de milhares 3 3 4 4 2 2 2 2" xfId="46977"/>
    <cellStyle name="Separador de milhares 3 3 4 4 2 2 3" xfId="14571"/>
    <cellStyle name="Separador de milhares 3 3 4 4 2 2 3 2" xfId="41069"/>
    <cellStyle name="Separador de milhares 3 3 4 4 2 2 4" xfId="35161"/>
    <cellStyle name="Separador de milhares 3 3 4 4 2 2 5" xfId="28627"/>
    <cellStyle name="Separador de milhares 3 3 4 4 2 3" xfId="17534"/>
    <cellStyle name="Separador de milhares 3 3 4 4 2 3 2" xfId="44023"/>
    <cellStyle name="Separador de milhares 3 3 4 4 2 4" xfId="11607"/>
    <cellStyle name="Separador de milhares 3 3 4 4 2 4 2" xfId="38115"/>
    <cellStyle name="Separador de milhares 3 3 4 4 2 5" xfId="31956"/>
    <cellStyle name="Separador de milhares 3 3 4 4 2 6" xfId="25422"/>
    <cellStyle name="Separador de milhares 3 3 4 4 3" xfId="7171"/>
    <cellStyle name="Separador de milhares 3 3 4 4 3 2" xfId="19025"/>
    <cellStyle name="Separador de milhares 3 3 4 4 3 2 2" xfId="45509"/>
    <cellStyle name="Separador de milhares 3 3 4 4 3 3" xfId="13098"/>
    <cellStyle name="Separador de milhares 3 3 4 4 3 3 2" xfId="39601"/>
    <cellStyle name="Separador de milhares 3 3 4 4 3 4" xfId="33693"/>
    <cellStyle name="Separador de milhares 3 3 4 4 3 5" xfId="27159"/>
    <cellStyle name="Separador de milhares 3 3 4 4 4" xfId="16061"/>
    <cellStyle name="Separador de milhares 3 3 4 4 4 2" xfId="42555"/>
    <cellStyle name="Separador de milhares 3 3 4 4 4 3" xfId="23650"/>
    <cellStyle name="Separador de milhares 3 3 4 4 5" xfId="10134"/>
    <cellStyle name="Separador de milhares 3 3 4 4 5 2" xfId="36647"/>
    <cellStyle name="Separador de milhares 3 3 4 4 6" xfId="30184"/>
    <cellStyle name="Separador de milhares 3 3 4 4 7" xfId="21878"/>
    <cellStyle name="Separador de milhares 3 3 4 5" xfId="2422"/>
    <cellStyle name="Separador de milhares 3 3 4 5 2" xfId="5579"/>
    <cellStyle name="Separador de milhares 3 3 4 5 2 2" xfId="8791"/>
    <cellStyle name="Separador de milhares 3 3 4 5 2 2 2" xfId="20645"/>
    <cellStyle name="Separador de milhares 3 3 4 5 2 2 2 2" xfId="47124"/>
    <cellStyle name="Separador de milhares 3 3 4 5 2 2 3" xfId="14718"/>
    <cellStyle name="Separador de milhares 3 3 4 5 2 2 3 2" xfId="41216"/>
    <cellStyle name="Separador de milhares 3 3 4 5 2 2 4" xfId="35308"/>
    <cellStyle name="Separador de milhares 3 3 4 5 2 2 5" xfId="28774"/>
    <cellStyle name="Separador de milhares 3 3 4 5 2 3" xfId="17681"/>
    <cellStyle name="Separador de milhares 3 3 4 5 2 3 2" xfId="44170"/>
    <cellStyle name="Separador de milhares 3 3 4 5 2 4" xfId="11754"/>
    <cellStyle name="Separador de milhares 3 3 4 5 2 4 2" xfId="38262"/>
    <cellStyle name="Separador de milhares 3 3 4 5 2 5" xfId="32106"/>
    <cellStyle name="Separador de milhares 3 3 4 5 2 6" xfId="25572"/>
    <cellStyle name="Separador de milhares 3 3 4 5 3" xfId="7319"/>
    <cellStyle name="Separador de milhares 3 3 4 5 3 2" xfId="19173"/>
    <cellStyle name="Separador de milhares 3 3 4 5 3 2 2" xfId="45656"/>
    <cellStyle name="Separador de milhares 3 3 4 5 3 3" xfId="13246"/>
    <cellStyle name="Separador de milhares 3 3 4 5 3 3 2" xfId="39748"/>
    <cellStyle name="Separador de milhares 3 3 4 5 3 4" xfId="33840"/>
    <cellStyle name="Separador de milhares 3 3 4 5 3 5" xfId="27306"/>
    <cellStyle name="Separador de milhares 3 3 4 5 4" xfId="16209"/>
    <cellStyle name="Separador de milhares 3 3 4 5 4 2" xfId="42702"/>
    <cellStyle name="Separador de milhares 3 3 4 5 4 3" xfId="23800"/>
    <cellStyle name="Separador de milhares 3 3 4 5 5" xfId="10282"/>
    <cellStyle name="Separador de milhares 3 3 4 5 5 2" xfId="36794"/>
    <cellStyle name="Separador de milhares 3 3 4 5 6" xfId="30334"/>
    <cellStyle name="Separador de milhares 3 3 4 5 7" xfId="22028"/>
    <cellStyle name="Separador de milhares 3 3 4 6" xfId="2950"/>
    <cellStyle name="Separador de milhares 3 3 4 6 2" xfId="5726"/>
    <cellStyle name="Separador de milhares 3 3 4 6 2 2" xfId="8938"/>
    <cellStyle name="Separador de milhares 3 3 4 6 2 2 2" xfId="20792"/>
    <cellStyle name="Separador de milhares 3 3 4 6 2 2 2 2" xfId="47271"/>
    <cellStyle name="Separador de milhares 3 3 4 6 2 2 3" xfId="14865"/>
    <cellStyle name="Separador de milhares 3 3 4 6 2 2 3 2" xfId="41363"/>
    <cellStyle name="Separador de milhares 3 3 4 6 2 2 4" xfId="35455"/>
    <cellStyle name="Separador de milhares 3 3 4 6 2 2 5" xfId="28921"/>
    <cellStyle name="Separador de milhares 3 3 4 6 2 3" xfId="17828"/>
    <cellStyle name="Separador de milhares 3 3 4 6 2 3 2" xfId="44317"/>
    <cellStyle name="Separador de milhares 3 3 4 6 2 4" xfId="11901"/>
    <cellStyle name="Separador de milhares 3 3 4 6 2 4 2" xfId="38409"/>
    <cellStyle name="Separador de milhares 3 3 4 6 2 5" xfId="32253"/>
    <cellStyle name="Separador de milhares 3 3 4 6 2 6" xfId="25719"/>
    <cellStyle name="Separador de milhares 3 3 4 6 3" xfId="7467"/>
    <cellStyle name="Separador de milhares 3 3 4 6 3 2" xfId="19321"/>
    <cellStyle name="Separador de milhares 3 3 4 6 3 2 2" xfId="45803"/>
    <cellStyle name="Separador de milhares 3 3 4 6 3 3" xfId="13394"/>
    <cellStyle name="Separador de milhares 3 3 4 6 3 3 2" xfId="39895"/>
    <cellStyle name="Separador de milhares 3 3 4 6 3 4" xfId="33987"/>
    <cellStyle name="Separador de milhares 3 3 4 6 3 5" xfId="27453"/>
    <cellStyle name="Separador de milhares 3 3 4 6 4" xfId="16357"/>
    <cellStyle name="Separador de milhares 3 3 4 6 4 2" xfId="42849"/>
    <cellStyle name="Separador de milhares 3 3 4 6 4 3" xfId="23947"/>
    <cellStyle name="Separador de milhares 3 3 4 6 5" xfId="10430"/>
    <cellStyle name="Separador de milhares 3 3 4 6 5 2" xfId="36941"/>
    <cellStyle name="Separador de milhares 3 3 4 6 6" xfId="30481"/>
    <cellStyle name="Separador de milhares 3 3 4 6 7" xfId="22175"/>
    <cellStyle name="Separador de milhares 3 3 4 7" xfId="3478"/>
    <cellStyle name="Separador de milhares 3 3 4 7 2" xfId="5873"/>
    <cellStyle name="Separador de milhares 3 3 4 7 2 2" xfId="9085"/>
    <cellStyle name="Separador de milhares 3 3 4 7 2 2 2" xfId="20939"/>
    <cellStyle name="Separador de milhares 3 3 4 7 2 2 2 2" xfId="47418"/>
    <cellStyle name="Separador de milhares 3 3 4 7 2 2 3" xfId="15012"/>
    <cellStyle name="Separador de milhares 3 3 4 7 2 2 3 2" xfId="41510"/>
    <cellStyle name="Separador de milhares 3 3 4 7 2 2 4" xfId="35602"/>
    <cellStyle name="Separador de milhares 3 3 4 7 2 2 5" xfId="29068"/>
    <cellStyle name="Separador de milhares 3 3 4 7 2 3" xfId="17975"/>
    <cellStyle name="Separador de milhares 3 3 4 7 2 3 2" xfId="44464"/>
    <cellStyle name="Separador de milhares 3 3 4 7 2 4" xfId="12048"/>
    <cellStyle name="Separador de milhares 3 3 4 7 2 4 2" xfId="38556"/>
    <cellStyle name="Separador de milhares 3 3 4 7 2 5" xfId="32400"/>
    <cellStyle name="Separador de milhares 3 3 4 7 2 6" xfId="25866"/>
    <cellStyle name="Separador de milhares 3 3 4 7 3" xfId="7615"/>
    <cellStyle name="Separador de milhares 3 3 4 7 3 2" xfId="19469"/>
    <cellStyle name="Separador de milhares 3 3 4 7 3 2 2" xfId="45950"/>
    <cellStyle name="Separador de milhares 3 3 4 7 3 3" xfId="13542"/>
    <cellStyle name="Separador de milhares 3 3 4 7 3 3 2" xfId="40042"/>
    <cellStyle name="Separador de milhares 3 3 4 7 3 4" xfId="34134"/>
    <cellStyle name="Separador de milhares 3 3 4 7 3 5" xfId="27600"/>
    <cellStyle name="Separador de milhares 3 3 4 7 4" xfId="16505"/>
    <cellStyle name="Separador de milhares 3 3 4 7 4 2" xfId="42996"/>
    <cellStyle name="Separador de milhares 3 3 4 7 4 3" xfId="24094"/>
    <cellStyle name="Separador de milhares 3 3 4 7 5" xfId="10578"/>
    <cellStyle name="Separador de milhares 3 3 4 7 5 2" xfId="37088"/>
    <cellStyle name="Separador de milhares 3 3 4 7 6" xfId="30628"/>
    <cellStyle name="Separador de milhares 3 3 4 7 7" xfId="22322"/>
    <cellStyle name="Separador de milhares 3 3 4 8" xfId="4006"/>
    <cellStyle name="Separador de milhares 3 3 4 8 2" xfId="6020"/>
    <cellStyle name="Separador de milhares 3 3 4 8 2 2" xfId="9232"/>
    <cellStyle name="Separador de milhares 3 3 4 8 2 2 2" xfId="21086"/>
    <cellStyle name="Separador de milhares 3 3 4 8 2 2 2 2" xfId="47565"/>
    <cellStyle name="Separador de milhares 3 3 4 8 2 2 3" xfId="15159"/>
    <cellStyle name="Separador de milhares 3 3 4 8 2 2 3 2" xfId="41657"/>
    <cellStyle name="Separador de milhares 3 3 4 8 2 2 4" xfId="35749"/>
    <cellStyle name="Separador de milhares 3 3 4 8 2 2 5" xfId="29215"/>
    <cellStyle name="Separador de milhares 3 3 4 8 2 3" xfId="18122"/>
    <cellStyle name="Separador de milhares 3 3 4 8 2 3 2" xfId="44611"/>
    <cellStyle name="Separador de milhares 3 3 4 8 2 4" xfId="12195"/>
    <cellStyle name="Separador de milhares 3 3 4 8 2 4 2" xfId="38703"/>
    <cellStyle name="Separador de milhares 3 3 4 8 2 5" xfId="32547"/>
    <cellStyle name="Separador de milhares 3 3 4 8 2 6" xfId="26013"/>
    <cellStyle name="Separador de milhares 3 3 4 8 3" xfId="7763"/>
    <cellStyle name="Separador de milhares 3 3 4 8 3 2" xfId="19617"/>
    <cellStyle name="Separador de milhares 3 3 4 8 3 2 2" xfId="46097"/>
    <cellStyle name="Separador de milhares 3 3 4 8 3 3" xfId="13690"/>
    <cellStyle name="Separador de milhares 3 3 4 8 3 3 2" xfId="40189"/>
    <cellStyle name="Separador de milhares 3 3 4 8 3 4" xfId="34281"/>
    <cellStyle name="Separador de milhares 3 3 4 8 3 5" xfId="27747"/>
    <cellStyle name="Separador de milhares 3 3 4 8 4" xfId="16653"/>
    <cellStyle name="Separador de milhares 3 3 4 8 4 2" xfId="43143"/>
    <cellStyle name="Separador de milhares 3 3 4 8 4 3" xfId="24241"/>
    <cellStyle name="Separador de milhares 3 3 4 8 5" xfId="10726"/>
    <cellStyle name="Separador de milhares 3 3 4 8 5 2" xfId="37235"/>
    <cellStyle name="Separador de milhares 3 3 4 8 6" xfId="30775"/>
    <cellStyle name="Separador de milhares 3 3 4 8 7" xfId="22469"/>
    <cellStyle name="Separador de milhares 3 3 4 9" xfId="801"/>
    <cellStyle name="Separador de milhares 3 3 4 9 2" xfId="5114"/>
    <cellStyle name="Separador de milhares 3 3 4 9 2 2" xfId="8329"/>
    <cellStyle name="Separador de milhares 3 3 4 9 2 2 2" xfId="20183"/>
    <cellStyle name="Separador de milhares 3 3 4 9 2 2 2 2" xfId="46662"/>
    <cellStyle name="Separador de milhares 3 3 4 9 2 2 3" xfId="14256"/>
    <cellStyle name="Separador de milhares 3 3 4 9 2 2 3 2" xfId="40754"/>
    <cellStyle name="Separador de milhares 3 3 4 9 2 2 4" xfId="34846"/>
    <cellStyle name="Separador de milhares 3 3 4 9 2 2 5" xfId="28312"/>
    <cellStyle name="Separador de milhares 3 3 4 9 2 3" xfId="17219"/>
    <cellStyle name="Separador de milhares 3 3 4 9 2 3 2" xfId="43708"/>
    <cellStyle name="Separador de milhares 3 3 4 9 2 4" xfId="11292"/>
    <cellStyle name="Separador de milhares 3 3 4 9 2 4 2" xfId="37800"/>
    <cellStyle name="Separador de milhares 3 3 4 9 2 5" xfId="31641"/>
    <cellStyle name="Separador de milhares 3 3 4 9 2 6" xfId="25107"/>
    <cellStyle name="Separador de milhares 3 3 4 9 3" xfId="6856"/>
    <cellStyle name="Separador de milhares 3 3 4 9 3 2" xfId="18710"/>
    <cellStyle name="Separador de milhares 3 3 4 9 3 2 2" xfId="45194"/>
    <cellStyle name="Separador de milhares 3 3 4 9 3 3" xfId="12783"/>
    <cellStyle name="Separador de milhares 3 3 4 9 3 3 2" xfId="39286"/>
    <cellStyle name="Separador de milhares 3 3 4 9 3 4" xfId="33378"/>
    <cellStyle name="Separador de milhares 3 3 4 9 3 5" xfId="26844"/>
    <cellStyle name="Separador de milhares 3 3 4 9 4" xfId="15746"/>
    <cellStyle name="Separador de milhares 3 3 4 9 4 2" xfId="42240"/>
    <cellStyle name="Separador de milhares 3 3 4 9 4 3" xfId="23335"/>
    <cellStyle name="Separador de milhares 3 3 4 9 5" xfId="9819"/>
    <cellStyle name="Separador de milhares 3 3 4 9 5 2" xfId="36332"/>
    <cellStyle name="Separador de milhares 3 3 4 9 6" xfId="29869"/>
    <cellStyle name="Separador de milhares 3 3 4 9 7" xfId="21563"/>
    <cellStyle name="Separador de milhares 3 3 5" xfId="715"/>
    <cellStyle name="Separador de milhares 3 3 5 10" xfId="15709"/>
    <cellStyle name="Separador de milhares 3 3 5 10 2" xfId="42206"/>
    <cellStyle name="Separador de milhares 3 3 5 10 3" xfId="23301"/>
    <cellStyle name="Separador de milhares 3 3 5 11" xfId="9782"/>
    <cellStyle name="Separador de milhares 3 3 5 11 2" xfId="36298"/>
    <cellStyle name="Separador de milhares 3 3 5 12" xfId="29835"/>
    <cellStyle name="Separador de milhares 3 3 5 13" xfId="21529"/>
    <cellStyle name="Separador de milhares 3 3 5 2" xfId="1538"/>
    <cellStyle name="Separador de milhares 3 3 5 2 2" xfId="5331"/>
    <cellStyle name="Separador de milhares 3 3 5 2 2 2" xfId="8546"/>
    <cellStyle name="Separador de milhares 3 3 5 2 2 2 2" xfId="20400"/>
    <cellStyle name="Separador de milhares 3 3 5 2 2 2 2 2" xfId="46879"/>
    <cellStyle name="Separador de milhares 3 3 5 2 2 2 3" xfId="14473"/>
    <cellStyle name="Separador de milhares 3 3 5 2 2 2 3 2" xfId="40971"/>
    <cellStyle name="Separador de milhares 3 3 5 2 2 2 4" xfId="35063"/>
    <cellStyle name="Separador de milhares 3 3 5 2 2 2 5" xfId="28529"/>
    <cellStyle name="Separador de milhares 3 3 5 2 2 3" xfId="17436"/>
    <cellStyle name="Separador de milhares 3 3 5 2 2 3 2" xfId="43925"/>
    <cellStyle name="Separador de milhares 3 3 5 2 2 4" xfId="11509"/>
    <cellStyle name="Separador de milhares 3 3 5 2 2 4 2" xfId="38017"/>
    <cellStyle name="Separador de milhares 3 3 5 2 2 5" xfId="31858"/>
    <cellStyle name="Separador de milhares 3 3 5 2 2 6" xfId="25324"/>
    <cellStyle name="Separador de milhares 3 3 5 2 3" xfId="7073"/>
    <cellStyle name="Separador de milhares 3 3 5 2 3 2" xfId="18927"/>
    <cellStyle name="Separador de milhares 3 3 5 2 3 2 2" xfId="45411"/>
    <cellStyle name="Separador de milhares 3 3 5 2 3 3" xfId="13000"/>
    <cellStyle name="Separador de milhares 3 3 5 2 3 3 2" xfId="39503"/>
    <cellStyle name="Separador de milhares 3 3 5 2 3 4" xfId="33595"/>
    <cellStyle name="Separador de milhares 3 3 5 2 3 5" xfId="27061"/>
    <cellStyle name="Separador de milhares 3 3 5 2 4" xfId="15963"/>
    <cellStyle name="Separador de milhares 3 3 5 2 4 2" xfId="42457"/>
    <cellStyle name="Separador de milhares 3 3 5 2 4 3" xfId="23552"/>
    <cellStyle name="Separador de milhares 3 3 5 2 5" xfId="10036"/>
    <cellStyle name="Separador de milhares 3 3 5 2 5 2" xfId="36549"/>
    <cellStyle name="Separador de milhares 3 3 5 2 6" xfId="30086"/>
    <cellStyle name="Separador de milhares 3 3 5 2 7" xfId="21780"/>
    <cellStyle name="Separador de milhares 3 3 5 3" xfId="1973"/>
    <cellStyle name="Separador de milhares 3 3 5 3 2" xfId="5450"/>
    <cellStyle name="Separador de milhares 3 3 5 3 2 2" xfId="8665"/>
    <cellStyle name="Separador de milhares 3 3 5 3 2 2 2" xfId="20519"/>
    <cellStyle name="Separador de milhares 3 3 5 3 2 2 2 2" xfId="46998"/>
    <cellStyle name="Separador de milhares 3 3 5 3 2 2 3" xfId="14592"/>
    <cellStyle name="Separador de milhares 3 3 5 3 2 2 3 2" xfId="41090"/>
    <cellStyle name="Separador de milhares 3 3 5 3 2 2 4" xfId="35182"/>
    <cellStyle name="Separador de milhares 3 3 5 3 2 2 5" xfId="28648"/>
    <cellStyle name="Separador de milhares 3 3 5 3 2 3" xfId="17555"/>
    <cellStyle name="Separador de milhares 3 3 5 3 2 3 2" xfId="44044"/>
    <cellStyle name="Separador de milhares 3 3 5 3 2 4" xfId="11628"/>
    <cellStyle name="Separador de milhares 3 3 5 3 2 4 2" xfId="38136"/>
    <cellStyle name="Separador de milhares 3 3 5 3 2 5" xfId="31977"/>
    <cellStyle name="Separador de milhares 3 3 5 3 2 6" xfId="25443"/>
    <cellStyle name="Separador de milhares 3 3 5 3 3" xfId="7192"/>
    <cellStyle name="Separador de milhares 3 3 5 3 3 2" xfId="19046"/>
    <cellStyle name="Separador de milhares 3 3 5 3 3 2 2" xfId="45530"/>
    <cellStyle name="Separador de milhares 3 3 5 3 3 3" xfId="13119"/>
    <cellStyle name="Separador de milhares 3 3 5 3 3 3 2" xfId="39622"/>
    <cellStyle name="Separador de milhares 3 3 5 3 3 4" xfId="33714"/>
    <cellStyle name="Separador de milhares 3 3 5 3 3 5" xfId="27180"/>
    <cellStyle name="Separador de milhares 3 3 5 3 4" xfId="16082"/>
    <cellStyle name="Separador de milhares 3 3 5 3 4 2" xfId="42576"/>
    <cellStyle name="Separador de milhares 3 3 5 3 4 3" xfId="23671"/>
    <cellStyle name="Separador de milhares 3 3 5 3 5" xfId="10155"/>
    <cellStyle name="Separador de milhares 3 3 5 3 5 2" xfId="36668"/>
    <cellStyle name="Separador de milhares 3 3 5 3 6" xfId="30205"/>
    <cellStyle name="Separador de milhares 3 3 5 3 7" xfId="21899"/>
    <cellStyle name="Separador de milhares 3 3 5 4" xfId="2506"/>
    <cellStyle name="Separador de milhares 3 3 5 4 2" xfId="5600"/>
    <cellStyle name="Separador de milhares 3 3 5 4 2 2" xfId="8812"/>
    <cellStyle name="Separador de milhares 3 3 5 4 2 2 2" xfId="20666"/>
    <cellStyle name="Separador de milhares 3 3 5 4 2 2 2 2" xfId="47145"/>
    <cellStyle name="Separador de milhares 3 3 5 4 2 2 3" xfId="14739"/>
    <cellStyle name="Separador de milhares 3 3 5 4 2 2 3 2" xfId="41237"/>
    <cellStyle name="Separador de milhares 3 3 5 4 2 2 4" xfId="35329"/>
    <cellStyle name="Separador de milhares 3 3 5 4 2 2 5" xfId="28795"/>
    <cellStyle name="Separador de milhares 3 3 5 4 2 3" xfId="17702"/>
    <cellStyle name="Separador de milhares 3 3 5 4 2 3 2" xfId="44191"/>
    <cellStyle name="Separador de milhares 3 3 5 4 2 4" xfId="11775"/>
    <cellStyle name="Separador de milhares 3 3 5 4 2 4 2" xfId="38283"/>
    <cellStyle name="Separador de milhares 3 3 5 4 2 5" xfId="32127"/>
    <cellStyle name="Separador de milhares 3 3 5 4 2 6" xfId="25593"/>
    <cellStyle name="Separador de milhares 3 3 5 4 3" xfId="7340"/>
    <cellStyle name="Separador de milhares 3 3 5 4 3 2" xfId="19194"/>
    <cellStyle name="Separador de milhares 3 3 5 4 3 2 2" xfId="45677"/>
    <cellStyle name="Separador de milhares 3 3 5 4 3 3" xfId="13267"/>
    <cellStyle name="Separador de milhares 3 3 5 4 3 3 2" xfId="39769"/>
    <cellStyle name="Separador de milhares 3 3 5 4 3 4" xfId="33861"/>
    <cellStyle name="Separador de milhares 3 3 5 4 3 5" xfId="27327"/>
    <cellStyle name="Separador de milhares 3 3 5 4 4" xfId="16230"/>
    <cellStyle name="Separador de milhares 3 3 5 4 4 2" xfId="42723"/>
    <cellStyle name="Separador de milhares 3 3 5 4 4 3" xfId="23821"/>
    <cellStyle name="Separador de milhares 3 3 5 4 5" xfId="10303"/>
    <cellStyle name="Separador de milhares 3 3 5 4 5 2" xfId="36815"/>
    <cellStyle name="Separador de milhares 3 3 5 4 6" xfId="30355"/>
    <cellStyle name="Separador de milhares 3 3 5 4 7" xfId="22049"/>
    <cellStyle name="Separador de milhares 3 3 5 5" xfId="3034"/>
    <cellStyle name="Separador de milhares 3 3 5 5 2" xfId="5747"/>
    <cellStyle name="Separador de milhares 3 3 5 5 2 2" xfId="8959"/>
    <cellStyle name="Separador de milhares 3 3 5 5 2 2 2" xfId="20813"/>
    <cellStyle name="Separador de milhares 3 3 5 5 2 2 2 2" xfId="47292"/>
    <cellStyle name="Separador de milhares 3 3 5 5 2 2 3" xfId="14886"/>
    <cellStyle name="Separador de milhares 3 3 5 5 2 2 3 2" xfId="41384"/>
    <cellStyle name="Separador de milhares 3 3 5 5 2 2 4" xfId="35476"/>
    <cellStyle name="Separador de milhares 3 3 5 5 2 2 5" xfId="28942"/>
    <cellStyle name="Separador de milhares 3 3 5 5 2 3" xfId="17849"/>
    <cellStyle name="Separador de milhares 3 3 5 5 2 3 2" xfId="44338"/>
    <cellStyle name="Separador de milhares 3 3 5 5 2 4" xfId="11922"/>
    <cellStyle name="Separador de milhares 3 3 5 5 2 4 2" xfId="38430"/>
    <cellStyle name="Separador de milhares 3 3 5 5 2 5" xfId="32274"/>
    <cellStyle name="Separador de milhares 3 3 5 5 2 6" xfId="25740"/>
    <cellStyle name="Separador de milhares 3 3 5 5 3" xfId="7488"/>
    <cellStyle name="Separador de milhares 3 3 5 5 3 2" xfId="19342"/>
    <cellStyle name="Separador de milhares 3 3 5 5 3 2 2" xfId="45824"/>
    <cellStyle name="Separador de milhares 3 3 5 5 3 3" xfId="13415"/>
    <cellStyle name="Separador de milhares 3 3 5 5 3 3 2" xfId="39916"/>
    <cellStyle name="Separador de milhares 3 3 5 5 3 4" xfId="34008"/>
    <cellStyle name="Separador de milhares 3 3 5 5 3 5" xfId="27474"/>
    <cellStyle name="Separador de milhares 3 3 5 5 4" xfId="16378"/>
    <cellStyle name="Separador de milhares 3 3 5 5 4 2" xfId="42870"/>
    <cellStyle name="Separador de milhares 3 3 5 5 4 3" xfId="23968"/>
    <cellStyle name="Separador de milhares 3 3 5 5 5" xfId="10451"/>
    <cellStyle name="Separador de milhares 3 3 5 5 5 2" xfId="36962"/>
    <cellStyle name="Separador de milhares 3 3 5 5 6" xfId="30502"/>
    <cellStyle name="Separador de milhares 3 3 5 5 7" xfId="22196"/>
    <cellStyle name="Separador de milhares 3 3 5 6" xfId="3562"/>
    <cellStyle name="Separador de milhares 3 3 5 6 2" xfId="5894"/>
    <cellStyle name="Separador de milhares 3 3 5 6 2 2" xfId="9106"/>
    <cellStyle name="Separador de milhares 3 3 5 6 2 2 2" xfId="20960"/>
    <cellStyle name="Separador de milhares 3 3 5 6 2 2 2 2" xfId="47439"/>
    <cellStyle name="Separador de milhares 3 3 5 6 2 2 3" xfId="15033"/>
    <cellStyle name="Separador de milhares 3 3 5 6 2 2 3 2" xfId="41531"/>
    <cellStyle name="Separador de milhares 3 3 5 6 2 2 4" xfId="35623"/>
    <cellStyle name="Separador de milhares 3 3 5 6 2 2 5" xfId="29089"/>
    <cellStyle name="Separador de milhares 3 3 5 6 2 3" xfId="17996"/>
    <cellStyle name="Separador de milhares 3 3 5 6 2 3 2" xfId="44485"/>
    <cellStyle name="Separador de milhares 3 3 5 6 2 4" xfId="12069"/>
    <cellStyle name="Separador de milhares 3 3 5 6 2 4 2" xfId="38577"/>
    <cellStyle name="Separador de milhares 3 3 5 6 2 5" xfId="32421"/>
    <cellStyle name="Separador de milhares 3 3 5 6 2 6" xfId="25887"/>
    <cellStyle name="Separador de milhares 3 3 5 6 3" xfId="7636"/>
    <cellStyle name="Separador de milhares 3 3 5 6 3 2" xfId="19490"/>
    <cellStyle name="Separador de milhares 3 3 5 6 3 2 2" xfId="45971"/>
    <cellStyle name="Separador de milhares 3 3 5 6 3 3" xfId="13563"/>
    <cellStyle name="Separador de milhares 3 3 5 6 3 3 2" xfId="40063"/>
    <cellStyle name="Separador de milhares 3 3 5 6 3 4" xfId="34155"/>
    <cellStyle name="Separador de milhares 3 3 5 6 3 5" xfId="27621"/>
    <cellStyle name="Separador de milhares 3 3 5 6 4" xfId="16526"/>
    <cellStyle name="Separador de milhares 3 3 5 6 4 2" xfId="43017"/>
    <cellStyle name="Separador de milhares 3 3 5 6 4 3" xfId="24115"/>
    <cellStyle name="Separador de milhares 3 3 5 6 5" xfId="10599"/>
    <cellStyle name="Separador de milhares 3 3 5 6 5 2" xfId="37109"/>
    <cellStyle name="Separador de milhares 3 3 5 6 6" xfId="30649"/>
    <cellStyle name="Separador de milhares 3 3 5 6 7" xfId="22343"/>
    <cellStyle name="Separador de milhares 3 3 5 7" xfId="4090"/>
    <cellStyle name="Separador de milhares 3 3 5 7 2" xfId="6041"/>
    <cellStyle name="Separador de milhares 3 3 5 7 2 2" xfId="9253"/>
    <cellStyle name="Separador de milhares 3 3 5 7 2 2 2" xfId="21107"/>
    <cellStyle name="Separador de milhares 3 3 5 7 2 2 2 2" xfId="47586"/>
    <cellStyle name="Separador de milhares 3 3 5 7 2 2 3" xfId="15180"/>
    <cellStyle name="Separador de milhares 3 3 5 7 2 2 3 2" xfId="41678"/>
    <cellStyle name="Separador de milhares 3 3 5 7 2 2 4" xfId="35770"/>
    <cellStyle name="Separador de milhares 3 3 5 7 2 2 5" xfId="29236"/>
    <cellStyle name="Separador de milhares 3 3 5 7 2 3" xfId="18143"/>
    <cellStyle name="Separador de milhares 3 3 5 7 2 3 2" xfId="44632"/>
    <cellStyle name="Separador de milhares 3 3 5 7 2 4" xfId="12216"/>
    <cellStyle name="Separador de milhares 3 3 5 7 2 4 2" xfId="38724"/>
    <cellStyle name="Separador de milhares 3 3 5 7 2 5" xfId="32568"/>
    <cellStyle name="Separador de milhares 3 3 5 7 2 6" xfId="26034"/>
    <cellStyle name="Separador de milhares 3 3 5 7 3" xfId="7784"/>
    <cellStyle name="Separador de milhares 3 3 5 7 3 2" xfId="19638"/>
    <cellStyle name="Separador de milhares 3 3 5 7 3 2 2" xfId="46118"/>
    <cellStyle name="Separador de milhares 3 3 5 7 3 3" xfId="13711"/>
    <cellStyle name="Separador de milhares 3 3 5 7 3 3 2" xfId="40210"/>
    <cellStyle name="Separador de milhares 3 3 5 7 3 4" xfId="34302"/>
    <cellStyle name="Separador de milhares 3 3 5 7 3 5" xfId="27768"/>
    <cellStyle name="Separador de milhares 3 3 5 7 4" xfId="16674"/>
    <cellStyle name="Separador de milhares 3 3 5 7 4 2" xfId="43164"/>
    <cellStyle name="Separador de milhares 3 3 5 7 4 3" xfId="24262"/>
    <cellStyle name="Separador de milhares 3 3 5 7 5" xfId="10747"/>
    <cellStyle name="Separador de milhares 3 3 5 7 5 2" xfId="37256"/>
    <cellStyle name="Separador de milhares 3 3 5 7 6" xfId="30796"/>
    <cellStyle name="Separador de milhares 3 3 5 7 7" xfId="22490"/>
    <cellStyle name="Separador de milhares 3 3 5 8" xfId="5080"/>
    <cellStyle name="Separador de milhares 3 3 5 8 2" xfId="8295"/>
    <cellStyle name="Separador de milhares 3 3 5 8 2 2" xfId="20149"/>
    <cellStyle name="Separador de milhares 3 3 5 8 2 2 2" xfId="46628"/>
    <cellStyle name="Separador de milhares 3 3 5 8 2 3" xfId="14222"/>
    <cellStyle name="Separador de milhares 3 3 5 8 2 3 2" xfId="40720"/>
    <cellStyle name="Separador de milhares 3 3 5 8 2 4" xfId="34812"/>
    <cellStyle name="Separador de milhares 3 3 5 8 2 5" xfId="28278"/>
    <cellStyle name="Separador de milhares 3 3 5 8 3" xfId="17185"/>
    <cellStyle name="Separador de milhares 3 3 5 8 3 2" xfId="43674"/>
    <cellStyle name="Separador de milhares 3 3 5 8 4" xfId="11258"/>
    <cellStyle name="Separador de milhares 3 3 5 8 4 2" xfId="37766"/>
    <cellStyle name="Separador de milhares 3 3 5 8 5" xfId="31607"/>
    <cellStyle name="Separador de milhares 3 3 5 8 6" xfId="25073"/>
    <cellStyle name="Separador de milhares 3 3 5 9" xfId="6819"/>
    <cellStyle name="Separador de milhares 3 3 5 9 2" xfId="18673"/>
    <cellStyle name="Separador de milhares 3 3 5 9 2 2" xfId="45160"/>
    <cellStyle name="Separador de milhares 3 3 5 9 3" xfId="12746"/>
    <cellStyle name="Separador de milhares 3 3 5 9 3 2" xfId="39252"/>
    <cellStyle name="Separador de milhares 3 3 5 9 4" xfId="33344"/>
    <cellStyle name="Separador de milhares 3 3 5 9 5" xfId="26810"/>
    <cellStyle name="Separador de milhares 3 3 6" xfId="836"/>
    <cellStyle name="Separador de milhares 3 3 6 2" xfId="4267"/>
    <cellStyle name="Separador de milhares 3 3 6 2 2" xfId="6090"/>
    <cellStyle name="Separador de milhares 3 3 6 2 2 2" xfId="9302"/>
    <cellStyle name="Separador de milhares 3 3 6 2 2 2 2" xfId="21156"/>
    <cellStyle name="Separador de milhares 3 3 6 2 2 2 2 2" xfId="47635"/>
    <cellStyle name="Separador de milhares 3 3 6 2 2 2 3" xfId="15229"/>
    <cellStyle name="Separador de milhares 3 3 6 2 2 2 3 2" xfId="41727"/>
    <cellStyle name="Separador de milhares 3 3 6 2 2 2 4" xfId="35819"/>
    <cellStyle name="Separador de milhares 3 3 6 2 2 2 5" xfId="29285"/>
    <cellStyle name="Separador de milhares 3 3 6 2 2 3" xfId="18192"/>
    <cellStyle name="Separador de milhares 3 3 6 2 2 3 2" xfId="44681"/>
    <cellStyle name="Separador de milhares 3 3 6 2 2 4" xfId="12265"/>
    <cellStyle name="Separador de milhares 3 3 6 2 2 4 2" xfId="38773"/>
    <cellStyle name="Separador de milhares 3 3 6 2 2 5" xfId="32617"/>
    <cellStyle name="Separador de milhares 3 3 6 2 2 6" xfId="26083"/>
    <cellStyle name="Separador de milhares 3 3 6 2 3" xfId="7834"/>
    <cellStyle name="Separador de milhares 3 3 6 2 3 2" xfId="19688"/>
    <cellStyle name="Separador de milhares 3 3 6 2 3 2 2" xfId="46167"/>
    <cellStyle name="Separador de milhares 3 3 6 2 3 3" xfId="13761"/>
    <cellStyle name="Separador de milhares 3 3 6 2 3 3 2" xfId="40259"/>
    <cellStyle name="Separador de milhares 3 3 6 2 3 4" xfId="34351"/>
    <cellStyle name="Separador de milhares 3 3 6 2 3 5" xfId="27817"/>
    <cellStyle name="Separador de milhares 3 3 6 2 4" xfId="16724"/>
    <cellStyle name="Separador de milhares 3 3 6 2 4 2" xfId="43213"/>
    <cellStyle name="Separador de milhares 3 3 6 2 4 3" xfId="24311"/>
    <cellStyle name="Separador de milhares 3 3 6 2 5" xfId="10797"/>
    <cellStyle name="Separador de milhares 3 3 6 2 5 2" xfId="37305"/>
    <cellStyle name="Separador de milhares 3 3 6 2 6" xfId="30845"/>
    <cellStyle name="Separador de milhares 3 3 6 2 7" xfId="22539"/>
    <cellStyle name="Separador de milhares 3 3 6 3" xfId="5135"/>
    <cellStyle name="Separador de milhares 3 3 6 3 2" xfId="8350"/>
    <cellStyle name="Separador de milhares 3 3 6 3 2 2" xfId="20204"/>
    <cellStyle name="Separador de milhares 3 3 6 3 2 2 2" xfId="46683"/>
    <cellStyle name="Separador de milhares 3 3 6 3 2 3" xfId="14277"/>
    <cellStyle name="Separador de milhares 3 3 6 3 2 3 2" xfId="40775"/>
    <cellStyle name="Separador de milhares 3 3 6 3 2 4" xfId="34867"/>
    <cellStyle name="Separador de milhares 3 3 6 3 2 5" xfId="28333"/>
    <cellStyle name="Separador de milhares 3 3 6 3 3" xfId="17240"/>
    <cellStyle name="Separador de milhares 3 3 6 3 3 2" xfId="43729"/>
    <cellStyle name="Separador de milhares 3 3 6 3 4" xfId="11313"/>
    <cellStyle name="Separador de milhares 3 3 6 3 4 2" xfId="37821"/>
    <cellStyle name="Separador de milhares 3 3 6 3 5" xfId="31662"/>
    <cellStyle name="Separador de milhares 3 3 6 3 6" xfId="25128"/>
    <cellStyle name="Separador de milhares 3 3 6 4" xfId="6877"/>
    <cellStyle name="Separador de milhares 3 3 6 4 2" xfId="18731"/>
    <cellStyle name="Separador de milhares 3 3 6 4 2 2" xfId="45215"/>
    <cellStyle name="Separador de milhares 3 3 6 4 3" xfId="12804"/>
    <cellStyle name="Separador de milhares 3 3 6 4 3 2" xfId="39307"/>
    <cellStyle name="Separador de milhares 3 3 6 4 4" xfId="33399"/>
    <cellStyle name="Separador de milhares 3 3 6 4 5" xfId="26865"/>
    <cellStyle name="Separador de milhares 3 3 6 5" xfId="15767"/>
    <cellStyle name="Separador de milhares 3 3 6 5 2" xfId="42261"/>
    <cellStyle name="Separador de milhares 3 3 6 5 3" xfId="23356"/>
    <cellStyle name="Separador de milhares 3 3 6 6" xfId="9840"/>
    <cellStyle name="Separador de milhares 3 3 6 6 2" xfId="36353"/>
    <cellStyle name="Separador de milhares 3 3 6 7" xfId="29890"/>
    <cellStyle name="Separador de milhares 3 3 6 8" xfId="21584"/>
    <cellStyle name="Separador de milhares 3 3 7" xfId="1187"/>
    <cellStyle name="Separador de milhares 3 3 7 2" xfId="5233"/>
    <cellStyle name="Separador de milhares 3 3 7 2 2" xfId="8448"/>
    <cellStyle name="Separador de milhares 3 3 7 2 2 2" xfId="20302"/>
    <cellStyle name="Separador de milhares 3 3 7 2 2 2 2" xfId="46781"/>
    <cellStyle name="Separador de milhares 3 3 7 2 2 3" xfId="14375"/>
    <cellStyle name="Separador de milhares 3 3 7 2 2 3 2" xfId="40873"/>
    <cellStyle name="Separador de milhares 3 3 7 2 2 4" xfId="34965"/>
    <cellStyle name="Separador de milhares 3 3 7 2 2 5" xfId="28431"/>
    <cellStyle name="Separador de milhares 3 3 7 2 3" xfId="17338"/>
    <cellStyle name="Separador de milhares 3 3 7 2 3 2" xfId="43827"/>
    <cellStyle name="Separador de milhares 3 3 7 2 4" xfId="11411"/>
    <cellStyle name="Separador de milhares 3 3 7 2 4 2" xfId="37919"/>
    <cellStyle name="Separador de milhares 3 3 7 2 5" xfId="31760"/>
    <cellStyle name="Separador de milhares 3 3 7 2 6" xfId="25226"/>
    <cellStyle name="Separador de milhares 3 3 7 3" xfId="6975"/>
    <cellStyle name="Separador de milhares 3 3 7 3 2" xfId="18829"/>
    <cellStyle name="Separador de milhares 3 3 7 3 2 2" xfId="45313"/>
    <cellStyle name="Separador de milhares 3 3 7 3 3" xfId="12902"/>
    <cellStyle name="Separador de milhares 3 3 7 3 3 2" xfId="39405"/>
    <cellStyle name="Separador de milhares 3 3 7 3 4" xfId="33497"/>
    <cellStyle name="Separador de milhares 3 3 7 3 5" xfId="26963"/>
    <cellStyle name="Separador de milhares 3 3 7 4" xfId="15865"/>
    <cellStyle name="Separador de milhares 3 3 7 4 2" xfId="42359"/>
    <cellStyle name="Separador de milhares 3 3 7 4 3" xfId="23454"/>
    <cellStyle name="Separador de milhares 3 3 7 5" xfId="9938"/>
    <cellStyle name="Separador de milhares 3 3 7 5 2" xfId="36451"/>
    <cellStyle name="Separador de milhares 3 3 7 6" xfId="29988"/>
    <cellStyle name="Separador de milhares 3 3 7 7" xfId="21682"/>
    <cellStyle name="Separador de milhares 3 3 8" xfId="1622"/>
    <cellStyle name="Separador de milhares 3 3 8 2" xfId="5352"/>
    <cellStyle name="Separador de milhares 3 3 8 2 2" xfId="8567"/>
    <cellStyle name="Separador de milhares 3 3 8 2 2 2" xfId="20421"/>
    <cellStyle name="Separador de milhares 3 3 8 2 2 2 2" xfId="46900"/>
    <cellStyle name="Separador de milhares 3 3 8 2 2 3" xfId="14494"/>
    <cellStyle name="Separador de milhares 3 3 8 2 2 3 2" xfId="40992"/>
    <cellStyle name="Separador de milhares 3 3 8 2 2 4" xfId="35084"/>
    <cellStyle name="Separador de milhares 3 3 8 2 2 5" xfId="28550"/>
    <cellStyle name="Separador de milhares 3 3 8 2 3" xfId="17457"/>
    <cellStyle name="Separador de milhares 3 3 8 2 3 2" xfId="43946"/>
    <cellStyle name="Separador de milhares 3 3 8 2 4" xfId="11530"/>
    <cellStyle name="Separador de milhares 3 3 8 2 4 2" xfId="38038"/>
    <cellStyle name="Separador de milhares 3 3 8 2 5" xfId="31879"/>
    <cellStyle name="Separador de milhares 3 3 8 2 6" xfId="25345"/>
    <cellStyle name="Separador de milhares 3 3 8 3" xfId="7094"/>
    <cellStyle name="Separador de milhares 3 3 8 3 2" xfId="18948"/>
    <cellStyle name="Separador de milhares 3 3 8 3 2 2" xfId="45432"/>
    <cellStyle name="Separador de milhares 3 3 8 3 3" xfId="13021"/>
    <cellStyle name="Separador de milhares 3 3 8 3 3 2" xfId="39524"/>
    <cellStyle name="Separador de milhares 3 3 8 3 4" xfId="33616"/>
    <cellStyle name="Separador de milhares 3 3 8 3 5" xfId="27082"/>
    <cellStyle name="Separador de milhares 3 3 8 4" xfId="15984"/>
    <cellStyle name="Separador de milhares 3 3 8 4 2" xfId="42478"/>
    <cellStyle name="Separador de milhares 3 3 8 4 3" xfId="23573"/>
    <cellStyle name="Separador de milhares 3 3 8 5" xfId="10057"/>
    <cellStyle name="Separador de milhares 3 3 8 5 2" xfId="36570"/>
    <cellStyle name="Separador de milhares 3 3 8 6" xfId="30107"/>
    <cellStyle name="Separador de milhares 3 3 8 7" xfId="21801"/>
    <cellStyle name="Separador de milhares 3 3 9" xfId="2155"/>
    <cellStyle name="Separador de milhares 3 3 9 2" xfId="5502"/>
    <cellStyle name="Separador de milhares 3 3 9 2 2" xfId="8714"/>
    <cellStyle name="Separador de milhares 3 3 9 2 2 2" xfId="20568"/>
    <cellStyle name="Separador de milhares 3 3 9 2 2 2 2" xfId="47047"/>
    <cellStyle name="Separador de milhares 3 3 9 2 2 3" xfId="14641"/>
    <cellStyle name="Separador de milhares 3 3 9 2 2 3 2" xfId="41139"/>
    <cellStyle name="Separador de milhares 3 3 9 2 2 4" xfId="35231"/>
    <cellStyle name="Separador de milhares 3 3 9 2 2 5" xfId="28697"/>
    <cellStyle name="Separador de milhares 3 3 9 2 3" xfId="17604"/>
    <cellStyle name="Separador de milhares 3 3 9 2 3 2" xfId="44093"/>
    <cellStyle name="Separador de milhares 3 3 9 2 4" xfId="11677"/>
    <cellStyle name="Separador de milhares 3 3 9 2 4 2" xfId="38185"/>
    <cellStyle name="Separador de milhares 3 3 9 2 5" xfId="32029"/>
    <cellStyle name="Separador de milhares 3 3 9 2 6" xfId="25495"/>
    <cellStyle name="Separador de milhares 3 3 9 3" xfId="7242"/>
    <cellStyle name="Separador de milhares 3 3 9 3 2" xfId="19096"/>
    <cellStyle name="Separador de milhares 3 3 9 3 2 2" xfId="45579"/>
    <cellStyle name="Separador de milhares 3 3 9 3 3" xfId="13169"/>
    <cellStyle name="Separador de milhares 3 3 9 3 3 2" xfId="39671"/>
    <cellStyle name="Separador de milhares 3 3 9 3 4" xfId="33763"/>
    <cellStyle name="Separador de milhares 3 3 9 3 5" xfId="27229"/>
    <cellStyle name="Separador de milhares 3 3 9 4" xfId="16132"/>
    <cellStyle name="Separador de milhares 3 3 9 4 2" xfId="42625"/>
    <cellStyle name="Separador de milhares 3 3 9 4 3" xfId="23723"/>
    <cellStyle name="Separador de milhares 3 3 9 5" xfId="10205"/>
    <cellStyle name="Separador de milhares 3 3 9 5 2" xfId="36717"/>
    <cellStyle name="Separador de milhares 3 3 9 6" xfId="30257"/>
    <cellStyle name="Separador de milhares 3 3 9 7" xfId="21951"/>
    <cellStyle name="Separador de milhares 3 30" xfId="9634"/>
    <cellStyle name="Separador de milhares 3 30 2" xfId="36150"/>
    <cellStyle name="Separador de milhares 3 31" xfId="29678"/>
    <cellStyle name="Separador de milhares 3 4" xfId="177"/>
    <cellStyle name="Separador de milhares 3 4 10" xfId="2687"/>
    <cellStyle name="Separador de milhares 3 4 10 2" xfId="5650"/>
    <cellStyle name="Separador de milhares 3 4 10 2 2" xfId="8862"/>
    <cellStyle name="Separador de milhares 3 4 10 2 2 2" xfId="20716"/>
    <cellStyle name="Separador de milhares 3 4 10 2 2 2 2" xfId="47195"/>
    <cellStyle name="Separador de milhares 3 4 10 2 2 3" xfId="14789"/>
    <cellStyle name="Separador de milhares 3 4 10 2 2 3 2" xfId="41287"/>
    <cellStyle name="Separador de milhares 3 4 10 2 2 4" xfId="35379"/>
    <cellStyle name="Separador de milhares 3 4 10 2 2 5" xfId="28845"/>
    <cellStyle name="Separador de milhares 3 4 10 2 3" xfId="17752"/>
    <cellStyle name="Separador de milhares 3 4 10 2 3 2" xfId="44241"/>
    <cellStyle name="Separador de milhares 3 4 10 2 4" xfId="11825"/>
    <cellStyle name="Separador de milhares 3 4 10 2 4 2" xfId="38333"/>
    <cellStyle name="Separador de milhares 3 4 10 2 5" xfId="32177"/>
    <cellStyle name="Separador de milhares 3 4 10 2 6" xfId="25643"/>
    <cellStyle name="Separador de milhares 3 4 10 3" xfId="7391"/>
    <cellStyle name="Separador de milhares 3 4 10 3 2" xfId="19245"/>
    <cellStyle name="Separador de milhares 3 4 10 3 2 2" xfId="45727"/>
    <cellStyle name="Separador de milhares 3 4 10 3 3" xfId="13318"/>
    <cellStyle name="Separador de milhares 3 4 10 3 3 2" xfId="39819"/>
    <cellStyle name="Separador de milhares 3 4 10 3 4" xfId="33911"/>
    <cellStyle name="Separador de milhares 3 4 10 3 5" xfId="27377"/>
    <cellStyle name="Separador de milhares 3 4 10 4" xfId="16281"/>
    <cellStyle name="Separador de milhares 3 4 10 4 2" xfId="42773"/>
    <cellStyle name="Separador de milhares 3 4 10 4 3" xfId="23871"/>
    <cellStyle name="Separador de milhares 3 4 10 5" xfId="10354"/>
    <cellStyle name="Separador de milhares 3 4 10 5 2" xfId="36865"/>
    <cellStyle name="Separador de milhares 3 4 10 6" xfId="30405"/>
    <cellStyle name="Separador de milhares 3 4 10 7" xfId="22099"/>
    <cellStyle name="Separador de milhares 3 4 11" xfId="3215"/>
    <cellStyle name="Separador de milhares 3 4 11 2" xfId="5797"/>
    <cellStyle name="Separador de milhares 3 4 11 2 2" xfId="9009"/>
    <cellStyle name="Separador de milhares 3 4 11 2 2 2" xfId="20863"/>
    <cellStyle name="Separador de milhares 3 4 11 2 2 2 2" xfId="47342"/>
    <cellStyle name="Separador de milhares 3 4 11 2 2 3" xfId="14936"/>
    <cellStyle name="Separador de milhares 3 4 11 2 2 3 2" xfId="41434"/>
    <cellStyle name="Separador de milhares 3 4 11 2 2 4" xfId="35526"/>
    <cellStyle name="Separador de milhares 3 4 11 2 2 5" xfId="28992"/>
    <cellStyle name="Separador de milhares 3 4 11 2 3" xfId="17899"/>
    <cellStyle name="Separador de milhares 3 4 11 2 3 2" xfId="44388"/>
    <cellStyle name="Separador de milhares 3 4 11 2 4" xfId="11972"/>
    <cellStyle name="Separador de milhares 3 4 11 2 4 2" xfId="38480"/>
    <cellStyle name="Separador de milhares 3 4 11 2 5" xfId="32324"/>
    <cellStyle name="Separador de milhares 3 4 11 2 6" xfId="25790"/>
    <cellStyle name="Separador de milhares 3 4 11 3" xfId="7539"/>
    <cellStyle name="Separador de milhares 3 4 11 3 2" xfId="19393"/>
    <cellStyle name="Separador de milhares 3 4 11 3 2 2" xfId="45874"/>
    <cellStyle name="Separador de milhares 3 4 11 3 3" xfId="13466"/>
    <cellStyle name="Separador de milhares 3 4 11 3 3 2" xfId="39966"/>
    <cellStyle name="Separador de milhares 3 4 11 3 4" xfId="34058"/>
    <cellStyle name="Separador de milhares 3 4 11 3 5" xfId="27524"/>
    <cellStyle name="Separador de milhares 3 4 11 4" xfId="16429"/>
    <cellStyle name="Separador de milhares 3 4 11 4 2" xfId="42920"/>
    <cellStyle name="Separador de milhares 3 4 11 4 3" xfId="24018"/>
    <cellStyle name="Separador de milhares 3 4 11 5" xfId="10502"/>
    <cellStyle name="Separador de milhares 3 4 11 5 2" xfId="37012"/>
    <cellStyle name="Separador de milhares 3 4 11 6" xfId="30552"/>
    <cellStyle name="Separador de milhares 3 4 11 7" xfId="22246"/>
    <cellStyle name="Separador de milhares 3 4 12" xfId="3743"/>
    <cellStyle name="Separador de milhares 3 4 12 2" xfId="5944"/>
    <cellStyle name="Separador de milhares 3 4 12 2 2" xfId="9156"/>
    <cellStyle name="Separador de milhares 3 4 12 2 2 2" xfId="21010"/>
    <cellStyle name="Separador de milhares 3 4 12 2 2 2 2" xfId="47489"/>
    <cellStyle name="Separador de milhares 3 4 12 2 2 3" xfId="15083"/>
    <cellStyle name="Separador de milhares 3 4 12 2 2 3 2" xfId="41581"/>
    <cellStyle name="Separador de milhares 3 4 12 2 2 4" xfId="35673"/>
    <cellStyle name="Separador de milhares 3 4 12 2 2 5" xfId="29139"/>
    <cellStyle name="Separador de milhares 3 4 12 2 3" xfId="18046"/>
    <cellStyle name="Separador de milhares 3 4 12 2 3 2" xfId="44535"/>
    <cellStyle name="Separador de milhares 3 4 12 2 4" xfId="12119"/>
    <cellStyle name="Separador de milhares 3 4 12 2 4 2" xfId="38627"/>
    <cellStyle name="Separador de milhares 3 4 12 2 5" xfId="32471"/>
    <cellStyle name="Separador de milhares 3 4 12 2 6" xfId="25937"/>
    <cellStyle name="Separador de milhares 3 4 12 3" xfId="7687"/>
    <cellStyle name="Separador de milhares 3 4 12 3 2" xfId="19541"/>
    <cellStyle name="Separador de milhares 3 4 12 3 2 2" xfId="46021"/>
    <cellStyle name="Separador de milhares 3 4 12 3 3" xfId="13614"/>
    <cellStyle name="Separador de milhares 3 4 12 3 3 2" xfId="40113"/>
    <cellStyle name="Separador de milhares 3 4 12 3 4" xfId="34205"/>
    <cellStyle name="Separador de milhares 3 4 12 3 5" xfId="27671"/>
    <cellStyle name="Separador de milhares 3 4 12 4" xfId="16577"/>
    <cellStyle name="Separador de milhares 3 4 12 4 2" xfId="43067"/>
    <cellStyle name="Separador de milhares 3 4 12 4 3" xfId="24165"/>
    <cellStyle name="Separador de milhares 3 4 12 5" xfId="10650"/>
    <cellStyle name="Separador de milhares 3 4 12 5 2" xfId="37159"/>
    <cellStyle name="Separador de milhares 3 4 12 6" xfId="30699"/>
    <cellStyle name="Separador de milhares 3 4 12 7" xfId="22393"/>
    <cellStyle name="Separador de milhares 3 4 13" xfId="4928"/>
    <cellStyle name="Separador de milhares 3 4 13 2" xfId="8152"/>
    <cellStyle name="Separador de milhares 3 4 13 2 2" xfId="20006"/>
    <cellStyle name="Separador de milhares 3 4 13 2 2 2" xfId="46485"/>
    <cellStyle name="Separador de milhares 3 4 13 2 3" xfId="14079"/>
    <cellStyle name="Separador de milhares 3 4 13 2 3 2" xfId="40577"/>
    <cellStyle name="Separador de milhares 3 4 13 2 4" xfId="34669"/>
    <cellStyle name="Separador de milhares 3 4 13 2 5" xfId="28135"/>
    <cellStyle name="Separador de milhares 3 4 13 3" xfId="17042"/>
    <cellStyle name="Separador de milhares 3 4 13 3 2" xfId="43531"/>
    <cellStyle name="Separador de milhares 3 4 13 4" xfId="11115"/>
    <cellStyle name="Separador de milhares 3 4 13 4 2" xfId="37623"/>
    <cellStyle name="Separador de milhares 3 4 13 5" xfId="31455"/>
    <cellStyle name="Separador de milhares 3 4 13 6" xfId="24921"/>
    <cellStyle name="Separador de milhares 3 4 14" xfId="6676"/>
    <cellStyle name="Separador de milhares 3 4 14 2" xfId="18530"/>
    <cellStyle name="Separador de milhares 3 4 14 2 2" xfId="45017"/>
    <cellStyle name="Separador de milhares 3 4 14 3" xfId="12603"/>
    <cellStyle name="Separador de milhares 3 4 14 3 2" xfId="39109"/>
    <cellStyle name="Separador de milhares 3 4 14 4" xfId="33201"/>
    <cellStyle name="Separador de milhares 3 4 14 5" xfId="26667"/>
    <cellStyle name="Separador de milhares 3 4 15" xfId="15566"/>
    <cellStyle name="Separador de milhares 3 4 15 2" xfId="42063"/>
    <cellStyle name="Separador de milhares 3 4 15 3" xfId="23149"/>
    <cellStyle name="Separador de milhares 3 4 16" xfId="9639"/>
    <cellStyle name="Separador de milhares 3 4 16 2" xfId="36155"/>
    <cellStyle name="Separador de milhares 3 4 17" xfId="29683"/>
    <cellStyle name="Separador de milhares 3 4 2" xfId="271"/>
    <cellStyle name="Separador de milhares 3 4 2 10" xfId="4957"/>
    <cellStyle name="Separador de milhares 3 4 2 10 2" xfId="8179"/>
    <cellStyle name="Separador de milhares 3 4 2 10 2 2" xfId="20033"/>
    <cellStyle name="Separador de milhares 3 4 2 10 2 2 2" xfId="46512"/>
    <cellStyle name="Separador de milhares 3 4 2 10 2 3" xfId="14106"/>
    <cellStyle name="Separador de milhares 3 4 2 10 2 3 2" xfId="40604"/>
    <cellStyle name="Separador de milhares 3 4 2 10 2 4" xfId="34696"/>
    <cellStyle name="Separador de milhares 3 4 2 10 2 5" xfId="28162"/>
    <cellStyle name="Separador de milhares 3 4 2 10 3" xfId="17069"/>
    <cellStyle name="Separador de milhares 3 4 2 10 3 2" xfId="43558"/>
    <cellStyle name="Separador de milhares 3 4 2 10 4" xfId="11142"/>
    <cellStyle name="Separador de milhares 3 4 2 10 4 2" xfId="37650"/>
    <cellStyle name="Separador de milhares 3 4 2 10 5" xfId="31484"/>
    <cellStyle name="Separador de milhares 3 4 2 10 6" xfId="24950"/>
    <cellStyle name="Separador de milhares 3 4 2 11" xfId="6703"/>
    <cellStyle name="Separador de milhares 3 4 2 11 2" xfId="18557"/>
    <cellStyle name="Separador de milhares 3 4 2 11 2 2" xfId="45044"/>
    <cellStyle name="Separador de milhares 3 4 2 11 3" xfId="12630"/>
    <cellStyle name="Separador de milhares 3 4 2 11 3 2" xfId="39136"/>
    <cellStyle name="Separador de milhares 3 4 2 11 4" xfId="33228"/>
    <cellStyle name="Separador de milhares 3 4 2 11 5" xfId="26694"/>
    <cellStyle name="Separador de milhares 3 4 2 12" xfId="15593"/>
    <cellStyle name="Separador de milhares 3 4 2 12 2" xfId="42090"/>
    <cellStyle name="Separador de milhares 3 4 2 12 3" xfId="23178"/>
    <cellStyle name="Separador de milhares 3 4 2 13" xfId="9666"/>
    <cellStyle name="Separador de milhares 3 4 2 13 2" xfId="36182"/>
    <cellStyle name="Separador de milhares 3 4 2 14" xfId="29712"/>
    <cellStyle name="Separador de milhares 3 4 2 15" xfId="21430"/>
    <cellStyle name="Separador de milhares 3 4 2 2" xfId="546"/>
    <cellStyle name="Separador de milhares 3 4 2 2 10" xfId="9740"/>
    <cellStyle name="Separador de milhares 3 4 2 2 10 2" xfId="36256"/>
    <cellStyle name="Separador de milhares 3 4 2 2 11" xfId="29793"/>
    <cellStyle name="Separador de milhares 3 4 2 2 12" xfId="21488"/>
    <cellStyle name="Separador de milhares 3 4 2 2 2" xfId="2067"/>
    <cellStyle name="Separador de milhares 3 4 2 2 2 2" xfId="5476"/>
    <cellStyle name="Separador de milhares 3 4 2 2 2 2 2" xfId="8691"/>
    <cellStyle name="Separador de milhares 3 4 2 2 2 2 2 2" xfId="20545"/>
    <cellStyle name="Separador de milhares 3 4 2 2 2 2 2 2 2" xfId="47024"/>
    <cellStyle name="Separador de milhares 3 4 2 2 2 2 2 3" xfId="14618"/>
    <cellStyle name="Separador de milhares 3 4 2 2 2 2 2 3 2" xfId="41116"/>
    <cellStyle name="Separador de milhares 3 4 2 2 2 2 2 4" xfId="35208"/>
    <cellStyle name="Separador de milhares 3 4 2 2 2 2 2 5" xfId="28674"/>
    <cellStyle name="Separador de milhares 3 4 2 2 2 2 3" xfId="17581"/>
    <cellStyle name="Separador de milhares 3 4 2 2 2 2 3 2" xfId="44070"/>
    <cellStyle name="Separador de milhares 3 4 2 2 2 2 4" xfId="11654"/>
    <cellStyle name="Separador de milhares 3 4 2 2 2 2 4 2" xfId="38162"/>
    <cellStyle name="Separador de milhares 3 4 2 2 2 2 5" xfId="32003"/>
    <cellStyle name="Separador de milhares 3 4 2 2 2 2 6" xfId="25469"/>
    <cellStyle name="Separador de milhares 3 4 2 2 2 3" xfId="7219"/>
    <cellStyle name="Separador de milhares 3 4 2 2 2 3 2" xfId="19073"/>
    <cellStyle name="Separador de milhares 3 4 2 2 2 3 2 2" xfId="45556"/>
    <cellStyle name="Separador de milhares 3 4 2 2 2 3 3" xfId="13146"/>
    <cellStyle name="Separador de milhares 3 4 2 2 2 3 3 2" xfId="39648"/>
    <cellStyle name="Separador de milhares 3 4 2 2 2 3 4" xfId="33740"/>
    <cellStyle name="Separador de milhares 3 4 2 2 2 3 5" xfId="27206"/>
    <cellStyle name="Separador de milhares 3 4 2 2 2 4" xfId="16109"/>
    <cellStyle name="Separador de milhares 3 4 2 2 2 4 2" xfId="42602"/>
    <cellStyle name="Separador de milhares 3 4 2 2 2 4 3" xfId="23697"/>
    <cellStyle name="Separador de milhares 3 4 2 2 2 5" xfId="10182"/>
    <cellStyle name="Separador de milhares 3 4 2 2 2 5 2" xfId="36694"/>
    <cellStyle name="Separador de milhares 3 4 2 2 2 6" xfId="30231"/>
    <cellStyle name="Separador de milhares 3 4 2 2 2 7" xfId="21925"/>
    <cellStyle name="Separador de milhares 3 4 2 2 3" xfId="2600"/>
    <cellStyle name="Separador de milhares 3 4 2 2 3 2" xfId="5626"/>
    <cellStyle name="Separador de milhares 3 4 2 2 3 2 2" xfId="8838"/>
    <cellStyle name="Separador de milhares 3 4 2 2 3 2 2 2" xfId="20692"/>
    <cellStyle name="Separador de milhares 3 4 2 2 3 2 2 2 2" xfId="47171"/>
    <cellStyle name="Separador de milhares 3 4 2 2 3 2 2 3" xfId="14765"/>
    <cellStyle name="Separador de milhares 3 4 2 2 3 2 2 3 2" xfId="41263"/>
    <cellStyle name="Separador de milhares 3 4 2 2 3 2 2 4" xfId="35355"/>
    <cellStyle name="Separador de milhares 3 4 2 2 3 2 2 5" xfId="28821"/>
    <cellStyle name="Separador de milhares 3 4 2 2 3 2 3" xfId="17728"/>
    <cellStyle name="Separador de milhares 3 4 2 2 3 2 3 2" xfId="44217"/>
    <cellStyle name="Separador de milhares 3 4 2 2 3 2 4" xfId="11801"/>
    <cellStyle name="Separador de milhares 3 4 2 2 3 2 4 2" xfId="38309"/>
    <cellStyle name="Separador de milhares 3 4 2 2 3 2 5" xfId="32153"/>
    <cellStyle name="Separador de milhares 3 4 2 2 3 2 6" xfId="25619"/>
    <cellStyle name="Separador de milhares 3 4 2 2 3 3" xfId="7367"/>
    <cellStyle name="Separador de milhares 3 4 2 2 3 3 2" xfId="19221"/>
    <cellStyle name="Separador de milhares 3 4 2 2 3 3 2 2" xfId="45703"/>
    <cellStyle name="Separador de milhares 3 4 2 2 3 3 3" xfId="13294"/>
    <cellStyle name="Separador de milhares 3 4 2 2 3 3 3 2" xfId="39795"/>
    <cellStyle name="Separador de milhares 3 4 2 2 3 3 4" xfId="33887"/>
    <cellStyle name="Separador de milhares 3 4 2 2 3 3 5" xfId="27353"/>
    <cellStyle name="Separador de milhares 3 4 2 2 3 4" xfId="16257"/>
    <cellStyle name="Separador de milhares 3 4 2 2 3 4 2" xfId="42749"/>
    <cellStyle name="Separador de milhares 3 4 2 2 3 4 3" xfId="23847"/>
    <cellStyle name="Separador de milhares 3 4 2 2 3 5" xfId="10330"/>
    <cellStyle name="Separador de milhares 3 4 2 2 3 5 2" xfId="36841"/>
    <cellStyle name="Separador de milhares 3 4 2 2 3 6" xfId="30381"/>
    <cellStyle name="Separador de milhares 3 4 2 2 3 7" xfId="22075"/>
    <cellStyle name="Separador de milhares 3 4 2 2 4" xfId="3128"/>
    <cellStyle name="Separador de milhares 3 4 2 2 4 2" xfId="5773"/>
    <cellStyle name="Separador de milhares 3 4 2 2 4 2 2" xfId="8985"/>
    <cellStyle name="Separador de milhares 3 4 2 2 4 2 2 2" xfId="20839"/>
    <cellStyle name="Separador de milhares 3 4 2 2 4 2 2 2 2" xfId="47318"/>
    <cellStyle name="Separador de milhares 3 4 2 2 4 2 2 3" xfId="14912"/>
    <cellStyle name="Separador de milhares 3 4 2 2 4 2 2 3 2" xfId="41410"/>
    <cellStyle name="Separador de milhares 3 4 2 2 4 2 2 4" xfId="35502"/>
    <cellStyle name="Separador de milhares 3 4 2 2 4 2 2 5" xfId="28968"/>
    <cellStyle name="Separador de milhares 3 4 2 2 4 2 3" xfId="17875"/>
    <cellStyle name="Separador de milhares 3 4 2 2 4 2 3 2" xfId="44364"/>
    <cellStyle name="Separador de milhares 3 4 2 2 4 2 4" xfId="11948"/>
    <cellStyle name="Separador de milhares 3 4 2 2 4 2 4 2" xfId="38456"/>
    <cellStyle name="Separador de milhares 3 4 2 2 4 2 5" xfId="32300"/>
    <cellStyle name="Separador de milhares 3 4 2 2 4 2 6" xfId="25766"/>
    <cellStyle name="Separador de milhares 3 4 2 2 4 3" xfId="7515"/>
    <cellStyle name="Separador de milhares 3 4 2 2 4 3 2" xfId="19369"/>
    <cellStyle name="Separador de milhares 3 4 2 2 4 3 2 2" xfId="45850"/>
    <cellStyle name="Separador de milhares 3 4 2 2 4 3 3" xfId="13442"/>
    <cellStyle name="Separador de milhares 3 4 2 2 4 3 3 2" xfId="39942"/>
    <cellStyle name="Separador de milhares 3 4 2 2 4 3 4" xfId="34034"/>
    <cellStyle name="Separador de milhares 3 4 2 2 4 3 5" xfId="27500"/>
    <cellStyle name="Separador de milhares 3 4 2 2 4 4" xfId="16405"/>
    <cellStyle name="Separador de milhares 3 4 2 2 4 4 2" xfId="42896"/>
    <cellStyle name="Separador de milhares 3 4 2 2 4 4 3" xfId="23994"/>
    <cellStyle name="Separador de milhares 3 4 2 2 4 5" xfId="10478"/>
    <cellStyle name="Separador de milhares 3 4 2 2 4 5 2" xfId="36988"/>
    <cellStyle name="Separador de milhares 3 4 2 2 4 6" xfId="30528"/>
    <cellStyle name="Separador de milhares 3 4 2 2 4 7" xfId="22222"/>
    <cellStyle name="Separador de milhares 3 4 2 2 5" xfId="3656"/>
    <cellStyle name="Separador de milhares 3 4 2 2 5 2" xfId="5920"/>
    <cellStyle name="Separador de milhares 3 4 2 2 5 2 2" xfId="9132"/>
    <cellStyle name="Separador de milhares 3 4 2 2 5 2 2 2" xfId="20986"/>
    <cellStyle name="Separador de milhares 3 4 2 2 5 2 2 2 2" xfId="47465"/>
    <cellStyle name="Separador de milhares 3 4 2 2 5 2 2 3" xfId="15059"/>
    <cellStyle name="Separador de milhares 3 4 2 2 5 2 2 3 2" xfId="41557"/>
    <cellStyle name="Separador de milhares 3 4 2 2 5 2 2 4" xfId="35649"/>
    <cellStyle name="Separador de milhares 3 4 2 2 5 2 2 5" xfId="29115"/>
    <cellStyle name="Separador de milhares 3 4 2 2 5 2 3" xfId="18022"/>
    <cellStyle name="Separador de milhares 3 4 2 2 5 2 3 2" xfId="44511"/>
    <cellStyle name="Separador de milhares 3 4 2 2 5 2 4" xfId="12095"/>
    <cellStyle name="Separador de milhares 3 4 2 2 5 2 4 2" xfId="38603"/>
    <cellStyle name="Separador de milhares 3 4 2 2 5 2 5" xfId="32447"/>
    <cellStyle name="Separador de milhares 3 4 2 2 5 2 6" xfId="25913"/>
    <cellStyle name="Separador de milhares 3 4 2 2 5 3" xfId="7663"/>
    <cellStyle name="Separador de milhares 3 4 2 2 5 3 2" xfId="19517"/>
    <cellStyle name="Separador de milhares 3 4 2 2 5 3 2 2" xfId="45997"/>
    <cellStyle name="Separador de milhares 3 4 2 2 5 3 3" xfId="13590"/>
    <cellStyle name="Separador de milhares 3 4 2 2 5 3 3 2" xfId="40089"/>
    <cellStyle name="Separador de milhares 3 4 2 2 5 3 4" xfId="34181"/>
    <cellStyle name="Separador de milhares 3 4 2 2 5 3 5" xfId="27647"/>
    <cellStyle name="Separador de milhares 3 4 2 2 5 4" xfId="16553"/>
    <cellStyle name="Separador de milhares 3 4 2 2 5 4 2" xfId="43043"/>
    <cellStyle name="Separador de milhares 3 4 2 2 5 4 3" xfId="24141"/>
    <cellStyle name="Separador de milhares 3 4 2 2 5 5" xfId="10626"/>
    <cellStyle name="Separador de milhares 3 4 2 2 5 5 2" xfId="37135"/>
    <cellStyle name="Separador de milhares 3 4 2 2 5 6" xfId="30675"/>
    <cellStyle name="Separador de milhares 3 4 2 2 5 7" xfId="22369"/>
    <cellStyle name="Separador de milhares 3 4 2 2 6" xfId="4184"/>
    <cellStyle name="Separador de milhares 3 4 2 2 6 2" xfId="6067"/>
    <cellStyle name="Separador de milhares 3 4 2 2 6 2 2" xfId="9279"/>
    <cellStyle name="Separador de milhares 3 4 2 2 6 2 2 2" xfId="21133"/>
    <cellStyle name="Separador de milhares 3 4 2 2 6 2 2 2 2" xfId="47612"/>
    <cellStyle name="Separador de milhares 3 4 2 2 6 2 2 3" xfId="15206"/>
    <cellStyle name="Separador de milhares 3 4 2 2 6 2 2 3 2" xfId="41704"/>
    <cellStyle name="Separador de milhares 3 4 2 2 6 2 2 4" xfId="35796"/>
    <cellStyle name="Separador de milhares 3 4 2 2 6 2 2 5" xfId="29262"/>
    <cellStyle name="Separador de milhares 3 4 2 2 6 2 3" xfId="18169"/>
    <cellStyle name="Separador de milhares 3 4 2 2 6 2 3 2" xfId="44658"/>
    <cellStyle name="Separador de milhares 3 4 2 2 6 2 4" xfId="12242"/>
    <cellStyle name="Separador de milhares 3 4 2 2 6 2 4 2" xfId="38750"/>
    <cellStyle name="Separador de milhares 3 4 2 2 6 2 5" xfId="32594"/>
    <cellStyle name="Separador de milhares 3 4 2 2 6 2 6" xfId="26060"/>
    <cellStyle name="Separador de milhares 3 4 2 2 6 3" xfId="7811"/>
    <cellStyle name="Separador de milhares 3 4 2 2 6 3 2" xfId="19665"/>
    <cellStyle name="Separador de milhares 3 4 2 2 6 3 2 2" xfId="46144"/>
    <cellStyle name="Separador de milhares 3 4 2 2 6 3 3" xfId="13738"/>
    <cellStyle name="Separador de milhares 3 4 2 2 6 3 3 2" xfId="40236"/>
    <cellStyle name="Separador de milhares 3 4 2 2 6 3 4" xfId="34328"/>
    <cellStyle name="Separador de milhares 3 4 2 2 6 3 5" xfId="27794"/>
    <cellStyle name="Separador de milhares 3 4 2 2 6 4" xfId="16701"/>
    <cellStyle name="Separador de milhares 3 4 2 2 6 4 2" xfId="43190"/>
    <cellStyle name="Separador de milhares 3 4 2 2 6 4 3" xfId="24288"/>
    <cellStyle name="Separador de milhares 3 4 2 2 6 5" xfId="10774"/>
    <cellStyle name="Separador de milhares 3 4 2 2 6 5 2" xfId="37282"/>
    <cellStyle name="Separador de milhares 3 4 2 2 6 6" xfId="30822"/>
    <cellStyle name="Separador de milhares 3 4 2 2 6 7" xfId="22516"/>
    <cellStyle name="Separador de milhares 3 4 2 2 7" xfId="5038"/>
    <cellStyle name="Separador de milhares 3 4 2 2 7 2" xfId="8253"/>
    <cellStyle name="Separador de milhares 3 4 2 2 7 2 2" xfId="20107"/>
    <cellStyle name="Separador de milhares 3 4 2 2 7 2 2 2" xfId="46586"/>
    <cellStyle name="Separador de milhares 3 4 2 2 7 2 3" xfId="14180"/>
    <cellStyle name="Separador de milhares 3 4 2 2 7 2 3 2" xfId="40678"/>
    <cellStyle name="Separador de milhares 3 4 2 2 7 2 4" xfId="34770"/>
    <cellStyle name="Separador de milhares 3 4 2 2 7 2 5" xfId="28236"/>
    <cellStyle name="Separador de milhares 3 4 2 2 7 3" xfId="17143"/>
    <cellStyle name="Separador de milhares 3 4 2 2 7 3 2" xfId="43632"/>
    <cellStyle name="Separador de milhares 3 4 2 2 7 4" xfId="11216"/>
    <cellStyle name="Separador de milhares 3 4 2 2 7 4 2" xfId="37724"/>
    <cellStyle name="Separador de milhares 3 4 2 2 7 5" xfId="31565"/>
    <cellStyle name="Separador de milhares 3 4 2 2 7 6" xfId="25031"/>
    <cellStyle name="Separador de milhares 3 4 2 2 8" xfId="6777"/>
    <cellStyle name="Separador de milhares 3 4 2 2 8 2" xfId="18631"/>
    <cellStyle name="Separador de milhares 3 4 2 2 8 2 2" xfId="45118"/>
    <cellStyle name="Separador de milhares 3 4 2 2 8 3" xfId="12704"/>
    <cellStyle name="Separador de milhares 3 4 2 2 8 3 2" xfId="39210"/>
    <cellStyle name="Separador de milhares 3 4 2 2 8 4" xfId="33302"/>
    <cellStyle name="Separador de milhares 3 4 2 2 8 5" xfId="26768"/>
    <cellStyle name="Separador de milhares 3 4 2 2 9" xfId="15667"/>
    <cellStyle name="Separador de milhares 3 4 2 2 9 2" xfId="42164"/>
    <cellStyle name="Separador de milhares 3 4 2 2 9 3" xfId="23259"/>
    <cellStyle name="Separador de milhares 3 4 2 3" xfId="1020"/>
    <cellStyle name="Separador de milhares 3 4 2 3 2" xfId="5189"/>
    <cellStyle name="Separador de milhares 3 4 2 3 2 2" xfId="8404"/>
    <cellStyle name="Separador de milhares 3 4 2 3 2 2 2" xfId="20258"/>
    <cellStyle name="Separador de milhares 3 4 2 3 2 2 2 2" xfId="46737"/>
    <cellStyle name="Separador de milhares 3 4 2 3 2 2 3" xfId="14331"/>
    <cellStyle name="Separador de milhares 3 4 2 3 2 2 3 2" xfId="40829"/>
    <cellStyle name="Separador de milhares 3 4 2 3 2 2 4" xfId="34921"/>
    <cellStyle name="Separador de milhares 3 4 2 3 2 2 5" xfId="28387"/>
    <cellStyle name="Separador de milhares 3 4 2 3 2 3" xfId="17294"/>
    <cellStyle name="Separador de milhares 3 4 2 3 2 3 2" xfId="43783"/>
    <cellStyle name="Separador de milhares 3 4 2 3 2 4" xfId="11367"/>
    <cellStyle name="Separador de milhares 3 4 2 3 2 4 2" xfId="37875"/>
    <cellStyle name="Separador de milhares 3 4 2 3 2 5" xfId="31716"/>
    <cellStyle name="Separador de milhares 3 4 2 3 2 6" xfId="25182"/>
    <cellStyle name="Separador de milhares 3 4 2 3 3" xfId="6931"/>
    <cellStyle name="Separador de milhares 3 4 2 3 3 2" xfId="18785"/>
    <cellStyle name="Separador de milhares 3 4 2 3 3 2 2" xfId="45269"/>
    <cellStyle name="Separador de milhares 3 4 2 3 3 3" xfId="12858"/>
    <cellStyle name="Separador de milhares 3 4 2 3 3 3 2" xfId="39361"/>
    <cellStyle name="Separador de milhares 3 4 2 3 3 4" xfId="33453"/>
    <cellStyle name="Separador de milhares 3 4 2 3 3 5" xfId="26919"/>
    <cellStyle name="Separador de milhares 3 4 2 3 4" xfId="15821"/>
    <cellStyle name="Separador de milhares 3 4 2 3 4 2" xfId="42315"/>
    <cellStyle name="Separador de milhares 3 4 2 3 4 3" xfId="23410"/>
    <cellStyle name="Separador de milhares 3 4 2 3 5" xfId="9894"/>
    <cellStyle name="Separador de milhares 3 4 2 3 5 2" xfId="36407"/>
    <cellStyle name="Separador de milhares 3 4 2 3 6" xfId="29944"/>
    <cellStyle name="Separador de milhares 3 4 2 3 7" xfId="21638"/>
    <cellStyle name="Separador de milhares 3 4 2 4" xfId="1371"/>
    <cellStyle name="Separador de milhares 3 4 2 4 2" xfId="5287"/>
    <cellStyle name="Separador de milhares 3 4 2 4 2 2" xfId="8502"/>
    <cellStyle name="Separador de milhares 3 4 2 4 2 2 2" xfId="20356"/>
    <cellStyle name="Separador de milhares 3 4 2 4 2 2 2 2" xfId="46835"/>
    <cellStyle name="Separador de milhares 3 4 2 4 2 2 3" xfId="14429"/>
    <cellStyle name="Separador de milhares 3 4 2 4 2 2 3 2" xfId="40927"/>
    <cellStyle name="Separador de milhares 3 4 2 4 2 2 4" xfId="35019"/>
    <cellStyle name="Separador de milhares 3 4 2 4 2 2 5" xfId="28485"/>
    <cellStyle name="Separador de milhares 3 4 2 4 2 3" xfId="17392"/>
    <cellStyle name="Separador de milhares 3 4 2 4 2 3 2" xfId="43881"/>
    <cellStyle name="Separador de milhares 3 4 2 4 2 4" xfId="11465"/>
    <cellStyle name="Separador de milhares 3 4 2 4 2 4 2" xfId="37973"/>
    <cellStyle name="Separador de milhares 3 4 2 4 2 5" xfId="31814"/>
    <cellStyle name="Separador de milhares 3 4 2 4 2 6" xfId="25280"/>
    <cellStyle name="Separador de milhares 3 4 2 4 3" xfId="7029"/>
    <cellStyle name="Separador de milhares 3 4 2 4 3 2" xfId="18883"/>
    <cellStyle name="Separador de milhares 3 4 2 4 3 2 2" xfId="45367"/>
    <cellStyle name="Separador de milhares 3 4 2 4 3 3" xfId="12956"/>
    <cellStyle name="Separador de milhares 3 4 2 4 3 3 2" xfId="39459"/>
    <cellStyle name="Separador de milhares 3 4 2 4 3 4" xfId="33551"/>
    <cellStyle name="Separador de milhares 3 4 2 4 3 5" xfId="27017"/>
    <cellStyle name="Separador de milhares 3 4 2 4 4" xfId="15919"/>
    <cellStyle name="Separador de milhares 3 4 2 4 4 2" xfId="42413"/>
    <cellStyle name="Separador de milhares 3 4 2 4 4 3" xfId="23508"/>
    <cellStyle name="Separador de milhares 3 4 2 4 5" xfId="9992"/>
    <cellStyle name="Separador de milhares 3 4 2 4 5 2" xfId="36505"/>
    <cellStyle name="Separador de milhares 3 4 2 4 6" xfId="30042"/>
    <cellStyle name="Separador de milhares 3 4 2 4 7" xfId="21736"/>
    <cellStyle name="Separador de milhares 3 4 2 5" xfId="1806"/>
    <cellStyle name="Separador de milhares 3 4 2 5 2" xfId="5406"/>
    <cellStyle name="Separador de milhares 3 4 2 5 2 2" xfId="8621"/>
    <cellStyle name="Separador de milhares 3 4 2 5 2 2 2" xfId="20475"/>
    <cellStyle name="Separador de milhares 3 4 2 5 2 2 2 2" xfId="46954"/>
    <cellStyle name="Separador de milhares 3 4 2 5 2 2 3" xfId="14548"/>
    <cellStyle name="Separador de milhares 3 4 2 5 2 2 3 2" xfId="41046"/>
    <cellStyle name="Separador de milhares 3 4 2 5 2 2 4" xfId="35138"/>
    <cellStyle name="Separador de milhares 3 4 2 5 2 2 5" xfId="28604"/>
    <cellStyle name="Separador de milhares 3 4 2 5 2 3" xfId="17511"/>
    <cellStyle name="Separador de milhares 3 4 2 5 2 3 2" xfId="44000"/>
    <cellStyle name="Separador de milhares 3 4 2 5 2 4" xfId="11584"/>
    <cellStyle name="Separador de milhares 3 4 2 5 2 4 2" xfId="38092"/>
    <cellStyle name="Separador de milhares 3 4 2 5 2 5" xfId="31933"/>
    <cellStyle name="Separador de milhares 3 4 2 5 2 6" xfId="25399"/>
    <cellStyle name="Separador de milhares 3 4 2 5 3" xfId="7148"/>
    <cellStyle name="Separador de milhares 3 4 2 5 3 2" xfId="19002"/>
    <cellStyle name="Separador de milhares 3 4 2 5 3 2 2" xfId="45486"/>
    <cellStyle name="Separador de milhares 3 4 2 5 3 3" xfId="13075"/>
    <cellStyle name="Separador de milhares 3 4 2 5 3 3 2" xfId="39578"/>
    <cellStyle name="Separador de milhares 3 4 2 5 3 4" xfId="33670"/>
    <cellStyle name="Separador de milhares 3 4 2 5 3 5" xfId="27136"/>
    <cellStyle name="Separador de milhares 3 4 2 5 4" xfId="16038"/>
    <cellStyle name="Separador de milhares 3 4 2 5 4 2" xfId="42532"/>
    <cellStyle name="Separador de milhares 3 4 2 5 4 3" xfId="23627"/>
    <cellStyle name="Separador de milhares 3 4 2 5 5" xfId="10111"/>
    <cellStyle name="Separador de milhares 3 4 2 5 5 2" xfId="36624"/>
    <cellStyle name="Separador de milhares 3 4 2 5 6" xfId="30161"/>
    <cellStyle name="Separador de milhares 3 4 2 5 7" xfId="21855"/>
    <cellStyle name="Separador de milhares 3 4 2 6" xfId="2339"/>
    <cellStyle name="Separador de milhares 3 4 2 6 2" xfId="5556"/>
    <cellStyle name="Separador de milhares 3 4 2 6 2 2" xfId="8768"/>
    <cellStyle name="Separador de milhares 3 4 2 6 2 2 2" xfId="20622"/>
    <cellStyle name="Separador de milhares 3 4 2 6 2 2 2 2" xfId="47101"/>
    <cellStyle name="Separador de milhares 3 4 2 6 2 2 3" xfId="14695"/>
    <cellStyle name="Separador de milhares 3 4 2 6 2 2 3 2" xfId="41193"/>
    <cellStyle name="Separador de milhares 3 4 2 6 2 2 4" xfId="35285"/>
    <cellStyle name="Separador de milhares 3 4 2 6 2 2 5" xfId="28751"/>
    <cellStyle name="Separador de milhares 3 4 2 6 2 3" xfId="17658"/>
    <cellStyle name="Separador de milhares 3 4 2 6 2 3 2" xfId="44147"/>
    <cellStyle name="Separador de milhares 3 4 2 6 2 4" xfId="11731"/>
    <cellStyle name="Separador de milhares 3 4 2 6 2 4 2" xfId="38239"/>
    <cellStyle name="Separador de milhares 3 4 2 6 2 5" xfId="32083"/>
    <cellStyle name="Separador de milhares 3 4 2 6 2 6" xfId="25549"/>
    <cellStyle name="Separador de milhares 3 4 2 6 3" xfId="7296"/>
    <cellStyle name="Separador de milhares 3 4 2 6 3 2" xfId="19150"/>
    <cellStyle name="Separador de milhares 3 4 2 6 3 2 2" xfId="45633"/>
    <cellStyle name="Separador de milhares 3 4 2 6 3 3" xfId="13223"/>
    <cellStyle name="Separador de milhares 3 4 2 6 3 3 2" xfId="39725"/>
    <cellStyle name="Separador de milhares 3 4 2 6 3 4" xfId="33817"/>
    <cellStyle name="Separador de milhares 3 4 2 6 3 5" xfId="27283"/>
    <cellStyle name="Separador de milhares 3 4 2 6 4" xfId="16186"/>
    <cellStyle name="Separador de milhares 3 4 2 6 4 2" xfId="42679"/>
    <cellStyle name="Separador de milhares 3 4 2 6 4 3" xfId="23777"/>
    <cellStyle name="Separador de milhares 3 4 2 6 5" xfId="10259"/>
    <cellStyle name="Separador de milhares 3 4 2 6 5 2" xfId="36771"/>
    <cellStyle name="Separador de milhares 3 4 2 6 6" xfId="30311"/>
    <cellStyle name="Separador de milhares 3 4 2 6 7" xfId="22005"/>
    <cellStyle name="Separador de milhares 3 4 2 7" xfId="2867"/>
    <cellStyle name="Separador de milhares 3 4 2 7 2" xfId="5703"/>
    <cellStyle name="Separador de milhares 3 4 2 7 2 2" xfId="8915"/>
    <cellStyle name="Separador de milhares 3 4 2 7 2 2 2" xfId="20769"/>
    <cellStyle name="Separador de milhares 3 4 2 7 2 2 2 2" xfId="47248"/>
    <cellStyle name="Separador de milhares 3 4 2 7 2 2 3" xfId="14842"/>
    <cellStyle name="Separador de milhares 3 4 2 7 2 2 3 2" xfId="41340"/>
    <cellStyle name="Separador de milhares 3 4 2 7 2 2 4" xfId="35432"/>
    <cellStyle name="Separador de milhares 3 4 2 7 2 2 5" xfId="28898"/>
    <cellStyle name="Separador de milhares 3 4 2 7 2 3" xfId="17805"/>
    <cellStyle name="Separador de milhares 3 4 2 7 2 3 2" xfId="44294"/>
    <cellStyle name="Separador de milhares 3 4 2 7 2 4" xfId="11878"/>
    <cellStyle name="Separador de milhares 3 4 2 7 2 4 2" xfId="38386"/>
    <cellStyle name="Separador de milhares 3 4 2 7 2 5" xfId="32230"/>
    <cellStyle name="Separador de milhares 3 4 2 7 2 6" xfId="25696"/>
    <cellStyle name="Separador de milhares 3 4 2 7 3" xfId="7444"/>
    <cellStyle name="Separador de milhares 3 4 2 7 3 2" xfId="19298"/>
    <cellStyle name="Separador de milhares 3 4 2 7 3 2 2" xfId="45780"/>
    <cellStyle name="Separador de milhares 3 4 2 7 3 3" xfId="13371"/>
    <cellStyle name="Separador de milhares 3 4 2 7 3 3 2" xfId="39872"/>
    <cellStyle name="Separador de milhares 3 4 2 7 3 4" xfId="33964"/>
    <cellStyle name="Separador de milhares 3 4 2 7 3 5" xfId="27430"/>
    <cellStyle name="Separador de milhares 3 4 2 7 4" xfId="16334"/>
    <cellStyle name="Separador de milhares 3 4 2 7 4 2" xfId="42826"/>
    <cellStyle name="Separador de milhares 3 4 2 7 4 3" xfId="23924"/>
    <cellStyle name="Separador de milhares 3 4 2 7 5" xfId="10407"/>
    <cellStyle name="Separador de milhares 3 4 2 7 5 2" xfId="36918"/>
    <cellStyle name="Separador de milhares 3 4 2 7 6" xfId="30458"/>
    <cellStyle name="Separador de milhares 3 4 2 7 7" xfId="22152"/>
    <cellStyle name="Separador de milhares 3 4 2 8" xfId="3395"/>
    <cellStyle name="Separador de milhares 3 4 2 8 2" xfId="5850"/>
    <cellStyle name="Separador de milhares 3 4 2 8 2 2" xfId="9062"/>
    <cellStyle name="Separador de milhares 3 4 2 8 2 2 2" xfId="20916"/>
    <cellStyle name="Separador de milhares 3 4 2 8 2 2 2 2" xfId="47395"/>
    <cellStyle name="Separador de milhares 3 4 2 8 2 2 3" xfId="14989"/>
    <cellStyle name="Separador de milhares 3 4 2 8 2 2 3 2" xfId="41487"/>
    <cellStyle name="Separador de milhares 3 4 2 8 2 2 4" xfId="35579"/>
    <cellStyle name="Separador de milhares 3 4 2 8 2 2 5" xfId="29045"/>
    <cellStyle name="Separador de milhares 3 4 2 8 2 3" xfId="17952"/>
    <cellStyle name="Separador de milhares 3 4 2 8 2 3 2" xfId="44441"/>
    <cellStyle name="Separador de milhares 3 4 2 8 2 4" xfId="12025"/>
    <cellStyle name="Separador de milhares 3 4 2 8 2 4 2" xfId="38533"/>
    <cellStyle name="Separador de milhares 3 4 2 8 2 5" xfId="32377"/>
    <cellStyle name="Separador de milhares 3 4 2 8 2 6" xfId="25843"/>
    <cellStyle name="Separador de milhares 3 4 2 8 3" xfId="7592"/>
    <cellStyle name="Separador de milhares 3 4 2 8 3 2" xfId="19446"/>
    <cellStyle name="Separador de milhares 3 4 2 8 3 2 2" xfId="45927"/>
    <cellStyle name="Separador de milhares 3 4 2 8 3 3" xfId="13519"/>
    <cellStyle name="Separador de milhares 3 4 2 8 3 3 2" xfId="40019"/>
    <cellStyle name="Separador de milhares 3 4 2 8 3 4" xfId="34111"/>
    <cellStyle name="Separador de milhares 3 4 2 8 3 5" xfId="27577"/>
    <cellStyle name="Separador de milhares 3 4 2 8 4" xfId="16482"/>
    <cellStyle name="Separador de milhares 3 4 2 8 4 2" xfId="42973"/>
    <cellStyle name="Separador de milhares 3 4 2 8 4 3" xfId="24071"/>
    <cellStyle name="Separador de milhares 3 4 2 8 5" xfId="10555"/>
    <cellStyle name="Separador de milhares 3 4 2 8 5 2" xfId="37065"/>
    <cellStyle name="Separador de milhares 3 4 2 8 6" xfId="30605"/>
    <cellStyle name="Separador de milhares 3 4 2 8 7" xfId="22299"/>
    <cellStyle name="Separador de milhares 3 4 2 9" xfId="3923"/>
    <cellStyle name="Separador de milhares 3 4 2 9 2" xfId="5997"/>
    <cellStyle name="Separador de milhares 3 4 2 9 2 2" xfId="9209"/>
    <cellStyle name="Separador de milhares 3 4 2 9 2 2 2" xfId="21063"/>
    <cellStyle name="Separador de milhares 3 4 2 9 2 2 2 2" xfId="47542"/>
    <cellStyle name="Separador de milhares 3 4 2 9 2 2 3" xfId="15136"/>
    <cellStyle name="Separador de milhares 3 4 2 9 2 2 3 2" xfId="41634"/>
    <cellStyle name="Separador de milhares 3 4 2 9 2 2 4" xfId="35726"/>
    <cellStyle name="Separador de milhares 3 4 2 9 2 2 5" xfId="29192"/>
    <cellStyle name="Separador de milhares 3 4 2 9 2 3" xfId="18099"/>
    <cellStyle name="Separador de milhares 3 4 2 9 2 3 2" xfId="44588"/>
    <cellStyle name="Separador de milhares 3 4 2 9 2 4" xfId="12172"/>
    <cellStyle name="Separador de milhares 3 4 2 9 2 4 2" xfId="38680"/>
    <cellStyle name="Separador de milhares 3 4 2 9 2 5" xfId="32524"/>
    <cellStyle name="Separador de milhares 3 4 2 9 2 6" xfId="25990"/>
    <cellStyle name="Separador de milhares 3 4 2 9 3" xfId="7740"/>
    <cellStyle name="Separador de milhares 3 4 2 9 3 2" xfId="19594"/>
    <cellStyle name="Separador de milhares 3 4 2 9 3 2 2" xfId="46074"/>
    <cellStyle name="Separador de milhares 3 4 2 9 3 3" xfId="13667"/>
    <cellStyle name="Separador de milhares 3 4 2 9 3 3 2" xfId="40166"/>
    <cellStyle name="Separador de milhares 3 4 2 9 3 4" xfId="34258"/>
    <cellStyle name="Separador de milhares 3 4 2 9 3 5" xfId="27724"/>
    <cellStyle name="Separador de milhares 3 4 2 9 4" xfId="16630"/>
    <cellStyle name="Separador de milhares 3 4 2 9 4 2" xfId="43120"/>
    <cellStyle name="Separador de milhares 3 4 2 9 4 3" xfId="24218"/>
    <cellStyle name="Separador de milhares 3 4 2 9 5" xfId="10703"/>
    <cellStyle name="Separador de milhares 3 4 2 9 5 2" xfId="37212"/>
    <cellStyle name="Separador de milhares 3 4 2 9 6" xfId="30752"/>
    <cellStyle name="Separador de milhares 3 4 2 9 7" xfId="22446"/>
    <cellStyle name="Separador de milhares 3 4 3" xfId="368"/>
    <cellStyle name="Separador de milhares 3 4 3 10" xfId="4988"/>
    <cellStyle name="Separador de milhares 3 4 3 10 2" xfId="8207"/>
    <cellStyle name="Separador de milhares 3 4 3 10 2 2" xfId="20061"/>
    <cellStyle name="Separador de milhares 3 4 3 10 2 2 2" xfId="46540"/>
    <cellStyle name="Separador de milhares 3 4 3 10 2 3" xfId="14134"/>
    <cellStyle name="Separador de milhares 3 4 3 10 2 3 2" xfId="40632"/>
    <cellStyle name="Separador de milhares 3 4 3 10 2 4" xfId="34724"/>
    <cellStyle name="Separador de milhares 3 4 3 10 2 5" xfId="28190"/>
    <cellStyle name="Separador de milhares 3 4 3 10 3" xfId="17097"/>
    <cellStyle name="Separador de milhares 3 4 3 10 3 2" xfId="43586"/>
    <cellStyle name="Separador de milhares 3 4 3 10 4" xfId="11170"/>
    <cellStyle name="Separador de milhares 3 4 3 10 4 2" xfId="37678"/>
    <cellStyle name="Separador de milhares 3 4 3 10 5" xfId="31515"/>
    <cellStyle name="Separador de milhares 3 4 3 10 6" xfId="24981"/>
    <cellStyle name="Separador de milhares 3 4 3 11" xfId="6731"/>
    <cellStyle name="Separador de milhares 3 4 3 11 2" xfId="18585"/>
    <cellStyle name="Separador de milhares 3 4 3 11 2 2" xfId="45072"/>
    <cellStyle name="Separador de milhares 3 4 3 11 3" xfId="12658"/>
    <cellStyle name="Separador de milhares 3 4 3 11 3 2" xfId="39164"/>
    <cellStyle name="Separador de milhares 3 4 3 11 4" xfId="33256"/>
    <cellStyle name="Separador de milhares 3 4 3 11 5" xfId="26722"/>
    <cellStyle name="Separador de milhares 3 4 3 12" xfId="15621"/>
    <cellStyle name="Separador de milhares 3 4 3 12 2" xfId="42118"/>
    <cellStyle name="Separador de milhares 3 4 3 12 3" xfId="23209"/>
    <cellStyle name="Separador de milhares 3 4 3 13" xfId="9694"/>
    <cellStyle name="Separador de milhares 3 4 3 13 2" xfId="36210"/>
    <cellStyle name="Separador de milhares 3 4 3 14" xfId="29743"/>
    <cellStyle name="Separador de milhares 3 4 3 15" xfId="21461"/>
    <cellStyle name="Separador de milhares 3 4 3 2" xfId="631"/>
    <cellStyle name="Separador de milhares 3 4 3 2 2" xfId="5059"/>
    <cellStyle name="Separador de milhares 3 4 3 2 2 2" xfId="8274"/>
    <cellStyle name="Separador de milhares 3 4 3 2 2 2 2" xfId="20128"/>
    <cellStyle name="Separador de milhares 3 4 3 2 2 2 2 2" xfId="46607"/>
    <cellStyle name="Separador de milhares 3 4 3 2 2 2 3" xfId="14201"/>
    <cellStyle name="Separador de milhares 3 4 3 2 2 2 3 2" xfId="40699"/>
    <cellStyle name="Separador de milhares 3 4 3 2 2 2 4" xfId="34791"/>
    <cellStyle name="Separador de milhares 3 4 3 2 2 2 5" xfId="28257"/>
    <cellStyle name="Separador de milhares 3 4 3 2 2 3" xfId="17164"/>
    <cellStyle name="Separador de milhares 3 4 3 2 2 3 2" xfId="43653"/>
    <cellStyle name="Separador de milhares 3 4 3 2 2 4" xfId="11237"/>
    <cellStyle name="Separador de milhares 3 4 3 2 2 4 2" xfId="37745"/>
    <cellStyle name="Separador de milhares 3 4 3 2 2 5" xfId="31586"/>
    <cellStyle name="Separador de milhares 3 4 3 2 2 6" xfId="25052"/>
    <cellStyle name="Separador de milhares 3 4 3 2 3" xfId="6798"/>
    <cellStyle name="Separador de milhares 3 4 3 2 3 2" xfId="18652"/>
    <cellStyle name="Separador de milhares 3 4 3 2 3 2 2" xfId="45139"/>
    <cellStyle name="Separador de milhares 3 4 3 2 3 3" xfId="12725"/>
    <cellStyle name="Separador de milhares 3 4 3 2 3 3 2" xfId="39231"/>
    <cellStyle name="Separador de milhares 3 4 3 2 3 4" xfId="33323"/>
    <cellStyle name="Separador de milhares 3 4 3 2 3 5" xfId="26789"/>
    <cellStyle name="Separador de milhares 3 4 3 2 4" xfId="15688"/>
    <cellStyle name="Separador de milhares 3 4 3 2 4 2" xfId="42185"/>
    <cellStyle name="Separador de milhares 3 4 3 2 4 3" xfId="23280"/>
    <cellStyle name="Separador de milhares 3 4 3 2 5" xfId="9761"/>
    <cellStyle name="Separador de milhares 3 4 3 2 5 2" xfId="36277"/>
    <cellStyle name="Separador de milhares 3 4 3 2 6" xfId="29814"/>
    <cellStyle name="Separador de milhares 3 4 3 2 7" xfId="21509"/>
    <cellStyle name="Separador de milhares 3 4 3 3" xfId="929"/>
    <cellStyle name="Separador de milhares 3 4 3 3 2" xfId="5161"/>
    <cellStyle name="Separador de milhares 3 4 3 3 2 2" xfId="8376"/>
    <cellStyle name="Separador de milhares 3 4 3 3 2 2 2" xfId="20230"/>
    <cellStyle name="Separador de milhares 3 4 3 3 2 2 2 2" xfId="46709"/>
    <cellStyle name="Separador de milhares 3 4 3 3 2 2 3" xfId="14303"/>
    <cellStyle name="Separador de milhares 3 4 3 3 2 2 3 2" xfId="40801"/>
    <cellStyle name="Separador de milhares 3 4 3 3 2 2 4" xfId="34893"/>
    <cellStyle name="Separador de milhares 3 4 3 3 2 2 5" xfId="28359"/>
    <cellStyle name="Separador de milhares 3 4 3 3 2 3" xfId="17266"/>
    <cellStyle name="Separador de milhares 3 4 3 3 2 3 2" xfId="43755"/>
    <cellStyle name="Separador de milhares 3 4 3 3 2 4" xfId="11339"/>
    <cellStyle name="Separador de milhares 3 4 3 3 2 4 2" xfId="37847"/>
    <cellStyle name="Separador de milhares 3 4 3 3 2 5" xfId="31688"/>
    <cellStyle name="Separador de milhares 3 4 3 3 2 6" xfId="25154"/>
    <cellStyle name="Separador de milhares 3 4 3 3 3" xfId="6903"/>
    <cellStyle name="Separador de milhares 3 4 3 3 3 2" xfId="18757"/>
    <cellStyle name="Separador de milhares 3 4 3 3 3 2 2" xfId="45241"/>
    <cellStyle name="Separador de milhares 3 4 3 3 3 3" xfId="12830"/>
    <cellStyle name="Separador de milhares 3 4 3 3 3 3 2" xfId="39333"/>
    <cellStyle name="Separador de milhares 3 4 3 3 3 4" xfId="33425"/>
    <cellStyle name="Separador de milhares 3 4 3 3 3 5" xfId="26891"/>
    <cellStyle name="Separador de milhares 3 4 3 3 4" xfId="15793"/>
    <cellStyle name="Separador de milhares 3 4 3 3 4 2" xfId="42287"/>
    <cellStyle name="Separador de milhares 3 4 3 3 4 3" xfId="23382"/>
    <cellStyle name="Separador de milhares 3 4 3 3 5" xfId="9866"/>
    <cellStyle name="Separador de milhares 3 4 3 3 5 2" xfId="36379"/>
    <cellStyle name="Separador de milhares 3 4 3 3 6" xfId="29916"/>
    <cellStyle name="Separador de milhares 3 4 3 3 7" xfId="21610"/>
    <cellStyle name="Separador de milhares 3 4 3 4" xfId="1280"/>
    <cellStyle name="Separador de milhares 3 4 3 4 2" xfId="5259"/>
    <cellStyle name="Separador de milhares 3 4 3 4 2 2" xfId="8474"/>
    <cellStyle name="Separador de milhares 3 4 3 4 2 2 2" xfId="20328"/>
    <cellStyle name="Separador de milhares 3 4 3 4 2 2 2 2" xfId="46807"/>
    <cellStyle name="Separador de milhares 3 4 3 4 2 2 3" xfId="14401"/>
    <cellStyle name="Separador de milhares 3 4 3 4 2 2 3 2" xfId="40899"/>
    <cellStyle name="Separador de milhares 3 4 3 4 2 2 4" xfId="34991"/>
    <cellStyle name="Separador de milhares 3 4 3 4 2 2 5" xfId="28457"/>
    <cellStyle name="Separador de milhares 3 4 3 4 2 3" xfId="17364"/>
    <cellStyle name="Separador de milhares 3 4 3 4 2 3 2" xfId="43853"/>
    <cellStyle name="Separador de milhares 3 4 3 4 2 4" xfId="11437"/>
    <cellStyle name="Separador de milhares 3 4 3 4 2 4 2" xfId="37945"/>
    <cellStyle name="Separador de milhares 3 4 3 4 2 5" xfId="31786"/>
    <cellStyle name="Separador de milhares 3 4 3 4 2 6" xfId="25252"/>
    <cellStyle name="Separador de milhares 3 4 3 4 3" xfId="7001"/>
    <cellStyle name="Separador de milhares 3 4 3 4 3 2" xfId="18855"/>
    <cellStyle name="Separador de milhares 3 4 3 4 3 2 2" xfId="45339"/>
    <cellStyle name="Separador de milhares 3 4 3 4 3 3" xfId="12928"/>
    <cellStyle name="Separador de milhares 3 4 3 4 3 3 2" xfId="39431"/>
    <cellStyle name="Separador de milhares 3 4 3 4 3 4" xfId="33523"/>
    <cellStyle name="Separador de milhares 3 4 3 4 3 5" xfId="26989"/>
    <cellStyle name="Separador de milhares 3 4 3 4 4" xfId="15891"/>
    <cellStyle name="Separador de milhares 3 4 3 4 4 2" xfId="42385"/>
    <cellStyle name="Separador de milhares 3 4 3 4 4 3" xfId="23480"/>
    <cellStyle name="Separador de milhares 3 4 3 4 5" xfId="9964"/>
    <cellStyle name="Separador de milhares 3 4 3 4 5 2" xfId="36477"/>
    <cellStyle name="Separador de milhares 3 4 3 4 6" xfId="30014"/>
    <cellStyle name="Separador de milhares 3 4 3 4 7" xfId="21708"/>
    <cellStyle name="Separador de milhares 3 4 3 5" xfId="1715"/>
    <cellStyle name="Separador de milhares 3 4 3 5 2" xfId="5378"/>
    <cellStyle name="Separador de milhares 3 4 3 5 2 2" xfId="8593"/>
    <cellStyle name="Separador de milhares 3 4 3 5 2 2 2" xfId="20447"/>
    <cellStyle name="Separador de milhares 3 4 3 5 2 2 2 2" xfId="46926"/>
    <cellStyle name="Separador de milhares 3 4 3 5 2 2 3" xfId="14520"/>
    <cellStyle name="Separador de milhares 3 4 3 5 2 2 3 2" xfId="41018"/>
    <cellStyle name="Separador de milhares 3 4 3 5 2 2 4" xfId="35110"/>
    <cellStyle name="Separador de milhares 3 4 3 5 2 2 5" xfId="28576"/>
    <cellStyle name="Separador de milhares 3 4 3 5 2 3" xfId="17483"/>
    <cellStyle name="Separador de milhares 3 4 3 5 2 3 2" xfId="43972"/>
    <cellStyle name="Separador de milhares 3 4 3 5 2 4" xfId="11556"/>
    <cellStyle name="Separador de milhares 3 4 3 5 2 4 2" xfId="38064"/>
    <cellStyle name="Separador de milhares 3 4 3 5 2 5" xfId="31905"/>
    <cellStyle name="Separador de milhares 3 4 3 5 2 6" xfId="25371"/>
    <cellStyle name="Separador de milhares 3 4 3 5 3" xfId="7120"/>
    <cellStyle name="Separador de milhares 3 4 3 5 3 2" xfId="18974"/>
    <cellStyle name="Separador de milhares 3 4 3 5 3 2 2" xfId="45458"/>
    <cellStyle name="Separador de milhares 3 4 3 5 3 3" xfId="13047"/>
    <cellStyle name="Separador de milhares 3 4 3 5 3 3 2" xfId="39550"/>
    <cellStyle name="Separador de milhares 3 4 3 5 3 4" xfId="33642"/>
    <cellStyle name="Separador de milhares 3 4 3 5 3 5" xfId="27108"/>
    <cellStyle name="Separador de milhares 3 4 3 5 4" xfId="16010"/>
    <cellStyle name="Separador de milhares 3 4 3 5 4 2" xfId="42504"/>
    <cellStyle name="Separador de milhares 3 4 3 5 4 3" xfId="23599"/>
    <cellStyle name="Separador de milhares 3 4 3 5 5" xfId="10083"/>
    <cellStyle name="Separador de milhares 3 4 3 5 5 2" xfId="36596"/>
    <cellStyle name="Separador de milhares 3 4 3 5 6" xfId="30133"/>
    <cellStyle name="Separador de milhares 3 4 3 5 7" xfId="21827"/>
    <cellStyle name="Separador de milhares 3 4 3 6" xfId="2248"/>
    <cellStyle name="Separador de milhares 3 4 3 6 2" xfId="5528"/>
    <cellStyle name="Separador de milhares 3 4 3 6 2 2" xfId="8740"/>
    <cellStyle name="Separador de milhares 3 4 3 6 2 2 2" xfId="20594"/>
    <cellStyle name="Separador de milhares 3 4 3 6 2 2 2 2" xfId="47073"/>
    <cellStyle name="Separador de milhares 3 4 3 6 2 2 3" xfId="14667"/>
    <cellStyle name="Separador de milhares 3 4 3 6 2 2 3 2" xfId="41165"/>
    <cellStyle name="Separador de milhares 3 4 3 6 2 2 4" xfId="35257"/>
    <cellStyle name="Separador de milhares 3 4 3 6 2 2 5" xfId="28723"/>
    <cellStyle name="Separador de milhares 3 4 3 6 2 3" xfId="17630"/>
    <cellStyle name="Separador de milhares 3 4 3 6 2 3 2" xfId="44119"/>
    <cellStyle name="Separador de milhares 3 4 3 6 2 4" xfId="11703"/>
    <cellStyle name="Separador de milhares 3 4 3 6 2 4 2" xfId="38211"/>
    <cellStyle name="Separador de milhares 3 4 3 6 2 5" xfId="32055"/>
    <cellStyle name="Separador de milhares 3 4 3 6 2 6" xfId="25521"/>
    <cellStyle name="Separador de milhares 3 4 3 6 3" xfId="7268"/>
    <cellStyle name="Separador de milhares 3 4 3 6 3 2" xfId="19122"/>
    <cellStyle name="Separador de milhares 3 4 3 6 3 2 2" xfId="45605"/>
    <cellStyle name="Separador de milhares 3 4 3 6 3 3" xfId="13195"/>
    <cellStyle name="Separador de milhares 3 4 3 6 3 3 2" xfId="39697"/>
    <cellStyle name="Separador de milhares 3 4 3 6 3 4" xfId="33789"/>
    <cellStyle name="Separador de milhares 3 4 3 6 3 5" xfId="27255"/>
    <cellStyle name="Separador de milhares 3 4 3 6 4" xfId="16158"/>
    <cellStyle name="Separador de milhares 3 4 3 6 4 2" xfId="42651"/>
    <cellStyle name="Separador de milhares 3 4 3 6 4 3" xfId="23749"/>
    <cellStyle name="Separador de milhares 3 4 3 6 5" xfId="10231"/>
    <cellStyle name="Separador de milhares 3 4 3 6 5 2" xfId="36743"/>
    <cellStyle name="Separador de milhares 3 4 3 6 6" xfId="30283"/>
    <cellStyle name="Separador de milhares 3 4 3 6 7" xfId="21977"/>
    <cellStyle name="Separador de milhares 3 4 3 7" xfId="2776"/>
    <cellStyle name="Separador de milhares 3 4 3 7 2" xfId="5675"/>
    <cellStyle name="Separador de milhares 3 4 3 7 2 2" xfId="8887"/>
    <cellStyle name="Separador de milhares 3 4 3 7 2 2 2" xfId="20741"/>
    <cellStyle name="Separador de milhares 3 4 3 7 2 2 2 2" xfId="47220"/>
    <cellStyle name="Separador de milhares 3 4 3 7 2 2 3" xfId="14814"/>
    <cellStyle name="Separador de milhares 3 4 3 7 2 2 3 2" xfId="41312"/>
    <cellStyle name="Separador de milhares 3 4 3 7 2 2 4" xfId="35404"/>
    <cellStyle name="Separador de milhares 3 4 3 7 2 2 5" xfId="28870"/>
    <cellStyle name="Separador de milhares 3 4 3 7 2 3" xfId="17777"/>
    <cellStyle name="Separador de milhares 3 4 3 7 2 3 2" xfId="44266"/>
    <cellStyle name="Separador de milhares 3 4 3 7 2 4" xfId="11850"/>
    <cellStyle name="Separador de milhares 3 4 3 7 2 4 2" xfId="38358"/>
    <cellStyle name="Separador de milhares 3 4 3 7 2 5" xfId="32202"/>
    <cellStyle name="Separador de milhares 3 4 3 7 2 6" xfId="25668"/>
    <cellStyle name="Separador de milhares 3 4 3 7 3" xfId="7416"/>
    <cellStyle name="Separador de milhares 3 4 3 7 3 2" xfId="19270"/>
    <cellStyle name="Separador de milhares 3 4 3 7 3 2 2" xfId="45752"/>
    <cellStyle name="Separador de milhares 3 4 3 7 3 3" xfId="13343"/>
    <cellStyle name="Separador de milhares 3 4 3 7 3 3 2" xfId="39844"/>
    <cellStyle name="Separador de milhares 3 4 3 7 3 4" xfId="33936"/>
    <cellStyle name="Separador de milhares 3 4 3 7 3 5" xfId="27402"/>
    <cellStyle name="Separador de milhares 3 4 3 7 4" xfId="16306"/>
    <cellStyle name="Separador de milhares 3 4 3 7 4 2" xfId="42798"/>
    <cellStyle name="Separador de milhares 3 4 3 7 4 3" xfId="23896"/>
    <cellStyle name="Separador de milhares 3 4 3 7 5" xfId="10379"/>
    <cellStyle name="Separador de milhares 3 4 3 7 5 2" xfId="36890"/>
    <cellStyle name="Separador de milhares 3 4 3 7 6" xfId="30430"/>
    <cellStyle name="Separador de milhares 3 4 3 7 7" xfId="22124"/>
    <cellStyle name="Separador de milhares 3 4 3 8" xfId="3304"/>
    <cellStyle name="Separador de milhares 3 4 3 8 2" xfId="5822"/>
    <cellStyle name="Separador de milhares 3 4 3 8 2 2" xfId="9034"/>
    <cellStyle name="Separador de milhares 3 4 3 8 2 2 2" xfId="20888"/>
    <cellStyle name="Separador de milhares 3 4 3 8 2 2 2 2" xfId="47367"/>
    <cellStyle name="Separador de milhares 3 4 3 8 2 2 3" xfId="14961"/>
    <cellStyle name="Separador de milhares 3 4 3 8 2 2 3 2" xfId="41459"/>
    <cellStyle name="Separador de milhares 3 4 3 8 2 2 4" xfId="35551"/>
    <cellStyle name="Separador de milhares 3 4 3 8 2 2 5" xfId="29017"/>
    <cellStyle name="Separador de milhares 3 4 3 8 2 3" xfId="17924"/>
    <cellStyle name="Separador de milhares 3 4 3 8 2 3 2" xfId="44413"/>
    <cellStyle name="Separador de milhares 3 4 3 8 2 4" xfId="11997"/>
    <cellStyle name="Separador de milhares 3 4 3 8 2 4 2" xfId="38505"/>
    <cellStyle name="Separador de milhares 3 4 3 8 2 5" xfId="32349"/>
    <cellStyle name="Separador de milhares 3 4 3 8 2 6" xfId="25815"/>
    <cellStyle name="Separador de milhares 3 4 3 8 3" xfId="7564"/>
    <cellStyle name="Separador de milhares 3 4 3 8 3 2" xfId="19418"/>
    <cellStyle name="Separador de milhares 3 4 3 8 3 2 2" xfId="45899"/>
    <cellStyle name="Separador de milhares 3 4 3 8 3 3" xfId="13491"/>
    <cellStyle name="Separador de milhares 3 4 3 8 3 3 2" xfId="39991"/>
    <cellStyle name="Separador de milhares 3 4 3 8 3 4" xfId="34083"/>
    <cellStyle name="Separador de milhares 3 4 3 8 3 5" xfId="27549"/>
    <cellStyle name="Separador de milhares 3 4 3 8 4" xfId="16454"/>
    <cellStyle name="Separador de milhares 3 4 3 8 4 2" xfId="42945"/>
    <cellStyle name="Separador de milhares 3 4 3 8 4 3" xfId="24043"/>
    <cellStyle name="Separador de milhares 3 4 3 8 5" xfId="10527"/>
    <cellStyle name="Separador de milhares 3 4 3 8 5 2" xfId="37037"/>
    <cellStyle name="Separador de milhares 3 4 3 8 6" xfId="30577"/>
    <cellStyle name="Separador de milhares 3 4 3 8 7" xfId="22271"/>
    <cellStyle name="Separador de milhares 3 4 3 9" xfId="3832"/>
    <cellStyle name="Separador de milhares 3 4 3 9 2" xfId="5969"/>
    <cellStyle name="Separador de milhares 3 4 3 9 2 2" xfId="9181"/>
    <cellStyle name="Separador de milhares 3 4 3 9 2 2 2" xfId="21035"/>
    <cellStyle name="Separador de milhares 3 4 3 9 2 2 2 2" xfId="47514"/>
    <cellStyle name="Separador de milhares 3 4 3 9 2 2 3" xfId="15108"/>
    <cellStyle name="Separador de milhares 3 4 3 9 2 2 3 2" xfId="41606"/>
    <cellStyle name="Separador de milhares 3 4 3 9 2 2 4" xfId="35698"/>
    <cellStyle name="Separador de milhares 3 4 3 9 2 2 5" xfId="29164"/>
    <cellStyle name="Separador de milhares 3 4 3 9 2 3" xfId="18071"/>
    <cellStyle name="Separador de milhares 3 4 3 9 2 3 2" xfId="44560"/>
    <cellStyle name="Separador de milhares 3 4 3 9 2 4" xfId="12144"/>
    <cellStyle name="Separador de milhares 3 4 3 9 2 4 2" xfId="38652"/>
    <cellStyle name="Separador de milhares 3 4 3 9 2 5" xfId="32496"/>
    <cellStyle name="Separador de milhares 3 4 3 9 2 6" xfId="25962"/>
    <cellStyle name="Separador de milhares 3 4 3 9 3" xfId="7712"/>
    <cellStyle name="Separador de milhares 3 4 3 9 3 2" xfId="19566"/>
    <cellStyle name="Separador de milhares 3 4 3 9 3 2 2" xfId="46046"/>
    <cellStyle name="Separador de milhares 3 4 3 9 3 3" xfId="13639"/>
    <cellStyle name="Separador de milhares 3 4 3 9 3 3 2" xfId="40138"/>
    <cellStyle name="Separador de milhares 3 4 3 9 3 4" xfId="34230"/>
    <cellStyle name="Separador de milhares 3 4 3 9 3 5" xfId="27696"/>
    <cellStyle name="Separador de milhares 3 4 3 9 4" xfId="16602"/>
    <cellStyle name="Separador de milhares 3 4 3 9 4 2" xfId="43092"/>
    <cellStyle name="Separador de milhares 3 4 3 9 4 3" xfId="24190"/>
    <cellStyle name="Separador de milhares 3 4 3 9 5" xfId="10675"/>
    <cellStyle name="Separador de milhares 3 4 3 9 5 2" xfId="37184"/>
    <cellStyle name="Separador de milhares 3 4 3 9 6" xfId="30724"/>
    <cellStyle name="Separador de milhares 3 4 3 9 7" xfId="22418"/>
    <cellStyle name="Separador de milhares 3 4 4" xfId="461"/>
    <cellStyle name="Separador de milhares 3 4 4 10" xfId="5016"/>
    <cellStyle name="Separador de milhares 3 4 4 10 2" xfId="8232"/>
    <cellStyle name="Separador de milhares 3 4 4 10 2 2" xfId="20086"/>
    <cellStyle name="Separador de milhares 3 4 4 10 2 2 2" xfId="46565"/>
    <cellStyle name="Separador de milhares 3 4 4 10 2 3" xfId="14159"/>
    <cellStyle name="Separador de milhares 3 4 4 10 2 3 2" xfId="40657"/>
    <cellStyle name="Separador de milhares 3 4 4 10 2 4" xfId="34749"/>
    <cellStyle name="Separador de milhares 3 4 4 10 2 5" xfId="28215"/>
    <cellStyle name="Separador de milhares 3 4 4 10 3" xfId="17122"/>
    <cellStyle name="Separador de milhares 3 4 4 10 3 2" xfId="43611"/>
    <cellStyle name="Separador de milhares 3 4 4 10 4" xfId="11195"/>
    <cellStyle name="Separador de milhares 3 4 4 10 4 2" xfId="37703"/>
    <cellStyle name="Separador de milhares 3 4 4 10 5" xfId="31543"/>
    <cellStyle name="Separador de milhares 3 4 4 10 6" xfId="25009"/>
    <cellStyle name="Separador de milhares 3 4 4 11" xfId="6756"/>
    <cellStyle name="Separador de milhares 3 4 4 11 2" xfId="18610"/>
    <cellStyle name="Separador de milhares 3 4 4 11 2 2" xfId="45097"/>
    <cellStyle name="Separador de milhares 3 4 4 11 3" xfId="12683"/>
    <cellStyle name="Separador de milhares 3 4 4 11 3 2" xfId="39189"/>
    <cellStyle name="Separador de milhares 3 4 4 11 4" xfId="33281"/>
    <cellStyle name="Separador de milhares 3 4 4 11 5" xfId="26747"/>
    <cellStyle name="Separador de milhares 3 4 4 12" xfId="15646"/>
    <cellStyle name="Separador de milhares 3 4 4 12 2" xfId="42143"/>
    <cellStyle name="Separador de milhares 3 4 4 12 3" xfId="23237"/>
    <cellStyle name="Separador de milhares 3 4 4 13" xfId="9719"/>
    <cellStyle name="Separador de milhares 3 4 4 13 2" xfId="36235"/>
    <cellStyle name="Separador de milhares 3 4 4 14" xfId="29771"/>
    <cellStyle name="Separador de milhares 3 4 4 2" xfId="1107"/>
    <cellStyle name="Separador de milhares 3 4 4 2 2" xfId="5213"/>
    <cellStyle name="Separador de milhares 3 4 4 2 2 2" xfId="8428"/>
    <cellStyle name="Separador de milhares 3 4 4 2 2 2 2" xfId="20282"/>
    <cellStyle name="Separador de milhares 3 4 4 2 2 2 2 2" xfId="46761"/>
    <cellStyle name="Separador de milhares 3 4 4 2 2 2 3" xfId="14355"/>
    <cellStyle name="Separador de milhares 3 4 4 2 2 2 3 2" xfId="40853"/>
    <cellStyle name="Separador de milhares 3 4 4 2 2 2 4" xfId="34945"/>
    <cellStyle name="Separador de milhares 3 4 4 2 2 2 5" xfId="28411"/>
    <cellStyle name="Separador de milhares 3 4 4 2 2 3" xfId="17318"/>
    <cellStyle name="Separador de milhares 3 4 4 2 2 3 2" xfId="43807"/>
    <cellStyle name="Separador de milhares 3 4 4 2 2 4" xfId="11391"/>
    <cellStyle name="Separador de milhares 3 4 4 2 2 4 2" xfId="37899"/>
    <cellStyle name="Separador de milhares 3 4 4 2 2 5" xfId="31740"/>
    <cellStyle name="Separador de milhares 3 4 4 2 2 6" xfId="25206"/>
    <cellStyle name="Separador de milhares 3 4 4 2 3" xfId="6955"/>
    <cellStyle name="Separador de milhares 3 4 4 2 3 2" xfId="18809"/>
    <cellStyle name="Separador de milhares 3 4 4 2 3 2 2" xfId="45293"/>
    <cellStyle name="Separador de milhares 3 4 4 2 3 3" xfId="12882"/>
    <cellStyle name="Separador de milhares 3 4 4 2 3 3 2" xfId="39385"/>
    <cellStyle name="Separador de milhares 3 4 4 2 3 4" xfId="33477"/>
    <cellStyle name="Separador de milhares 3 4 4 2 3 5" xfId="26943"/>
    <cellStyle name="Separador de milhares 3 4 4 2 4" xfId="15845"/>
    <cellStyle name="Separador de milhares 3 4 4 2 4 2" xfId="42339"/>
    <cellStyle name="Separador de milhares 3 4 4 2 4 3" xfId="23434"/>
    <cellStyle name="Separador de milhares 3 4 4 2 5" xfId="9918"/>
    <cellStyle name="Separador de milhares 3 4 4 2 5 2" xfId="36431"/>
    <cellStyle name="Separador de milhares 3 4 4 2 6" xfId="29968"/>
    <cellStyle name="Separador de milhares 3 4 4 2 7" xfId="21662"/>
    <cellStyle name="Separador de milhares 3 4 4 3" xfId="1458"/>
    <cellStyle name="Separador de milhares 3 4 4 3 2" xfId="5311"/>
    <cellStyle name="Separador de milhares 3 4 4 3 2 2" xfId="8526"/>
    <cellStyle name="Separador de milhares 3 4 4 3 2 2 2" xfId="20380"/>
    <cellStyle name="Separador de milhares 3 4 4 3 2 2 2 2" xfId="46859"/>
    <cellStyle name="Separador de milhares 3 4 4 3 2 2 3" xfId="14453"/>
    <cellStyle name="Separador de milhares 3 4 4 3 2 2 3 2" xfId="40951"/>
    <cellStyle name="Separador de milhares 3 4 4 3 2 2 4" xfId="35043"/>
    <cellStyle name="Separador de milhares 3 4 4 3 2 2 5" xfId="28509"/>
    <cellStyle name="Separador de milhares 3 4 4 3 2 3" xfId="17416"/>
    <cellStyle name="Separador de milhares 3 4 4 3 2 3 2" xfId="43905"/>
    <cellStyle name="Separador de milhares 3 4 4 3 2 4" xfId="11489"/>
    <cellStyle name="Separador de milhares 3 4 4 3 2 4 2" xfId="37997"/>
    <cellStyle name="Separador de milhares 3 4 4 3 2 5" xfId="31838"/>
    <cellStyle name="Separador de milhares 3 4 4 3 2 6" xfId="25304"/>
    <cellStyle name="Separador de milhares 3 4 4 3 3" xfId="7053"/>
    <cellStyle name="Separador de milhares 3 4 4 3 3 2" xfId="18907"/>
    <cellStyle name="Separador de milhares 3 4 4 3 3 2 2" xfId="45391"/>
    <cellStyle name="Separador de milhares 3 4 4 3 3 3" xfId="12980"/>
    <cellStyle name="Separador de milhares 3 4 4 3 3 3 2" xfId="39483"/>
    <cellStyle name="Separador de milhares 3 4 4 3 3 4" xfId="33575"/>
    <cellStyle name="Separador de milhares 3 4 4 3 3 5" xfId="27041"/>
    <cellStyle name="Separador de milhares 3 4 4 3 4" xfId="15943"/>
    <cellStyle name="Separador de milhares 3 4 4 3 4 2" xfId="42437"/>
    <cellStyle name="Separador de milhares 3 4 4 3 4 3" xfId="23532"/>
    <cellStyle name="Separador de milhares 3 4 4 3 5" xfId="10016"/>
    <cellStyle name="Separador de milhares 3 4 4 3 5 2" xfId="36529"/>
    <cellStyle name="Separador de milhares 3 4 4 3 6" xfId="30066"/>
    <cellStyle name="Separador de milhares 3 4 4 3 7" xfId="21760"/>
    <cellStyle name="Separador de milhares 3 4 4 4" xfId="1893"/>
    <cellStyle name="Separador de milhares 3 4 4 4 2" xfId="5430"/>
    <cellStyle name="Separador de milhares 3 4 4 4 2 2" xfId="8645"/>
    <cellStyle name="Separador de milhares 3 4 4 4 2 2 2" xfId="20499"/>
    <cellStyle name="Separador de milhares 3 4 4 4 2 2 2 2" xfId="46978"/>
    <cellStyle name="Separador de milhares 3 4 4 4 2 2 3" xfId="14572"/>
    <cellStyle name="Separador de milhares 3 4 4 4 2 2 3 2" xfId="41070"/>
    <cellStyle name="Separador de milhares 3 4 4 4 2 2 4" xfId="35162"/>
    <cellStyle name="Separador de milhares 3 4 4 4 2 2 5" xfId="28628"/>
    <cellStyle name="Separador de milhares 3 4 4 4 2 3" xfId="17535"/>
    <cellStyle name="Separador de milhares 3 4 4 4 2 3 2" xfId="44024"/>
    <cellStyle name="Separador de milhares 3 4 4 4 2 4" xfId="11608"/>
    <cellStyle name="Separador de milhares 3 4 4 4 2 4 2" xfId="38116"/>
    <cellStyle name="Separador de milhares 3 4 4 4 2 5" xfId="31957"/>
    <cellStyle name="Separador de milhares 3 4 4 4 2 6" xfId="25423"/>
    <cellStyle name="Separador de milhares 3 4 4 4 3" xfId="7172"/>
    <cellStyle name="Separador de milhares 3 4 4 4 3 2" xfId="19026"/>
    <cellStyle name="Separador de milhares 3 4 4 4 3 2 2" xfId="45510"/>
    <cellStyle name="Separador de milhares 3 4 4 4 3 3" xfId="13099"/>
    <cellStyle name="Separador de milhares 3 4 4 4 3 3 2" xfId="39602"/>
    <cellStyle name="Separador de milhares 3 4 4 4 3 4" xfId="33694"/>
    <cellStyle name="Separador de milhares 3 4 4 4 3 5" xfId="27160"/>
    <cellStyle name="Separador de milhares 3 4 4 4 4" xfId="16062"/>
    <cellStyle name="Separador de milhares 3 4 4 4 4 2" xfId="42556"/>
    <cellStyle name="Separador de milhares 3 4 4 4 4 3" xfId="23651"/>
    <cellStyle name="Separador de milhares 3 4 4 4 5" xfId="10135"/>
    <cellStyle name="Separador de milhares 3 4 4 4 5 2" xfId="36648"/>
    <cellStyle name="Separador de milhares 3 4 4 4 6" xfId="30185"/>
    <cellStyle name="Separador de milhares 3 4 4 4 7" xfId="21879"/>
    <cellStyle name="Separador de milhares 3 4 4 5" xfId="2426"/>
    <cellStyle name="Separador de milhares 3 4 4 5 2" xfId="5580"/>
    <cellStyle name="Separador de milhares 3 4 4 5 2 2" xfId="8792"/>
    <cellStyle name="Separador de milhares 3 4 4 5 2 2 2" xfId="20646"/>
    <cellStyle name="Separador de milhares 3 4 4 5 2 2 2 2" xfId="47125"/>
    <cellStyle name="Separador de milhares 3 4 4 5 2 2 3" xfId="14719"/>
    <cellStyle name="Separador de milhares 3 4 4 5 2 2 3 2" xfId="41217"/>
    <cellStyle name="Separador de milhares 3 4 4 5 2 2 4" xfId="35309"/>
    <cellStyle name="Separador de milhares 3 4 4 5 2 2 5" xfId="28775"/>
    <cellStyle name="Separador de milhares 3 4 4 5 2 3" xfId="17682"/>
    <cellStyle name="Separador de milhares 3 4 4 5 2 3 2" xfId="44171"/>
    <cellStyle name="Separador de milhares 3 4 4 5 2 4" xfId="11755"/>
    <cellStyle name="Separador de milhares 3 4 4 5 2 4 2" xfId="38263"/>
    <cellStyle name="Separador de milhares 3 4 4 5 2 5" xfId="32107"/>
    <cellStyle name="Separador de milhares 3 4 4 5 2 6" xfId="25573"/>
    <cellStyle name="Separador de milhares 3 4 4 5 3" xfId="7320"/>
    <cellStyle name="Separador de milhares 3 4 4 5 3 2" xfId="19174"/>
    <cellStyle name="Separador de milhares 3 4 4 5 3 2 2" xfId="45657"/>
    <cellStyle name="Separador de milhares 3 4 4 5 3 3" xfId="13247"/>
    <cellStyle name="Separador de milhares 3 4 4 5 3 3 2" xfId="39749"/>
    <cellStyle name="Separador de milhares 3 4 4 5 3 4" xfId="33841"/>
    <cellStyle name="Separador de milhares 3 4 4 5 3 5" xfId="27307"/>
    <cellStyle name="Separador de milhares 3 4 4 5 4" xfId="16210"/>
    <cellStyle name="Separador de milhares 3 4 4 5 4 2" xfId="42703"/>
    <cellStyle name="Separador de milhares 3 4 4 5 4 3" xfId="23801"/>
    <cellStyle name="Separador de milhares 3 4 4 5 5" xfId="10283"/>
    <cellStyle name="Separador de milhares 3 4 4 5 5 2" xfId="36795"/>
    <cellStyle name="Separador de milhares 3 4 4 5 6" xfId="30335"/>
    <cellStyle name="Separador de milhares 3 4 4 5 7" xfId="22029"/>
    <cellStyle name="Separador de milhares 3 4 4 6" xfId="2954"/>
    <cellStyle name="Separador de milhares 3 4 4 6 2" xfId="5727"/>
    <cellStyle name="Separador de milhares 3 4 4 6 2 2" xfId="8939"/>
    <cellStyle name="Separador de milhares 3 4 4 6 2 2 2" xfId="20793"/>
    <cellStyle name="Separador de milhares 3 4 4 6 2 2 2 2" xfId="47272"/>
    <cellStyle name="Separador de milhares 3 4 4 6 2 2 3" xfId="14866"/>
    <cellStyle name="Separador de milhares 3 4 4 6 2 2 3 2" xfId="41364"/>
    <cellStyle name="Separador de milhares 3 4 4 6 2 2 4" xfId="35456"/>
    <cellStyle name="Separador de milhares 3 4 4 6 2 2 5" xfId="28922"/>
    <cellStyle name="Separador de milhares 3 4 4 6 2 3" xfId="17829"/>
    <cellStyle name="Separador de milhares 3 4 4 6 2 3 2" xfId="44318"/>
    <cellStyle name="Separador de milhares 3 4 4 6 2 4" xfId="11902"/>
    <cellStyle name="Separador de milhares 3 4 4 6 2 4 2" xfId="38410"/>
    <cellStyle name="Separador de milhares 3 4 4 6 2 5" xfId="32254"/>
    <cellStyle name="Separador de milhares 3 4 4 6 2 6" xfId="25720"/>
    <cellStyle name="Separador de milhares 3 4 4 6 3" xfId="7468"/>
    <cellStyle name="Separador de milhares 3 4 4 6 3 2" xfId="19322"/>
    <cellStyle name="Separador de milhares 3 4 4 6 3 2 2" xfId="45804"/>
    <cellStyle name="Separador de milhares 3 4 4 6 3 3" xfId="13395"/>
    <cellStyle name="Separador de milhares 3 4 4 6 3 3 2" xfId="39896"/>
    <cellStyle name="Separador de milhares 3 4 4 6 3 4" xfId="33988"/>
    <cellStyle name="Separador de milhares 3 4 4 6 3 5" xfId="27454"/>
    <cellStyle name="Separador de milhares 3 4 4 6 4" xfId="16358"/>
    <cellStyle name="Separador de milhares 3 4 4 6 4 2" xfId="42850"/>
    <cellStyle name="Separador de milhares 3 4 4 6 4 3" xfId="23948"/>
    <cellStyle name="Separador de milhares 3 4 4 6 5" xfId="10431"/>
    <cellStyle name="Separador de milhares 3 4 4 6 5 2" xfId="36942"/>
    <cellStyle name="Separador de milhares 3 4 4 6 6" xfId="30482"/>
    <cellStyle name="Separador de milhares 3 4 4 6 7" xfId="22176"/>
    <cellStyle name="Separador de milhares 3 4 4 7" xfId="3482"/>
    <cellStyle name="Separador de milhares 3 4 4 7 2" xfId="5874"/>
    <cellStyle name="Separador de milhares 3 4 4 7 2 2" xfId="9086"/>
    <cellStyle name="Separador de milhares 3 4 4 7 2 2 2" xfId="20940"/>
    <cellStyle name="Separador de milhares 3 4 4 7 2 2 2 2" xfId="47419"/>
    <cellStyle name="Separador de milhares 3 4 4 7 2 2 3" xfId="15013"/>
    <cellStyle name="Separador de milhares 3 4 4 7 2 2 3 2" xfId="41511"/>
    <cellStyle name="Separador de milhares 3 4 4 7 2 2 4" xfId="35603"/>
    <cellStyle name="Separador de milhares 3 4 4 7 2 2 5" xfId="29069"/>
    <cellStyle name="Separador de milhares 3 4 4 7 2 3" xfId="17976"/>
    <cellStyle name="Separador de milhares 3 4 4 7 2 3 2" xfId="44465"/>
    <cellStyle name="Separador de milhares 3 4 4 7 2 4" xfId="12049"/>
    <cellStyle name="Separador de milhares 3 4 4 7 2 4 2" xfId="38557"/>
    <cellStyle name="Separador de milhares 3 4 4 7 2 5" xfId="32401"/>
    <cellStyle name="Separador de milhares 3 4 4 7 2 6" xfId="25867"/>
    <cellStyle name="Separador de milhares 3 4 4 7 3" xfId="7616"/>
    <cellStyle name="Separador de milhares 3 4 4 7 3 2" xfId="19470"/>
    <cellStyle name="Separador de milhares 3 4 4 7 3 2 2" xfId="45951"/>
    <cellStyle name="Separador de milhares 3 4 4 7 3 3" xfId="13543"/>
    <cellStyle name="Separador de milhares 3 4 4 7 3 3 2" xfId="40043"/>
    <cellStyle name="Separador de milhares 3 4 4 7 3 4" xfId="34135"/>
    <cellStyle name="Separador de milhares 3 4 4 7 3 5" xfId="27601"/>
    <cellStyle name="Separador de milhares 3 4 4 7 4" xfId="16506"/>
    <cellStyle name="Separador de milhares 3 4 4 7 4 2" xfId="42997"/>
    <cellStyle name="Separador de milhares 3 4 4 7 4 3" xfId="24095"/>
    <cellStyle name="Separador de milhares 3 4 4 7 5" xfId="10579"/>
    <cellStyle name="Separador de milhares 3 4 4 7 5 2" xfId="37089"/>
    <cellStyle name="Separador de milhares 3 4 4 7 6" xfId="30629"/>
    <cellStyle name="Separador de milhares 3 4 4 7 7" xfId="22323"/>
    <cellStyle name="Separador de milhares 3 4 4 8" xfId="4010"/>
    <cellStyle name="Separador de milhares 3 4 4 8 2" xfId="6021"/>
    <cellStyle name="Separador de milhares 3 4 4 8 2 2" xfId="9233"/>
    <cellStyle name="Separador de milhares 3 4 4 8 2 2 2" xfId="21087"/>
    <cellStyle name="Separador de milhares 3 4 4 8 2 2 2 2" xfId="47566"/>
    <cellStyle name="Separador de milhares 3 4 4 8 2 2 3" xfId="15160"/>
    <cellStyle name="Separador de milhares 3 4 4 8 2 2 3 2" xfId="41658"/>
    <cellStyle name="Separador de milhares 3 4 4 8 2 2 4" xfId="35750"/>
    <cellStyle name="Separador de milhares 3 4 4 8 2 2 5" xfId="29216"/>
    <cellStyle name="Separador de milhares 3 4 4 8 2 3" xfId="18123"/>
    <cellStyle name="Separador de milhares 3 4 4 8 2 3 2" xfId="44612"/>
    <cellStyle name="Separador de milhares 3 4 4 8 2 4" xfId="12196"/>
    <cellStyle name="Separador de milhares 3 4 4 8 2 4 2" xfId="38704"/>
    <cellStyle name="Separador de milhares 3 4 4 8 2 5" xfId="32548"/>
    <cellStyle name="Separador de milhares 3 4 4 8 2 6" xfId="26014"/>
    <cellStyle name="Separador de milhares 3 4 4 8 3" xfId="7764"/>
    <cellStyle name="Separador de milhares 3 4 4 8 3 2" xfId="19618"/>
    <cellStyle name="Separador de milhares 3 4 4 8 3 2 2" xfId="46098"/>
    <cellStyle name="Separador de milhares 3 4 4 8 3 3" xfId="13691"/>
    <cellStyle name="Separador de milhares 3 4 4 8 3 3 2" xfId="40190"/>
    <cellStyle name="Separador de milhares 3 4 4 8 3 4" xfId="34282"/>
    <cellStyle name="Separador de milhares 3 4 4 8 3 5" xfId="27748"/>
    <cellStyle name="Separador de milhares 3 4 4 8 4" xfId="16654"/>
    <cellStyle name="Separador de milhares 3 4 4 8 4 2" xfId="43144"/>
    <cellStyle name="Separador de milhares 3 4 4 8 4 3" xfId="24242"/>
    <cellStyle name="Separador de milhares 3 4 4 8 5" xfId="10727"/>
    <cellStyle name="Separador de milhares 3 4 4 8 5 2" xfId="37236"/>
    <cellStyle name="Separador de milhares 3 4 4 8 6" xfId="30776"/>
    <cellStyle name="Separador de milhares 3 4 4 8 7" xfId="22470"/>
    <cellStyle name="Separador de milhares 3 4 4 9" xfId="802"/>
    <cellStyle name="Separador de milhares 3 4 4 9 2" xfId="5115"/>
    <cellStyle name="Separador de milhares 3 4 4 9 2 2" xfId="8330"/>
    <cellStyle name="Separador de milhares 3 4 4 9 2 2 2" xfId="20184"/>
    <cellStyle name="Separador de milhares 3 4 4 9 2 2 2 2" xfId="46663"/>
    <cellStyle name="Separador de milhares 3 4 4 9 2 2 3" xfId="14257"/>
    <cellStyle name="Separador de milhares 3 4 4 9 2 2 3 2" xfId="40755"/>
    <cellStyle name="Separador de milhares 3 4 4 9 2 2 4" xfId="34847"/>
    <cellStyle name="Separador de milhares 3 4 4 9 2 2 5" xfId="28313"/>
    <cellStyle name="Separador de milhares 3 4 4 9 2 3" xfId="17220"/>
    <cellStyle name="Separador de milhares 3 4 4 9 2 3 2" xfId="43709"/>
    <cellStyle name="Separador de milhares 3 4 4 9 2 4" xfId="11293"/>
    <cellStyle name="Separador de milhares 3 4 4 9 2 4 2" xfId="37801"/>
    <cellStyle name="Separador de milhares 3 4 4 9 2 5" xfId="31642"/>
    <cellStyle name="Separador de milhares 3 4 4 9 2 6" xfId="25108"/>
    <cellStyle name="Separador de milhares 3 4 4 9 3" xfId="6857"/>
    <cellStyle name="Separador de milhares 3 4 4 9 3 2" xfId="18711"/>
    <cellStyle name="Separador de milhares 3 4 4 9 3 2 2" xfId="45195"/>
    <cellStyle name="Separador de milhares 3 4 4 9 3 3" xfId="12784"/>
    <cellStyle name="Separador de milhares 3 4 4 9 3 3 2" xfId="39287"/>
    <cellStyle name="Separador de milhares 3 4 4 9 3 4" xfId="33379"/>
    <cellStyle name="Separador de milhares 3 4 4 9 3 5" xfId="26845"/>
    <cellStyle name="Separador de milhares 3 4 4 9 4" xfId="15747"/>
    <cellStyle name="Separador de milhares 3 4 4 9 4 2" xfId="42241"/>
    <cellStyle name="Separador de milhares 3 4 4 9 4 3" xfId="23336"/>
    <cellStyle name="Separador de milhares 3 4 4 9 5" xfId="9820"/>
    <cellStyle name="Separador de milhares 3 4 4 9 5 2" xfId="36333"/>
    <cellStyle name="Separador de milhares 3 4 4 9 6" xfId="29870"/>
    <cellStyle name="Separador de milhares 3 4 4 9 7" xfId="21564"/>
    <cellStyle name="Separador de milhares 3 4 5" xfId="719"/>
    <cellStyle name="Separador de milhares 3 4 5 10" xfId="15710"/>
    <cellStyle name="Separador de milhares 3 4 5 10 2" xfId="42207"/>
    <cellStyle name="Separador de milhares 3 4 5 10 3" xfId="23302"/>
    <cellStyle name="Separador de milhares 3 4 5 11" xfId="9783"/>
    <cellStyle name="Separador de milhares 3 4 5 11 2" xfId="36299"/>
    <cellStyle name="Separador de milhares 3 4 5 12" xfId="29836"/>
    <cellStyle name="Separador de milhares 3 4 5 13" xfId="21530"/>
    <cellStyle name="Separador de milhares 3 4 5 2" xfId="1542"/>
    <cellStyle name="Separador de milhares 3 4 5 2 2" xfId="5332"/>
    <cellStyle name="Separador de milhares 3 4 5 2 2 2" xfId="8547"/>
    <cellStyle name="Separador de milhares 3 4 5 2 2 2 2" xfId="20401"/>
    <cellStyle name="Separador de milhares 3 4 5 2 2 2 2 2" xfId="46880"/>
    <cellStyle name="Separador de milhares 3 4 5 2 2 2 3" xfId="14474"/>
    <cellStyle name="Separador de milhares 3 4 5 2 2 2 3 2" xfId="40972"/>
    <cellStyle name="Separador de milhares 3 4 5 2 2 2 4" xfId="35064"/>
    <cellStyle name="Separador de milhares 3 4 5 2 2 2 5" xfId="28530"/>
    <cellStyle name="Separador de milhares 3 4 5 2 2 3" xfId="17437"/>
    <cellStyle name="Separador de milhares 3 4 5 2 2 3 2" xfId="43926"/>
    <cellStyle name="Separador de milhares 3 4 5 2 2 4" xfId="11510"/>
    <cellStyle name="Separador de milhares 3 4 5 2 2 4 2" xfId="38018"/>
    <cellStyle name="Separador de milhares 3 4 5 2 2 5" xfId="31859"/>
    <cellStyle name="Separador de milhares 3 4 5 2 2 6" xfId="25325"/>
    <cellStyle name="Separador de milhares 3 4 5 2 3" xfId="7074"/>
    <cellStyle name="Separador de milhares 3 4 5 2 3 2" xfId="18928"/>
    <cellStyle name="Separador de milhares 3 4 5 2 3 2 2" xfId="45412"/>
    <cellStyle name="Separador de milhares 3 4 5 2 3 3" xfId="13001"/>
    <cellStyle name="Separador de milhares 3 4 5 2 3 3 2" xfId="39504"/>
    <cellStyle name="Separador de milhares 3 4 5 2 3 4" xfId="33596"/>
    <cellStyle name="Separador de milhares 3 4 5 2 3 5" xfId="27062"/>
    <cellStyle name="Separador de milhares 3 4 5 2 4" xfId="15964"/>
    <cellStyle name="Separador de milhares 3 4 5 2 4 2" xfId="42458"/>
    <cellStyle name="Separador de milhares 3 4 5 2 4 3" xfId="23553"/>
    <cellStyle name="Separador de milhares 3 4 5 2 5" xfId="10037"/>
    <cellStyle name="Separador de milhares 3 4 5 2 5 2" xfId="36550"/>
    <cellStyle name="Separador de milhares 3 4 5 2 6" xfId="30087"/>
    <cellStyle name="Separador de milhares 3 4 5 2 7" xfId="21781"/>
    <cellStyle name="Separador de milhares 3 4 5 3" xfId="1977"/>
    <cellStyle name="Separador de milhares 3 4 5 3 2" xfId="5451"/>
    <cellStyle name="Separador de milhares 3 4 5 3 2 2" xfId="8666"/>
    <cellStyle name="Separador de milhares 3 4 5 3 2 2 2" xfId="20520"/>
    <cellStyle name="Separador de milhares 3 4 5 3 2 2 2 2" xfId="46999"/>
    <cellStyle name="Separador de milhares 3 4 5 3 2 2 3" xfId="14593"/>
    <cellStyle name="Separador de milhares 3 4 5 3 2 2 3 2" xfId="41091"/>
    <cellStyle name="Separador de milhares 3 4 5 3 2 2 4" xfId="35183"/>
    <cellStyle name="Separador de milhares 3 4 5 3 2 2 5" xfId="28649"/>
    <cellStyle name="Separador de milhares 3 4 5 3 2 3" xfId="17556"/>
    <cellStyle name="Separador de milhares 3 4 5 3 2 3 2" xfId="44045"/>
    <cellStyle name="Separador de milhares 3 4 5 3 2 4" xfId="11629"/>
    <cellStyle name="Separador de milhares 3 4 5 3 2 4 2" xfId="38137"/>
    <cellStyle name="Separador de milhares 3 4 5 3 2 5" xfId="31978"/>
    <cellStyle name="Separador de milhares 3 4 5 3 2 6" xfId="25444"/>
    <cellStyle name="Separador de milhares 3 4 5 3 3" xfId="7193"/>
    <cellStyle name="Separador de milhares 3 4 5 3 3 2" xfId="19047"/>
    <cellStyle name="Separador de milhares 3 4 5 3 3 2 2" xfId="45531"/>
    <cellStyle name="Separador de milhares 3 4 5 3 3 3" xfId="13120"/>
    <cellStyle name="Separador de milhares 3 4 5 3 3 3 2" xfId="39623"/>
    <cellStyle name="Separador de milhares 3 4 5 3 3 4" xfId="33715"/>
    <cellStyle name="Separador de milhares 3 4 5 3 3 5" xfId="27181"/>
    <cellStyle name="Separador de milhares 3 4 5 3 4" xfId="16083"/>
    <cellStyle name="Separador de milhares 3 4 5 3 4 2" xfId="42577"/>
    <cellStyle name="Separador de milhares 3 4 5 3 4 3" xfId="23672"/>
    <cellStyle name="Separador de milhares 3 4 5 3 5" xfId="10156"/>
    <cellStyle name="Separador de milhares 3 4 5 3 5 2" xfId="36669"/>
    <cellStyle name="Separador de milhares 3 4 5 3 6" xfId="30206"/>
    <cellStyle name="Separador de milhares 3 4 5 3 7" xfId="21900"/>
    <cellStyle name="Separador de milhares 3 4 5 4" xfId="2510"/>
    <cellStyle name="Separador de milhares 3 4 5 4 2" xfId="5601"/>
    <cellStyle name="Separador de milhares 3 4 5 4 2 2" xfId="8813"/>
    <cellStyle name="Separador de milhares 3 4 5 4 2 2 2" xfId="20667"/>
    <cellStyle name="Separador de milhares 3 4 5 4 2 2 2 2" xfId="47146"/>
    <cellStyle name="Separador de milhares 3 4 5 4 2 2 3" xfId="14740"/>
    <cellStyle name="Separador de milhares 3 4 5 4 2 2 3 2" xfId="41238"/>
    <cellStyle name="Separador de milhares 3 4 5 4 2 2 4" xfId="35330"/>
    <cellStyle name="Separador de milhares 3 4 5 4 2 2 5" xfId="28796"/>
    <cellStyle name="Separador de milhares 3 4 5 4 2 3" xfId="17703"/>
    <cellStyle name="Separador de milhares 3 4 5 4 2 3 2" xfId="44192"/>
    <cellStyle name="Separador de milhares 3 4 5 4 2 4" xfId="11776"/>
    <cellStyle name="Separador de milhares 3 4 5 4 2 4 2" xfId="38284"/>
    <cellStyle name="Separador de milhares 3 4 5 4 2 5" xfId="32128"/>
    <cellStyle name="Separador de milhares 3 4 5 4 2 6" xfId="25594"/>
    <cellStyle name="Separador de milhares 3 4 5 4 3" xfId="7341"/>
    <cellStyle name="Separador de milhares 3 4 5 4 3 2" xfId="19195"/>
    <cellStyle name="Separador de milhares 3 4 5 4 3 2 2" xfId="45678"/>
    <cellStyle name="Separador de milhares 3 4 5 4 3 3" xfId="13268"/>
    <cellStyle name="Separador de milhares 3 4 5 4 3 3 2" xfId="39770"/>
    <cellStyle name="Separador de milhares 3 4 5 4 3 4" xfId="33862"/>
    <cellStyle name="Separador de milhares 3 4 5 4 3 5" xfId="27328"/>
    <cellStyle name="Separador de milhares 3 4 5 4 4" xfId="16231"/>
    <cellStyle name="Separador de milhares 3 4 5 4 4 2" xfId="42724"/>
    <cellStyle name="Separador de milhares 3 4 5 4 4 3" xfId="23822"/>
    <cellStyle name="Separador de milhares 3 4 5 4 5" xfId="10304"/>
    <cellStyle name="Separador de milhares 3 4 5 4 5 2" xfId="36816"/>
    <cellStyle name="Separador de milhares 3 4 5 4 6" xfId="30356"/>
    <cellStyle name="Separador de milhares 3 4 5 4 7" xfId="22050"/>
    <cellStyle name="Separador de milhares 3 4 5 5" xfId="3038"/>
    <cellStyle name="Separador de milhares 3 4 5 5 2" xfId="5748"/>
    <cellStyle name="Separador de milhares 3 4 5 5 2 2" xfId="8960"/>
    <cellStyle name="Separador de milhares 3 4 5 5 2 2 2" xfId="20814"/>
    <cellStyle name="Separador de milhares 3 4 5 5 2 2 2 2" xfId="47293"/>
    <cellStyle name="Separador de milhares 3 4 5 5 2 2 3" xfId="14887"/>
    <cellStyle name="Separador de milhares 3 4 5 5 2 2 3 2" xfId="41385"/>
    <cellStyle name="Separador de milhares 3 4 5 5 2 2 4" xfId="35477"/>
    <cellStyle name="Separador de milhares 3 4 5 5 2 2 5" xfId="28943"/>
    <cellStyle name="Separador de milhares 3 4 5 5 2 3" xfId="17850"/>
    <cellStyle name="Separador de milhares 3 4 5 5 2 3 2" xfId="44339"/>
    <cellStyle name="Separador de milhares 3 4 5 5 2 4" xfId="11923"/>
    <cellStyle name="Separador de milhares 3 4 5 5 2 4 2" xfId="38431"/>
    <cellStyle name="Separador de milhares 3 4 5 5 2 5" xfId="32275"/>
    <cellStyle name="Separador de milhares 3 4 5 5 2 6" xfId="25741"/>
    <cellStyle name="Separador de milhares 3 4 5 5 3" xfId="7489"/>
    <cellStyle name="Separador de milhares 3 4 5 5 3 2" xfId="19343"/>
    <cellStyle name="Separador de milhares 3 4 5 5 3 2 2" xfId="45825"/>
    <cellStyle name="Separador de milhares 3 4 5 5 3 3" xfId="13416"/>
    <cellStyle name="Separador de milhares 3 4 5 5 3 3 2" xfId="39917"/>
    <cellStyle name="Separador de milhares 3 4 5 5 3 4" xfId="34009"/>
    <cellStyle name="Separador de milhares 3 4 5 5 3 5" xfId="27475"/>
    <cellStyle name="Separador de milhares 3 4 5 5 4" xfId="16379"/>
    <cellStyle name="Separador de milhares 3 4 5 5 4 2" xfId="42871"/>
    <cellStyle name="Separador de milhares 3 4 5 5 4 3" xfId="23969"/>
    <cellStyle name="Separador de milhares 3 4 5 5 5" xfId="10452"/>
    <cellStyle name="Separador de milhares 3 4 5 5 5 2" xfId="36963"/>
    <cellStyle name="Separador de milhares 3 4 5 5 6" xfId="30503"/>
    <cellStyle name="Separador de milhares 3 4 5 5 7" xfId="22197"/>
    <cellStyle name="Separador de milhares 3 4 5 6" xfId="3566"/>
    <cellStyle name="Separador de milhares 3 4 5 6 2" xfId="5895"/>
    <cellStyle name="Separador de milhares 3 4 5 6 2 2" xfId="9107"/>
    <cellStyle name="Separador de milhares 3 4 5 6 2 2 2" xfId="20961"/>
    <cellStyle name="Separador de milhares 3 4 5 6 2 2 2 2" xfId="47440"/>
    <cellStyle name="Separador de milhares 3 4 5 6 2 2 3" xfId="15034"/>
    <cellStyle name="Separador de milhares 3 4 5 6 2 2 3 2" xfId="41532"/>
    <cellStyle name="Separador de milhares 3 4 5 6 2 2 4" xfId="35624"/>
    <cellStyle name="Separador de milhares 3 4 5 6 2 2 5" xfId="29090"/>
    <cellStyle name="Separador de milhares 3 4 5 6 2 3" xfId="17997"/>
    <cellStyle name="Separador de milhares 3 4 5 6 2 3 2" xfId="44486"/>
    <cellStyle name="Separador de milhares 3 4 5 6 2 4" xfId="12070"/>
    <cellStyle name="Separador de milhares 3 4 5 6 2 4 2" xfId="38578"/>
    <cellStyle name="Separador de milhares 3 4 5 6 2 5" xfId="32422"/>
    <cellStyle name="Separador de milhares 3 4 5 6 2 6" xfId="25888"/>
    <cellStyle name="Separador de milhares 3 4 5 6 3" xfId="7637"/>
    <cellStyle name="Separador de milhares 3 4 5 6 3 2" xfId="19491"/>
    <cellStyle name="Separador de milhares 3 4 5 6 3 2 2" xfId="45972"/>
    <cellStyle name="Separador de milhares 3 4 5 6 3 3" xfId="13564"/>
    <cellStyle name="Separador de milhares 3 4 5 6 3 3 2" xfId="40064"/>
    <cellStyle name="Separador de milhares 3 4 5 6 3 4" xfId="34156"/>
    <cellStyle name="Separador de milhares 3 4 5 6 3 5" xfId="27622"/>
    <cellStyle name="Separador de milhares 3 4 5 6 4" xfId="16527"/>
    <cellStyle name="Separador de milhares 3 4 5 6 4 2" xfId="43018"/>
    <cellStyle name="Separador de milhares 3 4 5 6 4 3" xfId="24116"/>
    <cellStyle name="Separador de milhares 3 4 5 6 5" xfId="10600"/>
    <cellStyle name="Separador de milhares 3 4 5 6 5 2" xfId="37110"/>
    <cellStyle name="Separador de milhares 3 4 5 6 6" xfId="30650"/>
    <cellStyle name="Separador de milhares 3 4 5 6 7" xfId="22344"/>
    <cellStyle name="Separador de milhares 3 4 5 7" xfId="4094"/>
    <cellStyle name="Separador de milhares 3 4 5 7 2" xfId="6042"/>
    <cellStyle name="Separador de milhares 3 4 5 7 2 2" xfId="9254"/>
    <cellStyle name="Separador de milhares 3 4 5 7 2 2 2" xfId="21108"/>
    <cellStyle name="Separador de milhares 3 4 5 7 2 2 2 2" xfId="47587"/>
    <cellStyle name="Separador de milhares 3 4 5 7 2 2 3" xfId="15181"/>
    <cellStyle name="Separador de milhares 3 4 5 7 2 2 3 2" xfId="41679"/>
    <cellStyle name="Separador de milhares 3 4 5 7 2 2 4" xfId="35771"/>
    <cellStyle name="Separador de milhares 3 4 5 7 2 2 5" xfId="29237"/>
    <cellStyle name="Separador de milhares 3 4 5 7 2 3" xfId="18144"/>
    <cellStyle name="Separador de milhares 3 4 5 7 2 3 2" xfId="44633"/>
    <cellStyle name="Separador de milhares 3 4 5 7 2 4" xfId="12217"/>
    <cellStyle name="Separador de milhares 3 4 5 7 2 4 2" xfId="38725"/>
    <cellStyle name="Separador de milhares 3 4 5 7 2 5" xfId="32569"/>
    <cellStyle name="Separador de milhares 3 4 5 7 2 6" xfId="26035"/>
    <cellStyle name="Separador de milhares 3 4 5 7 3" xfId="7785"/>
    <cellStyle name="Separador de milhares 3 4 5 7 3 2" xfId="19639"/>
    <cellStyle name="Separador de milhares 3 4 5 7 3 2 2" xfId="46119"/>
    <cellStyle name="Separador de milhares 3 4 5 7 3 3" xfId="13712"/>
    <cellStyle name="Separador de milhares 3 4 5 7 3 3 2" xfId="40211"/>
    <cellStyle name="Separador de milhares 3 4 5 7 3 4" xfId="34303"/>
    <cellStyle name="Separador de milhares 3 4 5 7 3 5" xfId="27769"/>
    <cellStyle name="Separador de milhares 3 4 5 7 4" xfId="16675"/>
    <cellStyle name="Separador de milhares 3 4 5 7 4 2" xfId="43165"/>
    <cellStyle name="Separador de milhares 3 4 5 7 4 3" xfId="24263"/>
    <cellStyle name="Separador de milhares 3 4 5 7 5" xfId="10748"/>
    <cellStyle name="Separador de milhares 3 4 5 7 5 2" xfId="37257"/>
    <cellStyle name="Separador de milhares 3 4 5 7 6" xfId="30797"/>
    <cellStyle name="Separador de milhares 3 4 5 7 7" xfId="22491"/>
    <cellStyle name="Separador de milhares 3 4 5 8" xfId="5081"/>
    <cellStyle name="Separador de milhares 3 4 5 8 2" xfId="8296"/>
    <cellStyle name="Separador de milhares 3 4 5 8 2 2" xfId="20150"/>
    <cellStyle name="Separador de milhares 3 4 5 8 2 2 2" xfId="46629"/>
    <cellStyle name="Separador de milhares 3 4 5 8 2 3" xfId="14223"/>
    <cellStyle name="Separador de milhares 3 4 5 8 2 3 2" xfId="40721"/>
    <cellStyle name="Separador de milhares 3 4 5 8 2 4" xfId="34813"/>
    <cellStyle name="Separador de milhares 3 4 5 8 2 5" xfId="28279"/>
    <cellStyle name="Separador de milhares 3 4 5 8 3" xfId="17186"/>
    <cellStyle name="Separador de milhares 3 4 5 8 3 2" xfId="43675"/>
    <cellStyle name="Separador de milhares 3 4 5 8 4" xfId="11259"/>
    <cellStyle name="Separador de milhares 3 4 5 8 4 2" xfId="37767"/>
    <cellStyle name="Separador de milhares 3 4 5 8 5" xfId="31608"/>
    <cellStyle name="Separador de milhares 3 4 5 8 6" xfId="25074"/>
    <cellStyle name="Separador de milhares 3 4 5 9" xfId="6820"/>
    <cellStyle name="Separador de milhares 3 4 5 9 2" xfId="18674"/>
    <cellStyle name="Separador de milhares 3 4 5 9 2 2" xfId="45161"/>
    <cellStyle name="Separador de milhares 3 4 5 9 3" xfId="12747"/>
    <cellStyle name="Separador de milhares 3 4 5 9 3 2" xfId="39253"/>
    <cellStyle name="Separador de milhares 3 4 5 9 4" xfId="33345"/>
    <cellStyle name="Separador de milhares 3 4 5 9 5" xfId="26811"/>
    <cellStyle name="Separador de milhares 3 4 6" xfId="840"/>
    <cellStyle name="Separador de milhares 3 4 6 2" xfId="4271"/>
    <cellStyle name="Separador de milhares 3 4 6 2 2" xfId="6091"/>
    <cellStyle name="Separador de milhares 3 4 6 2 2 2" xfId="9303"/>
    <cellStyle name="Separador de milhares 3 4 6 2 2 2 2" xfId="21157"/>
    <cellStyle name="Separador de milhares 3 4 6 2 2 2 2 2" xfId="47636"/>
    <cellStyle name="Separador de milhares 3 4 6 2 2 2 3" xfId="15230"/>
    <cellStyle name="Separador de milhares 3 4 6 2 2 2 3 2" xfId="41728"/>
    <cellStyle name="Separador de milhares 3 4 6 2 2 2 4" xfId="35820"/>
    <cellStyle name="Separador de milhares 3 4 6 2 2 2 5" xfId="29286"/>
    <cellStyle name="Separador de milhares 3 4 6 2 2 3" xfId="18193"/>
    <cellStyle name="Separador de milhares 3 4 6 2 2 3 2" xfId="44682"/>
    <cellStyle name="Separador de milhares 3 4 6 2 2 4" xfId="12266"/>
    <cellStyle name="Separador de milhares 3 4 6 2 2 4 2" xfId="38774"/>
    <cellStyle name="Separador de milhares 3 4 6 2 2 5" xfId="32618"/>
    <cellStyle name="Separador de milhares 3 4 6 2 2 6" xfId="26084"/>
    <cellStyle name="Separador de milhares 3 4 6 2 3" xfId="7835"/>
    <cellStyle name="Separador de milhares 3 4 6 2 3 2" xfId="19689"/>
    <cellStyle name="Separador de milhares 3 4 6 2 3 2 2" xfId="46168"/>
    <cellStyle name="Separador de milhares 3 4 6 2 3 3" xfId="13762"/>
    <cellStyle name="Separador de milhares 3 4 6 2 3 3 2" xfId="40260"/>
    <cellStyle name="Separador de milhares 3 4 6 2 3 4" xfId="34352"/>
    <cellStyle name="Separador de milhares 3 4 6 2 3 5" xfId="27818"/>
    <cellStyle name="Separador de milhares 3 4 6 2 4" xfId="16725"/>
    <cellStyle name="Separador de milhares 3 4 6 2 4 2" xfId="43214"/>
    <cellStyle name="Separador de milhares 3 4 6 2 4 3" xfId="24312"/>
    <cellStyle name="Separador de milhares 3 4 6 2 5" xfId="10798"/>
    <cellStyle name="Separador de milhares 3 4 6 2 5 2" xfId="37306"/>
    <cellStyle name="Separador de milhares 3 4 6 2 6" xfId="30846"/>
    <cellStyle name="Separador de milhares 3 4 6 2 7" xfId="22540"/>
    <cellStyle name="Separador de milhares 3 4 6 3" xfId="5136"/>
    <cellStyle name="Separador de milhares 3 4 6 3 2" xfId="8351"/>
    <cellStyle name="Separador de milhares 3 4 6 3 2 2" xfId="20205"/>
    <cellStyle name="Separador de milhares 3 4 6 3 2 2 2" xfId="46684"/>
    <cellStyle name="Separador de milhares 3 4 6 3 2 3" xfId="14278"/>
    <cellStyle name="Separador de milhares 3 4 6 3 2 3 2" xfId="40776"/>
    <cellStyle name="Separador de milhares 3 4 6 3 2 4" xfId="34868"/>
    <cellStyle name="Separador de milhares 3 4 6 3 2 5" xfId="28334"/>
    <cellStyle name="Separador de milhares 3 4 6 3 3" xfId="17241"/>
    <cellStyle name="Separador de milhares 3 4 6 3 3 2" xfId="43730"/>
    <cellStyle name="Separador de milhares 3 4 6 3 4" xfId="11314"/>
    <cellStyle name="Separador de milhares 3 4 6 3 4 2" xfId="37822"/>
    <cellStyle name="Separador de milhares 3 4 6 3 5" xfId="31663"/>
    <cellStyle name="Separador de milhares 3 4 6 3 6" xfId="25129"/>
    <cellStyle name="Separador de milhares 3 4 6 4" xfId="6878"/>
    <cellStyle name="Separador de milhares 3 4 6 4 2" xfId="18732"/>
    <cellStyle name="Separador de milhares 3 4 6 4 2 2" xfId="45216"/>
    <cellStyle name="Separador de milhares 3 4 6 4 3" xfId="12805"/>
    <cellStyle name="Separador de milhares 3 4 6 4 3 2" xfId="39308"/>
    <cellStyle name="Separador de milhares 3 4 6 4 4" xfId="33400"/>
    <cellStyle name="Separador de milhares 3 4 6 4 5" xfId="26866"/>
    <cellStyle name="Separador de milhares 3 4 6 5" xfId="15768"/>
    <cellStyle name="Separador de milhares 3 4 6 5 2" xfId="42262"/>
    <cellStyle name="Separador de milhares 3 4 6 5 3" xfId="23357"/>
    <cellStyle name="Separador de milhares 3 4 6 6" xfId="9841"/>
    <cellStyle name="Separador de milhares 3 4 6 6 2" xfId="36354"/>
    <cellStyle name="Separador de milhares 3 4 6 7" xfId="29891"/>
    <cellStyle name="Separador de milhares 3 4 6 8" xfId="21585"/>
    <cellStyle name="Separador de milhares 3 4 7" xfId="1191"/>
    <cellStyle name="Separador de milhares 3 4 7 2" xfId="5234"/>
    <cellStyle name="Separador de milhares 3 4 7 2 2" xfId="8449"/>
    <cellStyle name="Separador de milhares 3 4 7 2 2 2" xfId="20303"/>
    <cellStyle name="Separador de milhares 3 4 7 2 2 2 2" xfId="46782"/>
    <cellStyle name="Separador de milhares 3 4 7 2 2 3" xfId="14376"/>
    <cellStyle name="Separador de milhares 3 4 7 2 2 3 2" xfId="40874"/>
    <cellStyle name="Separador de milhares 3 4 7 2 2 4" xfId="34966"/>
    <cellStyle name="Separador de milhares 3 4 7 2 2 5" xfId="28432"/>
    <cellStyle name="Separador de milhares 3 4 7 2 3" xfId="17339"/>
    <cellStyle name="Separador de milhares 3 4 7 2 3 2" xfId="43828"/>
    <cellStyle name="Separador de milhares 3 4 7 2 4" xfId="11412"/>
    <cellStyle name="Separador de milhares 3 4 7 2 4 2" xfId="37920"/>
    <cellStyle name="Separador de milhares 3 4 7 2 5" xfId="31761"/>
    <cellStyle name="Separador de milhares 3 4 7 2 6" xfId="25227"/>
    <cellStyle name="Separador de milhares 3 4 7 3" xfId="6976"/>
    <cellStyle name="Separador de milhares 3 4 7 3 2" xfId="18830"/>
    <cellStyle name="Separador de milhares 3 4 7 3 2 2" xfId="45314"/>
    <cellStyle name="Separador de milhares 3 4 7 3 3" xfId="12903"/>
    <cellStyle name="Separador de milhares 3 4 7 3 3 2" xfId="39406"/>
    <cellStyle name="Separador de milhares 3 4 7 3 4" xfId="33498"/>
    <cellStyle name="Separador de milhares 3 4 7 3 5" xfId="26964"/>
    <cellStyle name="Separador de milhares 3 4 7 4" xfId="15866"/>
    <cellStyle name="Separador de milhares 3 4 7 4 2" xfId="42360"/>
    <cellStyle name="Separador de milhares 3 4 7 4 3" xfId="23455"/>
    <cellStyle name="Separador de milhares 3 4 7 5" xfId="9939"/>
    <cellStyle name="Separador de milhares 3 4 7 5 2" xfId="36452"/>
    <cellStyle name="Separador de milhares 3 4 7 6" xfId="29989"/>
    <cellStyle name="Separador de milhares 3 4 7 7" xfId="21683"/>
    <cellStyle name="Separador de milhares 3 4 8" xfId="1626"/>
    <cellStyle name="Separador de milhares 3 4 8 2" xfId="5353"/>
    <cellStyle name="Separador de milhares 3 4 8 2 2" xfId="8568"/>
    <cellStyle name="Separador de milhares 3 4 8 2 2 2" xfId="20422"/>
    <cellStyle name="Separador de milhares 3 4 8 2 2 2 2" xfId="46901"/>
    <cellStyle name="Separador de milhares 3 4 8 2 2 3" xfId="14495"/>
    <cellStyle name="Separador de milhares 3 4 8 2 2 3 2" xfId="40993"/>
    <cellStyle name="Separador de milhares 3 4 8 2 2 4" xfId="35085"/>
    <cellStyle name="Separador de milhares 3 4 8 2 2 5" xfId="28551"/>
    <cellStyle name="Separador de milhares 3 4 8 2 3" xfId="17458"/>
    <cellStyle name="Separador de milhares 3 4 8 2 3 2" xfId="43947"/>
    <cellStyle name="Separador de milhares 3 4 8 2 4" xfId="11531"/>
    <cellStyle name="Separador de milhares 3 4 8 2 4 2" xfId="38039"/>
    <cellStyle name="Separador de milhares 3 4 8 2 5" xfId="31880"/>
    <cellStyle name="Separador de milhares 3 4 8 2 6" xfId="25346"/>
    <cellStyle name="Separador de milhares 3 4 8 3" xfId="7095"/>
    <cellStyle name="Separador de milhares 3 4 8 3 2" xfId="18949"/>
    <cellStyle name="Separador de milhares 3 4 8 3 2 2" xfId="45433"/>
    <cellStyle name="Separador de milhares 3 4 8 3 3" xfId="13022"/>
    <cellStyle name="Separador de milhares 3 4 8 3 3 2" xfId="39525"/>
    <cellStyle name="Separador de milhares 3 4 8 3 4" xfId="33617"/>
    <cellStyle name="Separador de milhares 3 4 8 3 5" xfId="27083"/>
    <cellStyle name="Separador de milhares 3 4 8 4" xfId="15985"/>
    <cellStyle name="Separador de milhares 3 4 8 4 2" xfId="42479"/>
    <cellStyle name="Separador de milhares 3 4 8 4 3" xfId="23574"/>
    <cellStyle name="Separador de milhares 3 4 8 5" xfId="10058"/>
    <cellStyle name="Separador de milhares 3 4 8 5 2" xfId="36571"/>
    <cellStyle name="Separador de milhares 3 4 8 6" xfId="30108"/>
    <cellStyle name="Separador de milhares 3 4 8 7" xfId="21802"/>
    <cellStyle name="Separador de milhares 3 4 9" xfId="2159"/>
    <cellStyle name="Separador de milhares 3 4 9 2" xfId="5503"/>
    <cellStyle name="Separador de milhares 3 4 9 2 2" xfId="8715"/>
    <cellStyle name="Separador de milhares 3 4 9 2 2 2" xfId="20569"/>
    <cellStyle name="Separador de milhares 3 4 9 2 2 2 2" xfId="47048"/>
    <cellStyle name="Separador de milhares 3 4 9 2 2 3" xfId="14642"/>
    <cellStyle name="Separador de milhares 3 4 9 2 2 3 2" xfId="41140"/>
    <cellStyle name="Separador de milhares 3 4 9 2 2 4" xfId="35232"/>
    <cellStyle name="Separador de milhares 3 4 9 2 2 5" xfId="28698"/>
    <cellStyle name="Separador de milhares 3 4 9 2 3" xfId="17605"/>
    <cellStyle name="Separador de milhares 3 4 9 2 3 2" xfId="44094"/>
    <cellStyle name="Separador de milhares 3 4 9 2 4" xfId="11678"/>
    <cellStyle name="Separador de milhares 3 4 9 2 4 2" xfId="38186"/>
    <cellStyle name="Separador de milhares 3 4 9 2 5" xfId="32030"/>
    <cellStyle name="Separador de milhares 3 4 9 2 6" xfId="25496"/>
    <cellStyle name="Separador de milhares 3 4 9 3" xfId="7243"/>
    <cellStyle name="Separador de milhares 3 4 9 3 2" xfId="19097"/>
    <cellStyle name="Separador de milhares 3 4 9 3 2 2" xfId="45580"/>
    <cellStyle name="Separador de milhares 3 4 9 3 3" xfId="13170"/>
    <cellStyle name="Separador de milhares 3 4 9 3 3 2" xfId="39672"/>
    <cellStyle name="Separador de milhares 3 4 9 3 4" xfId="33764"/>
    <cellStyle name="Separador de milhares 3 4 9 3 5" xfId="27230"/>
    <cellStyle name="Separador de milhares 3 4 9 4" xfId="16133"/>
    <cellStyle name="Separador de milhares 3 4 9 4 2" xfId="42626"/>
    <cellStyle name="Separador de milhares 3 4 9 4 3" xfId="23724"/>
    <cellStyle name="Separador de milhares 3 4 9 5" xfId="10206"/>
    <cellStyle name="Separador de milhares 3 4 9 5 2" xfId="36718"/>
    <cellStyle name="Separador de milhares 3 4 9 6" xfId="30258"/>
    <cellStyle name="Separador de milhares 3 4 9 7" xfId="21952"/>
    <cellStyle name="Separador de milhares 3 5" xfId="181"/>
    <cellStyle name="Separador de milhares 3 5 10" xfId="2691"/>
    <cellStyle name="Separador de milhares 3 5 10 2" xfId="5651"/>
    <cellStyle name="Separador de milhares 3 5 10 2 2" xfId="8863"/>
    <cellStyle name="Separador de milhares 3 5 10 2 2 2" xfId="20717"/>
    <cellStyle name="Separador de milhares 3 5 10 2 2 2 2" xfId="47196"/>
    <cellStyle name="Separador de milhares 3 5 10 2 2 3" xfId="14790"/>
    <cellStyle name="Separador de milhares 3 5 10 2 2 3 2" xfId="41288"/>
    <cellStyle name="Separador de milhares 3 5 10 2 2 4" xfId="35380"/>
    <cellStyle name="Separador de milhares 3 5 10 2 2 5" xfId="28846"/>
    <cellStyle name="Separador de milhares 3 5 10 2 3" xfId="17753"/>
    <cellStyle name="Separador de milhares 3 5 10 2 3 2" xfId="44242"/>
    <cellStyle name="Separador de milhares 3 5 10 2 4" xfId="11826"/>
    <cellStyle name="Separador de milhares 3 5 10 2 4 2" xfId="38334"/>
    <cellStyle name="Separador de milhares 3 5 10 2 5" xfId="32178"/>
    <cellStyle name="Separador de milhares 3 5 10 2 6" xfId="25644"/>
    <cellStyle name="Separador de milhares 3 5 10 3" xfId="7392"/>
    <cellStyle name="Separador de milhares 3 5 10 3 2" xfId="19246"/>
    <cellStyle name="Separador de milhares 3 5 10 3 2 2" xfId="45728"/>
    <cellStyle name="Separador de milhares 3 5 10 3 3" xfId="13319"/>
    <cellStyle name="Separador de milhares 3 5 10 3 3 2" xfId="39820"/>
    <cellStyle name="Separador de milhares 3 5 10 3 4" xfId="33912"/>
    <cellStyle name="Separador de milhares 3 5 10 3 5" xfId="27378"/>
    <cellStyle name="Separador de milhares 3 5 10 4" xfId="16282"/>
    <cellStyle name="Separador de milhares 3 5 10 4 2" xfId="42774"/>
    <cellStyle name="Separador de milhares 3 5 10 4 3" xfId="23872"/>
    <cellStyle name="Separador de milhares 3 5 10 5" xfId="10355"/>
    <cellStyle name="Separador de milhares 3 5 10 5 2" xfId="36866"/>
    <cellStyle name="Separador de milhares 3 5 10 6" xfId="30406"/>
    <cellStyle name="Separador de milhares 3 5 10 7" xfId="22100"/>
    <cellStyle name="Separador de milhares 3 5 11" xfId="3219"/>
    <cellStyle name="Separador de milhares 3 5 11 2" xfId="5798"/>
    <cellStyle name="Separador de milhares 3 5 11 2 2" xfId="9010"/>
    <cellStyle name="Separador de milhares 3 5 11 2 2 2" xfId="20864"/>
    <cellStyle name="Separador de milhares 3 5 11 2 2 2 2" xfId="47343"/>
    <cellStyle name="Separador de milhares 3 5 11 2 2 3" xfId="14937"/>
    <cellStyle name="Separador de milhares 3 5 11 2 2 3 2" xfId="41435"/>
    <cellStyle name="Separador de milhares 3 5 11 2 2 4" xfId="35527"/>
    <cellStyle name="Separador de milhares 3 5 11 2 2 5" xfId="28993"/>
    <cellStyle name="Separador de milhares 3 5 11 2 3" xfId="17900"/>
    <cellStyle name="Separador de milhares 3 5 11 2 3 2" xfId="44389"/>
    <cellStyle name="Separador de milhares 3 5 11 2 4" xfId="11973"/>
    <cellStyle name="Separador de milhares 3 5 11 2 4 2" xfId="38481"/>
    <cellStyle name="Separador de milhares 3 5 11 2 5" xfId="32325"/>
    <cellStyle name="Separador de milhares 3 5 11 2 6" xfId="25791"/>
    <cellStyle name="Separador de milhares 3 5 11 3" xfId="7540"/>
    <cellStyle name="Separador de milhares 3 5 11 3 2" xfId="19394"/>
    <cellStyle name="Separador de milhares 3 5 11 3 2 2" xfId="45875"/>
    <cellStyle name="Separador de milhares 3 5 11 3 3" xfId="13467"/>
    <cellStyle name="Separador de milhares 3 5 11 3 3 2" xfId="39967"/>
    <cellStyle name="Separador de milhares 3 5 11 3 4" xfId="34059"/>
    <cellStyle name="Separador de milhares 3 5 11 3 5" xfId="27525"/>
    <cellStyle name="Separador de milhares 3 5 11 4" xfId="16430"/>
    <cellStyle name="Separador de milhares 3 5 11 4 2" xfId="42921"/>
    <cellStyle name="Separador de milhares 3 5 11 4 3" xfId="24019"/>
    <cellStyle name="Separador de milhares 3 5 11 5" xfId="10503"/>
    <cellStyle name="Separador de milhares 3 5 11 5 2" xfId="37013"/>
    <cellStyle name="Separador de milhares 3 5 11 6" xfId="30553"/>
    <cellStyle name="Separador de milhares 3 5 11 7" xfId="22247"/>
    <cellStyle name="Separador de milhares 3 5 12" xfId="3747"/>
    <cellStyle name="Separador de milhares 3 5 12 2" xfId="5945"/>
    <cellStyle name="Separador de milhares 3 5 12 2 2" xfId="9157"/>
    <cellStyle name="Separador de milhares 3 5 12 2 2 2" xfId="21011"/>
    <cellStyle name="Separador de milhares 3 5 12 2 2 2 2" xfId="47490"/>
    <cellStyle name="Separador de milhares 3 5 12 2 2 3" xfId="15084"/>
    <cellStyle name="Separador de milhares 3 5 12 2 2 3 2" xfId="41582"/>
    <cellStyle name="Separador de milhares 3 5 12 2 2 4" xfId="35674"/>
    <cellStyle name="Separador de milhares 3 5 12 2 2 5" xfId="29140"/>
    <cellStyle name="Separador de milhares 3 5 12 2 3" xfId="18047"/>
    <cellStyle name="Separador de milhares 3 5 12 2 3 2" xfId="44536"/>
    <cellStyle name="Separador de milhares 3 5 12 2 4" xfId="12120"/>
    <cellStyle name="Separador de milhares 3 5 12 2 4 2" xfId="38628"/>
    <cellStyle name="Separador de milhares 3 5 12 2 5" xfId="32472"/>
    <cellStyle name="Separador de milhares 3 5 12 2 6" xfId="25938"/>
    <cellStyle name="Separador de milhares 3 5 12 3" xfId="7688"/>
    <cellStyle name="Separador de milhares 3 5 12 3 2" xfId="19542"/>
    <cellStyle name="Separador de milhares 3 5 12 3 2 2" xfId="46022"/>
    <cellStyle name="Separador de milhares 3 5 12 3 3" xfId="13615"/>
    <cellStyle name="Separador de milhares 3 5 12 3 3 2" xfId="40114"/>
    <cellStyle name="Separador de milhares 3 5 12 3 4" xfId="34206"/>
    <cellStyle name="Separador de milhares 3 5 12 3 5" xfId="27672"/>
    <cellStyle name="Separador de milhares 3 5 12 4" xfId="16578"/>
    <cellStyle name="Separador de milhares 3 5 12 4 2" xfId="43068"/>
    <cellStyle name="Separador de milhares 3 5 12 4 3" xfId="24166"/>
    <cellStyle name="Separador de milhares 3 5 12 5" xfId="10651"/>
    <cellStyle name="Separador de milhares 3 5 12 5 2" xfId="37160"/>
    <cellStyle name="Separador de milhares 3 5 12 6" xfId="30700"/>
    <cellStyle name="Separador de milhares 3 5 12 7" xfId="22394"/>
    <cellStyle name="Separador de milhares 3 5 13" xfId="4929"/>
    <cellStyle name="Separador de milhares 3 5 13 2" xfId="8153"/>
    <cellStyle name="Separador de milhares 3 5 13 2 2" xfId="20007"/>
    <cellStyle name="Separador de milhares 3 5 13 2 2 2" xfId="46486"/>
    <cellStyle name="Separador de milhares 3 5 13 2 3" xfId="14080"/>
    <cellStyle name="Separador de milhares 3 5 13 2 3 2" xfId="40578"/>
    <cellStyle name="Separador de milhares 3 5 13 2 4" xfId="34670"/>
    <cellStyle name="Separador de milhares 3 5 13 2 5" xfId="28136"/>
    <cellStyle name="Separador de milhares 3 5 13 3" xfId="17043"/>
    <cellStyle name="Separador de milhares 3 5 13 3 2" xfId="43532"/>
    <cellStyle name="Separador de milhares 3 5 13 4" xfId="11116"/>
    <cellStyle name="Separador de milhares 3 5 13 4 2" xfId="37624"/>
    <cellStyle name="Separador de milhares 3 5 13 5" xfId="31456"/>
    <cellStyle name="Separador de milhares 3 5 13 6" xfId="24922"/>
    <cellStyle name="Separador de milhares 3 5 14" xfId="6677"/>
    <cellStyle name="Separador de milhares 3 5 14 2" xfId="18531"/>
    <cellStyle name="Separador de milhares 3 5 14 2 2" xfId="45018"/>
    <cellStyle name="Separador de milhares 3 5 14 3" xfId="12604"/>
    <cellStyle name="Separador de milhares 3 5 14 3 2" xfId="39110"/>
    <cellStyle name="Separador de milhares 3 5 14 4" xfId="33202"/>
    <cellStyle name="Separador de milhares 3 5 14 5" xfId="26668"/>
    <cellStyle name="Separador de milhares 3 5 15" xfId="15567"/>
    <cellStyle name="Separador de milhares 3 5 15 2" xfId="42064"/>
    <cellStyle name="Separador de milhares 3 5 15 3" xfId="23150"/>
    <cellStyle name="Separador de milhares 3 5 16" xfId="9640"/>
    <cellStyle name="Separador de milhares 3 5 16 2" xfId="36156"/>
    <cellStyle name="Separador de milhares 3 5 17" xfId="29684"/>
    <cellStyle name="Separador de milhares 3 5 2" xfId="275"/>
    <cellStyle name="Separador de milhares 3 5 2 10" xfId="4958"/>
    <cellStyle name="Separador de milhares 3 5 2 10 2" xfId="8180"/>
    <cellStyle name="Separador de milhares 3 5 2 10 2 2" xfId="20034"/>
    <cellStyle name="Separador de milhares 3 5 2 10 2 2 2" xfId="46513"/>
    <cellStyle name="Separador de milhares 3 5 2 10 2 3" xfId="14107"/>
    <cellStyle name="Separador de milhares 3 5 2 10 2 3 2" xfId="40605"/>
    <cellStyle name="Separador de milhares 3 5 2 10 2 4" xfId="34697"/>
    <cellStyle name="Separador de milhares 3 5 2 10 2 5" xfId="28163"/>
    <cellStyle name="Separador de milhares 3 5 2 10 3" xfId="17070"/>
    <cellStyle name="Separador de milhares 3 5 2 10 3 2" xfId="43559"/>
    <cellStyle name="Separador de milhares 3 5 2 10 4" xfId="11143"/>
    <cellStyle name="Separador de milhares 3 5 2 10 4 2" xfId="37651"/>
    <cellStyle name="Separador de milhares 3 5 2 10 5" xfId="31485"/>
    <cellStyle name="Separador de milhares 3 5 2 10 6" xfId="24951"/>
    <cellStyle name="Separador de milhares 3 5 2 11" xfId="6704"/>
    <cellStyle name="Separador de milhares 3 5 2 11 2" xfId="18558"/>
    <cellStyle name="Separador de milhares 3 5 2 11 2 2" xfId="45045"/>
    <cellStyle name="Separador de milhares 3 5 2 11 3" xfId="12631"/>
    <cellStyle name="Separador de milhares 3 5 2 11 3 2" xfId="39137"/>
    <cellStyle name="Separador de milhares 3 5 2 11 4" xfId="33229"/>
    <cellStyle name="Separador de milhares 3 5 2 11 5" xfId="26695"/>
    <cellStyle name="Separador de milhares 3 5 2 12" xfId="15594"/>
    <cellStyle name="Separador de milhares 3 5 2 12 2" xfId="42091"/>
    <cellStyle name="Separador de milhares 3 5 2 12 3" xfId="23179"/>
    <cellStyle name="Separador de milhares 3 5 2 13" xfId="9667"/>
    <cellStyle name="Separador de milhares 3 5 2 13 2" xfId="36183"/>
    <cellStyle name="Separador de milhares 3 5 2 14" xfId="29713"/>
    <cellStyle name="Separador de milhares 3 5 2 15" xfId="21431"/>
    <cellStyle name="Separador de milhares 3 5 2 2" xfId="550"/>
    <cellStyle name="Separador de milhares 3 5 2 2 10" xfId="9741"/>
    <cellStyle name="Separador de milhares 3 5 2 2 10 2" xfId="36257"/>
    <cellStyle name="Separador de milhares 3 5 2 2 11" xfId="29794"/>
    <cellStyle name="Separador de milhares 3 5 2 2 12" xfId="21489"/>
    <cellStyle name="Separador de milhares 3 5 2 2 2" xfId="2071"/>
    <cellStyle name="Separador de milhares 3 5 2 2 2 2" xfId="5477"/>
    <cellStyle name="Separador de milhares 3 5 2 2 2 2 2" xfId="8692"/>
    <cellStyle name="Separador de milhares 3 5 2 2 2 2 2 2" xfId="20546"/>
    <cellStyle name="Separador de milhares 3 5 2 2 2 2 2 2 2" xfId="47025"/>
    <cellStyle name="Separador de milhares 3 5 2 2 2 2 2 3" xfId="14619"/>
    <cellStyle name="Separador de milhares 3 5 2 2 2 2 2 3 2" xfId="41117"/>
    <cellStyle name="Separador de milhares 3 5 2 2 2 2 2 4" xfId="35209"/>
    <cellStyle name="Separador de milhares 3 5 2 2 2 2 2 5" xfId="28675"/>
    <cellStyle name="Separador de milhares 3 5 2 2 2 2 3" xfId="17582"/>
    <cellStyle name="Separador de milhares 3 5 2 2 2 2 3 2" xfId="44071"/>
    <cellStyle name="Separador de milhares 3 5 2 2 2 2 4" xfId="11655"/>
    <cellStyle name="Separador de milhares 3 5 2 2 2 2 4 2" xfId="38163"/>
    <cellStyle name="Separador de milhares 3 5 2 2 2 2 5" xfId="32004"/>
    <cellStyle name="Separador de milhares 3 5 2 2 2 2 6" xfId="25470"/>
    <cellStyle name="Separador de milhares 3 5 2 2 2 3" xfId="7220"/>
    <cellStyle name="Separador de milhares 3 5 2 2 2 3 2" xfId="19074"/>
    <cellStyle name="Separador de milhares 3 5 2 2 2 3 2 2" xfId="45557"/>
    <cellStyle name="Separador de milhares 3 5 2 2 2 3 3" xfId="13147"/>
    <cellStyle name="Separador de milhares 3 5 2 2 2 3 3 2" xfId="39649"/>
    <cellStyle name="Separador de milhares 3 5 2 2 2 3 4" xfId="33741"/>
    <cellStyle name="Separador de milhares 3 5 2 2 2 3 5" xfId="27207"/>
    <cellStyle name="Separador de milhares 3 5 2 2 2 4" xfId="16110"/>
    <cellStyle name="Separador de milhares 3 5 2 2 2 4 2" xfId="42603"/>
    <cellStyle name="Separador de milhares 3 5 2 2 2 4 3" xfId="23698"/>
    <cellStyle name="Separador de milhares 3 5 2 2 2 5" xfId="10183"/>
    <cellStyle name="Separador de milhares 3 5 2 2 2 5 2" xfId="36695"/>
    <cellStyle name="Separador de milhares 3 5 2 2 2 6" xfId="30232"/>
    <cellStyle name="Separador de milhares 3 5 2 2 2 7" xfId="21926"/>
    <cellStyle name="Separador de milhares 3 5 2 2 3" xfId="2604"/>
    <cellStyle name="Separador de milhares 3 5 2 2 3 2" xfId="5627"/>
    <cellStyle name="Separador de milhares 3 5 2 2 3 2 2" xfId="8839"/>
    <cellStyle name="Separador de milhares 3 5 2 2 3 2 2 2" xfId="20693"/>
    <cellStyle name="Separador de milhares 3 5 2 2 3 2 2 2 2" xfId="47172"/>
    <cellStyle name="Separador de milhares 3 5 2 2 3 2 2 3" xfId="14766"/>
    <cellStyle name="Separador de milhares 3 5 2 2 3 2 2 3 2" xfId="41264"/>
    <cellStyle name="Separador de milhares 3 5 2 2 3 2 2 4" xfId="35356"/>
    <cellStyle name="Separador de milhares 3 5 2 2 3 2 2 5" xfId="28822"/>
    <cellStyle name="Separador de milhares 3 5 2 2 3 2 3" xfId="17729"/>
    <cellStyle name="Separador de milhares 3 5 2 2 3 2 3 2" xfId="44218"/>
    <cellStyle name="Separador de milhares 3 5 2 2 3 2 4" xfId="11802"/>
    <cellStyle name="Separador de milhares 3 5 2 2 3 2 4 2" xfId="38310"/>
    <cellStyle name="Separador de milhares 3 5 2 2 3 2 5" xfId="32154"/>
    <cellStyle name="Separador de milhares 3 5 2 2 3 2 6" xfId="25620"/>
    <cellStyle name="Separador de milhares 3 5 2 2 3 3" xfId="7368"/>
    <cellStyle name="Separador de milhares 3 5 2 2 3 3 2" xfId="19222"/>
    <cellStyle name="Separador de milhares 3 5 2 2 3 3 2 2" xfId="45704"/>
    <cellStyle name="Separador de milhares 3 5 2 2 3 3 3" xfId="13295"/>
    <cellStyle name="Separador de milhares 3 5 2 2 3 3 3 2" xfId="39796"/>
    <cellStyle name="Separador de milhares 3 5 2 2 3 3 4" xfId="33888"/>
    <cellStyle name="Separador de milhares 3 5 2 2 3 3 5" xfId="27354"/>
    <cellStyle name="Separador de milhares 3 5 2 2 3 4" xfId="16258"/>
    <cellStyle name="Separador de milhares 3 5 2 2 3 4 2" xfId="42750"/>
    <cellStyle name="Separador de milhares 3 5 2 2 3 4 3" xfId="23848"/>
    <cellStyle name="Separador de milhares 3 5 2 2 3 5" xfId="10331"/>
    <cellStyle name="Separador de milhares 3 5 2 2 3 5 2" xfId="36842"/>
    <cellStyle name="Separador de milhares 3 5 2 2 3 6" xfId="30382"/>
    <cellStyle name="Separador de milhares 3 5 2 2 3 7" xfId="22076"/>
    <cellStyle name="Separador de milhares 3 5 2 2 4" xfId="3132"/>
    <cellStyle name="Separador de milhares 3 5 2 2 4 2" xfId="5774"/>
    <cellStyle name="Separador de milhares 3 5 2 2 4 2 2" xfId="8986"/>
    <cellStyle name="Separador de milhares 3 5 2 2 4 2 2 2" xfId="20840"/>
    <cellStyle name="Separador de milhares 3 5 2 2 4 2 2 2 2" xfId="47319"/>
    <cellStyle name="Separador de milhares 3 5 2 2 4 2 2 3" xfId="14913"/>
    <cellStyle name="Separador de milhares 3 5 2 2 4 2 2 3 2" xfId="41411"/>
    <cellStyle name="Separador de milhares 3 5 2 2 4 2 2 4" xfId="35503"/>
    <cellStyle name="Separador de milhares 3 5 2 2 4 2 2 5" xfId="28969"/>
    <cellStyle name="Separador de milhares 3 5 2 2 4 2 3" xfId="17876"/>
    <cellStyle name="Separador de milhares 3 5 2 2 4 2 3 2" xfId="44365"/>
    <cellStyle name="Separador de milhares 3 5 2 2 4 2 4" xfId="11949"/>
    <cellStyle name="Separador de milhares 3 5 2 2 4 2 4 2" xfId="38457"/>
    <cellStyle name="Separador de milhares 3 5 2 2 4 2 5" xfId="32301"/>
    <cellStyle name="Separador de milhares 3 5 2 2 4 2 6" xfId="25767"/>
    <cellStyle name="Separador de milhares 3 5 2 2 4 3" xfId="7516"/>
    <cellStyle name="Separador de milhares 3 5 2 2 4 3 2" xfId="19370"/>
    <cellStyle name="Separador de milhares 3 5 2 2 4 3 2 2" xfId="45851"/>
    <cellStyle name="Separador de milhares 3 5 2 2 4 3 3" xfId="13443"/>
    <cellStyle name="Separador de milhares 3 5 2 2 4 3 3 2" xfId="39943"/>
    <cellStyle name="Separador de milhares 3 5 2 2 4 3 4" xfId="34035"/>
    <cellStyle name="Separador de milhares 3 5 2 2 4 3 5" xfId="27501"/>
    <cellStyle name="Separador de milhares 3 5 2 2 4 4" xfId="16406"/>
    <cellStyle name="Separador de milhares 3 5 2 2 4 4 2" xfId="42897"/>
    <cellStyle name="Separador de milhares 3 5 2 2 4 4 3" xfId="23995"/>
    <cellStyle name="Separador de milhares 3 5 2 2 4 5" xfId="10479"/>
    <cellStyle name="Separador de milhares 3 5 2 2 4 5 2" xfId="36989"/>
    <cellStyle name="Separador de milhares 3 5 2 2 4 6" xfId="30529"/>
    <cellStyle name="Separador de milhares 3 5 2 2 4 7" xfId="22223"/>
    <cellStyle name="Separador de milhares 3 5 2 2 5" xfId="3660"/>
    <cellStyle name="Separador de milhares 3 5 2 2 5 2" xfId="5921"/>
    <cellStyle name="Separador de milhares 3 5 2 2 5 2 2" xfId="9133"/>
    <cellStyle name="Separador de milhares 3 5 2 2 5 2 2 2" xfId="20987"/>
    <cellStyle name="Separador de milhares 3 5 2 2 5 2 2 2 2" xfId="47466"/>
    <cellStyle name="Separador de milhares 3 5 2 2 5 2 2 3" xfId="15060"/>
    <cellStyle name="Separador de milhares 3 5 2 2 5 2 2 3 2" xfId="41558"/>
    <cellStyle name="Separador de milhares 3 5 2 2 5 2 2 4" xfId="35650"/>
    <cellStyle name="Separador de milhares 3 5 2 2 5 2 2 5" xfId="29116"/>
    <cellStyle name="Separador de milhares 3 5 2 2 5 2 3" xfId="18023"/>
    <cellStyle name="Separador de milhares 3 5 2 2 5 2 3 2" xfId="44512"/>
    <cellStyle name="Separador de milhares 3 5 2 2 5 2 4" xfId="12096"/>
    <cellStyle name="Separador de milhares 3 5 2 2 5 2 4 2" xfId="38604"/>
    <cellStyle name="Separador de milhares 3 5 2 2 5 2 5" xfId="32448"/>
    <cellStyle name="Separador de milhares 3 5 2 2 5 2 6" xfId="25914"/>
    <cellStyle name="Separador de milhares 3 5 2 2 5 3" xfId="7664"/>
    <cellStyle name="Separador de milhares 3 5 2 2 5 3 2" xfId="19518"/>
    <cellStyle name="Separador de milhares 3 5 2 2 5 3 2 2" xfId="45998"/>
    <cellStyle name="Separador de milhares 3 5 2 2 5 3 3" xfId="13591"/>
    <cellStyle name="Separador de milhares 3 5 2 2 5 3 3 2" xfId="40090"/>
    <cellStyle name="Separador de milhares 3 5 2 2 5 3 4" xfId="34182"/>
    <cellStyle name="Separador de milhares 3 5 2 2 5 3 5" xfId="27648"/>
    <cellStyle name="Separador de milhares 3 5 2 2 5 4" xfId="16554"/>
    <cellStyle name="Separador de milhares 3 5 2 2 5 4 2" xfId="43044"/>
    <cellStyle name="Separador de milhares 3 5 2 2 5 4 3" xfId="24142"/>
    <cellStyle name="Separador de milhares 3 5 2 2 5 5" xfId="10627"/>
    <cellStyle name="Separador de milhares 3 5 2 2 5 5 2" xfId="37136"/>
    <cellStyle name="Separador de milhares 3 5 2 2 5 6" xfId="30676"/>
    <cellStyle name="Separador de milhares 3 5 2 2 5 7" xfId="22370"/>
    <cellStyle name="Separador de milhares 3 5 2 2 6" xfId="4188"/>
    <cellStyle name="Separador de milhares 3 5 2 2 6 2" xfId="6068"/>
    <cellStyle name="Separador de milhares 3 5 2 2 6 2 2" xfId="9280"/>
    <cellStyle name="Separador de milhares 3 5 2 2 6 2 2 2" xfId="21134"/>
    <cellStyle name="Separador de milhares 3 5 2 2 6 2 2 2 2" xfId="47613"/>
    <cellStyle name="Separador de milhares 3 5 2 2 6 2 2 3" xfId="15207"/>
    <cellStyle name="Separador de milhares 3 5 2 2 6 2 2 3 2" xfId="41705"/>
    <cellStyle name="Separador de milhares 3 5 2 2 6 2 2 4" xfId="35797"/>
    <cellStyle name="Separador de milhares 3 5 2 2 6 2 2 5" xfId="29263"/>
    <cellStyle name="Separador de milhares 3 5 2 2 6 2 3" xfId="18170"/>
    <cellStyle name="Separador de milhares 3 5 2 2 6 2 3 2" xfId="44659"/>
    <cellStyle name="Separador de milhares 3 5 2 2 6 2 4" xfId="12243"/>
    <cellStyle name="Separador de milhares 3 5 2 2 6 2 4 2" xfId="38751"/>
    <cellStyle name="Separador de milhares 3 5 2 2 6 2 5" xfId="32595"/>
    <cellStyle name="Separador de milhares 3 5 2 2 6 2 6" xfId="26061"/>
    <cellStyle name="Separador de milhares 3 5 2 2 6 3" xfId="7812"/>
    <cellStyle name="Separador de milhares 3 5 2 2 6 3 2" xfId="19666"/>
    <cellStyle name="Separador de milhares 3 5 2 2 6 3 2 2" xfId="46145"/>
    <cellStyle name="Separador de milhares 3 5 2 2 6 3 3" xfId="13739"/>
    <cellStyle name="Separador de milhares 3 5 2 2 6 3 3 2" xfId="40237"/>
    <cellStyle name="Separador de milhares 3 5 2 2 6 3 4" xfId="34329"/>
    <cellStyle name="Separador de milhares 3 5 2 2 6 3 5" xfId="27795"/>
    <cellStyle name="Separador de milhares 3 5 2 2 6 4" xfId="16702"/>
    <cellStyle name="Separador de milhares 3 5 2 2 6 4 2" xfId="43191"/>
    <cellStyle name="Separador de milhares 3 5 2 2 6 4 3" xfId="24289"/>
    <cellStyle name="Separador de milhares 3 5 2 2 6 5" xfId="10775"/>
    <cellStyle name="Separador de milhares 3 5 2 2 6 5 2" xfId="37283"/>
    <cellStyle name="Separador de milhares 3 5 2 2 6 6" xfId="30823"/>
    <cellStyle name="Separador de milhares 3 5 2 2 6 7" xfId="22517"/>
    <cellStyle name="Separador de milhares 3 5 2 2 7" xfId="5039"/>
    <cellStyle name="Separador de milhares 3 5 2 2 7 2" xfId="8254"/>
    <cellStyle name="Separador de milhares 3 5 2 2 7 2 2" xfId="20108"/>
    <cellStyle name="Separador de milhares 3 5 2 2 7 2 2 2" xfId="46587"/>
    <cellStyle name="Separador de milhares 3 5 2 2 7 2 3" xfId="14181"/>
    <cellStyle name="Separador de milhares 3 5 2 2 7 2 3 2" xfId="40679"/>
    <cellStyle name="Separador de milhares 3 5 2 2 7 2 4" xfId="34771"/>
    <cellStyle name="Separador de milhares 3 5 2 2 7 2 5" xfId="28237"/>
    <cellStyle name="Separador de milhares 3 5 2 2 7 3" xfId="17144"/>
    <cellStyle name="Separador de milhares 3 5 2 2 7 3 2" xfId="43633"/>
    <cellStyle name="Separador de milhares 3 5 2 2 7 4" xfId="11217"/>
    <cellStyle name="Separador de milhares 3 5 2 2 7 4 2" xfId="37725"/>
    <cellStyle name="Separador de milhares 3 5 2 2 7 5" xfId="31566"/>
    <cellStyle name="Separador de milhares 3 5 2 2 7 6" xfId="25032"/>
    <cellStyle name="Separador de milhares 3 5 2 2 8" xfId="6778"/>
    <cellStyle name="Separador de milhares 3 5 2 2 8 2" xfId="18632"/>
    <cellStyle name="Separador de milhares 3 5 2 2 8 2 2" xfId="45119"/>
    <cellStyle name="Separador de milhares 3 5 2 2 8 3" xfId="12705"/>
    <cellStyle name="Separador de milhares 3 5 2 2 8 3 2" xfId="39211"/>
    <cellStyle name="Separador de milhares 3 5 2 2 8 4" xfId="33303"/>
    <cellStyle name="Separador de milhares 3 5 2 2 8 5" xfId="26769"/>
    <cellStyle name="Separador de milhares 3 5 2 2 9" xfId="15668"/>
    <cellStyle name="Separador de milhares 3 5 2 2 9 2" xfId="42165"/>
    <cellStyle name="Separador de milhares 3 5 2 2 9 3" xfId="23260"/>
    <cellStyle name="Separador de milhares 3 5 2 3" xfId="1024"/>
    <cellStyle name="Separador de milhares 3 5 2 3 2" xfId="5190"/>
    <cellStyle name="Separador de milhares 3 5 2 3 2 2" xfId="8405"/>
    <cellStyle name="Separador de milhares 3 5 2 3 2 2 2" xfId="20259"/>
    <cellStyle name="Separador de milhares 3 5 2 3 2 2 2 2" xfId="46738"/>
    <cellStyle name="Separador de milhares 3 5 2 3 2 2 3" xfId="14332"/>
    <cellStyle name="Separador de milhares 3 5 2 3 2 2 3 2" xfId="40830"/>
    <cellStyle name="Separador de milhares 3 5 2 3 2 2 4" xfId="34922"/>
    <cellStyle name="Separador de milhares 3 5 2 3 2 2 5" xfId="28388"/>
    <cellStyle name="Separador de milhares 3 5 2 3 2 3" xfId="17295"/>
    <cellStyle name="Separador de milhares 3 5 2 3 2 3 2" xfId="43784"/>
    <cellStyle name="Separador de milhares 3 5 2 3 2 4" xfId="11368"/>
    <cellStyle name="Separador de milhares 3 5 2 3 2 4 2" xfId="37876"/>
    <cellStyle name="Separador de milhares 3 5 2 3 2 5" xfId="31717"/>
    <cellStyle name="Separador de milhares 3 5 2 3 2 6" xfId="25183"/>
    <cellStyle name="Separador de milhares 3 5 2 3 3" xfId="6932"/>
    <cellStyle name="Separador de milhares 3 5 2 3 3 2" xfId="18786"/>
    <cellStyle name="Separador de milhares 3 5 2 3 3 2 2" xfId="45270"/>
    <cellStyle name="Separador de milhares 3 5 2 3 3 3" xfId="12859"/>
    <cellStyle name="Separador de milhares 3 5 2 3 3 3 2" xfId="39362"/>
    <cellStyle name="Separador de milhares 3 5 2 3 3 4" xfId="33454"/>
    <cellStyle name="Separador de milhares 3 5 2 3 3 5" xfId="26920"/>
    <cellStyle name="Separador de milhares 3 5 2 3 4" xfId="15822"/>
    <cellStyle name="Separador de milhares 3 5 2 3 4 2" xfId="42316"/>
    <cellStyle name="Separador de milhares 3 5 2 3 4 3" xfId="23411"/>
    <cellStyle name="Separador de milhares 3 5 2 3 5" xfId="9895"/>
    <cellStyle name="Separador de milhares 3 5 2 3 5 2" xfId="36408"/>
    <cellStyle name="Separador de milhares 3 5 2 3 6" xfId="29945"/>
    <cellStyle name="Separador de milhares 3 5 2 3 7" xfId="21639"/>
    <cellStyle name="Separador de milhares 3 5 2 4" xfId="1375"/>
    <cellStyle name="Separador de milhares 3 5 2 4 2" xfId="5288"/>
    <cellStyle name="Separador de milhares 3 5 2 4 2 2" xfId="8503"/>
    <cellStyle name="Separador de milhares 3 5 2 4 2 2 2" xfId="20357"/>
    <cellStyle name="Separador de milhares 3 5 2 4 2 2 2 2" xfId="46836"/>
    <cellStyle name="Separador de milhares 3 5 2 4 2 2 3" xfId="14430"/>
    <cellStyle name="Separador de milhares 3 5 2 4 2 2 3 2" xfId="40928"/>
    <cellStyle name="Separador de milhares 3 5 2 4 2 2 4" xfId="35020"/>
    <cellStyle name="Separador de milhares 3 5 2 4 2 2 5" xfId="28486"/>
    <cellStyle name="Separador de milhares 3 5 2 4 2 3" xfId="17393"/>
    <cellStyle name="Separador de milhares 3 5 2 4 2 3 2" xfId="43882"/>
    <cellStyle name="Separador de milhares 3 5 2 4 2 4" xfId="11466"/>
    <cellStyle name="Separador de milhares 3 5 2 4 2 4 2" xfId="37974"/>
    <cellStyle name="Separador de milhares 3 5 2 4 2 5" xfId="31815"/>
    <cellStyle name="Separador de milhares 3 5 2 4 2 6" xfId="25281"/>
    <cellStyle name="Separador de milhares 3 5 2 4 3" xfId="7030"/>
    <cellStyle name="Separador de milhares 3 5 2 4 3 2" xfId="18884"/>
    <cellStyle name="Separador de milhares 3 5 2 4 3 2 2" xfId="45368"/>
    <cellStyle name="Separador de milhares 3 5 2 4 3 3" xfId="12957"/>
    <cellStyle name="Separador de milhares 3 5 2 4 3 3 2" xfId="39460"/>
    <cellStyle name="Separador de milhares 3 5 2 4 3 4" xfId="33552"/>
    <cellStyle name="Separador de milhares 3 5 2 4 3 5" xfId="27018"/>
    <cellStyle name="Separador de milhares 3 5 2 4 4" xfId="15920"/>
    <cellStyle name="Separador de milhares 3 5 2 4 4 2" xfId="42414"/>
    <cellStyle name="Separador de milhares 3 5 2 4 4 3" xfId="23509"/>
    <cellStyle name="Separador de milhares 3 5 2 4 5" xfId="9993"/>
    <cellStyle name="Separador de milhares 3 5 2 4 5 2" xfId="36506"/>
    <cellStyle name="Separador de milhares 3 5 2 4 6" xfId="30043"/>
    <cellStyle name="Separador de milhares 3 5 2 4 7" xfId="21737"/>
    <cellStyle name="Separador de milhares 3 5 2 5" xfId="1810"/>
    <cellStyle name="Separador de milhares 3 5 2 5 2" xfId="5407"/>
    <cellStyle name="Separador de milhares 3 5 2 5 2 2" xfId="8622"/>
    <cellStyle name="Separador de milhares 3 5 2 5 2 2 2" xfId="20476"/>
    <cellStyle name="Separador de milhares 3 5 2 5 2 2 2 2" xfId="46955"/>
    <cellStyle name="Separador de milhares 3 5 2 5 2 2 3" xfId="14549"/>
    <cellStyle name="Separador de milhares 3 5 2 5 2 2 3 2" xfId="41047"/>
    <cellStyle name="Separador de milhares 3 5 2 5 2 2 4" xfId="35139"/>
    <cellStyle name="Separador de milhares 3 5 2 5 2 2 5" xfId="28605"/>
    <cellStyle name="Separador de milhares 3 5 2 5 2 3" xfId="17512"/>
    <cellStyle name="Separador de milhares 3 5 2 5 2 3 2" xfId="44001"/>
    <cellStyle name="Separador de milhares 3 5 2 5 2 4" xfId="11585"/>
    <cellStyle name="Separador de milhares 3 5 2 5 2 4 2" xfId="38093"/>
    <cellStyle name="Separador de milhares 3 5 2 5 2 5" xfId="31934"/>
    <cellStyle name="Separador de milhares 3 5 2 5 2 6" xfId="25400"/>
    <cellStyle name="Separador de milhares 3 5 2 5 3" xfId="7149"/>
    <cellStyle name="Separador de milhares 3 5 2 5 3 2" xfId="19003"/>
    <cellStyle name="Separador de milhares 3 5 2 5 3 2 2" xfId="45487"/>
    <cellStyle name="Separador de milhares 3 5 2 5 3 3" xfId="13076"/>
    <cellStyle name="Separador de milhares 3 5 2 5 3 3 2" xfId="39579"/>
    <cellStyle name="Separador de milhares 3 5 2 5 3 4" xfId="33671"/>
    <cellStyle name="Separador de milhares 3 5 2 5 3 5" xfId="27137"/>
    <cellStyle name="Separador de milhares 3 5 2 5 4" xfId="16039"/>
    <cellStyle name="Separador de milhares 3 5 2 5 4 2" xfId="42533"/>
    <cellStyle name="Separador de milhares 3 5 2 5 4 3" xfId="23628"/>
    <cellStyle name="Separador de milhares 3 5 2 5 5" xfId="10112"/>
    <cellStyle name="Separador de milhares 3 5 2 5 5 2" xfId="36625"/>
    <cellStyle name="Separador de milhares 3 5 2 5 6" xfId="30162"/>
    <cellStyle name="Separador de milhares 3 5 2 5 7" xfId="21856"/>
    <cellStyle name="Separador de milhares 3 5 2 6" xfId="2343"/>
    <cellStyle name="Separador de milhares 3 5 2 6 2" xfId="5557"/>
    <cellStyle name="Separador de milhares 3 5 2 6 2 2" xfId="8769"/>
    <cellStyle name="Separador de milhares 3 5 2 6 2 2 2" xfId="20623"/>
    <cellStyle name="Separador de milhares 3 5 2 6 2 2 2 2" xfId="47102"/>
    <cellStyle name="Separador de milhares 3 5 2 6 2 2 3" xfId="14696"/>
    <cellStyle name="Separador de milhares 3 5 2 6 2 2 3 2" xfId="41194"/>
    <cellStyle name="Separador de milhares 3 5 2 6 2 2 4" xfId="35286"/>
    <cellStyle name="Separador de milhares 3 5 2 6 2 2 5" xfId="28752"/>
    <cellStyle name="Separador de milhares 3 5 2 6 2 3" xfId="17659"/>
    <cellStyle name="Separador de milhares 3 5 2 6 2 3 2" xfId="44148"/>
    <cellStyle name="Separador de milhares 3 5 2 6 2 4" xfId="11732"/>
    <cellStyle name="Separador de milhares 3 5 2 6 2 4 2" xfId="38240"/>
    <cellStyle name="Separador de milhares 3 5 2 6 2 5" xfId="32084"/>
    <cellStyle name="Separador de milhares 3 5 2 6 2 6" xfId="25550"/>
    <cellStyle name="Separador de milhares 3 5 2 6 3" xfId="7297"/>
    <cellStyle name="Separador de milhares 3 5 2 6 3 2" xfId="19151"/>
    <cellStyle name="Separador de milhares 3 5 2 6 3 2 2" xfId="45634"/>
    <cellStyle name="Separador de milhares 3 5 2 6 3 3" xfId="13224"/>
    <cellStyle name="Separador de milhares 3 5 2 6 3 3 2" xfId="39726"/>
    <cellStyle name="Separador de milhares 3 5 2 6 3 4" xfId="33818"/>
    <cellStyle name="Separador de milhares 3 5 2 6 3 5" xfId="27284"/>
    <cellStyle name="Separador de milhares 3 5 2 6 4" xfId="16187"/>
    <cellStyle name="Separador de milhares 3 5 2 6 4 2" xfId="42680"/>
    <cellStyle name="Separador de milhares 3 5 2 6 4 3" xfId="23778"/>
    <cellStyle name="Separador de milhares 3 5 2 6 5" xfId="10260"/>
    <cellStyle name="Separador de milhares 3 5 2 6 5 2" xfId="36772"/>
    <cellStyle name="Separador de milhares 3 5 2 6 6" xfId="30312"/>
    <cellStyle name="Separador de milhares 3 5 2 6 7" xfId="22006"/>
    <cellStyle name="Separador de milhares 3 5 2 7" xfId="2871"/>
    <cellStyle name="Separador de milhares 3 5 2 7 2" xfId="5704"/>
    <cellStyle name="Separador de milhares 3 5 2 7 2 2" xfId="8916"/>
    <cellStyle name="Separador de milhares 3 5 2 7 2 2 2" xfId="20770"/>
    <cellStyle name="Separador de milhares 3 5 2 7 2 2 2 2" xfId="47249"/>
    <cellStyle name="Separador de milhares 3 5 2 7 2 2 3" xfId="14843"/>
    <cellStyle name="Separador de milhares 3 5 2 7 2 2 3 2" xfId="41341"/>
    <cellStyle name="Separador de milhares 3 5 2 7 2 2 4" xfId="35433"/>
    <cellStyle name="Separador de milhares 3 5 2 7 2 2 5" xfId="28899"/>
    <cellStyle name="Separador de milhares 3 5 2 7 2 3" xfId="17806"/>
    <cellStyle name="Separador de milhares 3 5 2 7 2 3 2" xfId="44295"/>
    <cellStyle name="Separador de milhares 3 5 2 7 2 4" xfId="11879"/>
    <cellStyle name="Separador de milhares 3 5 2 7 2 4 2" xfId="38387"/>
    <cellStyle name="Separador de milhares 3 5 2 7 2 5" xfId="32231"/>
    <cellStyle name="Separador de milhares 3 5 2 7 2 6" xfId="25697"/>
    <cellStyle name="Separador de milhares 3 5 2 7 3" xfId="7445"/>
    <cellStyle name="Separador de milhares 3 5 2 7 3 2" xfId="19299"/>
    <cellStyle name="Separador de milhares 3 5 2 7 3 2 2" xfId="45781"/>
    <cellStyle name="Separador de milhares 3 5 2 7 3 3" xfId="13372"/>
    <cellStyle name="Separador de milhares 3 5 2 7 3 3 2" xfId="39873"/>
    <cellStyle name="Separador de milhares 3 5 2 7 3 4" xfId="33965"/>
    <cellStyle name="Separador de milhares 3 5 2 7 3 5" xfId="27431"/>
    <cellStyle name="Separador de milhares 3 5 2 7 4" xfId="16335"/>
    <cellStyle name="Separador de milhares 3 5 2 7 4 2" xfId="42827"/>
    <cellStyle name="Separador de milhares 3 5 2 7 4 3" xfId="23925"/>
    <cellStyle name="Separador de milhares 3 5 2 7 5" xfId="10408"/>
    <cellStyle name="Separador de milhares 3 5 2 7 5 2" xfId="36919"/>
    <cellStyle name="Separador de milhares 3 5 2 7 6" xfId="30459"/>
    <cellStyle name="Separador de milhares 3 5 2 7 7" xfId="22153"/>
    <cellStyle name="Separador de milhares 3 5 2 8" xfId="3399"/>
    <cellStyle name="Separador de milhares 3 5 2 8 2" xfId="5851"/>
    <cellStyle name="Separador de milhares 3 5 2 8 2 2" xfId="9063"/>
    <cellStyle name="Separador de milhares 3 5 2 8 2 2 2" xfId="20917"/>
    <cellStyle name="Separador de milhares 3 5 2 8 2 2 2 2" xfId="47396"/>
    <cellStyle name="Separador de milhares 3 5 2 8 2 2 3" xfId="14990"/>
    <cellStyle name="Separador de milhares 3 5 2 8 2 2 3 2" xfId="41488"/>
    <cellStyle name="Separador de milhares 3 5 2 8 2 2 4" xfId="35580"/>
    <cellStyle name="Separador de milhares 3 5 2 8 2 2 5" xfId="29046"/>
    <cellStyle name="Separador de milhares 3 5 2 8 2 3" xfId="17953"/>
    <cellStyle name="Separador de milhares 3 5 2 8 2 3 2" xfId="44442"/>
    <cellStyle name="Separador de milhares 3 5 2 8 2 4" xfId="12026"/>
    <cellStyle name="Separador de milhares 3 5 2 8 2 4 2" xfId="38534"/>
    <cellStyle name="Separador de milhares 3 5 2 8 2 5" xfId="32378"/>
    <cellStyle name="Separador de milhares 3 5 2 8 2 6" xfId="25844"/>
    <cellStyle name="Separador de milhares 3 5 2 8 3" xfId="7593"/>
    <cellStyle name="Separador de milhares 3 5 2 8 3 2" xfId="19447"/>
    <cellStyle name="Separador de milhares 3 5 2 8 3 2 2" xfId="45928"/>
    <cellStyle name="Separador de milhares 3 5 2 8 3 3" xfId="13520"/>
    <cellStyle name="Separador de milhares 3 5 2 8 3 3 2" xfId="40020"/>
    <cellStyle name="Separador de milhares 3 5 2 8 3 4" xfId="34112"/>
    <cellStyle name="Separador de milhares 3 5 2 8 3 5" xfId="27578"/>
    <cellStyle name="Separador de milhares 3 5 2 8 4" xfId="16483"/>
    <cellStyle name="Separador de milhares 3 5 2 8 4 2" xfId="42974"/>
    <cellStyle name="Separador de milhares 3 5 2 8 4 3" xfId="24072"/>
    <cellStyle name="Separador de milhares 3 5 2 8 5" xfId="10556"/>
    <cellStyle name="Separador de milhares 3 5 2 8 5 2" xfId="37066"/>
    <cellStyle name="Separador de milhares 3 5 2 8 6" xfId="30606"/>
    <cellStyle name="Separador de milhares 3 5 2 8 7" xfId="22300"/>
    <cellStyle name="Separador de milhares 3 5 2 9" xfId="3927"/>
    <cellStyle name="Separador de milhares 3 5 2 9 2" xfId="5998"/>
    <cellStyle name="Separador de milhares 3 5 2 9 2 2" xfId="9210"/>
    <cellStyle name="Separador de milhares 3 5 2 9 2 2 2" xfId="21064"/>
    <cellStyle name="Separador de milhares 3 5 2 9 2 2 2 2" xfId="47543"/>
    <cellStyle name="Separador de milhares 3 5 2 9 2 2 3" xfId="15137"/>
    <cellStyle name="Separador de milhares 3 5 2 9 2 2 3 2" xfId="41635"/>
    <cellStyle name="Separador de milhares 3 5 2 9 2 2 4" xfId="35727"/>
    <cellStyle name="Separador de milhares 3 5 2 9 2 2 5" xfId="29193"/>
    <cellStyle name="Separador de milhares 3 5 2 9 2 3" xfId="18100"/>
    <cellStyle name="Separador de milhares 3 5 2 9 2 3 2" xfId="44589"/>
    <cellStyle name="Separador de milhares 3 5 2 9 2 4" xfId="12173"/>
    <cellStyle name="Separador de milhares 3 5 2 9 2 4 2" xfId="38681"/>
    <cellStyle name="Separador de milhares 3 5 2 9 2 5" xfId="32525"/>
    <cellStyle name="Separador de milhares 3 5 2 9 2 6" xfId="25991"/>
    <cellStyle name="Separador de milhares 3 5 2 9 3" xfId="7741"/>
    <cellStyle name="Separador de milhares 3 5 2 9 3 2" xfId="19595"/>
    <cellStyle name="Separador de milhares 3 5 2 9 3 2 2" xfId="46075"/>
    <cellStyle name="Separador de milhares 3 5 2 9 3 3" xfId="13668"/>
    <cellStyle name="Separador de milhares 3 5 2 9 3 3 2" xfId="40167"/>
    <cellStyle name="Separador de milhares 3 5 2 9 3 4" xfId="34259"/>
    <cellStyle name="Separador de milhares 3 5 2 9 3 5" xfId="27725"/>
    <cellStyle name="Separador de milhares 3 5 2 9 4" xfId="16631"/>
    <cellStyle name="Separador de milhares 3 5 2 9 4 2" xfId="43121"/>
    <cellStyle name="Separador de milhares 3 5 2 9 4 3" xfId="24219"/>
    <cellStyle name="Separador de milhares 3 5 2 9 5" xfId="10704"/>
    <cellStyle name="Separador de milhares 3 5 2 9 5 2" xfId="37213"/>
    <cellStyle name="Separador de milhares 3 5 2 9 6" xfId="30753"/>
    <cellStyle name="Separador de milhares 3 5 2 9 7" xfId="22447"/>
    <cellStyle name="Separador de milhares 3 5 3" xfId="372"/>
    <cellStyle name="Separador de milhares 3 5 3 10" xfId="4989"/>
    <cellStyle name="Separador de milhares 3 5 3 10 2" xfId="8208"/>
    <cellStyle name="Separador de milhares 3 5 3 10 2 2" xfId="20062"/>
    <cellStyle name="Separador de milhares 3 5 3 10 2 2 2" xfId="46541"/>
    <cellStyle name="Separador de milhares 3 5 3 10 2 3" xfId="14135"/>
    <cellStyle name="Separador de milhares 3 5 3 10 2 3 2" xfId="40633"/>
    <cellStyle name="Separador de milhares 3 5 3 10 2 4" xfId="34725"/>
    <cellStyle name="Separador de milhares 3 5 3 10 2 5" xfId="28191"/>
    <cellStyle name="Separador de milhares 3 5 3 10 3" xfId="17098"/>
    <cellStyle name="Separador de milhares 3 5 3 10 3 2" xfId="43587"/>
    <cellStyle name="Separador de milhares 3 5 3 10 4" xfId="11171"/>
    <cellStyle name="Separador de milhares 3 5 3 10 4 2" xfId="37679"/>
    <cellStyle name="Separador de milhares 3 5 3 10 5" xfId="31516"/>
    <cellStyle name="Separador de milhares 3 5 3 10 6" xfId="24982"/>
    <cellStyle name="Separador de milhares 3 5 3 11" xfId="6732"/>
    <cellStyle name="Separador de milhares 3 5 3 11 2" xfId="18586"/>
    <cellStyle name="Separador de milhares 3 5 3 11 2 2" xfId="45073"/>
    <cellStyle name="Separador de milhares 3 5 3 11 3" xfId="12659"/>
    <cellStyle name="Separador de milhares 3 5 3 11 3 2" xfId="39165"/>
    <cellStyle name="Separador de milhares 3 5 3 11 4" xfId="33257"/>
    <cellStyle name="Separador de milhares 3 5 3 11 5" xfId="26723"/>
    <cellStyle name="Separador de milhares 3 5 3 12" xfId="15622"/>
    <cellStyle name="Separador de milhares 3 5 3 12 2" xfId="42119"/>
    <cellStyle name="Separador de milhares 3 5 3 12 3" xfId="23210"/>
    <cellStyle name="Separador de milhares 3 5 3 13" xfId="9695"/>
    <cellStyle name="Separador de milhares 3 5 3 13 2" xfId="36211"/>
    <cellStyle name="Separador de milhares 3 5 3 14" xfId="29744"/>
    <cellStyle name="Separador de milhares 3 5 3 15" xfId="21462"/>
    <cellStyle name="Separador de milhares 3 5 3 2" xfId="635"/>
    <cellStyle name="Separador de milhares 3 5 3 2 2" xfId="5060"/>
    <cellStyle name="Separador de milhares 3 5 3 2 2 2" xfId="8275"/>
    <cellStyle name="Separador de milhares 3 5 3 2 2 2 2" xfId="20129"/>
    <cellStyle name="Separador de milhares 3 5 3 2 2 2 2 2" xfId="46608"/>
    <cellStyle name="Separador de milhares 3 5 3 2 2 2 3" xfId="14202"/>
    <cellStyle name="Separador de milhares 3 5 3 2 2 2 3 2" xfId="40700"/>
    <cellStyle name="Separador de milhares 3 5 3 2 2 2 4" xfId="34792"/>
    <cellStyle name="Separador de milhares 3 5 3 2 2 2 5" xfId="28258"/>
    <cellStyle name="Separador de milhares 3 5 3 2 2 3" xfId="17165"/>
    <cellStyle name="Separador de milhares 3 5 3 2 2 3 2" xfId="43654"/>
    <cellStyle name="Separador de milhares 3 5 3 2 2 4" xfId="11238"/>
    <cellStyle name="Separador de milhares 3 5 3 2 2 4 2" xfId="37746"/>
    <cellStyle name="Separador de milhares 3 5 3 2 2 5" xfId="31587"/>
    <cellStyle name="Separador de milhares 3 5 3 2 2 6" xfId="25053"/>
    <cellStyle name="Separador de milhares 3 5 3 2 3" xfId="6799"/>
    <cellStyle name="Separador de milhares 3 5 3 2 3 2" xfId="18653"/>
    <cellStyle name="Separador de milhares 3 5 3 2 3 2 2" xfId="45140"/>
    <cellStyle name="Separador de milhares 3 5 3 2 3 3" xfId="12726"/>
    <cellStyle name="Separador de milhares 3 5 3 2 3 3 2" xfId="39232"/>
    <cellStyle name="Separador de milhares 3 5 3 2 3 4" xfId="33324"/>
    <cellStyle name="Separador de milhares 3 5 3 2 3 5" xfId="26790"/>
    <cellStyle name="Separador de milhares 3 5 3 2 4" xfId="15689"/>
    <cellStyle name="Separador de milhares 3 5 3 2 4 2" xfId="42186"/>
    <cellStyle name="Separador de milhares 3 5 3 2 4 3" xfId="23281"/>
    <cellStyle name="Separador de milhares 3 5 3 2 5" xfId="9762"/>
    <cellStyle name="Separador de milhares 3 5 3 2 5 2" xfId="36278"/>
    <cellStyle name="Separador de milhares 3 5 3 2 6" xfId="29815"/>
    <cellStyle name="Separador de milhares 3 5 3 2 7" xfId="21510"/>
    <cellStyle name="Separador de milhares 3 5 3 3" xfId="933"/>
    <cellStyle name="Separador de milhares 3 5 3 3 2" xfId="5162"/>
    <cellStyle name="Separador de milhares 3 5 3 3 2 2" xfId="8377"/>
    <cellStyle name="Separador de milhares 3 5 3 3 2 2 2" xfId="20231"/>
    <cellStyle name="Separador de milhares 3 5 3 3 2 2 2 2" xfId="46710"/>
    <cellStyle name="Separador de milhares 3 5 3 3 2 2 3" xfId="14304"/>
    <cellStyle name="Separador de milhares 3 5 3 3 2 2 3 2" xfId="40802"/>
    <cellStyle name="Separador de milhares 3 5 3 3 2 2 4" xfId="34894"/>
    <cellStyle name="Separador de milhares 3 5 3 3 2 2 5" xfId="28360"/>
    <cellStyle name="Separador de milhares 3 5 3 3 2 3" xfId="17267"/>
    <cellStyle name="Separador de milhares 3 5 3 3 2 3 2" xfId="43756"/>
    <cellStyle name="Separador de milhares 3 5 3 3 2 4" xfId="11340"/>
    <cellStyle name="Separador de milhares 3 5 3 3 2 4 2" xfId="37848"/>
    <cellStyle name="Separador de milhares 3 5 3 3 2 5" xfId="31689"/>
    <cellStyle name="Separador de milhares 3 5 3 3 2 6" xfId="25155"/>
    <cellStyle name="Separador de milhares 3 5 3 3 3" xfId="6904"/>
    <cellStyle name="Separador de milhares 3 5 3 3 3 2" xfId="18758"/>
    <cellStyle name="Separador de milhares 3 5 3 3 3 2 2" xfId="45242"/>
    <cellStyle name="Separador de milhares 3 5 3 3 3 3" xfId="12831"/>
    <cellStyle name="Separador de milhares 3 5 3 3 3 3 2" xfId="39334"/>
    <cellStyle name="Separador de milhares 3 5 3 3 3 4" xfId="33426"/>
    <cellStyle name="Separador de milhares 3 5 3 3 3 5" xfId="26892"/>
    <cellStyle name="Separador de milhares 3 5 3 3 4" xfId="15794"/>
    <cellStyle name="Separador de milhares 3 5 3 3 4 2" xfId="42288"/>
    <cellStyle name="Separador de milhares 3 5 3 3 4 3" xfId="23383"/>
    <cellStyle name="Separador de milhares 3 5 3 3 5" xfId="9867"/>
    <cellStyle name="Separador de milhares 3 5 3 3 5 2" xfId="36380"/>
    <cellStyle name="Separador de milhares 3 5 3 3 6" xfId="29917"/>
    <cellStyle name="Separador de milhares 3 5 3 3 7" xfId="21611"/>
    <cellStyle name="Separador de milhares 3 5 3 4" xfId="1284"/>
    <cellStyle name="Separador de milhares 3 5 3 4 2" xfId="5260"/>
    <cellStyle name="Separador de milhares 3 5 3 4 2 2" xfId="8475"/>
    <cellStyle name="Separador de milhares 3 5 3 4 2 2 2" xfId="20329"/>
    <cellStyle name="Separador de milhares 3 5 3 4 2 2 2 2" xfId="46808"/>
    <cellStyle name="Separador de milhares 3 5 3 4 2 2 3" xfId="14402"/>
    <cellStyle name="Separador de milhares 3 5 3 4 2 2 3 2" xfId="40900"/>
    <cellStyle name="Separador de milhares 3 5 3 4 2 2 4" xfId="34992"/>
    <cellStyle name="Separador de milhares 3 5 3 4 2 2 5" xfId="28458"/>
    <cellStyle name="Separador de milhares 3 5 3 4 2 3" xfId="17365"/>
    <cellStyle name="Separador de milhares 3 5 3 4 2 3 2" xfId="43854"/>
    <cellStyle name="Separador de milhares 3 5 3 4 2 4" xfId="11438"/>
    <cellStyle name="Separador de milhares 3 5 3 4 2 4 2" xfId="37946"/>
    <cellStyle name="Separador de milhares 3 5 3 4 2 5" xfId="31787"/>
    <cellStyle name="Separador de milhares 3 5 3 4 2 6" xfId="25253"/>
    <cellStyle name="Separador de milhares 3 5 3 4 3" xfId="7002"/>
    <cellStyle name="Separador de milhares 3 5 3 4 3 2" xfId="18856"/>
    <cellStyle name="Separador de milhares 3 5 3 4 3 2 2" xfId="45340"/>
    <cellStyle name="Separador de milhares 3 5 3 4 3 3" xfId="12929"/>
    <cellStyle name="Separador de milhares 3 5 3 4 3 3 2" xfId="39432"/>
    <cellStyle name="Separador de milhares 3 5 3 4 3 4" xfId="33524"/>
    <cellStyle name="Separador de milhares 3 5 3 4 3 5" xfId="26990"/>
    <cellStyle name="Separador de milhares 3 5 3 4 4" xfId="15892"/>
    <cellStyle name="Separador de milhares 3 5 3 4 4 2" xfId="42386"/>
    <cellStyle name="Separador de milhares 3 5 3 4 4 3" xfId="23481"/>
    <cellStyle name="Separador de milhares 3 5 3 4 5" xfId="9965"/>
    <cellStyle name="Separador de milhares 3 5 3 4 5 2" xfId="36478"/>
    <cellStyle name="Separador de milhares 3 5 3 4 6" xfId="30015"/>
    <cellStyle name="Separador de milhares 3 5 3 4 7" xfId="21709"/>
    <cellStyle name="Separador de milhares 3 5 3 5" xfId="1719"/>
    <cellStyle name="Separador de milhares 3 5 3 5 2" xfId="5379"/>
    <cellStyle name="Separador de milhares 3 5 3 5 2 2" xfId="8594"/>
    <cellStyle name="Separador de milhares 3 5 3 5 2 2 2" xfId="20448"/>
    <cellStyle name="Separador de milhares 3 5 3 5 2 2 2 2" xfId="46927"/>
    <cellStyle name="Separador de milhares 3 5 3 5 2 2 3" xfId="14521"/>
    <cellStyle name="Separador de milhares 3 5 3 5 2 2 3 2" xfId="41019"/>
    <cellStyle name="Separador de milhares 3 5 3 5 2 2 4" xfId="35111"/>
    <cellStyle name="Separador de milhares 3 5 3 5 2 2 5" xfId="28577"/>
    <cellStyle name="Separador de milhares 3 5 3 5 2 3" xfId="17484"/>
    <cellStyle name="Separador de milhares 3 5 3 5 2 3 2" xfId="43973"/>
    <cellStyle name="Separador de milhares 3 5 3 5 2 4" xfId="11557"/>
    <cellStyle name="Separador de milhares 3 5 3 5 2 4 2" xfId="38065"/>
    <cellStyle name="Separador de milhares 3 5 3 5 2 5" xfId="31906"/>
    <cellStyle name="Separador de milhares 3 5 3 5 2 6" xfId="25372"/>
    <cellStyle name="Separador de milhares 3 5 3 5 3" xfId="7121"/>
    <cellStyle name="Separador de milhares 3 5 3 5 3 2" xfId="18975"/>
    <cellStyle name="Separador de milhares 3 5 3 5 3 2 2" xfId="45459"/>
    <cellStyle name="Separador de milhares 3 5 3 5 3 3" xfId="13048"/>
    <cellStyle name="Separador de milhares 3 5 3 5 3 3 2" xfId="39551"/>
    <cellStyle name="Separador de milhares 3 5 3 5 3 4" xfId="33643"/>
    <cellStyle name="Separador de milhares 3 5 3 5 3 5" xfId="27109"/>
    <cellStyle name="Separador de milhares 3 5 3 5 4" xfId="16011"/>
    <cellStyle name="Separador de milhares 3 5 3 5 4 2" xfId="42505"/>
    <cellStyle name="Separador de milhares 3 5 3 5 4 3" xfId="23600"/>
    <cellStyle name="Separador de milhares 3 5 3 5 5" xfId="10084"/>
    <cellStyle name="Separador de milhares 3 5 3 5 5 2" xfId="36597"/>
    <cellStyle name="Separador de milhares 3 5 3 5 6" xfId="30134"/>
    <cellStyle name="Separador de milhares 3 5 3 5 7" xfId="21828"/>
    <cellStyle name="Separador de milhares 3 5 3 6" xfId="2252"/>
    <cellStyle name="Separador de milhares 3 5 3 6 2" xfId="5529"/>
    <cellStyle name="Separador de milhares 3 5 3 6 2 2" xfId="8741"/>
    <cellStyle name="Separador de milhares 3 5 3 6 2 2 2" xfId="20595"/>
    <cellStyle name="Separador de milhares 3 5 3 6 2 2 2 2" xfId="47074"/>
    <cellStyle name="Separador de milhares 3 5 3 6 2 2 3" xfId="14668"/>
    <cellStyle name="Separador de milhares 3 5 3 6 2 2 3 2" xfId="41166"/>
    <cellStyle name="Separador de milhares 3 5 3 6 2 2 4" xfId="35258"/>
    <cellStyle name="Separador de milhares 3 5 3 6 2 2 5" xfId="28724"/>
    <cellStyle name="Separador de milhares 3 5 3 6 2 3" xfId="17631"/>
    <cellStyle name="Separador de milhares 3 5 3 6 2 3 2" xfId="44120"/>
    <cellStyle name="Separador de milhares 3 5 3 6 2 4" xfId="11704"/>
    <cellStyle name="Separador de milhares 3 5 3 6 2 4 2" xfId="38212"/>
    <cellStyle name="Separador de milhares 3 5 3 6 2 5" xfId="32056"/>
    <cellStyle name="Separador de milhares 3 5 3 6 2 6" xfId="25522"/>
    <cellStyle name="Separador de milhares 3 5 3 6 3" xfId="7269"/>
    <cellStyle name="Separador de milhares 3 5 3 6 3 2" xfId="19123"/>
    <cellStyle name="Separador de milhares 3 5 3 6 3 2 2" xfId="45606"/>
    <cellStyle name="Separador de milhares 3 5 3 6 3 3" xfId="13196"/>
    <cellStyle name="Separador de milhares 3 5 3 6 3 3 2" xfId="39698"/>
    <cellStyle name="Separador de milhares 3 5 3 6 3 4" xfId="33790"/>
    <cellStyle name="Separador de milhares 3 5 3 6 3 5" xfId="27256"/>
    <cellStyle name="Separador de milhares 3 5 3 6 4" xfId="16159"/>
    <cellStyle name="Separador de milhares 3 5 3 6 4 2" xfId="42652"/>
    <cellStyle name="Separador de milhares 3 5 3 6 4 3" xfId="23750"/>
    <cellStyle name="Separador de milhares 3 5 3 6 5" xfId="10232"/>
    <cellStyle name="Separador de milhares 3 5 3 6 5 2" xfId="36744"/>
    <cellStyle name="Separador de milhares 3 5 3 6 6" xfId="30284"/>
    <cellStyle name="Separador de milhares 3 5 3 6 7" xfId="21978"/>
    <cellStyle name="Separador de milhares 3 5 3 7" xfId="2780"/>
    <cellStyle name="Separador de milhares 3 5 3 7 2" xfId="5676"/>
    <cellStyle name="Separador de milhares 3 5 3 7 2 2" xfId="8888"/>
    <cellStyle name="Separador de milhares 3 5 3 7 2 2 2" xfId="20742"/>
    <cellStyle name="Separador de milhares 3 5 3 7 2 2 2 2" xfId="47221"/>
    <cellStyle name="Separador de milhares 3 5 3 7 2 2 3" xfId="14815"/>
    <cellStyle name="Separador de milhares 3 5 3 7 2 2 3 2" xfId="41313"/>
    <cellStyle name="Separador de milhares 3 5 3 7 2 2 4" xfId="35405"/>
    <cellStyle name="Separador de milhares 3 5 3 7 2 2 5" xfId="28871"/>
    <cellStyle name="Separador de milhares 3 5 3 7 2 3" xfId="17778"/>
    <cellStyle name="Separador de milhares 3 5 3 7 2 3 2" xfId="44267"/>
    <cellStyle name="Separador de milhares 3 5 3 7 2 4" xfId="11851"/>
    <cellStyle name="Separador de milhares 3 5 3 7 2 4 2" xfId="38359"/>
    <cellStyle name="Separador de milhares 3 5 3 7 2 5" xfId="32203"/>
    <cellStyle name="Separador de milhares 3 5 3 7 2 6" xfId="25669"/>
    <cellStyle name="Separador de milhares 3 5 3 7 3" xfId="7417"/>
    <cellStyle name="Separador de milhares 3 5 3 7 3 2" xfId="19271"/>
    <cellStyle name="Separador de milhares 3 5 3 7 3 2 2" xfId="45753"/>
    <cellStyle name="Separador de milhares 3 5 3 7 3 3" xfId="13344"/>
    <cellStyle name="Separador de milhares 3 5 3 7 3 3 2" xfId="39845"/>
    <cellStyle name="Separador de milhares 3 5 3 7 3 4" xfId="33937"/>
    <cellStyle name="Separador de milhares 3 5 3 7 3 5" xfId="27403"/>
    <cellStyle name="Separador de milhares 3 5 3 7 4" xfId="16307"/>
    <cellStyle name="Separador de milhares 3 5 3 7 4 2" xfId="42799"/>
    <cellStyle name="Separador de milhares 3 5 3 7 4 3" xfId="23897"/>
    <cellStyle name="Separador de milhares 3 5 3 7 5" xfId="10380"/>
    <cellStyle name="Separador de milhares 3 5 3 7 5 2" xfId="36891"/>
    <cellStyle name="Separador de milhares 3 5 3 7 6" xfId="30431"/>
    <cellStyle name="Separador de milhares 3 5 3 7 7" xfId="22125"/>
    <cellStyle name="Separador de milhares 3 5 3 8" xfId="3308"/>
    <cellStyle name="Separador de milhares 3 5 3 8 2" xfId="5823"/>
    <cellStyle name="Separador de milhares 3 5 3 8 2 2" xfId="9035"/>
    <cellStyle name="Separador de milhares 3 5 3 8 2 2 2" xfId="20889"/>
    <cellStyle name="Separador de milhares 3 5 3 8 2 2 2 2" xfId="47368"/>
    <cellStyle name="Separador de milhares 3 5 3 8 2 2 3" xfId="14962"/>
    <cellStyle name="Separador de milhares 3 5 3 8 2 2 3 2" xfId="41460"/>
    <cellStyle name="Separador de milhares 3 5 3 8 2 2 4" xfId="35552"/>
    <cellStyle name="Separador de milhares 3 5 3 8 2 2 5" xfId="29018"/>
    <cellStyle name="Separador de milhares 3 5 3 8 2 3" xfId="17925"/>
    <cellStyle name="Separador de milhares 3 5 3 8 2 3 2" xfId="44414"/>
    <cellStyle name="Separador de milhares 3 5 3 8 2 4" xfId="11998"/>
    <cellStyle name="Separador de milhares 3 5 3 8 2 4 2" xfId="38506"/>
    <cellStyle name="Separador de milhares 3 5 3 8 2 5" xfId="32350"/>
    <cellStyle name="Separador de milhares 3 5 3 8 2 6" xfId="25816"/>
    <cellStyle name="Separador de milhares 3 5 3 8 3" xfId="7565"/>
    <cellStyle name="Separador de milhares 3 5 3 8 3 2" xfId="19419"/>
    <cellStyle name="Separador de milhares 3 5 3 8 3 2 2" xfId="45900"/>
    <cellStyle name="Separador de milhares 3 5 3 8 3 3" xfId="13492"/>
    <cellStyle name="Separador de milhares 3 5 3 8 3 3 2" xfId="39992"/>
    <cellStyle name="Separador de milhares 3 5 3 8 3 4" xfId="34084"/>
    <cellStyle name="Separador de milhares 3 5 3 8 3 5" xfId="27550"/>
    <cellStyle name="Separador de milhares 3 5 3 8 4" xfId="16455"/>
    <cellStyle name="Separador de milhares 3 5 3 8 4 2" xfId="42946"/>
    <cellStyle name="Separador de milhares 3 5 3 8 4 3" xfId="24044"/>
    <cellStyle name="Separador de milhares 3 5 3 8 5" xfId="10528"/>
    <cellStyle name="Separador de milhares 3 5 3 8 5 2" xfId="37038"/>
    <cellStyle name="Separador de milhares 3 5 3 8 6" xfId="30578"/>
    <cellStyle name="Separador de milhares 3 5 3 8 7" xfId="22272"/>
    <cellStyle name="Separador de milhares 3 5 3 9" xfId="3836"/>
    <cellStyle name="Separador de milhares 3 5 3 9 2" xfId="5970"/>
    <cellStyle name="Separador de milhares 3 5 3 9 2 2" xfId="9182"/>
    <cellStyle name="Separador de milhares 3 5 3 9 2 2 2" xfId="21036"/>
    <cellStyle name="Separador de milhares 3 5 3 9 2 2 2 2" xfId="47515"/>
    <cellStyle name="Separador de milhares 3 5 3 9 2 2 3" xfId="15109"/>
    <cellStyle name="Separador de milhares 3 5 3 9 2 2 3 2" xfId="41607"/>
    <cellStyle name="Separador de milhares 3 5 3 9 2 2 4" xfId="35699"/>
    <cellStyle name="Separador de milhares 3 5 3 9 2 2 5" xfId="29165"/>
    <cellStyle name="Separador de milhares 3 5 3 9 2 3" xfId="18072"/>
    <cellStyle name="Separador de milhares 3 5 3 9 2 3 2" xfId="44561"/>
    <cellStyle name="Separador de milhares 3 5 3 9 2 4" xfId="12145"/>
    <cellStyle name="Separador de milhares 3 5 3 9 2 4 2" xfId="38653"/>
    <cellStyle name="Separador de milhares 3 5 3 9 2 5" xfId="32497"/>
    <cellStyle name="Separador de milhares 3 5 3 9 2 6" xfId="25963"/>
    <cellStyle name="Separador de milhares 3 5 3 9 3" xfId="7713"/>
    <cellStyle name="Separador de milhares 3 5 3 9 3 2" xfId="19567"/>
    <cellStyle name="Separador de milhares 3 5 3 9 3 2 2" xfId="46047"/>
    <cellStyle name="Separador de milhares 3 5 3 9 3 3" xfId="13640"/>
    <cellStyle name="Separador de milhares 3 5 3 9 3 3 2" xfId="40139"/>
    <cellStyle name="Separador de milhares 3 5 3 9 3 4" xfId="34231"/>
    <cellStyle name="Separador de milhares 3 5 3 9 3 5" xfId="27697"/>
    <cellStyle name="Separador de milhares 3 5 3 9 4" xfId="16603"/>
    <cellStyle name="Separador de milhares 3 5 3 9 4 2" xfId="43093"/>
    <cellStyle name="Separador de milhares 3 5 3 9 4 3" xfId="24191"/>
    <cellStyle name="Separador de milhares 3 5 3 9 5" xfId="10676"/>
    <cellStyle name="Separador de milhares 3 5 3 9 5 2" xfId="37185"/>
    <cellStyle name="Separador de milhares 3 5 3 9 6" xfId="30725"/>
    <cellStyle name="Separador de milhares 3 5 3 9 7" xfId="22419"/>
    <cellStyle name="Separador de milhares 3 5 4" xfId="465"/>
    <cellStyle name="Separador de milhares 3 5 4 10" xfId="5017"/>
    <cellStyle name="Separador de milhares 3 5 4 10 2" xfId="8233"/>
    <cellStyle name="Separador de milhares 3 5 4 10 2 2" xfId="20087"/>
    <cellStyle name="Separador de milhares 3 5 4 10 2 2 2" xfId="46566"/>
    <cellStyle name="Separador de milhares 3 5 4 10 2 3" xfId="14160"/>
    <cellStyle name="Separador de milhares 3 5 4 10 2 3 2" xfId="40658"/>
    <cellStyle name="Separador de milhares 3 5 4 10 2 4" xfId="34750"/>
    <cellStyle name="Separador de milhares 3 5 4 10 2 5" xfId="28216"/>
    <cellStyle name="Separador de milhares 3 5 4 10 3" xfId="17123"/>
    <cellStyle name="Separador de milhares 3 5 4 10 3 2" xfId="43612"/>
    <cellStyle name="Separador de milhares 3 5 4 10 4" xfId="11196"/>
    <cellStyle name="Separador de milhares 3 5 4 10 4 2" xfId="37704"/>
    <cellStyle name="Separador de milhares 3 5 4 10 5" xfId="31544"/>
    <cellStyle name="Separador de milhares 3 5 4 10 6" xfId="25010"/>
    <cellStyle name="Separador de milhares 3 5 4 11" xfId="6757"/>
    <cellStyle name="Separador de milhares 3 5 4 11 2" xfId="18611"/>
    <cellStyle name="Separador de milhares 3 5 4 11 2 2" xfId="45098"/>
    <cellStyle name="Separador de milhares 3 5 4 11 3" xfId="12684"/>
    <cellStyle name="Separador de milhares 3 5 4 11 3 2" xfId="39190"/>
    <cellStyle name="Separador de milhares 3 5 4 11 4" xfId="33282"/>
    <cellStyle name="Separador de milhares 3 5 4 11 5" xfId="26748"/>
    <cellStyle name="Separador de milhares 3 5 4 12" xfId="15647"/>
    <cellStyle name="Separador de milhares 3 5 4 12 2" xfId="42144"/>
    <cellStyle name="Separador de milhares 3 5 4 12 3" xfId="23238"/>
    <cellStyle name="Separador de milhares 3 5 4 13" xfId="9720"/>
    <cellStyle name="Separador de milhares 3 5 4 13 2" xfId="36236"/>
    <cellStyle name="Separador de milhares 3 5 4 14" xfId="29772"/>
    <cellStyle name="Separador de milhares 3 5 4 2" xfId="1111"/>
    <cellStyle name="Separador de milhares 3 5 4 2 2" xfId="5214"/>
    <cellStyle name="Separador de milhares 3 5 4 2 2 2" xfId="8429"/>
    <cellStyle name="Separador de milhares 3 5 4 2 2 2 2" xfId="20283"/>
    <cellStyle name="Separador de milhares 3 5 4 2 2 2 2 2" xfId="46762"/>
    <cellStyle name="Separador de milhares 3 5 4 2 2 2 3" xfId="14356"/>
    <cellStyle name="Separador de milhares 3 5 4 2 2 2 3 2" xfId="40854"/>
    <cellStyle name="Separador de milhares 3 5 4 2 2 2 4" xfId="34946"/>
    <cellStyle name="Separador de milhares 3 5 4 2 2 2 5" xfId="28412"/>
    <cellStyle name="Separador de milhares 3 5 4 2 2 3" xfId="17319"/>
    <cellStyle name="Separador de milhares 3 5 4 2 2 3 2" xfId="43808"/>
    <cellStyle name="Separador de milhares 3 5 4 2 2 4" xfId="11392"/>
    <cellStyle name="Separador de milhares 3 5 4 2 2 4 2" xfId="37900"/>
    <cellStyle name="Separador de milhares 3 5 4 2 2 5" xfId="31741"/>
    <cellStyle name="Separador de milhares 3 5 4 2 2 6" xfId="25207"/>
    <cellStyle name="Separador de milhares 3 5 4 2 3" xfId="6956"/>
    <cellStyle name="Separador de milhares 3 5 4 2 3 2" xfId="18810"/>
    <cellStyle name="Separador de milhares 3 5 4 2 3 2 2" xfId="45294"/>
    <cellStyle name="Separador de milhares 3 5 4 2 3 3" xfId="12883"/>
    <cellStyle name="Separador de milhares 3 5 4 2 3 3 2" xfId="39386"/>
    <cellStyle name="Separador de milhares 3 5 4 2 3 4" xfId="33478"/>
    <cellStyle name="Separador de milhares 3 5 4 2 3 5" xfId="26944"/>
    <cellStyle name="Separador de milhares 3 5 4 2 4" xfId="15846"/>
    <cellStyle name="Separador de milhares 3 5 4 2 4 2" xfId="42340"/>
    <cellStyle name="Separador de milhares 3 5 4 2 4 3" xfId="23435"/>
    <cellStyle name="Separador de milhares 3 5 4 2 5" xfId="9919"/>
    <cellStyle name="Separador de milhares 3 5 4 2 5 2" xfId="36432"/>
    <cellStyle name="Separador de milhares 3 5 4 2 6" xfId="29969"/>
    <cellStyle name="Separador de milhares 3 5 4 2 7" xfId="21663"/>
    <cellStyle name="Separador de milhares 3 5 4 3" xfId="1462"/>
    <cellStyle name="Separador de milhares 3 5 4 3 2" xfId="5312"/>
    <cellStyle name="Separador de milhares 3 5 4 3 2 2" xfId="8527"/>
    <cellStyle name="Separador de milhares 3 5 4 3 2 2 2" xfId="20381"/>
    <cellStyle name="Separador de milhares 3 5 4 3 2 2 2 2" xfId="46860"/>
    <cellStyle name="Separador de milhares 3 5 4 3 2 2 3" xfId="14454"/>
    <cellStyle name="Separador de milhares 3 5 4 3 2 2 3 2" xfId="40952"/>
    <cellStyle name="Separador de milhares 3 5 4 3 2 2 4" xfId="35044"/>
    <cellStyle name="Separador de milhares 3 5 4 3 2 2 5" xfId="28510"/>
    <cellStyle name="Separador de milhares 3 5 4 3 2 3" xfId="17417"/>
    <cellStyle name="Separador de milhares 3 5 4 3 2 3 2" xfId="43906"/>
    <cellStyle name="Separador de milhares 3 5 4 3 2 4" xfId="11490"/>
    <cellStyle name="Separador de milhares 3 5 4 3 2 4 2" xfId="37998"/>
    <cellStyle name="Separador de milhares 3 5 4 3 2 5" xfId="31839"/>
    <cellStyle name="Separador de milhares 3 5 4 3 2 6" xfId="25305"/>
    <cellStyle name="Separador de milhares 3 5 4 3 3" xfId="7054"/>
    <cellStyle name="Separador de milhares 3 5 4 3 3 2" xfId="18908"/>
    <cellStyle name="Separador de milhares 3 5 4 3 3 2 2" xfId="45392"/>
    <cellStyle name="Separador de milhares 3 5 4 3 3 3" xfId="12981"/>
    <cellStyle name="Separador de milhares 3 5 4 3 3 3 2" xfId="39484"/>
    <cellStyle name="Separador de milhares 3 5 4 3 3 4" xfId="33576"/>
    <cellStyle name="Separador de milhares 3 5 4 3 3 5" xfId="27042"/>
    <cellStyle name="Separador de milhares 3 5 4 3 4" xfId="15944"/>
    <cellStyle name="Separador de milhares 3 5 4 3 4 2" xfId="42438"/>
    <cellStyle name="Separador de milhares 3 5 4 3 4 3" xfId="23533"/>
    <cellStyle name="Separador de milhares 3 5 4 3 5" xfId="10017"/>
    <cellStyle name="Separador de milhares 3 5 4 3 5 2" xfId="36530"/>
    <cellStyle name="Separador de milhares 3 5 4 3 6" xfId="30067"/>
    <cellStyle name="Separador de milhares 3 5 4 3 7" xfId="21761"/>
    <cellStyle name="Separador de milhares 3 5 4 4" xfId="1897"/>
    <cellStyle name="Separador de milhares 3 5 4 4 2" xfId="5431"/>
    <cellStyle name="Separador de milhares 3 5 4 4 2 2" xfId="8646"/>
    <cellStyle name="Separador de milhares 3 5 4 4 2 2 2" xfId="20500"/>
    <cellStyle name="Separador de milhares 3 5 4 4 2 2 2 2" xfId="46979"/>
    <cellStyle name="Separador de milhares 3 5 4 4 2 2 3" xfId="14573"/>
    <cellStyle name="Separador de milhares 3 5 4 4 2 2 3 2" xfId="41071"/>
    <cellStyle name="Separador de milhares 3 5 4 4 2 2 4" xfId="35163"/>
    <cellStyle name="Separador de milhares 3 5 4 4 2 2 5" xfId="28629"/>
    <cellStyle name="Separador de milhares 3 5 4 4 2 3" xfId="17536"/>
    <cellStyle name="Separador de milhares 3 5 4 4 2 3 2" xfId="44025"/>
    <cellStyle name="Separador de milhares 3 5 4 4 2 4" xfId="11609"/>
    <cellStyle name="Separador de milhares 3 5 4 4 2 4 2" xfId="38117"/>
    <cellStyle name="Separador de milhares 3 5 4 4 2 5" xfId="31958"/>
    <cellStyle name="Separador de milhares 3 5 4 4 2 6" xfId="25424"/>
    <cellStyle name="Separador de milhares 3 5 4 4 3" xfId="7173"/>
    <cellStyle name="Separador de milhares 3 5 4 4 3 2" xfId="19027"/>
    <cellStyle name="Separador de milhares 3 5 4 4 3 2 2" xfId="45511"/>
    <cellStyle name="Separador de milhares 3 5 4 4 3 3" xfId="13100"/>
    <cellStyle name="Separador de milhares 3 5 4 4 3 3 2" xfId="39603"/>
    <cellStyle name="Separador de milhares 3 5 4 4 3 4" xfId="33695"/>
    <cellStyle name="Separador de milhares 3 5 4 4 3 5" xfId="27161"/>
    <cellStyle name="Separador de milhares 3 5 4 4 4" xfId="16063"/>
    <cellStyle name="Separador de milhares 3 5 4 4 4 2" xfId="42557"/>
    <cellStyle name="Separador de milhares 3 5 4 4 4 3" xfId="23652"/>
    <cellStyle name="Separador de milhares 3 5 4 4 5" xfId="10136"/>
    <cellStyle name="Separador de milhares 3 5 4 4 5 2" xfId="36649"/>
    <cellStyle name="Separador de milhares 3 5 4 4 6" xfId="30186"/>
    <cellStyle name="Separador de milhares 3 5 4 4 7" xfId="21880"/>
    <cellStyle name="Separador de milhares 3 5 4 5" xfId="2430"/>
    <cellStyle name="Separador de milhares 3 5 4 5 2" xfId="5581"/>
    <cellStyle name="Separador de milhares 3 5 4 5 2 2" xfId="8793"/>
    <cellStyle name="Separador de milhares 3 5 4 5 2 2 2" xfId="20647"/>
    <cellStyle name="Separador de milhares 3 5 4 5 2 2 2 2" xfId="47126"/>
    <cellStyle name="Separador de milhares 3 5 4 5 2 2 3" xfId="14720"/>
    <cellStyle name="Separador de milhares 3 5 4 5 2 2 3 2" xfId="41218"/>
    <cellStyle name="Separador de milhares 3 5 4 5 2 2 4" xfId="35310"/>
    <cellStyle name="Separador de milhares 3 5 4 5 2 2 5" xfId="28776"/>
    <cellStyle name="Separador de milhares 3 5 4 5 2 3" xfId="17683"/>
    <cellStyle name="Separador de milhares 3 5 4 5 2 3 2" xfId="44172"/>
    <cellStyle name="Separador de milhares 3 5 4 5 2 4" xfId="11756"/>
    <cellStyle name="Separador de milhares 3 5 4 5 2 4 2" xfId="38264"/>
    <cellStyle name="Separador de milhares 3 5 4 5 2 5" xfId="32108"/>
    <cellStyle name="Separador de milhares 3 5 4 5 2 6" xfId="25574"/>
    <cellStyle name="Separador de milhares 3 5 4 5 3" xfId="7321"/>
    <cellStyle name="Separador de milhares 3 5 4 5 3 2" xfId="19175"/>
    <cellStyle name="Separador de milhares 3 5 4 5 3 2 2" xfId="45658"/>
    <cellStyle name="Separador de milhares 3 5 4 5 3 3" xfId="13248"/>
    <cellStyle name="Separador de milhares 3 5 4 5 3 3 2" xfId="39750"/>
    <cellStyle name="Separador de milhares 3 5 4 5 3 4" xfId="33842"/>
    <cellStyle name="Separador de milhares 3 5 4 5 3 5" xfId="27308"/>
    <cellStyle name="Separador de milhares 3 5 4 5 4" xfId="16211"/>
    <cellStyle name="Separador de milhares 3 5 4 5 4 2" xfId="42704"/>
    <cellStyle name="Separador de milhares 3 5 4 5 4 3" xfId="23802"/>
    <cellStyle name="Separador de milhares 3 5 4 5 5" xfId="10284"/>
    <cellStyle name="Separador de milhares 3 5 4 5 5 2" xfId="36796"/>
    <cellStyle name="Separador de milhares 3 5 4 5 6" xfId="30336"/>
    <cellStyle name="Separador de milhares 3 5 4 5 7" xfId="22030"/>
    <cellStyle name="Separador de milhares 3 5 4 6" xfId="2958"/>
    <cellStyle name="Separador de milhares 3 5 4 6 2" xfId="5728"/>
    <cellStyle name="Separador de milhares 3 5 4 6 2 2" xfId="8940"/>
    <cellStyle name="Separador de milhares 3 5 4 6 2 2 2" xfId="20794"/>
    <cellStyle name="Separador de milhares 3 5 4 6 2 2 2 2" xfId="47273"/>
    <cellStyle name="Separador de milhares 3 5 4 6 2 2 3" xfId="14867"/>
    <cellStyle name="Separador de milhares 3 5 4 6 2 2 3 2" xfId="41365"/>
    <cellStyle name="Separador de milhares 3 5 4 6 2 2 4" xfId="35457"/>
    <cellStyle name="Separador de milhares 3 5 4 6 2 2 5" xfId="28923"/>
    <cellStyle name="Separador de milhares 3 5 4 6 2 3" xfId="17830"/>
    <cellStyle name="Separador de milhares 3 5 4 6 2 3 2" xfId="44319"/>
    <cellStyle name="Separador de milhares 3 5 4 6 2 4" xfId="11903"/>
    <cellStyle name="Separador de milhares 3 5 4 6 2 4 2" xfId="38411"/>
    <cellStyle name="Separador de milhares 3 5 4 6 2 5" xfId="32255"/>
    <cellStyle name="Separador de milhares 3 5 4 6 2 6" xfId="25721"/>
    <cellStyle name="Separador de milhares 3 5 4 6 3" xfId="7469"/>
    <cellStyle name="Separador de milhares 3 5 4 6 3 2" xfId="19323"/>
    <cellStyle name="Separador de milhares 3 5 4 6 3 2 2" xfId="45805"/>
    <cellStyle name="Separador de milhares 3 5 4 6 3 3" xfId="13396"/>
    <cellStyle name="Separador de milhares 3 5 4 6 3 3 2" xfId="39897"/>
    <cellStyle name="Separador de milhares 3 5 4 6 3 4" xfId="33989"/>
    <cellStyle name="Separador de milhares 3 5 4 6 3 5" xfId="27455"/>
    <cellStyle name="Separador de milhares 3 5 4 6 4" xfId="16359"/>
    <cellStyle name="Separador de milhares 3 5 4 6 4 2" xfId="42851"/>
    <cellStyle name="Separador de milhares 3 5 4 6 4 3" xfId="23949"/>
    <cellStyle name="Separador de milhares 3 5 4 6 5" xfId="10432"/>
    <cellStyle name="Separador de milhares 3 5 4 6 5 2" xfId="36943"/>
    <cellStyle name="Separador de milhares 3 5 4 6 6" xfId="30483"/>
    <cellStyle name="Separador de milhares 3 5 4 6 7" xfId="22177"/>
    <cellStyle name="Separador de milhares 3 5 4 7" xfId="3486"/>
    <cellStyle name="Separador de milhares 3 5 4 7 2" xfId="5875"/>
    <cellStyle name="Separador de milhares 3 5 4 7 2 2" xfId="9087"/>
    <cellStyle name="Separador de milhares 3 5 4 7 2 2 2" xfId="20941"/>
    <cellStyle name="Separador de milhares 3 5 4 7 2 2 2 2" xfId="47420"/>
    <cellStyle name="Separador de milhares 3 5 4 7 2 2 3" xfId="15014"/>
    <cellStyle name="Separador de milhares 3 5 4 7 2 2 3 2" xfId="41512"/>
    <cellStyle name="Separador de milhares 3 5 4 7 2 2 4" xfId="35604"/>
    <cellStyle name="Separador de milhares 3 5 4 7 2 2 5" xfId="29070"/>
    <cellStyle name="Separador de milhares 3 5 4 7 2 3" xfId="17977"/>
    <cellStyle name="Separador de milhares 3 5 4 7 2 3 2" xfId="44466"/>
    <cellStyle name="Separador de milhares 3 5 4 7 2 4" xfId="12050"/>
    <cellStyle name="Separador de milhares 3 5 4 7 2 4 2" xfId="38558"/>
    <cellStyle name="Separador de milhares 3 5 4 7 2 5" xfId="32402"/>
    <cellStyle name="Separador de milhares 3 5 4 7 2 6" xfId="25868"/>
    <cellStyle name="Separador de milhares 3 5 4 7 3" xfId="7617"/>
    <cellStyle name="Separador de milhares 3 5 4 7 3 2" xfId="19471"/>
    <cellStyle name="Separador de milhares 3 5 4 7 3 2 2" xfId="45952"/>
    <cellStyle name="Separador de milhares 3 5 4 7 3 3" xfId="13544"/>
    <cellStyle name="Separador de milhares 3 5 4 7 3 3 2" xfId="40044"/>
    <cellStyle name="Separador de milhares 3 5 4 7 3 4" xfId="34136"/>
    <cellStyle name="Separador de milhares 3 5 4 7 3 5" xfId="27602"/>
    <cellStyle name="Separador de milhares 3 5 4 7 4" xfId="16507"/>
    <cellStyle name="Separador de milhares 3 5 4 7 4 2" xfId="42998"/>
    <cellStyle name="Separador de milhares 3 5 4 7 4 3" xfId="24096"/>
    <cellStyle name="Separador de milhares 3 5 4 7 5" xfId="10580"/>
    <cellStyle name="Separador de milhares 3 5 4 7 5 2" xfId="37090"/>
    <cellStyle name="Separador de milhares 3 5 4 7 6" xfId="30630"/>
    <cellStyle name="Separador de milhares 3 5 4 7 7" xfId="22324"/>
    <cellStyle name="Separador de milhares 3 5 4 8" xfId="4014"/>
    <cellStyle name="Separador de milhares 3 5 4 8 2" xfId="6022"/>
    <cellStyle name="Separador de milhares 3 5 4 8 2 2" xfId="9234"/>
    <cellStyle name="Separador de milhares 3 5 4 8 2 2 2" xfId="21088"/>
    <cellStyle name="Separador de milhares 3 5 4 8 2 2 2 2" xfId="47567"/>
    <cellStyle name="Separador de milhares 3 5 4 8 2 2 3" xfId="15161"/>
    <cellStyle name="Separador de milhares 3 5 4 8 2 2 3 2" xfId="41659"/>
    <cellStyle name="Separador de milhares 3 5 4 8 2 2 4" xfId="35751"/>
    <cellStyle name="Separador de milhares 3 5 4 8 2 2 5" xfId="29217"/>
    <cellStyle name="Separador de milhares 3 5 4 8 2 3" xfId="18124"/>
    <cellStyle name="Separador de milhares 3 5 4 8 2 3 2" xfId="44613"/>
    <cellStyle name="Separador de milhares 3 5 4 8 2 4" xfId="12197"/>
    <cellStyle name="Separador de milhares 3 5 4 8 2 4 2" xfId="38705"/>
    <cellStyle name="Separador de milhares 3 5 4 8 2 5" xfId="32549"/>
    <cellStyle name="Separador de milhares 3 5 4 8 2 6" xfId="26015"/>
    <cellStyle name="Separador de milhares 3 5 4 8 3" xfId="7765"/>
    <cellStyle name="Separador de milhares 3 5 4 8 3 2" xfId="19619"/>
    <cellStyle name="Separador de milhares 3 5 4 8 3 2 2" xfId="46099"/>
    <cellStyle name="Separador de milhares 3 5 4 8 3 3" xfId="13692"/>
    <cellStyle name="Separador de milhares 3 5 4 8 3 3 2" xfId="40191"/>
    <cellStyle name="Separador de milhares 3 5 4 8 3 4" xfId="34283"/>
    <cellStyle name="Separador de milhares 3 5 4 8 3 5" xfId="27749"/>
    <cellStyle name="Separador de milhares 3 5 4 8 4" xfId="16655"/>
    <cellStyle name="Separador de milhares 3 5 4 8 4 2" xfId="43145"/>
    <cellStyle name="Separador de milhares 3 5 4 8 4 3" xfId="24243"/>
    <cellStyle name="Separador de milhares 3 5 4 8 5" xfId="10728"/>
    <cellStyle name="Separador de milhares 3 5 4 8 5 2" xfId="37237"/>
    <cellStyle name="Separador de milhares 3 5 4 8 6" xfId="30777"/>
    <cellStyle name="Separador de milhares 3 5 4 8 7" xfId="22471"/>
    <cellStyle name="Separador de milhares 3 5 4 9" xfId="803"/>
    <cellStyle name="Separador de milhares 3 5 4 9 2" xfId="5116"/>
    <cellStyle name="Separador de milhares 3 5 4 9 2 2" xfId="8331"/>
    <cellStyle name="Separador de milhares 3 5 4 9 2 2 2" xfId="20185"/>
    <cellStyle name="Separador de milhares 3 5 4 9 2 2 2 2" xfId="46664"/>
    <cellStyle name="Separador de milhares 3 5 4 9 2 2 3" xfId="14258"/>
    <cellStyle name="Separador de milhares 3 5 4 9 2 2 3 2" xfId="40756"/>
    <cellStyle name="Separador de milhares 3 5 4 9 2 2 4" xfId="34848"/>
    <cellStyle name="Separador de milhares 3 5 4 9 2 2 5" xfId="28314"/>
    <cellStyle name="Separador de milhares 3 5 4 9 2 3" xfId="17221"/>
    <cellStyle name="Separador de milhares 3 5 4 9 2 3 2" xfId="43710"/>
    <cellStyle name="Separador de milhares 3 5 4 9 2 4" xfId="11294"/>
    <cellStyle name="Separador de milhares 3 5 4 9 2 4 2" xfId="37802"/>
    <cellStyle name="Separador de milhares 3 5 4 9 2 5" xfId="31643"/>
    <cellStyle name="Separador de milhares 3 5 4 9 2 6" xfId="25109"/>
    <cellStyle name="Separador de milhares 3 5 4 9 3" xfId="6858"/>
    <cellStyle name="Separador de milhares 3 5 4 9 3 2" xfId="18712"/>
    <cellStyle name="Separador de milhares 3 5 4 9 3 2 2" xfId="45196"/>
    <cellStyle name="Separador de milhares 3 5 4 9 3 3" xfId="12785"/>
    <cellStyle name="Separador de milhares 3 5 4 9 3 3 2" xfId="39288"/>
    <cellStyle name="Separador de milhares 3 5 4 9 3 4" xfId="33380"/>
    <cellStyle name="Separador de milhares 3 5 4 9 3 5" xfId="26846"/>
    <cellStyle name="Separador de milhares 3 5 4 9 4" xfId="15748"/>
    <cellStyle name="Separador de milhares 3 5 4 9 4 2" xfId="42242"/>
    <cellStyle name="Separador de milhares 3 5 4 9 4 3" xfId="23337"/>
    <cellStyle name="Separador de milhares 3 5 4 9 5" xfId="9821"/>
    <cellStyle name="Separador de milhares 3 5 4 9 5 2" xfId="36334"/>
    <cellStyle name="Separador de milhares 3 5 4 9 6" xfId="29871"/>
    <cellStyle name="Separador de milhares 3 5 4 9 7" xfId="21565"/>
    <cellStyle name="Separador de milhares 3 5 5" xfId="723"/>
    <cellStyle name="Separador de milhares 3 5 5 10" xfId="15711"/>
    <cellStyle name="Separador de milhares 3 5 5 10 2" xfId="42208"/>
    <cellStyle name="Separador de milhares 3 5 5 10 3" xfId="23303"/>
    <cellStyle name="Separador de milhares 3 5 5 11" xfId="9784"/>
    <cellStyle name="Separador de milhares 3 5 5 11 2" xfId="36300"/>
    <cellStyle name="Separador de milhares 3 5 5 12" xfId="29837"/>
    <cellStyle name="Separador de milhares 3 5 5 13" xfId="21531"/>
    <cellStyle name="Separador de milhares 3 5 5 2" xfId="1546"/>
    <cellStyle name="Separador de milhares 3 5 5 2 2" xfId="5333"/>
    <cellStyle name="Separador de milhares 3 5 5 2 2 2" xfId="8548"/>
    <cellStyle name="Separador de milhares 3 5 5 2 2 2 2" xfId="20402"/>
    <cellStyle name="Separador de milhares 3 5 5 2 2 2 2 2" xfId="46881"/>
    <cellStyle name="Separador de milhares 3 5 5 2 2 2 3" xfId="14475"/>
    <cellStyle name="Separador de milhares 3 5 5 2 2 2 3 2" xfId="40973"/>
    <cellStyle name="Separador de milhares 3 5 5 2 2 2 4" xfId="35065"/>
    <cellStyle name="Separador de milhares 3 5 5 2 2 2 5" xfId="28531"/>
    <cellStyle name="Separador de milhares 3 5 5 2 2 3" xfId="17438"/>
    <cellStyle name="Separador de milhares 3 5 5 2 2 3 2" xfId="43927"/>
    <cellStyle name="Separador de milhares 3 5 5 2 2 4" xfId="11511"/>
    <cellStyle name="Separador de milhares 3 5 5 2 2 4 2" xfId="38019"/>
    <cellStyle name="Separador de milhares 3 5 5 2 2 5" xfId="31860"/>
    <cellStyle name="Separador de milhares 3 5 5 2 2 6" xfId="25326"/>
    <cellStyle name="Separador de milhares 3 5 5 2 3" xfId="7075"/>
    <cellStyle name="Separador de milhares 3 5 5 2 3 2" xfId="18929"/>
    <cellStyle name="Separador de milhares 3 5 5 2 3 2 2" xfId="45413"/>
    <cellStyle name="Separador de milhares 3 5 5 2 3 3" xfId="13002"/>
    <cellStyle name="Separador de milhares 3 5 5 2 3 3 2" xfId="39505"/>
    <cellStyle name="Separador de milhares 3 5 5 2 3 4" xfId="33597"/>
    <cellStyle name="Separador de milhares 3 5 5 2 3 5" xfId="27063"/>
    <cellStyle name="Separador de milhares 3 5 5 2 4" xfId="15965"/>
    <cellStyle name="Separador de milhares 3 5 5 2 4 2" xfId="42459"/>
    <cellStyle name="Separador de milhares 3 5 5 2 4 3" xfId="23554"/>
    <cellStyle name="Separador de milhares 3 5 5 2 5" xfId="10038"/>
    <cellStyle name="Separador de milhares 3 5 5 2 5 2" xfId="36551"/>
    <cellStyle name="Separador de milhares 3 5 5 2 6" xfId="30088"/>
    <cellStyle name="Separador de milhares 3 5 5 2 7" xfId="21782"/>
    <cellStyle name="Separador de milhares 3 5 5 3" xfId="1981"/>
    <cellStyle name="Separador de milhares 3 5 5 3 2" xfId="5452"/>
    <cellStyle name="Separador de milhares 3 5 5 3 2 2" xfId="8667"/>
    <cellStyle name="Separador de milhares 3 5 5 3 2 2 2" xfId="20521"/>
    <cellStyle name="Separador de milhares 3 5 5 3 2 2 2 2" xfId="47000"/>
    <cellStyle name="Separador de milhares 3 5 5 3 2 2 3" xfId="14594"/>
    <cellStyle name="Separador de milhares 3 5 5 3 2 2 3 2" xfId="41092"/>
    <cellStyle name="Separador de milhares 3 5 5 3 2 2 4" xfId="35184"/>
    <cellStyle name="Separador de milhares 3 5 5 3 2 2 5" xfId="28650"/>
    <cellStyle name="Separador de milhares 3 5 5 3 2 3" xfId="17557"/>
    <cellStyle name="Separador de milhares 3 5 5 3 2 3 2" xfId="44046"/>
    <cellStyle name="Separador de milhares 3 5 5 3 2 4" xfId="11630"/>
    <cellStyle name="Separador de milhares 3 5 5 3 2 4 2" xfId="38138"/>
    <cellStyle name="Separador de milhares 3 5 5 3 2 5" xfId="31979"/>
    <cellStyle name="Separador de milhares 3 5 5 3 2 6" xfId="25445"/>
    <cellStyle name="Separador de milhares 3 5 5 3 3" xfId="7194"/>
    <cellStyle name="Separador de milhares 3 5 5 3 3 2" xfId="19048"/>
    <cellStyle name="Separador de milhares 3 5 5 3 3 2 2" xfId="45532"/>
    <cellStyle name="Separador de milhares 3 5 5 3 3 3" xfId="13121"/>
    <cellStyle name="Separador de milhares 3 5 5 3 3 3 2" xfId="39624"/>
    <cellStyle name="Separador de milhares 3 5 5 3 3 4" xfId="33716"/>
    <cellStyle name="Separador de milhares 3 5 5 3 3 5" xfId="27182"/>
    <cellStyle name="Separador de milhares 3 5 5 3 4" xfId="16084"/>
    <cellStyle name="Separador de milhares 3 5 5 3 4 2" xfId="42578"/>
    <cellStyle name="Separador de milhares 3 5 5 3 4 3" xfId="23673"/>
    <cellStyle name="Separador de milhares 3 5 5 3 5" xfId="10157"/>
    <cellStyle name="Separador de milhares 3 5 5 3 5 2" xfId="36670"/>
    <cellStyle name="Separador de milhares 3 5 5 3 6" xfId="30207"/>
    <cellStyle name="Separador de milhares 3 5 5 3 7" xfId="21901"/>
    <cellStyle name="Separador de milhares 3 5 5 4" xfId="2514"/>
    <cellStyle name="Separador de milhares 3 5 5 4 2" xfId="5602"/>
    <cellStyle name="Separador de milhares 3 5 5 4 2 2" xfId="8814"/>
    <cellStyle name="Separador de milhares 3 5 5 4 2 2 2" xfId="20668"/>
    <cellStyle name="Separador de milhares 3 5 5 4 2 2 2 2" xfId="47147"/>
    <cellStyle name="Separador de milhares 3 5 5 4 2 2 3" xfId="14741"/>
    <cellStyle name="Separador de milhares 3 5 5 4 2 2 3 2" xfId="41239"/>
    <cellStyle name="Separador de milhares 3 5 5 4 2 2 4" xfId="35331"/>
    <cellStyle name="Separador de milhares 3 5 5 4 2 2 5" xfId="28797"/>
    <cellStyle name="Separador de milhares 3 5 5 4 2 3" xfId="17704"/>
    <cellStyle name="Separador de milhares 3 5 5 4 2 3 2" xfId="44193"/>
    <cellStyle name="Separador de milhares 3 5 5 4 2 4" xfId="11777"/>
    <cellStyle name="Separador de milhares 3 5 5 4 2 4 2" xfId="38285"/>
    <cellStyle name="Separador de milhares 3 5 5 4 2 5" xfId="32129"/>
    <cellStyle name="Separador de milhares 3 5 5 4 2 6" xfId="25595"/>
    <cellStyle name="Separador de milhares 3 5 5 4 3" xfId="7342"/>
    <cellStyle name="Separador de milhares 3 5 5 4 3 2" xfId="19196"/>
    <cellStyle name="Separador de milhares 3 5 5 4 3 2 2" xfId="45679"/>
    <cellStyle name="Separador de milhares 3 5 5 4 3 3" xfId="13269"/>
    <cellStyle name="Separador de milhares 3 5 5 4 3 3 2" xfId="39771"/>
    <cellStyle name="Separador de milhares 3 5 5 4 3 4" xfId="33863"/>
    <cellStyle name="Separador de milhares 3 5 5 4 3 5" xfId="27329"/>
    <cellStyle name="Separador de milhares 3 5 5 4 4" xfId="16232"/>
    <cellStyle name="Separador de milhares 3 5 5 4 4 2" xfId="42725"/>
    <cellStyle name="Separador de milhares 3 5 5 4 4 3" xfId="23823"/>
    <cellStyle name="Separador de milhares 3 5 5 4 5" xfId="10305"/>
    <cellStyle name="Separador de milhares 3 5 5 4 5 2" xfId="36817"/>
    <cellStyle name="Separador de milhares 3 5 5 4 6" xfId="30357"/>
    <cellStyle name="Separador de milhares 3 5 5 4 7" xfId="22051"/>
    <cellStyle name="Separador de milhares 3 5 5 5" xfId="3042"/>
    <cellStyle name="Separador de milhares 3 5 5 5 2" xfId="5749"/>
    <cellStyle name="Separador de milhares 3 5 5 5 2 2" xfId="8961"/>
    <cellStyle name="Separador de milhares 3 5 5 5 2 2 2" xfId="20815"/>
    <cellStyle name="Separador de milhares 3 5 5 5 2 2 2 2" xfId="47294"/>
    <cellStyle name="Separador de milhares 3 5 5 5 2 2 3" xfId="14888"/>
    <cellStyle name="Separador de milhares 3 5 5 5 2 2 3 2" xfId="41386"/>
    <cellStyle name="Separador de milhares 3 5 5 5 2 2 4" xfId="35478"/>
    <cellStyle name="Separador de milhares 3 5 5 5 2 2 5" xfId="28944"/>
    <cellStyle name="Separador de milhares 3 5 5 5 2 3" xfId="17851"/>
    <cellStyle name="Separador de milhares 3 5 5 5 2 3 2" xfId="44340"/>
    <cellStyle name="Separador de milhares 3 5 5 5 2 4" xfId="11924"/>
    <cellStyle name="Separador de milhares 3 5 5 5 2 4 2" xfId="38432"/>
    <cellStyle name="Separador de milhares 3 5 5 5 2 5" xfId="32276"/>
    <cellStyle name="Separador de milhares 3 5 5 5 2 6" xfId="25742"/>
    <cellStyle name="Separador de milhares 3 5 5 5 3" xfId="7490"/>
    <cellStyle name="Separador de milhares 3 5 5 5 3 2" xfId="19344"/>
    <cellStyle name="Separador de milhares 3 5 5 5 3 2 2" xfId="45826"/>
    <cellStyle name="Separador de milhares 3 5 5 5 3 3" xfId="13417"/>
    <cellStyle name="Separador de milhares 3 5 5 5 3 3 2" xfId="39918"/>
    <cellStyle name="Separador de milhares 3 5 5 5 3 4" xfId="34010"/>
    <cellStyle name="Separador de milhares 3 5 5 5 3 5" xfId="27476"/>
    <cellStyle name="Separador de milhares 3 5 5 5 4" xfId="16380"/>
    <cellStyle name="Separador de milhares 3 5 5 5 4 2" xfId="42872"/>
    <cellStyle name="Separador de milhares 3 5 5 5 4 3" xfId="23970"/>
    <cellStyle name="Separador de milhares 3 5 5 5 5" xfId="10453"/>
    <cellStyle name="Separador de milhares 3 5 5 5 5 2" xfId="36964"/>
    <cellStyle name="Separador de milhares 3 5 5 5 6" xfId="30504"/>
    <cellStyle name="Separador de milhares 3 5 5 5 7" xfId="22198"/>
    <cellStyle name="Separador de milhares 3 5 5 6" xfId="3570"/>
    <cellStyle name="Separador de milhares 3 5 5 6 2" xfId="5896"/>
    <cellStyle name="Separador de milhares 3 5 5 6 2 2" xfId="9108"/>
    <cellStyle name="Separador de milhares 3 5 5 6 2 2 2" xfId="20962"/>
    <cellStyle name="Separador de milhares 3 5 5 6 2 2 2 2" xfId="47441"/>
    <cellStyle name="Separador de milhares 3 5 5 6 2 2 3" xfId="15035"/>
    <cellStyle name="Separador de milhares 3 5 5 6 2 2 3 2" xfId="41533"/>
    <cellStyle name="Separador de milhares 3 5 5 6 2 2 4" xfId="35625"/>
    <cellStyle name="Separador de milhares 3 5 5 6 2 2 5" xfId="29091"/>
    <cellStyle name="Separador de milhares 3 5 5 6 2 3" xfId="17998"/>
    <cellStyle name="Separador de milhares 3 5 5 6 2 3 2" xfId="44487"/>
    <cellStyle name="Separador de milhares 3 5 5 6 2 4" xfId="12071"/>
    <cellStyle name="Separador de milhares 3 5 5 6 2 4 2" xfId="38579"/>
    <cellStyle name="Separador de milhares 3 5 5 6 2 5" xfId="32423"/>
    <cellStyle name="Separador de milhares 3 5 5 6 2 6" xfId="25889"/>
    <cellStyle name="Separador de milhares 3 5 5 6 3" xfId="7638"/>
    <cellStyle name="Separador de milhares 3 5 5 6 3 2" xfId="19492"/>
    <cellStyle name="Separador de milhares 3 5 5 6 3 2 2" xfId="45973"/>
    <cellStyle name="Separador de milhares 3 5 5 6 3 3" xfId="13565"/>
    <cellStyle name="Separador de milhares 3 5 5 6 3 3 2" xfId="40065"/>
    <cellStyle name="Separador de milhares 3 5 5 6 3 4" xfId="34157"/>
    <cellStyle name="Separador de milhares 3 5 5 6 3 5" xfId="27623"/>
    <cellStyle name="Separador de milhares 3 5 5 6 4" xfId="16528"/>
    <cellStyle name="Separador de milhares 3 5 5 6 4 2" xfId="43019"/>
    <cellStyle name="Separador de milhares 3 5 5 6 4 3" xfId="24117"/>
    <cellStyle name="Separador de milhares 3 5 5 6 5" xfId="10601"/>
    <cellStyle name="Separador de milhares 3 5 5 6 5 2" xfId="37111"/>
    <cellStyle name="Separador de milhares 3 5 5 6 6" xfId="30651"/>
    <cellStyle name="Separador de milhares 3 5 5 6 7" xfId="22345"/>
    <cellStyle name="Separador de milhares 3 5 5 7" xfId="4098"/>
    <cellStyle name="Separador de milhares 3 5 5 7 2" xfId="6043"/>
    <cellStyle name="Separador de milhares 3 5 5 7 2 2" xfId="9255"/>
    <cellStyle name="Separador de milhares 3 5 5 7 2 2 2" xfId="21109"/>
    <cellStyle name="Separador de milhares 3 5 5 7 2 2 2 2" xfId="47588"/>
    <cellStyle name="Separador de milhares 3 5 5 7 2 2 3" xfId="15182"/>
    <cellStyle name="Separador de milhares 3 5 5 7 2 2 3 2" xfId="41680"/>
    <cellStyle name="Separador de milhares 3 5 5 7 2 2 4" xfId="35772"/>
    <cellStyle name="Separador de milhares 3 5 5 7 2 2 5" xfId="29238"/>
    <cellStyle name="Separador de milhares 3 5 5 7 2 3" xfId="18145"/>
    <cellStyle name="Separador de milhares 3 5 5 7 2 3 2" xfId="44634"/>
    <cellStyle name="Separador de milhares 3 5 5 7 2 4" xfId="12218"/>
    <cellStyle name="Separador de milhares 3 5 5 7 2 4 2" xfId="38726"/>
    <cellStyle name="Separador de milhares 3 5 5 7 2 5" xfId="32570"/>
    <cellStyle name="Separador de milhares 3 5 5 7 2 6" xfId="26036"/>
    <cellStyle name="Separador de milhares 3 5 5 7 3" xfId="7786"/>
    <cellStyle name="Separador de milhares 3 5 5 7 3 2" xfId="19640"/>
    <cellStyle name="Separador de milhares 3 5 5 7 3 2 2" xfId="46120"/>
    <cellStyle name="Separador de milhares 3 5 5 7 3 3" xfId="13713"/>
    <cellStyle name="Separador de milhares 3 5 5 7 3 3 2" xfId="40212"/>
    <cellStyle name="Separador de milhares 3 5 5 7 3 4" xfId="34304"/>
    <cellStyle name="Separador de milhares 3 5 5 7 3 5" xfId="27770"/>
    <cellStyle name="Separador de milhares 3 5 5 7 4" xfId="16676"/>
    <cellStyle name="Separador de milhares 3 5 5 7 4 2" xfId="43166"/>
    <cellStyle name="Separador de milhares 3 5 5 7 4 3" xfId="24264"/>
    <cellStyle name="Separador de milhares 3 5 5 7 5" xfId="10749"/>
    <cellStyle name="Separador de milhares 3 5 5 7 5 2" xfId="37258"/>
    <cellStyle name="Separador de milhares 3 5 5 7 6" xfId="30798"/>
    <cellStyle name="Separador de milhares 3 5 5 7 7" xfId="22492"/>
    <cellStyle name="Separador de milhares 3 5 5 8" xfId="5082"/>
    <cellStyle name="Separador de milhares 3 5 5 8 2" xfId="8297"/>
    <cellStyle name="Separador de milhares 3 5 5 8 2 2" xfId="20151"/>
    <cellStyle name="Separador de milhares 3 5 5 8 2 2 2" xfId="46630"/>
    <cellStyle name="Separador de milhares 3 5 5 8 2 3" xfId="14224"/>
    <cellStyle name="Separador de milhares 3 5 5 8 2 3 2" xfId="40722"/>
    <cellStyle name="Separador de milhares 3 5 5 8 2 4" xfId="34814"/>
    <cellStyle name="Separador de milhares 3 5 5 8 2 5" xfId="28280"/>
    <cellStyle name="Separador de milhares 3 5 5 8 3" xfId="17187"/>
    <cellStyle name="Separador de milhares 3 5 5 8 3 2" xfId="43676"/>
    <cellStyle name="Separador de milhares 3 5 5 8 4" xfId="11260"/>
    <cellStyle name="Separador de milhares 3 5 5 8 4 2" xfId="37768"/>
    <cellStyle name="Separador de milhares 3 5 5 8 5" xfId="31609"/>
    <cellStyle name="Separador de milhares 3 5 5 8 6" xfId="25075"/>
    <cellStyle name="Separador de milhares 3 5 5 9" xfId="6821"/>
    <cellStyle name="Separador de milhares 3 5 5 9 2" xfId="18675"/>
    <cellStyle name="Separador de milhares 3 5 5 9 2 2" xfId="45162"/>
    <cellStyle name="Separador de milhares 3 5 5 9 3" xfId="12748"/>
    <cellStyle name="Separador de milhares 3 5 5 9 3 2" xfId="39254"/>
    <cellStyle name="Separador de milhares 3 5 5 9 4" xfId="33346"/>
    <cellStyle name="Separador de milhares 3 5 5 9 5" xfId="26812"/>
    <cellStyle name="Separador de milhares 3 5 6" xfId="844"/>
    <cellStyle name="Separador de milhares 3 5 6 2" xfId="4275"/>
    <cellStyle name="Separador de milhares 3 5 6 2 2" xfId="6092"/>
    <cellStyle name="Separador de milhares 3 5 6 2 2 2" xfId="9304"/>
    <cellStyle name="Separador de milhares 3 5 6 2 2 2 2" xfId="21158"/>
    <cellStyle name="Separador de milhares 3 5 6 2 2 2 2 2" xfId="47637"/>
    <cellStyle name="Separador de milhares 3 5 6 2 2 2 3" xfId="15231"/>
    <cellStyle name="Separador de milhares 3 5 6 2 2 2 3 2" xfId="41729"/>
    <cellStyle name="Separador de milhares 3 5 6 2 2 2 4" xfId="35821"/>
    <cellStyle name="Separador de milhares 3 5 6 2 2 2 5" xfId="29287"/>
    <cellStyle name="Separador de milhares 3 5 6 2 2 3" xfId="18194"/>
    <cellStyle name="Separador de milhares 3 5 6 2 2 3 2" xfId="44683"/>
    <cellStyle name="Separador de milhares 3 5 6 2 2 4" xfId="12267"/>
    <cellStyle name="Separador de milhares 3 5 6 2 2 4 2" xfId="38775"/>
    <cellStyle name="Separador de milhares 3 5 6 2 2 5" xfId="32619"/>
    <cellStyle name="Separador de milhares 3 5 6 2 2 6" xfId="26085"/>
    <cellStyle name="Separador de milhares 3 5 6 2 3" xfId="7836"/>
    <cellStyle name="Separador de milhares 3 5 6 2 3 2" xfId="19690"/>
    <cellStyle name="Separador de milhares 3 5 6 2 3 2 2" xfId="46169"/>
    <cellStyle name="Separador de milhares 3 5 6 2 3 3" xfId="13763"/>
    <cellStyle name="Separador de milhares 3 5 6 2 3 3 2" xfId="40261"/>
    <cellStyle name="Separador de milhares 3 5 6 2 3 4" xfId="34353"/>
    <cellStyle name="Separador de milhares 3 5 6 2 3 5" xfId="27819"/>
    <cellStyle name="Separador de milhares 3 5 6 2 4" xfId="16726"/>
    <cellStyle name="Separador de milhares 3 5 6 2 4 2" xfId="43215"/>
    <cellStyle name="Separador de milhares 3 5 6 2 4 3" xfId="24313"/>
    <cellStyle name="Separador de milhares 3 5 6 2 5" xfId="10799"/>
    <cellStyle name="Separador de milhares 3 5 6 2 5 2" xfId="37307"/>
    <cellStyle name="Separador de milhares 3 5 6 2 6" xfId="30847"/>
    <cellStyle name="Separador de milhares 3 5 6 2 7" xfId="22541"/>
    <cellStyle name="Separador de milhares 3 5 6 3" xfId="5137"/>
    <cellStyle name="Separador de milhares 3 5 6 3 2" xfId="8352"/>
    <cellStyle name="Separador de milhares 3 5 6 3 2 2" xfId="20206"/>
    <cellStyle name="Separador de milhares 3 5 6 3 2 2 2" xfId="46685"/>
    <cellStyle name="Separador de milhares 3 5 6 3 2 3" xfId="14279"/>
    <cellStyle name="Separador de milhares 3 5 6 3 2 3 2" xfId="40777"/>
    <cellStyle name="Separador de milhares 3 5 6 3 2 4" xfId="34869"/>
    <cellStyle name="Separador de milhares 3 5 6 3 2 5" xfId="28335"/>
    <cellStyle name="Separador de milhares 3 5 6 3 3" xfId="17242"/>
    <cellStyle name="Separador de milhares 3 5 6 3 3 2" xfId="43731"/>
    <cellStyle name="Separador de milhares 3 5 6 3 4" xfId="11315"/>
    <cellStyle name="Separador de milhares 3 5 6 3 4 2" xfId="37823"/>
    <cellStyle name="Separador de milhares 3 5 6 3 5" xfId="31664"/>
    <cellStyle name="Separador de milhares 3 5 6 3 6" xfId="25130"/>
    <cellStyle name="Separador de milhares 3 5 6 4" xfId="6879"/>
    <cellStyle name="Separador de milhares 3 5 6 4 2" xfId="18733"/>
    <cellStyle name="Separador de milhares 3 5 6 4 2 2" xfId="45217"/>
    <cellStyle name="Separador de milhares 3 5 6 4 3" xfId="12806"/>
    <cellStyle name="Separador de milhares 3 5 6 4 3 2" xfId="39309"/>
    <cellStyle name="Separador de milhares 3 5 6 4 4" xfId="33401"/>
    <cellStyle name="Separador de milhares 3 5 6 4 5" xfId="26867"/>
    <cellStyle name="Separador de milhares 3 5 6 5" xfId="15769"/>
    <cellStyle name="Separador de milhares 3 5 6 5 2" xfId="42263"/>
    <cellStyle name="Separador de milhares 3 5 6 5 3" xfId="23358"/>
    <cellStyle name="Separador de milhares 3 5 6 6" xfId="9842"/>
    <cellStyle name="Separador de milhares 3 5 6 6 2" xfId="36355"/>
    <cellStyle name="Separador de milhares 3 5 6 7" xfId="29892"/>
    <cellStyle name="Separador de milhares 3 5 6 8" xfId="21586"/>
    <cellStyle name="Separador de milhares 3 5 7" xfId="1195"/>
    <cellStyle name="Separador de milhares 3 5 7 2" xfId="5235"/>
    <cellStyle name="Separador de milhares 3 5 7 2 2" xfId="8450"/>
    <cellStyle name="Separador de milhares 3 5 7 2 2 2" xfId="20304"/>
    <cellStyle name="Separador de milhares 3 5 7 2 2 2 2" xfId="46783"/>
    <cellStyle name="Separador de milhares 3 5 7 2 2 3" xfId="14377"/>
    <cellStyle name="Separador de milhares 3 5 7 2 2 3 2" xfId="40875"/>
    <cellStyle name="Separador de milhares 3 5 7 2 2 4" xfId="34967"/>
    <cellStyle name="Separador de milhares 3 5 7 2 2 5" xfId="28433"/>
    <cellStyle name="Separador de milhares 3 5 7 2 3" xfId="17340"/>
    <cellStyle name="Separador de milhares 3 5 7 2 3 2" xfId="43829"/>
    <cellStyle name="Separador de milhares 3 5 7 2 4" xfId="11413"/>
    <cellStyle name="Separador de milhares 3 5 7 2 4 2" xfId="37921"/>
    <cellStyle name="Separador de milhares 3 5 7 2 5" xfId="31762"/>
    <cellStyle name="Separador de milhares 3 5 7 2 6" xfId="25228"/>
    <cellStyle name="Separador de milhares 3 5 7 3" xfId="6977"/>
    <cellStyle name="Separador de milhares 3 5 7 3 2" xfId="18831"/>
    <cellStyle name="Separador de milhares 3 5 7 3 2 2" xfId="45315"/>
    <cellStyle name="Separador de milhares 3 5 7 3 3" xfId="12904"/>
    <cellStyle name="Separador de milhares 3 5 7 3 3 2" xfId="39407"/>
    <cellStyle name="Separador de milhares 3 5 7 3 4" xfId="33499"/>
    <cellStyle name="Separador de milhares 3 5 7 3 5" xfId="26965"/>
    <cellStyle name="Separador de milhares 3 5 7 4" xfId="15867"/>
    <cellStyle name="Separador de milhares 3 5 7 4 2" xfId="42361"/>
    <cellStyle name="Separador de milhares 3 5 7 4 3" xfId="23456"/>
    <cellStyle name="Separador de milhares 3 5 7 5" xfId="9940"/>
    <cellStyle name="Separador de milhares 3 5 7 5 2" xfId="36453"/>
    <cellStyle name="Separador de milhares 3 5 7 6" xfId="29990"/>
    <cellStyle name="Separador de milhares 3 5 7 7" xfId="21684"/>
    <cellStyle name="Separador de milhares 3 5 8" xfId="1630"/>
    <cellStyle name="Separador de milhares 3 5 8 2" xfId="5354"/>
    <cellStyle name="Separador de milhares 3 5 8 2 2" xfId="8569"/>
    <cellStyle name="Separador de milhares 3 5 8 2 2 2" xfId="20423"/>
    <cellStyle name="Separador de milhares 3 5 8 2 2 2 2" xfId="46902"/>
    <cellStyle name="Separador de milhares 3 5 8 2 2 3" xfId="14496"/>
    <cellStyle name="Separador de milhares 3 5 8 2 2 3 2" xfId="40994"/>
    <cellStyle name="Separador de milhares 3 5 8 2 2 4" xfId="35086"/>
    <cellStyle name="Separador de milhares 3 5 8 2 2 5" xfId="28552"/>
    <cellStyle name="Separador de milhares 3 5 8 2 3" xfId="17459"/>
    <cellStyle name="Separador de milhares 3 5 8 2 3 2" xfId="43948"/>
    <cellStyle name="Separador de milhares 3 5 8 2 4" xfId="11532"/>
    <cellStyle name="Separador de milhares 3 5 8 2 4 2" xfId="38040"/>
    <cellStyle name="Separador de milhares 3 5 8 2 5" xfId="31881"/>
    <cellStyle name="Separador de milhares 3 5 8 2 6" xfId="25347"/>
    <cellStyle name="Separador de milhares 3 5 8 3" xfId="7096"/>
    <cellStyle name="Separador de milhares 3 5 8 3 2" xfId="18950"/>
    <cellStyle name="Separador de milhares 3 5 8 3 2 2" xfId="45434"/>
    <cellStyle name="Separador de milhares 3 5 8 3 3" xfId="13023"/>
    <cellStyle name="Separador de milhares 3 5 8 3 3 2" xfId="39526"/>
    <cellStyle name="Separador de milhares 3 5 8 3 4" xfId="33618"/>
    <cellStyle name="Separador de milhares 3 5 8 3 5" xfId="27084"/>
    <cellStyle name="Separador de milhares 3 5 8 4" xfId="15986"/>
    <cellStyle name="Separador de milhares 3 5 8 4 2" xfId="42480"/>
    <cellStyle name="Separador de milhares 3 5 8 4 3" xfId="23575"/>
    <cellStyle name="Separador de milhares 3 5 8 5" xfId="10059"/>
    <cellStyle name="Separador de milhares 3 5 8 5 2" xfId="36572"/>
    <cellStyle name="Separador de milhares 3 5 8 6" xfId="30109"/>
    <cellStyle name="Separador de milhares 3 5 8 7" xfId="21803"/>
    <cellStyle name="Separador de milhares 3 5 9" xfId="2163"/>
    <cellStyle name="Separador de milhares 3 5 9 2" xfId="5504"/>
    <cellStyle name="Separador de milhares 3 5 9 2 2" xfId="8716"/>
    <cellStyle name="Separador de milhares 3 5 9 2 2 2" xfId="20570"/>
    <cellStyle name="Separador de milhares 3 5 9 2 2 2 2" xfId="47049"/>
    <cellStyle name="Separador de milhares 3 5 9 2 2 3" xfId="14643"/>
    <cellStyle name="Separador de milhares 3 5 9 2 2 3 2" xfId="41141"/>
    <cellStyle name="Separador de milhares 3 5 9 2 2 4" xfId="35233"/>
    <cellStyle name="Separador de milhares 3 5 9 2 2 5" xfId="28699"/>
    <cellStyle name="Separador de milhares 3 5 9 2 3" xfId="17606"/>
    <cellStyle name="Separador de milhares 3 5 9 2 3 2" xfId="44095"/>
    <cellStyle name="Separador de milhares 3 5 9 2 4" xfId="11679"/>
    <cellStyle name="Separador de milhares 3 5 9 2 4 2" xfId="38187"/>
    <cellStyle name="Separador de milhares 3 5 9 2 5" xfId="32031"/>
    <cellStyle name="Separador de milhares 3 5 9 2 6" xfId="25497"/>
    <cellStyle name="Separador de milhares 3 5 9 3" xfId="7244"/>
    <cellStyle name="Separador de milhares 3 5 9 3 2" xfId="19098"/>
    <cellStyle name="Separador de milhares 3 5 9 3 2 2" xfId="45581"/>
    <cellStyle name="Separador de milhares 3 5 9 3 3" xfId="13171"/>
    <cellStyle name="Separador de milhares 3 5 9 3 3 2" xfId="39673"/>
    <cellStyle name="Separador de milhares 3 5 9 3 4" xfId="33765"/>
    <cellStyle name="Separador de milhares 3 5 9 3 5" xfId="27231"/>
    <cellStyle name="Separador de milhares 3 5 9 4" xfId="16134"/>
    <cellStyle name="Separador de milhares 3 5 9 4 2" xfId="42627"/>
    <cellStyle name="Separador de milhares 3 5 9 4 3" xfId="23725"/>
    <cellStyle name="Separador de milhares 3 5 9 5" xfId="10207"/>
    <cellStyle name="Separador de milhares 3 5 9 5 2" xfId="36719"/>
    <cellStyle name="Separador de milhares 3 5 9 6" xfId="30259"/>
    <cellStyle name="Separador de milhares 3 5 9 7" xfId="21953"/>
    <cellStyle name="Separador de milhares 3 6" xfId="185"/>
    <cellStyle name="Separador de milhares 3 6 10" xfId="2695"/>
    <cellStyle name="Separador de milhares 3 6 10 2" xfId="5652"/>
    <cellStyle name="Separador de milhares 3 6 10 2 2" xfId="8864"/>
    <cellStyle name="Separador de milhares 3 6 10 2 2 2" xfId="20718"/>
    <cellStyle name="Separador de milhares 3 6 10 2 2 2 2" xfId="47197"/>
    <cellStyle name="Separador de milhares 3 6 10 2 2 3" xfId="14791"/>
    <cellStyle name="Separador de milhares 3 6 10 2 2 3 2" xfId="41289"/>
    <cellStyle name="Separador de milhares 3 6 10 2 2 4" xfId="35381"/>
    <cellStyle name="Separador de milhares 3 6 10 2 2 5" xfId="28847"/>
    <cellStyle name="Separador de milhares 3 6 10 2 3" xfId="17754"/>
    <cellStyle name="Separador de milhares 3 6 10 2 3 2" xfId="44243"/>
    <cellStyle name="Separador de milhares 3 6 10 2 4" xfId="11827"/>
    <cellStyle name="Separador de milhares 3 6 10 2 4 2" xfId="38335"/>
    <cellStyle name="Separador de milhares 3 6 10 2 5" xfId="32179"/>
    <cellStyle name="Separador de milhares 3 6 10 2 6" xfId="25645"/>
    <cellStyle name="Separador de milhares 3 6 10 3" xfId="7393"/>
    <cellStyle name="Separador de milhares 3 6 10 3 2" xfId="19247"/>
    <cellStyle name="Separador de milhares 3 6 10 3 2 2" xfId="45729"/>
    <cellStyle name="Separador de milhares 3 6 10 3 3" xfId="13320"/>
    <cellStyle name="Separador de milhares 3 6 10 3 3 2" xfId="39821"/>
    <cellStyle name="Separador de milhares 3 6 10 3 4" xfId="33913"/>
    <cellStyle name="Separador de milhares 3 6 10 3 5" xfId="27379"/>
    <cellStyle name="Separador de milhares 3 6 10 4" xfId="16283"/>
    <cellStyle name="Separador de milhares 3 6 10 4 2" xfId="42775"/>
    <cellStyle name="Separador de milhares 3 6 10 4 3" xfId="23873"/>
    <cellStyle name="Separador de milhares 3 6 10 5" xfId="10356"/>
    <cellStyle name="Separador de milhares 3 6 10 5 2" xfId="36867"/>
    <cellStyle name="Separador de milhares 3 6 10 6" xfId="30407"/>
    <cellStyle name="Separador de milhares 3 6 10 7" xfId="22101"/>
    <cellStyle name="Separador de milhares 3 6 11" xfId="3223"/>
    <cellStyle name="Separador de milhares 3 6 11 2" xfId="5799"/>
    <cellStyle name="Separador de milhares 3 6 11 2 2" xfId="9011"/>
    <cellStyle name="Separador de milhares 3 6 11 2 2 2" xfId="20865"/>
    <cellStyle name="Separador de milhares 3 6 11 2 2 2 2" xfId="47344"/>
    <cellStyle name="Separador de milhares 3 6 11 2 2 3" xfId="14938"/>
    <cellStyle name="Separador de milhares 3 6 11 2 2 3 2" xfId="41436"/>
    <cellStyle name="Separador de milhares 3 6 11 2 2 4" xfId="35528"/>
    <cellStyle name="Separador de milhares 3 6 11 2 2 5" xfId="28994"/>
    <cellStyle name="Separador de milhares 3 6 11 2 3" xfId="17901"/>
    <cellStyle name="Separador de milhares 3 6 11 2 3 2" xfId="44390"/>
    <cellStyle name="Separador de milhares 3 6 11 2 4" xfId="11974"/>
    <cellStyle name="Separador de milhares 3 6 11 2 4 2" xfId="38482"/>
    <cellStyle name="Separador de milhares 3 6 11 2 5" xfId="32326"/>
    <cellStyle name="Separador de milhares 3 6 11 2 6" xfId="25792"/>
    <cellStyle name="Separador de milhares 3 6 11 3" xfId="7541"/>
    <cellStyle name="Separador de milhares 3 6 11 3 2" xfId="19395"/>
    <cellStyle name="Separador de milhares 3 6 11 3 2 2" xfId="45876"/>
    <cellStyle name="Separador de milhares 3 6 11 3 3" xfId="13468"/>
    <cellStyle name="Separador de milhares 3 6 11 3 3 2" xfId="39968"/>
    <cellStyle name="Separador de milhares 3 6 11 3 4" xfId="34060"/>
    <cellStyle name="Separador de milhares 3 6 11 3 5" xfId="27526"/>
    <cellStyle name="Separador de milhares 3 6 11 4" xfId="16431"/>
    <cellStyle name="Separador de milhares 3 6 11 4 2" xfId="42922"/>
    <cellStyle name="Separador de milhares 3 6 11 4 3" xfId="24020"/>
    <cellStyle name="Separador de milhares 3 6 11 5" xfId="10504"/>
    <cellStyle name="Separador de milhares 3 6 11 5 2" xfId="37014"/>
    <cellStyle name="Separador de milhares 3 6 11 6" xfId="30554"/>
    <cellStyle name="Separador de milhares 3 6 11 7" xfId="22248"/>
    <cellStyle name="Separador de milhares 3 6 12" xfId="3751"/>
    <cellStyle name="Separador de milhares 3 6 12 2" xfId="5946"/>
    <cellStyle name="Separador de milhares 3 6 12 2 2" xfId="9158"/>
    <cellStyle name="Separador de milhares 3 6 12 2 2 2" xfId="21012"/>
    <cellStyle name="Separador de milhares 3 6 12 2 2 2 2" xfId="47491"/>
    <cellStyle name="Separador de milhares 3 6 12 2 2 3" xfId="15085"/>
    <cellStyle name="Separador de milhares 3 6 12 2 2 3 2" xfId="41583"/>
    <cellStyle name="Separador de milhares 3 6 12 2 2 4" xfId="35675"/>
    <cellStyle name="Separador de milhares 3 6 12 2 2 5" xfId="29141"/>
    <cellStyle name="Separador de milhares 3 6 12 2 3" xfId="18048"/>
    <cellStyle name="Separador de milhares 3 6 12 2 3 2" xfId="44537"/>
    <cellStyle name="Separador de milhares 3 6 12 2 4" xfId="12121"/>
    <cellStyle name="Separador de milhares 3 6 12 2 4 2" xfId="38629"/>
    <cellStyle name="Separador de milhares 3 6 12 2 5" xfId="32473"/>
    <cellStyle name="Separador de milhares 3 6 12 2 6" xfId="25939"/>
    <cellStyle name="Separador de milhares 3 6 12 3" xfId="7689"/>
    <cellStyle name="Separador de milhares 3 6 12 3 2" xfId="19543"/>
    <cellStyle name="Separador de milhares 3 6 12 3 2 2" xfId="46023"/>
    <cellStyle name="Separador de milhares 3 6 12 3 3" xfId="13616"/>
    <cellStyle name="Separador de milhares 3 6 12 3 3 2" xfId="40115"/>
    <cellStyle name="Separador de milhares 3 6 12 3 4" xfId="34207"/>
    <cellStyle name="Separador de milhares 3 6 12 3 5" xfId="27673"/>
    <cellStyle name="Separador de milhares 3 6 12 4" xfId="16579"/>
    <cellStyle name="Separador de milhares 3 6 12 4 2" xfId="43069"/>
    <cellStyle name="Separador de milhares 3 6 12 4 3" xfId="24167"/>
    <cellStyle name="Separador de milhares 3 6 12 5" xfId="10652"/>
    <cellStyle name="Separador de milhares 3 6 12 5 2" xfId="37161"/>
    <cellStyle name="Separador de milhares 3 6 12 6" xfId="30701"/>
    <cellStyle name="Separador de milhares 3 6 12 7" xfId="22395"/>
    <cellStyle name="Separador de milhares 3 6 13" xfId="4930"/>
    <cellStyle name="Separador de milhares 3 6 13 2" xfId="8154"/>
    <cellStyle name="Separador de milhares 3 6 13 2 2" xfId="20008"/>
    <cellStyle name="Separador de milhares 3 6 13 2 2 2" xfId="46487"/>
    <cellStyle name="Separador de milhares 3 6 13 2 3" xfId="14081"/>
    <cellStyle name="Separador de milhares 3 6 13 2 3 2" xfId="40579"/>
    <cellStyle name="Separador de milhares 3 6 13 2 4" xfId="34671"/>
    <cellStyle name="Separador de milhares 3 6 13 2 5" xfId="28137"/>
    <cellStyle name="Separador de milhares 3 6 13 3" xfId="17044"/>
    <cellStyle name="Separador de milhares 3 6 13 3 2" xfId="43533"/>
    <cellStyle name="Separador de milhares 3 6 13 4" xfId="11117"/>
    <cellStyle name="Separador de milhares 3 6 13 4 2" xfId="37625"/>
    <cellStyle name="Separador de milhares 3 6 13 5" xfId="31457"/>
    <cellStyle name="Separador de milhares 3 6 13 6" xfId="24923"/>
    <cellStyle name="Separador de milhares 3 6 14" xfId="6678"/>
    <cellStyle name="Separador de milhares 3 6 14 2" xfId="18532"/>
    <cellStyle name="Separador de milhares 3 6 14 2 2" xfId="45019"/>
    <cellStyle name="Separador de milhares 3 6 14 3" xfId="12605"/>
    <cellStyle name="Separador de milhares 3 6 14 3 2" xfId="39111"/>
    <cellStyle name="Separador de milhares 3 6 14 4" xfId="33203"/>
    <cellStyle name="Separador de milhares 3 6 14 5" xfId="26669"/>
    <cellStyle name="Separador de milhares 3 6 15" xfId="15568"/>
    <cellStyle name="Separador de milhares 3 6 15 2" xfId="42065"/>
    <cellStyle name="Separador de milhares 3 6 15 3" xfId="23151"/>
    <cellStyle name="Separador de milhares 3 6 16" xfId="9641"/>
    <cellStyle name="Separador de milhares 3 6 16 2" xfId="36157"/>
    <cellStyle name="Separador de milhares 3 6 17" xfId="29685"/>
    <cellStyle name="Separador de milhares 3 6 2" xfId="279"/>
    <cellStyle name="Separador de milhares 3 6 2 10" xfId="4959"/>
    <cellStyle name="Separador de milhares 3 6 2 10 2" xfId="8181"/>
    <cellStyle name="Separador de milhares 3 6 2 10 2 2" xfId="20035"/>
    <cellStyle name="Separador de milhares 3 6 2 10 2 2 2" xfId="46514"/>
    <cellStyle name="Separador de milhares 3 6 2 10 2 3" xfId="14108"/>
    <cellStyle name="Separador de milhares 3 6 2 10 2 3 2" xfId="40606"/>
    <cellStyle name="Separador de milhares 3 6 2 10 2 4" xfId="34698"/>
    <cellStyle name="Separador de milhares 3 6 2 10 2 5" xfId="28164"/>
    <cellStyle name="Separador de milhares 3 6 2 10 3" xfId="17071"/>
    <cellStyle name="Separador de milhares 3 6 2 10 3 2" xfId="43560"/>
    <cellStyle name="Separador de milhares 3 6 2 10 4" xfId="11144"/>
    <cellStyle name="Separador de milhares 3 6 2 10 4 2" xfId="37652"/>
    <cellStyle name="Separador de milhares 3 6 2 10 5" xfId="31486"/>
    <cellStyle name="Separador de milhares 3 6 2 10 6" xfId="24952"/>
    <cellStyle name="Separador de milhares 3 6 2 11" xfId="6705"/>
    <cellStyle name="Separador de milhares 3 6 2 11 2" xfId="18559"/>
    <cellStyle name="Separador de milhares 3 6 2 11 2 2" xfId="45046"/>
    <cellStyle name="Separador de milhares 3 6 2 11 3" xfId="12632"/>
    <cellStyle name="Separador de milhares 3 6 2 11 3 2" xfId="39138"/>
    <cellStyle name="Separador de milhares 3 6 2 11 4" xfId="33230"/>
    <cellStyle name="Separador de milhares 3 6 2 11 5" xfId="26696"/>
    <cellStyle name="Separador de milhares 3 6 2 12" xfId="15595"/>
    <cellStyle name="Separador de milhares 3 6 2 12 2" xfId="42092"/>
    <cellStyle name="Separador de milhares 3 6 2 12 3" xfId="23180"/>
    <cellStyle name="Separador de milhares 3 6 2 13" xfId="9668"/>
    <cellStyle name="Separador de milhares 3 6 2 13 2" xfId="36184"/>
    <cellStyle name="Separador de milhares 3 6 2 14" xfId="29714"/>
    <cellStyle name="Separador de milhares 3 6 2 15" xfId="21432"/>
    <cellStyle name="Separador de milhares 3 6 2 2" xfId="554"/>
    <cellStyle name="Separador de milhares 3 6 2 2 10" xfId="9742"/>
    <cellStyle name="Separador de milhares 3 6 2 2 10 2" xfId="36258"/>
    <cellStyle name="Separador de milhares 3 6 2 2 11" xfId="29795"/>
    <cellStyle name="Separador de milhares 3 6 2 2 12" xfId="21490"/>
    <cellStyle name="Separador de milhares 3 6 2 2 2" xfId="2075"/>
    <cellStyle name="Separador de milhares 3 6 2 2 2 2" xfId="5478"/>
    <cellStyle name="Separador de milhares 3 6 2 2 2 2 2" xfId="8693"/>
    <cellStyle name="Separador de milhares 3 6 2 2 2 2 2 2" xfId="20547"/>
    <cellStyle name="Separador de milhares 3 6 2 2 2 2 2 2 2" xfId="47026"/>
    <cellStyle name="Separador de milhares 3 6 2 2 2 2 2 3" xfId="14620"/>
    <cellStyle name="Separador de milhares 3 6 2 2 2 2 2 3 2" xfId="41118"/>
    <cellStyle name="Separador de milhares 3 6 2 2 2 2 2 4" xfId="35210"/>
    <cellStyle name="Separador de milhares 3 6 2 2 2 2 2 5" xfId="28676"/>
    <cellStyle name="Separador de milhares 3 6 2 2 2 2 3" xfId="17583"/>
    <cellStyle name="Separador de milhares 3 6 2 2 2 2 3 2" xfId="44072"/>
    <cellStyle name="Separador de milhares 3 6 2 2 2 2 4" xfId="11656"/>
    <cellStyle name="Separador de milhares 3 6 2 2 2 2 4 2" xfId="38164"/>
    <cellStyle name="Separador de milhares 3 6 2 2 2 2 5" xfId="32005"/>
    <cellStyle name="Separador de milhares 3 6 2 2 2 2 6" xfId="25471"/>
    <cellStyle name="Separador de milhares 3 6 2 2 2 3" xfId="7221"/>
    <cellStyle name="Separador de milhares 3 6 2 2 2 3 2" xfId="19075"/>
    <cellStyle name="Separador de milhares 3 6 2 2 2 3 2 2" xfId="45558"/>
    <cellStyle name="Separador de milhares 3 6 2 2 2 3 3" xfId="13148"/>
    <cellStyle name="Separador de milhares 3 6 2 2 2 3 3 2" xfId="39650"/>
    <cellStyle name="Separador de milhares 3 6 2 2 2 3 4" xfId="33742"/>
    <cellStyle name="Separador de milhares 3 6 2 2 2 3 5" xfId="27208"/>
    <cellStyle name="Separador de milhares 3 6 2 2 2 4" xfId="16111"/>
    <cellStyle name="Separador de milhares 3 6 2 2 2 4 2" xfId="42604"/>
    <cellStyle name="Separador de milhares 3 6 2 2 2 4 3" xfId="23699"/>
    <cellStyle name="Separador de milhares 3 6 2 2 2 5" xfId="10184"/>
    <cellStyle name="Separador de milhares 3 6 2 2 2 5 2" xfId="36696"/>
    <cellStyle name="Separador de milhares 3 6 2 2 2 6" xfId="30233"/>
    <cellStyle name="Separador de milhares 3 6 2 2 2 7" xfId="21927"/>
    <cellStyle name="Separador de milhares 3 6 2 2 3" xfId="2608"/>
    <cellStyle name="Separador de milhares 3 6 2 2 3 2" xfId="5628"/>
    <cellStyle name="Separador de milhares 3 6 2 2 3 2 2" xfId="8840"/>
    <cellStyle name="Separador de milhares 3 6 2 2 3 2 2 2" xfId="20694"/>
    <cellStyle name="Separador de milhares 3 6 2 2 3 2 2 2 2" xfId="47173"/>
    <cellStyle name="Separador de milhares 3 6 2 2 3 2 2 3" xfId="14767"/>
    <cellStyle name="Separador de milhares 3 6 2 2 3 2 2 3 2" xfId="41265"/>
    <cellStyle name="Separador de milhares 3 6 2 2 3 2 2 4" xfId="35357"/>
    <cellStyle name="Separador de milhares 3 6 2 2 3 2 2 5" xfId="28823"/>
    <cellStyle name="Separador de milhares 3 6 2 2 3 2 3" xfId="17730"/>
    <cellStyle name="Separador de milhares 3 6 2 2 3 2 3 2" xfId="44219"/>
    <cellStyle name="Separador de milhares 3 6 2 2 3 2 4" xfId="11803"/>
    <cellStyle name="Separador de milhares 3 6 2 2 3 2 4 2" xfId="38311"/>
    <cellStyle name="Separador de milhares 3 6 2 2 3 2 5" xfId="32155"/>
    <cellStyle name="Separador de milhares 3 6 2 2 3 2 6" xfId="25621"/>
    <cellStyle name="Separador de milhares 3 6 2 2 3 3" xfId="7369"/>
    <cellStyle name="Separador de milhares 3 6 2 2 3 3 2" xfId="19223"/>
    <cellStyle name="Separador de milhares 3 6 2 2 3 3 2 2" xfId="45705"/>
    <cellStyle name="Separador de milhares 3 6 2 2 3 3 3" xfId="13296"/>
    <cellStyle name="Separador de milhares 3 6 2 2 3 3 3 2" xfId="39797"/>
    <cellStyle name="Separador de milhares 3 6 2 2 3 3 4" xfId="33889"/>
    <cellStyle name="Separador de milhares 3 6 2 2 3 3 5" xfId="27355"/>
    <cellStyle name="Separador de milhares 3 6 2 2 3 4" xfId="16259"/>
    <cellStyle name="Separador de milhares 3 6 2 2 3 4 2" xfId="42751"/>
    <cellStyle name="Separador de milhares 3 6 2 2 3 4 3" xfId="23849"/>
    <cellStyle name="Separador de milhares 3 6 2 2 3 5" xfId="10332"/>
    <cellStyle name="Separador de milhares 3 6 2 2 3 5 2" xfId="36843"/>
    <cellStyle name="Separador de milhares 3 6 2 2 3 6" xfId="30383"/>
    <cellStyle name="Separador de milhares 3 6 2 2 3 7" xfId="22077"/>
    <cellStyle name="Separador de milhares 3 6 2 2 4" xfId="3136"/>
    <cellStyle name="Separador de milhares 3 6 2 2 4 2" xfId="5775"/>
    <cellStyle name="Separador de milhares 3 6 2 2 4 2 2" xfId="8987"/>
    <cellStyle name="Separador de milhares 3 6 2 2 4 2 2 2" xfId="20841"/>
    <cellStyle name="Separador de milhares 3 6 2 2 4 2 2 2 2" xfId="47320"/>
    <cellStyle name="Separador de milhares 3 6 2 2 4 2 2 3" xfId="14914"/>
    <cellStyle name="Separador de milhares 3 6 2 2 4 2 2 3 2" xfId="41412"/>
    <cellStyle name="Separador de milhares 3 6 2 2 4 2 2 4" xfId="35504"/>
    <cellStyle name="Separador de milhares 3 6 2 2 4 2 2 5" xfId="28970"/>
    <cellStyle name="Separador de milhares 3 6 2 2 4 2 3" xfId="17877"/>
    <cellStyle name="Separador de milhares 3 6 2 2 4 2 3 2" xfId="44366"/>
    <cellStyle name="Separador de milhares 3 6 2 2 4 2 4" xfId="11950"/>
    <cellStyle name="Separador de milhares 3 6 2 2 4 2 4 2" xfId="38458"/>
    <cellStyle name="Separador de milhares 3 6 2 2 4 2 5" xfId="32302"/>
    <cellStyle name="Separador de milhares 3 6 2 2 4 2 6" xfId="25768"/>
    <cellStyle name="Separador de milhares 3 6 2 2 4 3" xfId="7517"/>
    <cellStyle name="Separador de milhares 3 6 2 2 4 3 2" xfId="19371"/>
    <cellStyle name="Separador de milhares 3 6 2 2 4 3 2 2" xfId="45852"/>
    <cellStyle name="Separador de milhares 3 6 2 2 4 3 3" xfId="13444"/>
    <cellStyle name="Separador de milhares 3 6 2 2 4 3 3 2" xfId="39944"/>
    <cellStyle name="Separador de milhares 3 6 2 2 4 3 4" xfId="34036"/>
    <cellStyle name="Separador de milhares 3 6 2 2 4 3 5" xfId="27502"/>
    <cellStyle name="Separador de milhares 3 6 2 2 4 4" xfId="16407"/>
    <cellStyle name="Separador de milhares 3 6 2 2 4 4 2" xfId="42898"/>
    <cellStyle name="Separador de milhares 3 6 2 2 4 4 3" xfId="23996"/>
    <cellStyle name="Separador de milhares 3 6 2 2 4 5" xfId="10480"/>
    <cellStyle name="Separador de milhares 3 6 2 2 4 5 2" xfId="36990"/>
    <cellStyle name="Separador de milhares 3 6 2 2 4 6" xfId="30530"/>
    <cellStyle name="Separador de milhares 3 6 2 2 4 7" xfId="22224"/>
    <cellStyle name="Separador de milhares 3 6 2 2 5" xfId="3664"/>
    <cellStyle name="Separador de milhares 3 6 2 2 5 2" xfId="5922"/>
    <cellStyle name="Separador de milhares 3 6 2 2 5 2 2" xfId="9134"/>
    <cellStyle name="Separador de milhares 3 6 2 2 5 2 2 2" xfId="20988"/>
    <cellStyle name="Separador de milhares 3 6 2 2 5 2 2 2 2" xfId="47467"/>
    <cellStyle name="Separador de milhares 3 6 2 2 5 2 2 3" xfId="15061"/>
    <cellStyle name="Separador de milhares 3 6 2 2 5 2 2 3 2" xfId="41559"/>
    <cellStyle name="Separador de milhares 3 6 2 2 5 2 2 4" xfId="35651"/>
    <cellStyle name="Separador de milhares 3 6 2 2 5 2 2 5" xfId="29117"/>
    <cellStyle name="Separador de milhares 3 6 2 2 5 2 3" xfId="18024"/>
    <cellStyle name="Separador de milhares 3 6 2 2 5 2 3 2" xfId="44513"/>
    <cellStyle name="Separador de milhares 3 6 2 2 5 2 4" xfId="12097"/>
    <cellStyle name="Separador de milhares 3 6 2 2 5 2 4 2" xfId="38605"/>
    <cellStyle name="Separador de milhares 3 6 2 2 5 2 5" xfId="32449"/>
    <cellStyle name="Separador de milhares 3 6 2 2 5 2 6" xfId="25915"/>
    <cellStyle name="Separador de milhares 3 6 2 2 5 3" xfId="7665"/>
    <cellStyle name="Separador de milhares 3 6 2 2 5 3 2" xfId="19519"/>
    <cellStyle name="Separador de milhares 3 6 2 2 5 3 2 2" xfId="45999"/>
    <cellStyle name="Separador de milhares 3 6 2 2 5 3 3" xfId="13592"/>
    <cellStyle name="Separador de milhares 3 6 2 2 5 3 3 2" xfId="40091"/>
    <cellStyle name="Separador de milhares 3 6 2 2 5 3 4" xfId="34183"/>
    <cellStyle name="Separador de milhares 3 6 2 2 5 3 5" xfId="27649"/>
    <cellStyle name="Separador de milhares 3 6 2 2 5 4" xfId="16555"/>
    <cellStyle name="Separador de milhares 3 6 2 2 5 4 2" xfId="43045"/>
    <cellStyle name="Separador de milhares 3 6 2 2 5 4 3" xfId="24143"/>
    <cellStyle name="Separador de milhares 3 6 2 2 5 5" xfId="10628"/>
    <cellStyle name="Separador de milhares 3 6 2 2 5 5 2" xfId="37137"/>
    <cellStyle name="Separador de milhares 3 6 2 2 5 6" xfId="30677"/>
    <cellStyle name="Separador de milhares 3 6 2 2 5 7" xfId="22371"/>
    <cellStyle name="Separador de milhares 3 6 2 2 6" xfId="4192"/>
    <cellStyle name="Separador de milhares 3 6 2 2 6 2" xfId="6069"/>
    <cellStyle name="Separador de milhares 3 6 2 2 6 2 2" xfId="9281"/>
    <cellStyle name="Separador de milhares 3 6 2 2 6 2 2 2" xfId="21135"/>
    <cellStyle name="Separador de milhares 3 6 2 2 6 2 2 2 2" xfId="47614"/>
    <cellStyle name="Separador de milhares 3 6 2 2 6 2 2 3" xfId="15208"/>
    <cellStyle name="Separador de milhares 3 6 2 2 6 2 2 3 2" xfId="41706"/>
    <cellStyle name="Separador de milhares 3 6 2 2 6 2 2 4" xfId="35798"/>
    <cellStyle name="Separador de milhares 3 6 2 2 6 2 2 5" xfId="29264"/>
    <cellStyle name="Separador de milhares 3 6 2 2 6 2 3" xfId="18171"/>
    <cellStyle name="Separador de milhares 3 6 2 2 6 2 3 2" xfId="44660"/>
    <cellStyle name="Separador de milhares 3 6 2 2 6 2 4" xfId="12244"/>
    <cellStyle name="Separador de milhares 3 6 2 2 6 2 4 2" xfId="38752"/>
    <cellStyle name="Separador de milhares 3 6 2 2 6 2 5" xfId="32596"/>
    <cellStyle name="Separador de milhares 3 6 2 2 6 2 6" xfId="26062"/>
    <cellStyle name="Separador de milhares 3 6 2 2 6 3" xfId="7813"/>
    <cellStyle name="Separador de milhares 3 6 2 2 6 3 2" xfId="19667"/>
    <cellStyle name="Separador de milhares 3 6 2 2 6 3 2 2" xfId="46146"/>
    <cellStyle name="Separador de milhares 3 6 2 2 6 3 3" xfId="13740"/>
    <cellStyle name="Separador de milhares 3 6 2 2 6 3 3 2" xfId="40238"/>
    <cellStyle name="Separador de milhares 3 6 2 2 6 3 4" xfId="34330"/>
    <cellStyle name="Separador de milhares 3 6 2 2 6 3 5" xfId="27796"/>
    <cellStyle name="Separador de milhares 3 6 2 2 6 4" xfId="16703"/>
    <cellStyle name="Separador de milhares 3 6 2 2 6 4 2" xfId="43192"/>
    <cellStyle name="Separador de milhares 3 6 2 2 6 4 3" xfId="24290"/>
    <cellStyle name="Separador de milhares 3 6 2 2 6 5" xfId="10776"/>
    <cellStyle name="Separador de milhares 3 6 2 2 6 5 2" xfId="37284"/>
    <cellStyle name="Separador de milhares 3 6 2 2 6 6" xfId="30824"/>
    <cellStyle name="Separador de milhares 3 6 2 2 6 7" xfId="22518"/>
    <cellStyle name="Separador de milhares 3 6 2 2 7" xfId="5040"/>
    <cellStyle name="Separador de milhares 3 6 2 2 7 2" xfId="8255"/>
    <cellStyle name="Separador de milhares 3 6 2 2 7 2 2" xfId="20109"/>
    <cellStyle name="Separador de milhares 3 6 2 2 7 2 2 2" xfId="46588"/>
    <cellStyle name="Separador de milhares 3 6 2 2 7 2 3" xfId="14182"/>
    <cellStyle name="Separador de milhares 3 6 2 2 7 2 3 2" xfId="40680"/>
    <cellStyle name="Separador de milhares 3 6 2 2 7 2 4" xfId="34772"/>
    <cellStyle name="Separador de milhares 3 6 2 2 7 2 5" xfId="28238"/>
    <cellStyle name="Separador de milhares 3 6 2 2 7 3" xfId="17145"/>
    <cellStyle name="Separador de milhares 3 6 2 2 7 3 2" xfId="43634"/>
    <cellStyle name="Separador de milhares 3 6 2 2 7 4" xfId="11218"/>
    <cellStyle name="Separador de milhares 3 6 2 2 7 4 2" xfId="37726"/>
    <cellStyle name="Separador de milhares 3 6 2 2 7 5" xfId="31567"/>
    <cellStyle name="Separador de milhares 3 6 2 2 7 6" xfId="25033"/>
    <cellStyle name="Separador de milhares 3 6 2 2 8" xfId="6779"/>
    <cellStyle name="Separador de milhares 3 6 2 2 8 2" xfId="18633"/>
    <cellStyle name="Separador de milhares 3 6 2 2 8 2 2" xfId="45120"/>
    <cellStyle name="Separador de milhares 3 6 2 2 8 3" xfId="12706"/>
    <cellStyle name="Separador de milhares 3 6 2 2 8 3 2" xfId="39212"/>
    <cellStyle name="Separador de milhares 3 6 2 2 8 4" xfId="33304"/>
    <cellStyle name="Separador de milhares 3 6 2 2 8 5" xfId="26770"/>
    <cellStyle name="Separador de milhares 3 6 2 2 9" xfId="15669"/>
    <cellStyle name="Separador de milhares 3 6 2 2 9 2" xfId="42166"/>
    <cellStyle name="Separador de milhares 3 6 2 2 9 3" xfId="23261"/>
    <cellStyle name="Separador de milhares 3 6 2 3" xfId="1028"/>
    <cellStyle name="Separador de milhares 3 6 2 3 2" xfId="5191"/>
    <cellStyle name="Separador de milhares 3 6 2 3 2 2" xfId="8406"/>
    <cellStyle name="Separador de milhares 3 6 2 3 2 2 2" xfId="20260"/>
    <cellStyle name="Separador de milhares 3 6 2 3 2 2 2 2" xfId="46739"/>
    <cellStyle name="Separador de milhares 3 6 2 3 2 2 3" xfId="14333"/>
    <cellStyle name="Separador de milhares 3 6 2 3 2 2 3 2" xfId="40831"/>
    <cellStyle name="Separador de milhares 3 6 2 3 2 2 4" xfId="34923"/>
    <cellStyle name="Separador de milhares 3 6 2 3 2 2 5" xfId="28389"/>
    <cellStyle name="Separador de milhares 3 6 2 3 2 3" xfId="17296"/>
    <cellStyle name="Separador de milhares 3 6 2 3 2 3 2" xfId="43785"/>
    <cellStyle name="Separador de milhares 3 6 2 3 2 4" xfId="11369"/>
    <cellStyle name="Separador de milhares 3 6 2 3 2 4 2" xfId="37877"/>
    <cellStyle name="Separador de milhares 3 6 2 3 2 5" xfId="31718"/>
    <cellStyle name="Separador de milhares 3 6 2 3 2 6" xfId="25184"/>
    <cellStyle name="Separador de milhares 3 6 2 3 3" xfId="6933"/>
    <cellStyle name="Separador de milhares 3 6 2 3 3 2" xfId="18787"/>
    <cellStyle name="Separador de milhares 3 6 2 3 3 2 2" xfId="45271"/>
    <cellStyle name="Separador de milhares 3 6 2 3 3 3" xfId="12860"/>
    <cellStyle name="Separador de milhares 3 6 2 3 3 3 2" xfId="39363"/>
    <cellStyle name="Separador de milhares 3 6 2 3 3 4" xfId="33455"/>
    <cellStyle name="Separador de milhares 3 6 2 3 3 5" xfId="26921"/>
    <cellStyle name="Separador de milhares 3 6 2 3 4" xfId="15823"/>
    <cellStyle name="Separador de milhares 3 6 2 3 4 2" xfId="42317"/>
    <cellStyle name="Separador de milhares 3 6 2 3 4 3" xfId="23412"/>
    <cellStyle name="Separador de milhares 3 6 2 3 5" xfId="9896"/>
    <cellStyle name="Separador de milhares 3 6 2 3 5 2" xfId="36409"/>
    <cellStyle name="Separador de milhares 3 6 2 3 6" xfId="29946"/>
    <cellStyle name="Separador de milhares 3 6 2 3 7" xfId="21640"/>
    <cellStyle name="Separador de milhares 3 6 2 4" xfId="1379"/>
    <cellStyle name="Separador de milhares 3 6 2 4 2" xfId="5289"/>
    <cellStyle name="Separador de milhares 3 6 2 4 2 2" xfId="8504"/>
    <cellStyle name="Separador de milhares 3 6 2 4 2 2 2" xfId="20358"/>
    <cellStyle name="Separador de milhares 3 6 2 4 2 2 2 2" xfId="46837"/>
    <cellStyle name="Separador de milhares 3 6 2 4 2 2 3" xfId="14431"/>
    <cellStyle name="Separador de milhares 3 6 2 4 2 2 3 2" xfId="40929"/>
    <cellStyle name="Separador de milhares 3 6 2 4 2 2 4" xfId="35021"/>
    <cellStyle name="Separador de milhares 3 6 2 4 2 2 5" xfId="28487"/>
    <cellStyle name="Separador de milhares 3 6 2 4 2 3" xfId="17394"/>
    <cellStyle name="Separador de milhares 3 6 2 4 2 3 2" xfId="43883"/>
    <cellStyle name="Separador de milhares 3 6 2 4 2 4" xfId="11467"/>
    <cellStyle name="Separador de milhares 3 6 2 4 2 4 2" xfId="37975"/>
    <cellStyle name="Separador de milhares 3 6 2 4 2 5" xfId="31816"/>
    <cellStyle name="Separador de milhares 3 6 2 4 2 6" xfId="25282"/>
    <cellStyle name="Separador de milhares 3 6 2 4 3" xfId="7031"/>
    <cellStyle name="Separador de milhares 3 6 2 4 3 2" xfId="18885"/>
    <cellStyle name="Separador de milhares 3 6 2 4 3 2 2" xfId="45369"/>
    <cellStyle name="Separador de milhares 3 6 2 4 3 3" xfId="12958"/>
    <cellStyle name="Separador de milhares 3 6 2 4 3 3 2" xfId="39461"/>
    <cellStyle name="Separador de milhares 3 6 2 4 3 4" xfId="33553"/>
    <cellStyle name="Separador de milhares 3 6 2 4 3 5" xfId="27019"/>
    <cellStyle name="Separador de milhares 3 6 2 4 4" xfId="15921"/>
    <cellStyle name="Separador de milhares 3 6 2 4 4 2" xfId="42415"/>
    <cellStyle name="Separador de milhares 3 6 2 4 4 3" xfId="23510"/>
    <cellStyle name="Separador de milhares 3 6 2 4 5" xfId="9994"/>
    <cellStyle name="Separador de milhares 3 6 2 4 5 2" xfId="36507"/>
    <cellStyle name="Separador de milhares 3 6 2 4 6" xfId="30044"/>
    <cellStyle name="Separador de milhares 3 6 2 4 7" xfId="21738"/>
    <cellStyle name="Separador de milhares 3 6 2 5" xfId="1814"/>
    <cellStyle name="Separador de milhares 3 6 2 5 2" xfId="5408"/>
    <cellStyle name="Separador de milhares 3 6 2 5 2 2" xfId="8623"/>
    <cellStyle name="Separador de milhares 3 6 2 5 2 2 2" xfId="20477"/>
    <cellStyle name="Separador de milhares 3 6 2 5 2 2 2 2" xfId="46956"/>
    <cellStyle name="Separador de milhares 3 6 2 5 2 2 3" xfId="14550"/>
    <cellStyle name="Separador de milhares 3 6 2 5 2 2 3 2" xfId="41048"/>
    <cellStyle name="Separador de milhares 3 6 2 5 2 2 4" xfId="35140"/>
    <cellStyle name="Separador de milhares 3 6 2 5 2 2 5" xfId="28606"/>
    <cellStyle name="Separador de milhares 3 6 2 5 2 3" xfId="17513"/>
    <cellStyle name="Separador de milhares 3 6 2 5 2 3 2" xfId="44002"/>
    <cellStyle name="Separador de milhares 3 6 2 5 2 4" xfId="11586"/>
    <cellStyle name="Separador de milhares 3 6 2 5 2 4 2" xfId="38094"/>
    <cellStyle name="Separador de milhares 3 6 2 5 2 5" xfId="31935"/>
    <cellStyle name="Separador de milhares 3 6 2 5 2 6" xfId="25401"/>
    <cellStyle name="Separador de milhares 3 6 2 5 3" xfId="7150"/>
    <cellStyle name="Separador de milhares 3 6 2 5 3 2" xfId="19004"/>
    <cellStyle name="Separador de milhares 3 6 2 5 3 2 2" xfId="45488"/>
    <cellStyle name="Separador de milhares 3 6 2 5 3 3" xfId="13077"/>
    <cellStyle name="Separador de milhares 3 6 2 5 3 3 2" xfId="39580"/>
    <cellStyle name="Separador de milhares 3 6 2 5 3 4" xfId="33672"/>
    <cellStyle name="Separador de milhares 3 6 2 5 3 5" xfId="27138"/>
    <cellStyle name="Separador de milhares 3 6 2 5 4" xfId="16040"/>
    <cellStyle name="Separador de milhares 3 6 2 5 4 2" xfId="42534"/>
    <cellStyle name="Separador de milhares 3 6 2 5 4 3" xfId="23629"/>
    <cellStyle name="Separador de milhares 3 6 2 5 5" xfId="10113"/>
    <cellStyle name="Separador de milhares 3 6 2 5 5 2" xfId="36626"/>
    <cellStyle name="Separador de milhares 3 6 2 5 6" xfId="30163"/>
    <cellStyle name="Separador de milhares 3 6 2 5 7" xfId="21857"/>
    <cellStyle name="Separador de milhares 3 6 2 6" xfId="2347"/>
    <cellStyle name="Separador de milhares 3 6 2 6 2" xfId="5558"/>
    <cellStyle name="Separador de milhares 3 6 2 6 2 2" xfId="8770"/>
    <cellStyle name="Separador de milhares 3 6 2 6 2 2 2" xfId="20624"/>
    <cellStyle name="Separador de milhares 3 6 2 6 2 2 2 2" xfId="47103"/>
    <cellStyle name="Separador de milhares 3 6 2 6 2 2 3" xfId="14697"/>
    <cellStyle name="Separador de milhares 3 6 2 6 2 2 3 2" xfId="41195"/>
    <cellStyle name="Separador de milhares 3 6 2 6 2 2 4" xfId="35287"/>
    <cellStyle name="Separador de milhares 3 6 2 6 2 2 5" xfId="28753"/>
    <cellStyle name="Separador de milhares 3 6 2 6 2 3" xfId="17660"/>
    <cellStyle name="Separador de milhares 3 6 2 6 2 3 2" xfId="44149"/>
    <cellStyle name="Separador de milhares 3 6 2 6 2 4" xfId="11733"/>
    <cellStyle name="Separador de milhares 3 6 2 6 2 4 2" xfId="38241"/>
    <cellStyle name="Separador de milhares 3 6 2 6 2 5" xfId="32085"/>
    <cellStyle name="Separador de milhares 3 6 2 6 2 6" xfId="25551"/>
    <cellStyle name="Separador de milhares 3 6 2 6 3" xfId="7298"/>
    <cellStyle name="Separador de milhares 3 6 2 6 3 2" xfId="19152"/>
    <cellStyle name="Separador de milhares 3 6 2 6 3 2 2" xfId="45635"/>
    <cellStyle name="Separador de milhares 3 6 2 6 3 3" xfId="13225"/>
    <cellStyle name="Separador de milhares 3 6 2 6 3 3 2" xfId="39727"/>
    <cellStyle name="Separador de milhares 3 6 2 6 3 4" xfId="33819"/>
    <cellStyle name="Separador de milhares 3 6 2 6 3 5" xfId="27285"/>
    <cellStyle name="Separador de milhares 3 6 2 6 4" xfId="16188"/>
    <cellStyle name="Separador de milhares 3 6 2 6 4 2" xfId="42681"/>
    <cellStyle name="Separador de milhares 3 6 2 6 4 3" xfId="23779"/>
    <cellStyle name="Separador de milhares 3 6 2 6 5" xfId="10261"/>
    <cellStyle name="Separador de milhares 3 6 2 6 5 2" xfId="36773"/>
    <cellStyle name="Separador de milhares 3 6 2 6 6" xfId="30313"/>
    <cellStyle name="Separador de milhares 3 6 2 6 7" xfId="22007"/>
    <cellStyle name="Separador de milhares 3 6 2 7" xfId="2875"/>
    <cellStyle name="Separador de milhares 3 6 2 7 2" xfId="5705"/>
    <cellStyle name="Separador de milhares 3 6 2 7 2 2" xfId="8917"/>
    <cellStyle name="Separador de milhares 3 6 2 7 2 2 2" xfId="20771"/>
    <cellStyle name="Separador de milhares 3 6 2 7 2 2 2 2" xfId="47250"/>
    <cellStyle name="Separador de milhares 3 6 2 7 2 2 3" xfId="14844"/>
    <cellStyle name="Separador de milhares 3 6 2 7 2 2 3 2" xfId="41342"/>
    <cellStyle name="Separador de milhares 3 6 2 7 2 2 4" xfId="35434"/>
    <cellStyle name="Separador de milhares 3 6 2 7 2 2 5" xfId="28900"/>
    <cellStyle name="Separador de milhares 3 6 2 7 2 3" xfId="17807"/>
    <cellStyle name="Separador de milhares 3 6 2 7 2 3 2" xfId="44296"/>
    <cellStyle name="Separador de milhares 3 6 2 7 2 4" xfId="11880"/>
    <cellStyle name="Separador de milhares 3 6 2 7 2 4 2" xfId="38388"/>
    <cellStyle name="Separador de milhares 3 6 2 7 2 5" xfId="32232"/>
    <cellStyle name="Separador de milhares 3 6 2 7 2 6" xfId="25698"/>
    <cellStyle name="Separador de milhares 3 6 2 7 3" xfId="7446"/>
    <cellStyle name="Separador de milhares 3 6 2 7 3 2" xfId="19300"/>
    <cellStyle name="Separador de milhares 3 6 2 7 3 2 2" xfId="45782"/>
    <cellStyle name="Separador de milhares 3 6 2 7 3 3" xfId="13373"/>
    <cellStyle name="Separador de milhares 3 6 2 7 3 3 2" xfId="39874"/>
    <cellStyle name="Separador de milhares 3 6 2 7 3 4" xfId="33966"/>
    <cellStyle name="Separador de milhares 3 6 2 7 3 5" xfId="27432"/>
    <cellStyle name="Separador de milhares 3 6 2 7 4" xfId="16336"/>
    <cellStyle name="Separador de milhares 3 6 2 7 4 2" xfId="42828"/>
    <cellStyle name="Separador de milhares 3 6 2 7 4 3" xfId="23926"/>
    <cellStyle name="Separador de milhares 3 6 2 7 5" xfId="10409"/>
    <cellStyle name="Separador de milhares 3 6 2 7 5 2" xfId="36920"/>
    <cellStyle name="Separador de milhares 3 6 2 7 6" xfId="30460"/>
    <cellStyle name="Separador de milhares 3 6 2 7 7" xfId="22154"/>
    <cellStyle name="Separador de milhares 3 6 2 8" xfId="3403"/>
    <cellStyle name="Separador de milhares 3 6 2 8 2" xfId="5852"/>
    <cellStyle name="Separador de milhares 3 6 2 8 2 2" xfId="9064"/>
    <cellStyle name="Separador de milhares 3 6 2 8 2 2 2" xfId="20918"/>
    <cellStyle name="Separador de milhares 3 6 2 8 2 2 2 2" xfId="47397"/>
    <cellStyle name="Separador de milhares 3 6 2 8 2 2 3" xfId="14991"/>
    <cellStyle name="Separador de milhares 3 6 2 8 2 2 3 2" xfId="41489"/>
    <cellStyle name="Separador de milhares 3 6 2 8 2 2 4" xfId="35581"/>
    <cellStyle name="Separador de milhares 3 6 2 8 2 2 5" xfId="29047"/>
    <cellStyle name="Separador de milhares 3 6 2 8 2 3" xfId="17954"/>
    <cellStyle name="Separador de milhares 3 6 2 8 2 3 2" xfId="44443"/>
    <cellStyle name="Separador de milhares 3 6 2 8 2 4" xfId="12027"/>
    <cellStyle name="Separador de milhares 3 6 2 8 2 4 2" xfId="38535"/>
    <cellStyle name="Separador de milhares 3 6 2 8 2 5" xfId="32379"/>
    <cellStyle name="Separador de milhares 3 6 2 8 2 6" xfId="25845"/>
    <cellStyle name="Separador de milhares 3 6 2 8 3" xfId="7594"/>
    <cellStyle name="Separador de milhares 3 6 2 8 3 2" xfId="19448"/>
    <cellStyle name="Separador de milhares 3 6 2 8 3 2 2" xfId="45929"/>
    <cellStyle name="Separador de milhares 3 6 2 8 3 3" xfId="13521"/>
    <cellStyle name="Separador de milhares 3 6 2 8 3 3 2" xfId="40021"/>
    <cellStyle name="Separador de milhares 3 6 2 8 3 4" xfId="34113"/>
    <cellStyle name="Separador de milhares 3 6 2 8 3 5" xfId="27579"/>
    <cellStyle name="Separador de milhares 3 6 2 8 4" xfId="16484"/>
    <cellStyle name="Separador de milhares 3 6 2 8 4 2" xfId="42975"/>
    <cellStyle name="Separador de milhares 3 6 2 8 4 3" xfId="24073"/>
    <cellStyle name="Separador de milhares 3 6 2 8 5" xfId="10557"/>
    <cellStyle name="Separador de milhares 3 6 2 8 5 2" xfId="37067"/>
    <cellStyle name="Separador de milhares 3 6 2 8 6" xfId="30607"/>
    <cellStyle name="Separador de milhares 3 6 2 8 7" xfId="22301"/>
    <cellStyle name="Separador de milhares 3 6 2 9" xfId="3931"/>
    <cellStyle name="Separador de milhares 3 6 2 9 2" xfId="5999"/>
    <cellStyle name="Separador de milhares 3 6 2 9 2 2" xfId="9211"/>
    <cellStyle name="Separador de milhares 3 6 2 9 2 2 2" xfId="21065"/>
    <cellStyle name="Separador de milhares 3 6 2 9 2 2 2 2" xfId="47544"/>
    <cellStyle name="Separador de milhares 3 6 2 9 2 2 3" xfId="15138"/>
    <cellStyle name="Separador de milhares 3 6 2 9 2 2 3 2" xfId="41636"/>
    <cellStyle name="Separador de milhares 3 6 2 9 2 2 4" xfId="35728"/>
    <cellStyle name="Separador de milhares 3 6 2 9 2 2 5" xfId="29194"/>
    <cellStyle name="Separador de milhares 3 6 2 9 2 3" xfId="18101"/>
    <cellStyle name="Separador de milhares 3 6 2 9 2 3 2" xfId="44590"/>
    <cellStyle name="Separador de milhares 3 6 2 9 2 4" xfId="12174"/>
    <cellStyle name="Separador de milhares 3 6 2 9 2 4 2" xfId="38682"/>
    <cellStyle name="Separador de milhares 3 6 2 9 2 5" xfId="32526"/>
    <cellStyle name="Separador de milhares 3 6 2 9 2 6" xfId="25992"/>
    <cellStyle name="Separador de milhares 3 6 2 9 3" xfId="7742"/>
    <cellStyle name="Separador de milhares 3 6 2 9 3 2" xfId="19596"/>
    <cellStyle name="Separador de milhares 3 6 2 9 3 2 2" xfId="46076"/>
    <cellStyle name="Separador de milhares 3 6 2 9 3 3" xfId="13669"/>
    <cellStyle name="Separador de milhares 3 6 2 9 3 3 2" xfId="40168"/>
    <cellStyle name="Separador de milhares 3 6 2 9 3 4" xfId="34260"/>
    <cellStyle name="Separador de milhares 3 6 2 9 3 5" xfId="27726"/>
    <cellStyle name="Separador de milhares 3 6 2 9 4" xfId="16632"/>
    <cellStyle name="Separador de milhares 3 6 2 9 4 2" xfId="43122"/>
    <cellStyle name="Separador de milhares 3 6 2 9 4 3" xfId="24220"/>
    <cellStyle name="Separador de milhares 3 6 2 9 5" xfId="10705"/>
    <cellStyle name="Separador de milhares 3 6 2 9 5 2" xfId="37214"/>
    <cellStyle name="Separador de milhares 3 6 2 9 6" xfId="30754"/>
    <cellStyle name="Separador de milhares 3 6 2 9 7" xfId="22448"/>
    <cellStyle name="Separador de milhares 3 6 3" xfId="376"/>
    <cellStyle name="Separador de milhares 3 6 3 10" xfId="4990"/>
    <cellStyle name="Separador de milhares 3 6 3 10 2" xfId="8209"/>
    <cellStyle name="Separador de milhares 3 6 3 10 2 2" xfId="20063"/>
    <cellStyle name="Separador de milhares 3 6 3 10 2 2 2" xfId="46542"/>
    <cellStyle name="Separador de milhares 3 6 3 10 2 3" xfId="14136"/>
    <cellStyle name="Separador de milhares 3 6 3 10 2 3 2" xfId="40634"/>
    <cellStyle name="Separador de milhares 3 6 3 10 2 4" xfId="34726"/>
    <cellStyle name="Separador de milhares 3 6 3 10 2 5" xfId="28192"/>
    <cellStyle name="Separador de milhares 3 6 3 10 3" xfId="17099"/>
    <cellStyle name="Separador de milhares 3 6 3 10 3 2" xfId="43588"/>
    <cellStyle name="Separador de milhares 3 6 3 10 4" xfId="11172"/>
    <cellStyle name="Separador de milhares 3 6 3 10 4 2" xfId="37680"/>
    <cellStyle name="Separador de milhares 3 6 3 10 5" xfId="31517"/>
    <cellStyle name="Separador de milhares 3 6 3 10 6" xfId="24983"/>
    <cellStyle name="Separador de milhares 3 6 3 11" xfId="6733"/>
    <cellStyle name="Separador de milhares 3 6 3 11 2" xfId="18587"/>
    <cellStyle name="Separador de milhares 3 6 3 11 2 2" xfId="45074"/>
    <cellStyle name="Separador de milhares 3 6 3 11 3" xfId="12660"/>
    <cellStyle name="Separador de milhares 3 6 3 11 3 2" xfId="39166"/>
    <cellStyle name="Separador de milhares 3 6 3 11 4" xfId="33258"/>
    <cellStyle name="Separador de milhares 3 6 3 11 5" xfId="26724"/>
    <cellStyle name="Separador de milhares 3 6 3 12" xfId="15623"/>
    <cellStyle name="Separador de milhares 3 6 3 12 2" xfId="42120"/>
    <cellStyle name="Separador de milhares 3 6 3 12 3" xfId="23211"/>
    <cellStyle name="Separador de milhares 3 6 3 13" xfId="9696"/>
    <cellStyle name="Separador de milhares 3 6 3 13 2" xfId="36212"/>
    <cellStyle name="Separador de milhares 3 6 3 14" xfId="29745"/>
    <cellStyle name="Separador de milhares 3 6 3 15" xfId="21463"/>
    <cellStyle name="Separador de milhares 3 6 3 2" xfId="639"/>
    <cellStyle name="Separador de milhares 3 6 3 2 2" xfId="5061"/>
    <cellStyle name="Separador de milhares 3 6 3 2 2 2" xfId="8276"/>
    <cellStyle name="Separador de milhares 3 6 3 2 2 2 2" xfId="20130"/>
    <cellStyle name="Separador de milhares 3 6 3 2 2 2 2 2" xfId="46609"/>
    <cellStyle name="Separador de milhares 3 6 3 2 2 2 3" xfId="14203"/>
    <cellStyle name="Separador de milhares 3 6 3 2 2 2 3 2" xfId="40701"/>
    <cellStyle name="Separador de milhares 3 6 3 2 2 2 4" xfId="34793"/>
    <cellStyle name="Separador de milhares 3 6 3 2 2 2 5" xfId="28259"/>
    <cellStyle name="Separador de milhares 3 6 3 2 2 3" xfId="17166"/>
    <cellStyle name="Separador de milhares 3 6 3 2 2 3 2" xfId="43655"/>
    <cellStyle name="Separador de milhares 3 6 3 2 2 4" xfId="11239"/>
    <cellStyle name="Separador de milhares 3 6 3 2 2 4 2" xfId="37747"/>
    <cellStyle name="Separador de milhares 3 6 3 2 2 5" xfId="31588"/>
    <cellStyle name="Separador de milhares 3 6 3 2 2 6" xfId="25054"/>
    <cellStyle name="Separador de milhares 3 6 3 2 3" xfId="6800"/>
    <cellStyle name="Separador de milhares 3 6 3 2 3 2" xfId="18654"/>
    <cellStyle name="Separador de milhares 3 6 3 2 3 2 2" xfId="45141"/>
    <cellStyle name="Separador de milhares 3 6 3 2 3 3" xfId="12727"/>
    <cellStyle name="Separador de milhares 3 6 3 2 3 3 2" xfId="39233"/>
    <cellStyle name="Separador de milhares 3 6 3 2 3 4" xfId="33325"/>
    <cellStyle name="Separador de milhares 3 6 3 2 3 5" xfId="26791"/>
    <cellStyle name="Separador de milhares 3 6 3 2 4" xfId="15690"/>
    <cellStyle name="Separador de milhares 3 6 3 2 4 2" xfId="42187"/>
    <cellStyle name="Separador de milhares 3 6 3 2 4 3" xfId="23282"/>
    <cellStyle name="Separador de milhares 3 6 3 2 5" xfId="9763"/>
    <cellStyle name="Separador de milhares 3 6 3 2 5 2" xfId="36279"/>
    <cellStyle name="Separador de milhares 3 6 3 2 6" xfId="29816"/>
    <cellStyle name="Separador de milhares 3 6 3 2 7" xfId="21511"/>
    <cellStyle name="Separador de milhares 3 6 3 3" xfId="937"/>
    <cellStyle name="Separador de milhares 3 6 3 3 2" xfId="5163"/>
    <cellStyle name="Separador de milhares 3 6 3 3 2 2" xfId="8378"/>
    <cellStyle name="Separador de milhares 3 6 3 3 2 2 2" xfId="20232"/>
    <cellStyle name="Separador de milhares 3 6 3 3 2 2 2 2" xfId="46711"/>
    <cellStyle name="Separador de milhares 3 6 3 3 2 2 3" xfId="14305"/>
    <cellStyle name="Separador de milhares 3 6 3 3 2 2 3 2" xfId="40803"/>
    <cellStyle name="Separador de milhares 3 6 3 3 2 2 4" xfId="34895"/>
    <cellStyle name="Separador de milhares 3 6 3 3 2 2 5" xfId="28361"/>
    <cellStyle name="Separador de milhares 3 6 3 3 2 3" xfId="17268"/>
    <cellStyle name="Separador de milhares 3 6 3 3 2 3 2" xfId="43757"/>
    <cellStyle name="Separador de milhares 3 6 3 3 2 4" xfId="11341"/>
    <cellStyle name="Separador de milhares 3 6 3 3 2 4 2" xfId="37849"/>
    <cellStyle name="Separador de milhares 3 6 3 3 2 5" xfId="31690"/>
    <cellStyle name="Separador de milhares 3 6 3 3 2 6" xfId="25156"/>
    <cellStyle name="Separador de milhares 3 6 3 3 3" xfId="6905"/>
    <cellStyle name="Separador de milhares 3 6 3 3 3 2" xfId="18759"/>
    <cellStyle name="Separador de milhares 3 6 3 3 3 2 2" xfId="45243"/>
    <cellStyle name="Separador de milhares 3 6 3 3 3 3" xfId="12832"/>
    <cellStyle name="Separador de milhares 3 6 3 3 3 3 2" xfId="39335"/>
    <cellStyle name="Separador de milhares 3 6 3 3 3 4" xfId="33427"/>
    <cellStyle name="Separador de milhares 3 6 3 3 3 5" xfId="26893"/>
    <cellStyle name="Separador de milhares 3 6 3 3 4" xfId="15795"/>
    <cellStyle name="Separador de milhares 3 6 3 3 4 2" xfId="42289"/>
    <cellStyle name="Separador de milhares 3 6 3 3 4 3" xfId="23384"/>
    <cellStyle name="Separador de milhares 3 6 3 3 5" xfId="9868"/>
    <cellStyle name="Separador de milhares 3 6 3 3 5 2" xfId="36381"/>
    <cellStyle name="Separador de milhares 3 6 3 3 6" xfId="29918"/>
    <cellStyle name="Separador de milhares 3 6 3 3 7" xfId="21612"/>
    <cellStyle name="Separador de milhares 3 6 3 4" xfId="1288"/>
    <cellStyle name="Separador de milhares 3 6 3 4 2" xfId="5261"/>
    <cellStyle name="Separador de milhares 3 6 3 4 2 2" xfId="8476"/>
    <cellStyle name="Separador de milhares 3 6 3 4 2 2 2" xfId="20330"/>
    <cellStyle name="Separador de milhares 3 6 3 4 2 2 2 2" xfId="46809"/>
    <cellStyle name="Separador de milhares 3 6 3 4 2 2 3" xfId="14403"/>
    <cellStyle name="Separador de milhares 3 6 3 4 2 2 3 2" xfId="40901"/>
    <cellStyle name="Separador de milhares 3 6 3 4 2 2 4" xfId="34993"/>
    <cellStyle name="Separador de milhares 3 6 3 4 2 2 5" xfId="28459"/>
    <cellStyle name="Separador de milhares 3 6 3 4 2 3" xfId="17366"/>
    <cellStyle name="Separador de milhares 3 6 3 4 2 3 2" xfId="43855"/>
    <cellStyle name="Separador de milhares 3 6 3 4 2 4" xfId="11439"/>
    <cellStyle name="Separador de milhares 3 6 3 4 2 4 2" xfId="37947"/>
    <cellStyle name="Separador de milhares 3 6 3 4 2 5" xfId="31788"/>
    <cellStyle name="Separador de milhares 3 6 3 4 2 6" xfId="25254"/>
    <cellStyle name="Separador de milhares 3 6 3 4 3" xfId="7003"/>
    <cellStyle name="Separador de milhares 3 6 3 4 3 2" xfId="18857"/>
    <cellStyle name="Separador de milhares 3 6 3 4 3 2 2" xfId="45341"/>
    <cellStyle name="Separador de milhares 3 6 3 4 3 3" xfId="12930"/>
    <cellStyle name="Separador de milhares 3 6 3 4 3 3 2" xfId="39433"/>
    <cellStyle name="Separador de milhares 3 6 3 4 3 4" xfId="33525"/>
    <cellStyle name="Separador de milhares 3 6 3 4 3 5" xfId="26991"/>
    <cellStyle name="Separador de milhares 3 6 3 4 4" xfId="15893"/>
    <cellStyle name="Separador de milhares 3 6 3 4 4 2" xfId="42387"/>
    <cellStyle name="Separador de milhares 3 6 3 4 4 3" xfId="23482"/>
    <cellStyle name="Separador de milhares 3 6 3 4 5" xfId="9966"/>
    <cellStyle name="Separador de milhares 3 6 3 4 5 2" xfId="36479"/>
    <cellStyle name="Separador de milhares 3 6 3 4 6" xfId="30016"/>
    <cellStyle name="Separador de milhares 3 6 3 4 7" xfId="21710"/>
    <cellStyle name="Separador de milhares 3 6 3 5" xfId="1723"/>
    <cellStyle name="Separador de milhares 3 6 3 5 2" xfId="5380"/>
    <cellStyle name="Separador de milhares 3 6 3 5 2 2" xfId="8595"/>
    <cellStyle name="Separador de milhares 3 6 3 5 2 2 2" xfId="20449"/>
    <cellStyle name="Separador de milhares 3 6 3 5 2 2 2 2" xfId="46928"/>
    <cellStyle name="Separador de milhares 3 6 3 5 2 2 3" xfId="14522"/>
    <cellStyle name="Separador de milhares 3 6 3 5 2 2 3 2" xfId="41020"/>
    <cellStyle name="Separador de milhares 3 6 3 5 2 2 4" xfId="35112"/>
    <cellStyle name="Separador de milhares 3 6 3 5 2 2 5" xfId="28578"/>
    <cellStyle name="Separador de milhares 3 6 3 5 2 3" xfId="17485"/>
    <cellStyle name="Separador de milhares 3 6 3 5 2 3 2" xfId="43974"/>
    <cellStyle name="Separador de milhares 3 6 3 5 2 4" xfId="11558"/>
    <cellStyle name="Separador de milhares 3 6 3 5 2 4 2" xfId="38066"/>
    <cellStyle name="Separador de milhares 3 6 3 5 2 5" xfId="31907"/>
    <cellStyle name="Separador de milhares 3 6 3 5 2 6" xfId="25373"/>
    <cellStyle name="Separador de milhares 3 6 3 5 3" xfId="7122"/>
    <cellStyle name="Separador de milhares 3 6 3 5 3 2" xfId="18976"/>
    <cellStyle name="Separador de milhares 3 6 3 5 3 2 2" xfId="45460"/>
    <cellStyle name="Separador de milhares 3 6 3 5 3 3" xfId="13049"/>
    <cellStyle name="Separador de milhares 3 6 3 5 3 3 2" xfId="39552"/>
    <cellStyle name="Separador de milhares 3 6 3 5 3 4" xfId="33644"/>
    <cellStyle name="Separador de milhares 3 6 3 5 3 5" xfId="27110"/>
    <cellStyle name="Separador de milhares 3 6 3 5 4" xfId="16012"/>
    <cellStyle name="Separador de milhares 3 6 3 5 4 2" xfId="42506"/>
    <cellStyle name="Separador de milhares 3 6 3 5 4 3" xfId="23601"/>
    <cellStyle name="Separador de milhares 3 6 3 5 5" xfId="10085"/>
    <cellStyle name="Separador de milhares 3 6 3 5 5 2" xfId="36598"/>
    <cellStyle name="Separador de milhares 3 6 3 5 6" xfId="30135"/>
    <cellStyle name="Separador de milhares 3 6 3 5 7" xfId="21829"/>
    <cellStyle name="Separador de milhares 3 6 3 6" xfId="2256"/>
    <cellStyle name="Separador de milhares 3 6 3 6 2" xfId="5530"/>
    <cellStyle name="Separador de milhares 3 6 3 6 2 2" xfId="8742"/>
    <cellStyle name="Separador de milhares 3 6 3 6 2 2 2" xfId="20596"/>
    <cellStyle name="Separador de milhares 3 6 3 6 2 2 2 2" xfId="47075"/>
    <cellStyle name="Separador de milhares 3 6 3 6 2 2 3" xfId="14669"/>
    <cellStyle name="Separador de milhares 3 6 3 6 2 2 3 2" xfId="41167"/>
    <cellStyle name="Separador de milhares 3 6 3 6 2 2 4" xfId="35259"/>
    <cellStyle name="Separador de milhares 3 6 3 6 2 2 5" xfId="28725"/>
    <cellStyle name="Separador de milhares 3 6 3 6 2 3" xfId="17632"/>
    <cellStyle name="Separador de milhares 3 6 3 6 2 3 2" xfId="44121"/>
    <cellStyle name="Separador de milhares 3 6 3 6 2 4" xfId="11705"/>
    <cellStyle name="Separador de milhares 3 6 3 6 2 4 2" xfId="38213"/>
    <cellStyle name="Separador de milhares 3 6 3 6 2 5" xfId="32057"/>
    <cellStyle name="Separador de milhares 3 6 3 6 2 6" xfId="25523"/>
    <cellStyle name="Separador de milhares 3 6 3 6 3" xfId="7270"/>
    <cellStyle name="Separador de milhares 3 6 3 6 3 2" xfId="19124"/>
    <cellStyle name="Separador de milhares 3 6 3 6 3 2 2" xfId="45607"/>
    <cellStyle name="Separador de milhares 3 6 3 6 3 3" xfId="13197"/>
    <cellStyle name="Separador de milhares 3 6 3 6 3 3 2" xfId="39699"/>
    <cellStyle name="Separador de milhares 3 6 3 6 3 4" xfId="33791"/>
    <cellStyle name="Separador de milhares 3 6 3 6 3 5" xfId="27257"/>
    <cellStyle name="Separador de milhares 3 6 3 6 4" xfId="16160"/>
    <cellStyle name="Separador de milhares 3 6 3 6 4 2" xfId="42653"/>
    <cellStyle name="Separador de milhares 3 6 3 6 4 3" xfId="23751"/>
    <cellStyle name="Separador de milhares 3 6 3 6 5" xfId="10233"/>
    <cellStyle name="Separador de milhares 3 6 3 6 5 2" xfId="36745"/>
    <cellStyle name="Separador de milhares 3 6 3 6 6" xfId="30285"/>
    <cellStyle name="Separador de milhares 3 6 3 6 7" xfId="21979"/>
    <cellStyle name="Separador de milhares 3 6 3 7" xfId="2784"/>
    <cellStyle name="Separador de milhares 3 6 3 7 2" xfId="5677"/>
    <cellStyle name="Separador de milhares 3 6 3 7 2 2" xfId="8889"/>
    <cellStyle name="Separador de milhares 3 6 3 7 2 2 2" xfId="20743"/>
    <cellStyle name="Separador de milhares 3 6 3 7 2 2 2 2" xfId="47222"/>
    <cellStyle name="Separador de milhares 3 6 3 7 2 2 3" xfId="14816"/>
    <cellStyle name="Separador de milhares 3 6 3 7 2 2 3 2" xfId="41314"/>
    <cellStyle name="Separador de milhares 3 6 3 7 2 2 4" xfId="35406"/>
    <cellStyle name="Separador de milhares 3 6 3 7 2 2 5" xfId="28872"/>
    <cellStyle name="Separador de milhares 3 6 3 7 2 3" xfId="17779"/>
    <cellStyle name="Separador de milhares 3 6 3 7 2 3 2" xfId="44268"/>
    <cellStyle name="Separador de milhares 3 6 3 7 2 4" xfId="11852"/>
    <cellStyle name="Separador de milhares 3 6 3 7 2 4 2" xfId="38360"/>
    <cellStyle name="Separador de milhares 3 6 3 7 2 5" xfId="32204"/>
    <cellStyle name="Separador de milhares 3 6 3 7 2 6" xfId="25670"/>
    <cellStyle name="Separador de milhares 3 6 3 7 3" xfId="7418"/>
    <cellStyle name="Separador de milhares 3 6 3 7 3 2" xfId="19272"/>
    <cellStyle name="Separador de milhares 3 6 3 7 3 2 2" xfId="45754"/>
    <cellStyle name="Separador de milhares 3 6 3 7 3 3" xfId="13345"/>
    <cellStyle name="Separador de milhares 3 6 3 7 3 3 2" xfId="39846"/>
    <cellStyle name="Separador de milhares 3 6 3 7 3 4" xfId="33938"/>
    <cellStyle name="Separador de milhares 3 6 3 7 3 5" xfId="27404"/>
    <cellStyle name="Separador de milhares 3 6 3 7 4" xfId="16308"/>
    <cellStyle name="Separador de milhares 3 6 3 7 4 2" xfId="42800"/>
    <cellStyle name="Separador de milhares 3 6 3 7 4 3" xfId="23898"/>
    <cellStyle name="Separador de milhares 3 6 3 7 5" xfId="10381"/>
    <cellStyle name="Separador de milhares 3 6 3 7 5 2" xfId="36892"/>
    <cellStyle name="Separador de milhares 3 6 3 7 6" xfId="30432"/>
    <cellStyle name="Separador de milhares 3 6 3 7 7" xfId="22126"/>
    <cellStyle name="Separador de milhares 3 6 3 8" xfId="3312"/>
    <cellStyle name="Separador de milhares 3 6 3 8 2" xfId="5824"/>
    <cellStyle name="Separador de milhares 3 6 3 8 2 2" xfId="9036"/>
    <cellStyle name="Separador de milhares 3 6 3 8 2 2 2" xfId="20890"/>
    <cellStyle name="Separador de milhares 3 6 3 8 2 2 2 2" xfId="47369"/>
    <cellStyle name="Separador de milhares 3 6 3 8 2 2 3" xfId="14963"/>
    <cellStyle name="Separador de milhares 3 6 3 8 2 2 3 2" xfId="41461"/>
    <cellStyle name="Separador de milhares 3 6 3 8 2 2 4" xfId="35553"/>
    <cellStyle name="Separador de milhares 3 6 3 8 2 2 5" xfId="29019"/>
    <cellStyle name="Separador de milhares 3 6 3 8 2 3" xfId="17926"/>
    <cellStyle name="Separador de milhares 3 6 3 8 2 3 2" xfId="44415"/>
    <cellStyle name="Separador de milhares 3 6 3 8 2 4" xfId="11999"/>
    <cellStyle name="Separador de milhares 3 6 3 8 2 4 2" xfId="38507"/>
    <cellStyle name="Separador de milhares 3 6 3 8 2 5" xfId="32351"/>
    <cellStyle name="Separador de milhares 3 6 3 8 2 6" xfId="25817"/>
    <cellStyle name="Separador de milhares 3 6 3 8 3" xfId="7566"/>
    <cellStyle name="Separador de milhares 3 6 3 8 3 2" xfId="19420"/>
    <cellStyle name="Separador de milhares 3 6 3 8 3 2 2" xfId="45901"/>
    <cellStyle name="Separador de milhares 3 6 3 8 3 3" xfId="13493"/>
    <cellStyle name="Separador de milhares 3 6 3 8 3 3 2" xfId="39993"/>
    <cellStyle name="Separador de milhares 3 6 3 8 3 4" xfId="34085"/>
    <cellStyle name="Separador de milhares 3 6 3 8 3 5" xfId="27551"/>
    <cellStyle name="Separador de milhares 3 6 3 8 4" xfId="16456"/>
    <cellStyle name="Separador de milhares 3 6 3 8 4 2" xfId="42947"/>
    <cellStyle name="Separador de milhares 3 6 3 8 4 3" xfId="24045"/>
    <cellStyle name="Separador de milhares 3 6 3 8 5" xfId="10529"/>
    <cellStyle name="Separador de milhares 3 6 3 8 5 2" xfId="37039"/>
    <cellStyle name="Separador de milhares 3 6 3 8 6" xfId="30579"/>
    <cellStyle name="Separador de milhares 3 6 3 8 7" xfId="22273"/>
    <cellStyle name="Separador de milhares 3 6 3 9" xfId="3840"/>
    <cellStyle name="Separador de milhares 3 6 3 9 2" xfId="5971"/>
    <cellStyle name="Separador de milhares 3 6 3 9 2 2" xfId="9183"/>
    <cellStyle name="Separador de milhares 3 6 3 9 2 2 2" xfId="21037"/>
    <cellStyle name="Separador de milhares 3 6 3 9 2 2 2 2" xfId="47516"/>
    <cellStyle name="Separador de milhares 3 6 3 9 2 2 3" xfId="15110"/>
    <cellStyle name="Separador de milhares 3 6 3 9 2 2 3 2" xfId="41608"/>
    <cellStyle name="Separador de milhares 3 6 3 9 2 2 4" xfId="35700"/>
    <cellStyle name="Separador de milhares 3 6 3 9 2 2 5" xfId="29166"/>
    <cellStyle name="Separador de milhares 3 6 3 9 2 3" xfId="18073"/>
    <cellStyle name="Separador de milhares 3 6 3 9 2 3 2" xfId="44562"/>
    <cellStyle name="Separador de milhares 3 6 3 9 2 4" xfId="12146"/>
    <cellStyle name="Separador de milhares 3 6 3 9 2 4 2" xfId="38654"/>
    <cellStyle name="Separador de milhares 3 6 3 9 2 5" xfId="32498"/>
    <cellStyle name="Separador de milhares 3 6 3 9 2 6" xfId="25964"/>
    <cellStyle name="Separador de milhares 3 6 3 9 3" xfId="7714"/>
    <cellStyle name="Separador de milhares 3 6 3 9 3 2" xfId="19568"/>
    <cellStyle name="Separador de milhares 3 6 3 9 3 2 2" xfId="46048"/>
    <cellStyle name="Separador de milhares 3 6 3 9 3 3" xfId="13641"/>
    <cellStyle name="Separador de milhares 3 6 3 9 3 3 2" xfId="40140"/>
    <cellStyle name="Separador de milhares 3 6 3 9 3 4" xfId="34232"/>
    <cellStyle name="Separador de milhares 3 6 3 9 3 5" xfId="27698"/>
    <cellStyle name="Separador de milhares 3 6 3 9 4" xfId="16604"/>
    <cellStyle name="Separador de milhares 3 6 3 9 4 2" xfId="43094"/>
    <cellStyle name="Separador de milhares 3 6 3 9 4 3" xfId="24192"/>
    <cellStyle name="Separador de milhares 3 6 3 9 5" xfId="10677"/>
    <cellStyle name="Separador de milhares 3 6 3 9 5 2" xfId="37186"/>
    <cellStyle name="Separador de milhares 3 6 3 9 6" xfId="30726"/>
    <cellStyle name="Separador de milhares 3 6 3 9 7" xfId="22420"/>
    <cellStyle name="Separador de milhares 3 6 4" xfId="469"/>
    <cellStyle name="Separador de milhares 3 6 4 10" xfId="5018"/>
    <cellStyle name="Separador de milhares 3 6 4 10 2" xfId="8234"/>
    <cellStyle name="Separador de milhares 3 6 4 10 2 2" xfId="20088"/>
    <cellStyle name="Separador de milhares 3 6 4 10 2 2 2" xfId="46567"/>
    <cellStyle name="Separador de milhares 3 6 4 10 2 3" xfId="14161"/>
    <cellStyle name="Separador de milhares 3 6 4 10 2 3 2" xfId="40659"/>
    <cellStyle name="Separador de milhares 3 6 4 10 2 4" xfId="34751"/>
    <cellStyle name="Separador de milhares 3 6 4 10 2 5" xfId="28217"/>
    <cellStyle name="Separador de milhares 3 6 4 10 3" xfId="17124"/>
    <cellStyle name="Separador de milhares 3 6 4 10 3 2" xfId="43613"/>
    <cellStyle name="Separador de milhares 3 6 4 10 4" xfId="11197"/>
    <cellStyle name="Separador de milhares 3 6 4 10 4 2" xfId="37705"/>
    <cellStyle name="Separador de milhares 3 6 4 10 5" xfId="31545"/>
    <cellStyle name="Separador de milhares 3 6 4 10 6" xfId="25011"/>
    <cellStyle name="Separador de milhares 3 6 4 11" xfId="6758"/>
    <cellStyle name="Separador de milhares 3 6 4 11 2" xfId="18612"/>
    <cellStyle name="Separador de milhares 3 6 4 11 2 2" xfId="45099"/>
    <cellStyle name="Separador de milhares 3 6 4 11 3" xfId="12685"/>
    <cellStyle name="Separador de milhares 3 6 4 11 3 2" xfId="39191"/>
    <cellStyle name="Separador de milhares 3 6 4 11 4" xfId="33283"/>
    <cellStyle name="Separador de milhares 3 6 4 11 5" xfId="26749"/>
    <cellStyle name="Separador de milhares 3 6 4 12" xfId="15648"/>
    <cellStyle name="Separador de milhares 3 6 4 12 2" xfId="42145"/>
    <cellStyle name="Separador de milhares 3 6 4 12 3" xfId="23239"/>
    <cellStyle name="Separador de milhares 3 6 4 13" xfId="9721"/>
    <cellStyle name="Separador de milhares 3 6 4 13 2" xfId="36237"/>
    <cellStyle name="Separador de milhares 3 6 4 14" xfId="29773"/>
    <cellStyle name="Separador de milhares 3 6 4 2" xfId="1115"/>
    <cellStyle name="Separador de milhares 3 6 4 2 2" xfId="5215"/>
    <cellStyle name="Separador de milhares 3 6 4 2 2 2" xfId="8430"/>
    <cellStyle name="Separador de milhares 3 6 4 2 2 2 2" xfId="20284"/>
    <cellStyle name="Separador de milhares 3 6 4 2 2 2 2 2" xfId="46763"/>
    <cellStyle name="Separador de milhares 3 6 4 2 2 2 3" xfId="14357"/>
    <cellStyle name="Separador de milhares 3 6 4 2 2 2 3 2" xfId="40855"/>
    <cellStyle name="Separador de milhares 3 6 4 2 2 2 4" xfId="34947"/>
    <cellStyle name="Separador de milhares 3 6 4 2 2 2 5" xfId="28413"/>
    <cellStyle name="Separador de milhares 3 6 4 2 2 3" xfId="17320"/>
    <cellStyle name="Separador de milhares 3 6 4 2 2 3 2" xfId="43809"/>
    <cellStyle name="Separador de milhares 3 6 4 2 2 4" xfId="11393"/>
    <cellStyle name="Separador de milhares 3 6 4 2 2 4 2" xfId="37901"/>
    <cellStyle name="Separador de milhares 3 6 4 2 2 5" xfId="31742"/>
    <cellStyle name="Separador de milhares 3 6 4 2 2 6" xfId="25208"/>
    <cellStyle name="Separador de milhares 3 6 4 2 3" xfId="6957"/>
    <cellStyle name="Separador de milhares 3 6 4 2 3 2" xfId="18811"/>
    <cellStyle name="Separador de milhares 3 6 4 2 3 2 2" xfId="45295"/>
    <cellStyle name="Separador de milhares 3 6 4 2 3 3" xfId="12884"/>
    <cellStyle name="Separador de milhares 3 6 4 2 3 3 2" xfId="39387"/>
    <cellStyle name="Separador de milhares 3 6 4 2 3 4" xfId="33479"/>
    <cellStyle name="Separador de milhares 3 6 4 2 3 5" xfId="26945"/>
    <cellStyle name="Separador de milhares 3 6 4 2 4" xfId="15847"/>
    <cellStyle name="Separador de milhares 3 6 4 2 4 2" xfId="42341"/>
    <cellStyle name="Separador de milhares 3 6 4 2 4 3" xfId="23436"/>
    <cellStyle name="Separador de milhares 3 6 4 2 5" xfId="9920"/>
    <cellStyle name="Separador de milhares 3 6 4 2 5 2" xfId="36433"/>
    <cellStyle name="Separador de milhares 3 6 4 2 6" xfId="29970"/>
    <cellStyle name="Separador de milhares 3 6 4 2 7" xfId="21664"/>
    <cellStyle name="Separador de milhares 3 6 4 3" xfId="1466"/>
    <cellStyle name="Separador de milhares 3 6 4 3 2" xfId="5313"/>
    <cellStyle name="Separador de milhares 3 6 4 3 2 2" xfId="8528"/>
    <cellStyle name="Separador de milhares 3 6 4 3 2 2 2" xfId="20382"/>
    <cellStyle name="Separador de milhares 3 6 4 3 2 2 2 2" xfId="46861"/>
    <cellStyle name="Separador de milhares 3 6 4 3 2 2 3" xfId="14455"/>
    <cellStyle name="Separador de milhares 3 6 4 3 2 2 3 2" xfId="40953"/>
    <cellStyle name="Separador de milhares 3 6 4 3 2 2 4" xfId="35045"/>
    <cellStyle name="Separador de milhares 3 6 4 3 2 2 5" xfId="28511"/>
    <cellStyle name="Separador de milhares 3 6 4 3 2 3" xfId="17418"/>
    <cellStyle name="Separador de milhares 3 6 4 3 2 3 2" xfId="43907"/>
    <cellStyle name="Separador de milhares 3 6 4 3 2 4" xfId="11491"/>
    <cellStyle name="Separador de milhares 3 6 4 3 2 4 2" xfId="37999"/>
    <cellStyle name="Separador de milhares 3 6 4 3 2 5" xfId="31840"/>
    <cellStyle name="Separador de milhares 3 6 4 3 2 6" xfId="25306"/>
    <cellStyle name="Separador de milhares 3 6 4 3 3" xfId="7055"/>
    <cellStyle name="Separador de milhares 3 6 4 3 3 2" xfId="18909"/>
    <cellStyle name="Separador de milhares 3 6 4 3 3 2 2" xfId="45393"/>
    <cellStyle name="Separador de milhares 3 6 4 3 3 3" xfId="12982"/>
    <cellStyle name="Separador de milhares 3 6 4 3 3 3 2" xfId="39485"/>
    <cellStyle name="Separador de milhares 3 6 4 3 3 4" xfId="33577"/>
    <cellStyle name="Separador de milhares 3 6 4 3 3 5" xfId="27043"/>
    <cellStyle name="Separador de milhares 3 6 4 3 4" xfId="15945"/>
    <cellStyle name="Separador de milhares 3 6 4 3 4 2" xfId="42439"/>
    <cellStyle name="Separador de milhares 3 6 4 3 4 3" xfId="23534"/>
    <cellStyle name="Separador de milhares 3 6 4 3 5" xfId="10018"/>
    <cellStyle name="Separador de milhares 3 6 4 3 5 2" xfId="36531"/>
    <cellStyle name="Separador de milhares 3 6 4 3 6" xfId="30068"/>
    <cellStyle name="Separador de milhares 3 6 4 3 7" xfId="21762"/>
    <cellStyle name="Separador de milhares 3 6 4 4" xfId="1901"/>
    <cellStyle name="Separador de milhares 3 6 4 4 2" xfId="5432"/>
    <cellStyle name="Separador de milhares 3 6 4 4 2 2" xfId="8647"/>
    <cellStyle name="Separador de milhares 3 6 4 4 2 2 2" xfId="20501"/>
    <cellStyle name="Separador de milhares 3 6 4 4 2 2 2 2" xfId="46980"/>
    <cellStyle name="Separador de milhares 3 6 4 4 2 2 3" xfId="14574"/>
    <cellStyle name="Separador de milhares 3 6 4 4 2 2 3 2" xfId="41072"/>
    <cellStyle name="Separador de milhares 3 6 4 4 2 2 4" xfId="35164"/>
    <cellStyle name="Separador de milhares 3 6 4 4 2 2 5" xfId="28630"/>
    <cellStyle name="Separador de milhares 3 6 4 4 2 3" xfId="17537"/>
    <cellStyle name="Separador de milhares 3 6 4 4 2 3 2" xfId="44026"/>
    <cellStyle name="Separador de milhares 3 6 4 4 2 4" xfId="11610"/>
    <cellStyle name="Separador de milhares 3 6 4 4 2 4 2" xfId="38118"/>
    <cellStyle name="Separador de milhares 3 6 4 4 2 5" xfId="31959"/>
    <cellStyle name="Separador de milhares 3 6 4 4 2 6" xfId="25425"/>
    <cellStyle name="Separador de milhares 3 6 4 4 3" xfId="7174"/>
    <cellStyle name="Separador de milhares 3 6 4 4 3 2" xfId="19028"/>
    <cellStyle name="Separador de milhares 3 6 4 4 3 2 2" xfId="45512"/>
    <cellStyle name="Separador de milhares 3 6 4 4 3 3" xfId="13101"/>
    <cellStyle name="Separador de milhares 3 6 4 4 3 3 2" xfId="39604"/>
    <cellStyle name="Separador de milhares 3 6 4 4 3 4" xfId="33696"/>
    <cellStyle name="Separador de milhares 3 6 4 4 3 5" xfId="27162"/>
    <cellStyle name="Separador de milhares 3 6 4 4 4" xfId="16064"/>
    <cellStyle name="Separador de milhares 3 6 4 4 4 2" xfId="42558"/>
    <cellStyle name="Separador de milhares 3 6 4 4 4 3" xfId="23653"/>
    <cellStyle name="Separador de milhares 3 6 4 4 5" xfId="10137"/>
    <cellStyle name="Separador de milhares 3 6 4 4 5 2" xfId="36650"/>
    <cellStyle name="Separador de milhares 3 6 4 4 6" xfId="30187"/>
    <cellStyle name="Separador de milhares 3 6 4 4 7" xfId="21881"/>
    <cellStyle name="Separador de milhares 3 6 4 5" xfId="2434"/>
    <cellStyle name="Separador de milhares 3 6 4 5 2" xfId="5582"/>
    <cellStyle name="Separador de milhares 3 6 4 5 2 2" xfId="8794"/>
    <cellStyle name="Separador de milhares 3 6 4 5 2 2 2" xfId="20648"/>
    <cellStyle name="Separador de milhares 3 6 4 5 2 2 2 2" xfId="47127"/>
    <cellStyle name="Separador de milhares 3 6 4 5 2 2 3" xfId="14721"/>
    <cellStyle name="Separador de milhares 3 6 4 5 2 2 3 2" xfId="41219"/>
    <cellStyle name="Separador de milhares 3 6 4 5 2 2 4" xfId="35311"/>
    <cellStyle name="Separador de milhares 3 6 4 5 2 2 5" xfId="28777"/>
    <cellStyle name="Separador de milhares 3 6 4 5 2 3" xfId="17684"/>
    <cellStyle name="Separador de milhares 3 6 4 5 2 3 2" xfId="44173"/>
    <cellStyle name="Separador de milhares 3 6 4 5 2 4" xfId="11757"/>
    <cellStyle name="Separador de milhares 3 6 4 5 2 4 2" xfId="38265"/>
    <cellStyle name="Separador de milhares 3 6 4 5 2 5" xfId="32109"/>
    <cellStyle name="Separador de milhares 3 6 4 5 2 6" xfId="25575"/>
    <cellStyle name="Separador de milhares 3 6 4 5 3" xfId="7322"/>
    <cellStyle name="Separador de milhares 3 6 4 5 3 2" xfId="19176"/>
    <cellStyle name="Separador de milhares 3 6 4 5 3 2 2" xfId="45659"/>
    <cellStyle name="Separador de milhares 3 6 4 5 3 3" xfId="13249"/>
    <cellStyle name="Separador de milhares 3 6 4 5 3 3 2" xfId="39751"/>
    <cellStyle name="Separador de milhares 3 6 4 5 3 4" xfId="33843"/>
    <cellStyle name="Separador de milhares 3 6 4 5 3 5" xfId="27309"/>
    <cellStyle name="Separador de milhares 3 6 4 5 4" xfId="16212"/>
    <cellStyle name="Separador de milhares 3 6 4 5 4 2" xfId="42705"/>
    <cellStyle name="Separador de milhares 3 6 4 5 4 3" xfId="23803"/>
    <cellStyle name="Separador de milhares 3 6 4 5 5" xfId="10285"/>
    <cellStyle name="Separador de milhares 3 6 4 5 5 2" xfId="36797"/>
    <cellStyle name="Separador de milhares 3 6 4 5 6" xfId="30337"/>
    <cellStyle name="Separador de milhares 3 6 4 5 7" xfId="22031"/>
    <cellStyle name="Separador de milhares 3 6 4 6" xfId="2962"/>
    <cellStyle name="Separador de milhares 3 6 4 6 2" xfId="5729"/>
    <cellStyle name="Separador de milhares 3 6 4 6 2 2" xfId="8941"/>
    <cellStyle name="Separador de milhares 3 6 4 6 2 2 2" xfId="20795"/>
    <cellStyle name="Separador de milhares 3 6 4 6 2 2 2 2" xfId="47274"/>
    <cellStyle name="Separador de milhares 3 6 4 6 2 2 3" xfId="14868"/>
    <cellStyle name="Separador de milhares 3 6 4 6 2 2 3 2" xfId="41366"/>
    <cellStyle name="Separador de milhares 3 6 4 6 2 2 4" xfId="35458"/>
    <cellStyle name="Separador de milhares 3 6 4 6 2 2 5" xfId="28924"/>
    <cellStyle name="Separador de milhares 3 6 4 6 2 3" xfId="17831"/>
    <cellStyle name="Separador de milhares 3 6 4 6 2 3 2" xfId="44320"/>
    <cellStyle name="Separador de milhares 3 6 4 6 2 4" xfId="11904"/>
    <cellStyle name="Separador de milhares 3 6 4 6 2 4 2" xfId="38412"/>
    <cellStyle name="Separador de milhares 3 6 4 6 2 5" xfId="32256"/>
    <cellStyle name="Separador de milhares 3 6 4 6 2 6" xfId="25722"/>
    <cellStyle name="Separador de milhares 3 6 4 6 3" xfId="7470"/>
    <cellStyle name="Separador de milhares 3 6 4 6 3 2" xfId="19324"/>
    <cellStyle name="Separador de milhares 3 6 4 6 3 2 2" xfId="45806"/>
    <cellStyle name="Separador de milhares 3 6 4 6 3 3" xfId="13397"/>
    <cellStyle name="Separador de milhares 3 6 4 6 3 3 2" xfId="39898"/>
    <cellStyle name="Separador de milhares 3 6 4 6 3 4" xfId="33990"/>
    <cellStyle name="Separador de milhares 3 6 4 6 3 5" xfId="27456"/>
    <cellStyle name="Separador de milhares 3 6 4 6 4" xfId="16360"/>
    <cellStyle name="Separador de milhares 3 6 4 6 4 2" xfId="42852"/>
    <cellStyle name="Separador de milhares 3 6 4 6 4 3" xfId="23950"/>
    <cellStyle name="Separador de milhares 3 6 4 6 5" xfId="10433"/>
    <cellStyle name="Separador de milhares 3 6 4 6 5 2" xfId="36944"/>
    <cellStyle name="Separador de milhares 3 6 4 6 6" xfId="30484"/>
    <cellStyle name="Separador de milhares 3 6 4 6 7" xfId="22178"/>
    <cellStyle name="Separador de milhares 3 6 4 7" xfId="3490"/>
    <cellStyle name="Separador de milhares 3 6 4 7 2" xfId="5876"/>
    <cellStyle name="Separador de milhares 3 6 4 7 2 2" xfId="9088"/>
    <cellStyle name="Separador de milhares 3 6 4 7 2 2 2" xfId="20942"/>
    <cellStyle name="Separador de milhares 3 6 4 7 2 2 2 2" xfId="47421"/>
    <cellStyle name="Separador de milhares 3 6 4 7 2 2 3" xfId="15015"/>
    <cellStyle name="Separador de milhares 3 6 4 7 2 2 3 2" xfId="41513"/>
    <cellStyle name="Separador de milhares 3 6 4 7 2 2 4" xfId="35605"/>
    <cellStyle name="Separador de milhares 3 6 4 7 2 2 5" xfId="29071"/>
    <cellStyle name="Separador de milhares 3 6 4 7 2 3" xfId="17978"/>
    <cellStyle name="Separador de milhares 3 6 4 7 2 3 2" xfId="44467"/>
    <cellStyle name="Separador de milhares 3 6 4 7 2 4" xfId="12051"/>
    <cellStyle name="Separador de milhares 3 6 4 7 2 4 2" xfId="38559"/>
    <cellStyle name="Separador de milhares 3 6 4 7 2 5" xfId="32403"/>
    <cellStyle name="Separador de milhares 3 6 4 7 2 6" xfId="25869"/>
    <cellStyle name="Separador de milhares 3 6 4 7 3" xfId="7618"/>
    <cellStyle name="Separador de milhares 3 6 4 7 3 2" xfId="19472"/>
    <cellStyle name="Separador de milhares 3 6 4 7 3 2 2" xfId="45953"/>
    <cellStyle name="Separador de milhares 3 6 4 7 3 3" xfId="13545"/>
    <cellStyle name="Separador de milhares 3 6 4 7 3 3 2" xfId="40045"/>
    <cellStyle name="Separador de milhares 3 6 4 7 3 4" xfId="34137"/>
    <cellStyle name="Separador de milhares 3 6 4 7 3 5" xfId="27603"/>
    <cellStyle name="Separador de milhares 3 6 4 7 4" xfId="16508"/>
    <cellStyle name="Separador de milhares 3 6 4 7 4 2" xfId="42999"/>
    <cellStyle name="Separador de milhares 3 6 4 7 4 3" xfId="24097"/>
    <cellStyle name="Separador de milhares 3 6 4 7 5" xfId="10581"/>
    <cellStyle name="Separador de milhares 3 6 4 7 5 2" xfId="37091"/>
    <cellStyle name="Separador de milhares 3 6 4 7 6" xfId="30631"/>
    <cellStyle name="Separador de milhares 3 6 4 7 7" xfId="22325"/>
    <cellStyle name="Separador de milhares 3 6 4 8" xfId="4018"/>
    <cellStyle name="Separador de milhares 3 6 4 8 2" xfId="6023"/>
    <cellStyle name="Separador de milhares 3 6 4 8 2 2" xfId="9235"/>
    <cellStyle name="Separador de milhares 3 6 4 8 2 2 2" xfId="21089"/>
    <cellStyle name="Separador de milhares 3 6 4 8 2 2 2 2" xfId="47568"/>
    <cellStyle name="Separador de milhares 3 6 4 8 2 2 3" xfId="15162"/>
    <cellStyle name="Separador de milhares 3 6 4 8 2 2 3 2" xfId="41660"/>
    <cellStyle name="Separador de milhares 3 6 4 8 2 2 4" xfId="35752"/>
    <cellStyle name="Separador de milhares 3 6 4 8 2 2 5" xfId="29218"/>
    <cellStyle name="Separador de milhares 3 6 4 8 2 3" xfId="18125"/>
    <cellStyle name="Separador de milhares 3 6 4 8 2 3 2" xfId="44614"/>
    <cellStyle name="Separador de milhares 3 6 4 8 2 4" xfId="12198"/>
    <cellStyle name="Separador de milhares 3 6 4 8 2 4 2" xfId="38706"/>
    <cellStyle name="Separador de milhares 3 6 4 8 2 5" xfId="32550"/>
    <cellStyle name="Separador de milhares 3 6 4 8 2 6" xfId="26016"/>
    <cellStyle name="Separador de milhares 3 6 4 8 3" xfId="7766"/>
    <cellStyle name="Separador de milhares 3 6 4 8 3 2" xfId="19620"/>
    <cellStyle name="Separador de milhares 3 6 4 8 3 2 2" xfId="46100"/>
    <cellStyle name="Separador de milhares 3 6 4 8 3 3" xfId="13693"/>
    <cellStyle name="Separador de milhares 3 6 4 8 3 3 2" xfId="40192"/>
    <cellStyle name="Separador de milhares 3 6 4 8 3 4" xfId="34284"/>
    <cellStyle name="Separador de milhares 3 6 4 8 3 5" xfId="27750"/>
    <cellStyle name="Separador de milhares 3 6 4 8 4" xfId="16656"/>
    <cellStyle name="Separador de milhares 3 6 4 8 4 2" xfId="43146"/>
    <cellStyle name="Separador de milhares 3 6 4 8 4 3" xfId="24244"/>
    <cellStyle name="Separador de milhares 3 6 4 8 5" xfId="10729"/>
    <cellStyle name="Separador de milhares 3 6 4 8 5 2" xfId="37238"/>
    <cellStyle name="Separador de milhares 3 6 4 8 6" xfId="30778"/>
    <cellStyle name="Separador de milhares 3 6 4 8 7" xfId="22472"/>
    <cellStyle name="Separador de milhares 3 6 4 9" xfId="804"/>
    <cellStyle name="Separador de milhares 3 6 4 9 2" xfId="5117"/>
    <cellStyle name="Separador de milhares 3 6 4 9 2 2" xfId="8332"/>
    <cellStyle name="Separador de milhares 3 6 4 9 2 2 2" xfId="20186"/>
    <cellStyle name="Separador de milhares 3 6 4 9 2 2 2 2" xfId="46665"/>
    <cellStyle name="Separador de milhares 3 6 4 9 2 2 3" xfId="14259"/>
    <cellStyle name="Separador de milhares 3 6 4 9 2 2 3 2" xfId="40757"/>
    <cellStyle name="Separador de milhares 3 6 4 9 2 2 4" xfId="34849"/>
    <cellStyle name="Separador de milhares 3 6 4 9 2 2 5" xfId="28315"/>
    <cellStyle name="Separador de milhares 3 6 4 9 2 3" xfId="17222"/>
    <cellStyle name="Separador de milhares 3 6 4 9 2 3 2" xfId="43711"/>
    <cellStyle name="Separador de milhares 3 6 4 9 2 4" xfId="11295"/>
    <cellStyle name="Separador de milhares 3 6 4 9 2 4 2" xfId="37803"/>
    <cellStyle name="Separador de milhares 3 6 4 9 2 5" xfId="31644"/>
    <cellStyle name="Separador de milhares 3 6 4 9 2 6" xfId="25110"/>
    <cellStyle name="Separador de milhares 3 6 4 9 3" xfId="6859"/>
    <cellStyle name="Separador de milhares 3 6 4 9 3 2" xfId="18713"/>
    <cellStyle name="Separador de milhares 3 6 4 9 3 2 2" xfId="45197"/>
    <cellStyle name="Separador de milhares 3 6 4 9 3 3" xfId="12786"/>
    <cellStyle name="Separador de milhares 3 6 4 9 3 3 2" xfId="39289"/>
    <cellStyle name="Separador de milhares 3 6 4 9 3 4" xfId="33381"/>
    <cellStyle name="Separador de milhares 3 6 4 9 3 5" xfId="26847"/>
    <cellStyle name="Separador de milhares 3 6 4 9 4" xfId="15749"/>
    <cellStyle name="Separador de milhares 3 6 4 9 4 2" xfId="42243"/>
    <cellStyle name="Separador de milhares 3 6 4 9 4 3" xfId="23338"/>
    <cellStyle name="Separador de milhares 3 6 4 9 5" xfId="9822"/>
    <cellStyle name="Separador de milhares 3 6 4 9 5 2" xfId="36335"/>
    <cellStyle name="Separador de milhares 3 6 4 9 6" xfId="29872"/>
    <cellStyle name="Separador de milhares 3 6 4 9 7" xfId="21566"/>
    <cellStyle name="Separador de milhares 3 6 5" xfId="727"/>
    <cellStyle name="Separador de milhares 3 6 5 10" xfId="15712"/>
    <cellStyle name="Separador de milhares 3 6 5 10 2" xfId="42209"/>
    <cellStyle name="Separador de milhares 3 6 5 10 3" xfId="23304"/>
    <cellStyle name="Separador de milhares 3 6 5 11" xfId="9785"/>
    <cellStyle name="Separador de milhares 3 6 5 11 2" xfId="36301"/>
    <cellStyle name="Separador de milhares 3 6 5 12" xfId="29838"/>
    <cellStyle name="Separador de milhares 3 6 5 13" xfId="21532"/>
    <cellStyle name="Separador de milhares 3 6 5 2" xfId="1550"/>
    <cellStyle name="Separador de milhares 3 6 5 2 2" xfId="5334"/>
    <cellStyle name="Separador de milhares 3 6 5 2 2 2" xfId="8549"/>
    <cellStyle name="Separador de milhares 3 6 5 2 2 2 2" xfId="20403"/>
    <cellStyle name="Separador de milhares 3 6 5 2 2 2 2 2" xfId="46882"/>
    <cellStyle name="Separador de milhares 3 6 5 2 2 2 3" xfId="14476"/>
    <cellStyle name="Separador de milhares 3 6 5 2 2 2 3 2" xfId="40974"/>
    <cellStyle name="Separador de milhares 3 6 5 2 2 2 4" xfId="35066"/>
    <cellStyle name="Separador de milhares 3 6 5 2 2 2 5" xfId="28532"/>
    <cellStyle name="Separador de milhares 3 6 5 2 2 3" xfId="17439"/>
    <cellStyle name="Separador de milhares 3 6 5 2 2 3 2" xfId="43928"/>
    <cellStyle name="Separador de milhares 3 6 5 2 2 4" xfId="11512"/>
    <cellStyle name="Separador de milhares 3 6 5 2 2 4 2" xfId="38020"/>
    <cellStyle name="Separador de milhares 3 6 5 2 2 5" xfId="31861"/>
    <cellStyle name="Separador de milhares 3 6 5 2 2 6" xfId="25327"/>
    <cellStyle name="Separador de milhares 3 6 5 2 3" xfId="7076"/>
    <cellStyle name="Separador de milhares 3 6 5 2 3 2" xfId="18930"/>
    <cellStyle name="Separador de milhares 3 6 5 2 3 2 2" xfId="45414"/>
    <cellStyle name="Separador de milhares 3 6 5 2 3 3" xfId="13003"/>
    <cellStyle name="Separador de milhares 3 6 5 2 3 3 2" xfId="39506"/>
    <cellStyle name="Separador de milhares 3 6 5 2 3 4" xfId="33598"/>
    <cellStyle name="Separador de milhares 3 6 5 2 3 5" xfId="27064"/>
    <cellStyle name="Separador de milhares 3 6 5 2 4" xfId="15966"/>
    <cellStyle name="Separador de milhares 3 6 5 2 4 2" xfId="42460"/>
    <cellStyle name="Separador de milhares 3 6 5 2 4 3" xfId="23555"/>
    <cellStyle name="Separador de milhares 3 6 5 2 5" xfId="10039"/>
    <cellStyle name="Separador de milhares 3 6 5 2 5 2" xfId="36552"/>
    <cellStyle name="Separador de milhares 3 6 5 2 6" xfId="30089"/>
    <cellStyle name="Separador de milhares 3 6 5 2 7" xfId="21783"/>
    <cellStyle name="Separador de milhares 3 6 5 3" xfId="1985"/>
    <cellStyle name="Separador de milhares 3 6 5 3 2" xfId="5453"/>
    <cellStyle name="Separador de milhares 3 6 5 3 2 2" xfId="8668"/>
    <cellStyle name="Separador de milhares 3 6 5 3 2 2 2" xfId="20522"/>
    <cellStyle name="Separador de milhares 3 6 5 3 2 2 2 2" xfId="47001"/>
    <cellStyle name="Separador de milhares 3 6 5 3 2 2 3" xfId="14595"/>
    <cellStyle name="Separador de milhares 3 6 5 3 2 2 3 2" xfId="41093"/>
    <cellStyle name="Separador de milhares 3 6 5 3 2 2 4" xfId="35185"/>
    <cellStyle name="Separador de milhares 3 6 5 3 2 2 5" xfId="28651"/>
    <cellStyle name="Separador de milhares 3 6 5 3 2 3" xfId="17558"/>
    <cellStyle name="Separador de milhares 3 6 5 3 2 3 2" xfId="44047"/>
    <cellStyle name="Separador de milhares 3 6 5 3 2 4" xfId="11631"/>
    <cellStyle name="Separador de milhares 3 6 5 3 2 4 2" xfId="38139"/>
    <cellStyle name="Separador de milhares 3 6 5 3 2 5" xfId="31980"/>
    <cellStyle name="Separador de milhares 3 6 5 3 2 6" xfId="25446"/>
    <cellStyle name="Separador de milhares 3 6 5 3 3" xfId="7195"/>
    <cellStyle name="Separador de milhares 3 6 5 3 3 2" xfId="19049"/>
    <cellStyle name="Separador de milhares 3 6 5 3 3 2 2" xfId="45533"/>
    <cellStyle name="Separador de milhares 3 6 5 3 3 3" xfId="13122"/>
    <cellStyle name="Separador de milhares 3 6 5 3 3 3 2" xfId="39625"/>
    <cellStyle name="Separador de milhares 3 6 5 3 3 4" xfId="33717"/>
    <cellStyle name="Separador de milhares 3 6 5 3 3 5" xfId="27183"/>
    <cellStyle name="Separador de milhares 3 6 5 3 4" xfId="16085"/>
    <cellStyle name="Separador de milhares 3 6 5 3 4 2" xfId="42579"/>
    <cellStyle name="Separador de milhares 3 6 5 3 4 3" xfId="23674"/>
    <cellStyle name="Separador de milhares 3 6 5 3 5" xfId="10158"/>
    <cellStyle name="Separador de milhares 3 6 5 3 5 2" xfId="36671"/>
    <cellStyle name="Separador de milhares 3 6 5 3 6" xfId="30208"/>
    <cellStyle name="Separador de milhares 3 6 5 3 7" xfId="21902"/>
    <cellStyle name="Separador de milhares 3 6 5 4" xfId="2518"/>
    <cellStyle name="Separador de milhares 3 6 5 4 2" xfId="5603"/>
    <cellStyle name="Separador de milhares 3 6 5 4 2 2" xfId="8815"/>
    <cellStyle name="Separador de milhares 3 6 5 4 2 2 2" xfId="20669"/>
    <cellStyle name="Separador de milhares 3 6 5 4 2 2 2 2" xfId="47148"/>
    <cellStyle name="Separador de milhares 3 6 5 4 2 2 3" xfId="14742"/>
    <cellStyle name="Separador de milhares 3 6 5 4 2 2 3 2" xfId="41240"/>
    <cellStyle name="Separador de milhares 3 6 5 4 2 2 4" xfId="35332"/>
    <cellStyle name="Separador de milhares 3 6 5 4 2 2 5" xfId="28798"/>
    <cellStyle name="Separador de milhares 3 6 5 4 2 3" xfId="17705"/>
    <cellStyle name="Separador de milhares 3 6 5 4 2 3 2" xfId="44194"/>
    <cellStyle name="Separador de milhares 3 6 5 4 2 4" xfId="11778"/>
    <cellStyle name="Separador de milhares 3 6 5 4 2 4 2" xfId="38286"/>
    <cellStyle name="Separador de milhares 3 6 5 4 2 5" xfId="32130"/>
    <cellStyle name="Separador de milhares 3 6 5 4 2 6" xfId="25596"/>
    <cellStyle name="Separador de milhares 3 6 5 4 3" xfId="7343"/>
    <cellStyle name="Separador de milhares 3 6 5 4 3 2" xfId="19197"/>
    <cellStyle name="Separador de milhares 3 6 5 4 3 2 2" xfId="45680"/>
    <cellStyle name="Separador de milhares 3 6 5 4 3 3" xfId="13270"/>
    <cellStyle name="Separador de milhares 3 6 5 4 3 3 2" xfId="39772"/>
    <cellStyle name="Separador de milhares 3 6 5 4 3 4" xfId="33864"/>
    <cellStyle name="Separador de milhares 3 6 5 4 3 5" xfId="27330"/>
    <cellStyle name="Separador de milhares 3 6 5 4 4" xfId="16233"/>
    <cellStyle name="Separador de milhares 3 6 5 4 4 2" xfId="42726"/>
    <cellStyle name="Separador de milhares 3 6 5 4 4 3" xfId="23824"/>
    <cellStyle name="Separador de milhares 3 6 5 4 5" xfId="10306"/>
    <cellStyle name="Separador de milhares 3 6 5 4 5 2" xfId="36818"/>
    <cellStyle name="Separador de milhares 3 6 5 4 6" xfId="30358"/>
    <cellStyle name="Separador de milhares 3 6 5 4 7" xfId="22052"/>
    <cellStyle name="Separador de milhares 3 6 5 5" xfId="3046"/>
    <cellStyle name="Separador de milhares 3 6 5 5 2" xfId="5750"/>
    <cellStyle name="Separador de milhares 3 6 5 5 2 2" xfId="8962"/>
    <cellStyle name="Separador de milhares 3 6 5 5 2 2 2" xfId="20816"/>
    <cellStyle name="Separador de milhares 3 6 5 5 2 2 2 2" xfId="47295"/>
    <cellStyle name="Separador de milhares 3 6 5 5 2 2 3" xfId="14889"/>
    <cellStyle name="Separador de milhares 3 6 5 5 2 2 3 2" xfId="41387"/>
    <cellStyle name="Separador de milhares 3 6 5 5 2 2 4" xfId="35479"/>
    <cellStyle name="Separador de milhares 3 6 5 5 2 2 5" xfId="28945"/>
    <cellStyle name="Separador de milhares 3 6 5 5 2 3" xfId="17852"/>
    <cellStyle name="Separador de milhares 3 6 5 5 2 3 2" xfId="44341"/>
    <cellStyle name="Separador de milhares 3 6 5 5 2 4" xfId="11925"/>
    <cellStyle name="Separador de milhares 3 6 5 5 2 4 2" xfId="38433"/>
    <cellStyle name="Separador de milhares 3 6 5 5 2 5" xfId="32277"/>
    <cellStyle name="Separador de milhares 3 6 5 5 2 6" xfId="25743"/>
    <cellStyle name="Separador de milhares 3 6 5 5 3" xfId="7491"/>
    <cellStyle name="Separador de milhares 3 6 5 5 3 2" xfId="19345"/>
    <cellStyle name="Separador de milhares 3 6 5 5 3 2 2" xfId="45827"/>
    <cellStyle name="Separador de milhares 3 6 5 5 3 3" xfId="13418"/>
    <cellStyle name="Separador de milhares 3 6 5 5 3 3 2" xfId="39919"/>
    <cellStyle name="Separador de milhares 3 6 5 5 3 4" xfId="34011"/>
    <cellStyle name="Separador de milhares 3 6 5 5 3 5" xfId="27477"/>
    <cellStyle name="Separador de milhares 3 6 5 5 4" xfId="16381"/>
    <cellStyle name="Separador de milhares 3 6 5 5 4 2" xfId="42873"/>
    <cellStyle name="Separador de milhares 3 6 5 5 4 3" xfId="23971"/>
    <cellStyle name="Separador de milhares 3 6 5 5 5" xfId="10454"/>
    <cellStyle name="Separador de milhares 3 6 5 5 5 2" xfId="36965"/>
    <cellStyle name="Separador de milhares 3 6 5 5 6" xfId="30505"/>
    <cellStyle name="Separador de milhares 3 6 5 5 7" xfId="22199"/>
    <cellStyle name="Separador de milhares 3 6 5 6" xfId="3574"/>
    <cellStyle name="Separador de milhares 3 6 5 6 2" xfId="5897"/>
    <cellStyle name="Separador de milhares 3 6 5 6 2 2" xfId="9109"/>
    <cellStyle name="Separador de milhares 3 6 5 6 2 2 2" xfId="20963"/>
    <cellStyle name="Separador de milhares 3 6 5 6 2 2 2 2" xfId="47442"/>
    <cellStyle name="Separador de milhares 3 6 5 6 2 2 3" xfId="15036"/>
    <cellStyle name="Separador de milhares 3 6 5 6 2 2 3 2" xfId="41534"/>
    <cellStyle name="Separador de milhares 3 6 5 6 2 2 4" xfId="35626"/>
    <cellStyle name="Separador de milhares 3 6 5 6 2 2 5" xfId="29092"/>
    <cellStyle name="Separador de milhares 3 6 5 6 2 3" xfId="17999"/>
    <cellStyle name="Separador de milhares 3 6 5 6 2 3 2" xfId="44488"/>
    <cellStyle name="Separador de milhares 3 6 5 6 2 4" xfId="12072"/>
    <cellStyle name="Separador de milhares 3 6 5 6 2 4 2" xfId="38580"/>
    <cellStyle name="Separador de milhares 3 6 5 6 2 5" xfId="32424"/>
    <cellStyle name="Separador de milhares 3 6 5 6 2 6" xfId="25890"/>
    <cellStyle name="Separador de milhares 3 6 5 6 3" xfId="7639"/>
    <cellStyle name="Separador de milhares 3 6 5 6 3 2" xfId="19493"/>
    <cellStyle name="Separador de milhares 3 6 5 6 3 2 2" xfId="45974"/>
    <cellStyle name="Separador de milhares 3 6 5 6 3 3" xfId="13566"/>
    <cellStyle name="Separador de milhares 3 6 5 6 3 3 2" xfId="40066"/>
    <cellStyle name="Separador de milhares 3 6 5 6 3 4" xfId="34158"/>
    <cellStyle name="Separador de milhares 3 6 5 6 3 5" xfId="27624"/>
    <cellStyle name="Separador de milhares 3 6 5 6 4" xfId="16529"/>
    <cellStyle name="Separador de milhares 3 6 5 6 4 2" xfId="43020"/>
    <cellStyle name="Separador de milhares 3 6 5 6 4 3" xfId="24118"/>
    <cellStyle name="Separador de milhares 3 6 5 6 5" xfId="10602"/>
    <cellStyle name="Separador de milhares 3 6 5 6 5 2" xfId="37112"/>
    <cellStyle name="Separador de milhares 3 6 5 6 6" xfId="30652"/>
    <cellStyle name="Separador de milhares 3 6 5 6 7" xfId="22346"/>
    <cellStyle name="Separador de milhares 3 6 5 7" xfId="4102"/>
    <cellStyle name="Separador de milhares 3 6 5 7 2" xfId="6044"/>
    <cellStyle name="Separador de milhares 3 6 5 7 2 2" xfId="9256"/>
    <cellStyle name="Separador de milhares 3 6 5 7 2 2 2" xfId="21110"/>
    <cellStyle name="Separador de milhares 3 6 5 7 2 2 2 2" xfId="47589"/>
    <cellStyle name="Separador de milhares 3 6 5 7 2 2 3" xfId="15183"/>
    <cellStyle name="Separador de milhares 3 6 5 7 2 2 3 2" xfId="41681"/>
    <cellStyle name="Separador de milhares 3 6 5 7 2 2 4" xfId="35773"/>
    <cellStyle name="Separador de milhares 3 6 5 7 2 2 5" xfId="29239"/>
    <cellStyle name="Separador de milhares 3 6 5 7 2 3" xfId="18146"/>
    <cellStyle name="Separador de milhares 3 6 5 7 2 3 2" xfId="44635"/>
    <cellStyle name="Separador de milhares 3 6 5 7 2 4" xfId="12219"/>
    <cellStyle name="Separador de milhares 3 6 5 7 2 4 2" xfId="38727"/>
    <cellStyle name="Separador de milhares 3 6 5 7 2 5" xfId="32571"/>
    <cellStyle name="Separador de milhares 3 6 5 7 2 6" xfId="26037"/>
    <cellStyle name="Separador de milhares 3 6 5 7 3" xfId="7787"/>
    <cellStyle name="Separador de milhares 3 6 5 7 3 2" xfId="19641"/>
    <cellStyle name="Separador de milhares 3 6 5 7 3 2 2" xfId="46121"/>
    <cellStyle name="Separador de milhares 3 6 5 7 3 3" xfId="13714"/>
    <cellStyle name="Separador de milhares 3 6 5 7 3 3 2" xfId="40213"/>
    <cellStyle name="Separador de milhares 3 6 5 7 3 4" xfId="34305"/>
    <cellStyle name="Separador de milhares 3 6 5 7 3 5" xfId="27771"/>
    <cellStyle name="Separador de milhares 3 6 5 7 4" xfId="16677"/>
    <cellStyle name="Separador de milhares 3 6 5 7 4 2" xfId="43167"/>
    <cellStyle name="Separador de milhares 3 6 5 7 4 3" xfId="24265"/>
    <cellStyle name="Separador de milhares 3 6 5 7 5" xfId="10750"/>
    <cellStyle name="Separador de milhares 3 6 5 7 5 2" xfId="37259"/>
    <cellStyle name="Separador de milhares 3 6 5 7 6" xfId="30799"/>
    <cellStyle name="Separador de milhares 3 6 5 7 7" xfId="22493"/>
    <cellStyle name="Separador de milhares 3 6 5 8" xfId="5083"/>
    <cellStyle name="Separador de milhares 3 6 5 8 2" xfId="8298"/>
    <cellStyle name="Separador de milhares 3 6 5 8 2 2" xfId="20152"/>
    <cellStyle name="Separador de milhares 3 6 5 8 2 2 2" xfId="46631"/>
    <cellStyle name="Separador de milhares 3 6 5 8 2 3" xfId="14225"/>
    <cellStyle name="Separador de milhares 3 6 5 8 2 3 2" xfId="40723"/>
    <cellStyle name="Separador de milhares 3 6 5 8 2 4" xfId="34815"/>
    <cellStyle name="Separador de milhares 3 6 5 8 2 5" xfId="28281"/>
    <cellStyle name="Separador de milhares 3 6 5 8 3" xfId="17188"/>
    <cellStyle name="Separador de milhares 3 6 5 8 3 2" xfId="43677"/>
    <cellStyle name="Separador de milhares 3 6 5 8 4" xfId="11261"/>
    <cellStyle name="Separador de milhares 3 6 5 8 4 2" xfId="37769"/>
    <cellStyle name="Separador de milhares 3 6 5 8 5" xfId="31610"/>
    <cellStyle name="Separador de milhares 3 6 5 8 6" xfId="25076"/>
    <cellStyle name="Separador de milhares 3 6 5 9" xfId="6822"/>
    <cellStyle name="Separador de milhares 3 6 5 9 2" xfId="18676"/>
    <cellStyle name="Separador de milhares 3 6 5 9 2 2" xfId="45163"/>
    <cellStyle name="Separador de milhares 3 6 5 9 3" xfId="12749"/>
    <cellStyle name="Separador de milhares 3 6 5 9 3 2" xfId="39255"/>
    <cellStyle name="Separador de milhares 3 6 5 9 4" xfId="33347"/>
    <cellStyle name="Separador de milhares 3 6 5 9 5" xfId="26813"/>
    <cellStyle name="Separador de milhares 3 6 6" xfId="848"/>
    <cellStyle name="Separador de milhares 3 6 6 2" xfId="4279"/>
    <cellStyle name="Separador de milhares 3 6 6 2 2" xfId="6093"/>
    <cellStyle name="Separador de milhares 3 6 6 2 2 2" xfId="9305"/>
    <cellStyle name="Separador de milhares 3 6 6 2 2 2 2" xfId="21159"/>
    <cellStyle name="Separador de milhares 3 6 6 2 2 2 2 2" xfId="47638"/>
    <cellStyle name="Separador de milhares 3 6 6 2 2 2 3" xfId="15232"/>
    <cellStyle name="Separador de milhares 3 6 6 2 2 2 3 2" xfId="41730"/>
    <cellStyle name="Separador de milhares 3 6 6 2 2 2 4" xfId="35822"/>
    <cellStyle name="Separador de milhares 3 6 6 2 2 2 5" xfId="29288"/>
    <cellStyle name="Separador de milhares 3 6 6 2 2 3" xfId="18195"/>
    <cellStyle name="Separador de milhares 3 6 6 2 2 3 2" xfId="44684"/>
    <cellStyle name="Separador de milhares 3 6 6 2 2 4" xfId="12268"/>
    <cellStyle name="Separador de milhares 3 6 6 2 2 4 2" xfId="38776"/>
    <cellStyle name="Separador de milhares 3 6 6 2 2 5" xfId="32620"/>
    <cellStyle name="Separador de milhares 3 6 6 2 2 6" xfId="26086"/>
    <cellStyle name="Separador de milhares 3 6 6 2 3" xfId="7837"/>
    <cellStyle name="Separador de milhares 3 6 6 2 3 2" xfId="19691"/>
    <cellStyle name="Separador de milhares 3 6 6 2 3 2 2" xfId="46170"/>
    <cellStyle name="Separador de milhares 3 6 6 2 3 3" xfId="13764"/>
    <cellStyle name="Separador de milhares 3 6 6 2 3 3 2" xfId="40262"/>
    <cellStyle name="Separador de milhares 3 6 6 2 3 4" xfId="34354"/>
    <cellStyle name="Separador de milhares 3 6 6 2 3 5" xfId="27820"/>
    <cellStyle name="Separador de milhares 3 6 6 2 4" xfId="16727"/>
    <cellStyle name="Separador de milhares 3 6 6 2 4 2" xfId="43216"/>
    <cellStyle name="Separador de milhares 3 6 6 2 4 3" xfId="24314"/>
    <cellStyle name="Separador de milhares 3 6 6 2 5" xfId="10800"/>
    <cellStyle name="Separador de milhares 3 6 6 2 5 2" xfId="37308"/>
    <cellStyle name="Separador de milhares 3 6 6 2 6" xfId="30848"/>
    <cellStyle name="Separador de milhares 3 6 6 2 7" xfId="22542"/>
    <cellStyle name="Separador de milhares 3 6 6 3" xfId="5138"/>
    <cellStyle name="Separador de milhares 3 6 6 3 2" xfId="8353"/>
    <cellStyle name="Separador de milhares 3 6 6 3 2 2" xfId="20207"/>
    <cellStyle name="Separador de milhares 3 6 6 3 2 2 2" xfId="46686"/>
    <cellStyle name="Separador de milhares 3 6 6 3 2 3" xfId="14280"/>
    <cellStyle name="Separador de milhares 3 6 6 3 2 3 2" xfId="40778"/>
    <cellStyle name="Separador de milhares 3 6 6 3 2 4" xfId="34870"/>
    <cellStyle name="Separador de milhares 3 6 6 3 2 5" xfId="28336"/>
    <cellStyle name="Separador de milhares 3 6 6 3 3" xfId="17243"/>
    <cellStyle name="Separador de milhares 3 6 6 3 3 2" xfId="43732"/>
    <cellStyle name="Separador de milhares 3 6 6 3 4" xfId="11316"/>
    <cellStyle name="Separador de milhares 3 6 6 3 4 2" xfId="37824"/>
    <cellStyle name="Separador de milhares 3 6 6 3 5" xfId="31665"/>
    <cellStyle name="Separador de milhares 3 6 6 3 6" xfId="25131"/>
    <cellStyle name="Separador de milhares 3 6 6 4" xfId="6880"/>
    <cellStyle name="Separador de milhares 3 6 6 4 2" xfId="18734"/>
    <cellStyle name="Separador de milhares 3 6 6 4 2 2" xfId="45218"/>
    <cellStyle name="Separador de milhares 3 6 6 4 3" xfId="12807"/>
    <cellStyle name="Separador de milhares 3 6 6 4 3 2" xfId="39310"/>
    <cellStyle name="Separador de milhares 3 6 6 4 4" xfId="33402"/>
    <cellStyle name="Separador de milhares 3 6 6 4 5" xfId="26868"/>
    <cellStyle name="Separador de milhares 3 6 6 5" xfId="15770"/>
    <cellStyle name="Separador de milhares 3 6 6 5 2" xfId="42264"/>
    <cellStyle name="Separador de milhares 3 6 6 5 3" xfId="23359"/>
    <cellStyle name="Separador de milhares 3 6 6 6" xfId="9843"/>
    <cellStyle name="Separador de milhares 3 6 6 6 2" xfId="36356"/>
    <cellStyle name="Separador de milhares 3 6 6 7" xfId="29893"/>
    <cellStyle name="Separador de milhares 3 6 6 8" xfId="21587"/>
    <cellStyle name="Separador de milhares 3 6 7" xfId="1199"/>
    <cellStyle name="Separador de milhares 3 6 7 2" xfId="5236"/>
    <cellStyle name="Separador de milhares 3 6 7 2 2" xfId="8451"/>
    <cellStyle name="Separador de milhares 3 6 7 2 2 2" xfId="20305"/>
    <cellStyle name="Separador de milhares 3 6 7 2 2 2 2" xfId="46784"/>
    <cellStyle name="Separador de milhares 3 6 7 2 2 3" xfId="14378"/>
    <cellStyle name="Separador de milhares 3 6 7 2 2 3 2" xfId="40876"/>
    <cellStyle name="Separador de milhares 3 6 7 2 2 4" xfId="34968"/>
    <cellStyle name="Separador de milhares 3 6 7 2 2 5" xfId="28434"/>
    <cellStyle name="Separador de milhares 3 6 7 2 3" xfId="17341"/>
    <cellStyle name="Separador de milhares 3 6 7 2 3 2" xfId="43830"/>
    <cellStyle name="Separador de milhares 3 6 7 2 4" xfId="11414"/>
    <cellStyle name="Separador de milhares 3 6 7 2 4 2" xfId="37922"/>
    <cellStyle name="Separador de milhares 3 6 7 2 5" xfId="31763"/>
    <cellStyle name="Separador de milhares 3 6 7 2 6" xfId="25229"/>
    <cellStyle name="Separador de milhares 3 6 7 3" xfId="6978"/>
    <cellStyle name="Separador de milhares 3 6 7 3 2" xfId="18832"/>
    <cellStyle name="Separador de milhares 3 6 7 3 2 2" xfId="45316"/>
    <cellStyle name="Separador de milhares 3 6 7 3 3" xfId="12905"/>
    <cellStyle name="Separador de milhares 3 6 7 3 3 2" xfId="39408"/>
    <cellStyle name="Separador de milhares 3 6 7 3 4" xfId="33500"/>
    <cellStyle name="Separador de milhares 3 6 7 3 5" xfId="26966"/>
    <cellStyle name="Separador de milhares 3 6 7 4" xfId="15868"/>
    <cellStyle name="Separador de milhares 3 6 7 4 2" xfId="42362"/>
    <cellStyle name="Separador de milhares 3 6 7 4 3" xfId="23457"/>
    <cellStyle name="Separador de milhares 3 6 7 5" xfId="9941"/>
    <cellStyle name="Separador de milhares 3 6 7 5 2" xfId="36454"/>
    <cellStyle name="Separador de milhares 3 6 7 6" xfId="29991"/>
    <cellStyle name="Separador de milhares 3 6 7 7" xfId="21685"/>
    <cellStyle name="Separador de milhares 3 6 8" xfId="1634"/>
    <cellStyle name="Separador de milhares 3 6 8 2" xfId="5355"/>
    <cellStyle name="Separador de milhares 3 6 8 2 2" xfId="8570"/>
    <cellStyle name="Separador de milhares 3 6 8 2 2 2" xfId="20424"/>
    <cellStyle name="Separador de milhares 3 6 8 2 2 2 2" xfId="46903"/>
    <cellStyle name="Separador de milhares 3 6 8 2 2 3" xfId="14497"/>
    <cellStyle name="Separador de milhares 3 6 8 2 2 3 2" xfId="40995"/>
    <cellStyle name="Separador de milhares 3 6 8 2 2 4" xfId="35087"/>
    <cellStyle name="Separador de milhares 3 6 8 2 2 5" xfId="28553"/>
    <cellStyle name="Separador de milhares 3 6 8 2 3" xfId="17460"/>
    <cellStyle name="Separador de milhares 3 6 8 2 3 2" xfId="43949"/>
    <cellStyle name="Separador de milhares 3 6 8 2 4" xfId="11533"/>
    <cellStyle name="Separador de milhares 3 6 8 2 4 2" xfId="38041"/>
    <cellStyle name="Separador de milhares 3 6 8 2 5" xfId="31882"/>
    <cellStyle name="Separador de milhares 3 6 8 2 6" xfId="25348"/>
    <cellStyle name="Separador de milhares 3 6 8 3" xfId="7097"/>
    <cellStyle name="Separador de milhares 3 6 8 3 2" xfId="18951"/>
    <cellStyle name="Separador de milhares 3 6 8 3 2 2" xfId="45435"/>
    <cellStyle name="Separador de milhares 3 6 8 3 3" xfId="13024"/>
    <cellStyle name="Separador de milhares 3 6 8 3 3 2" xfId="39527"/>
    <cellStyle name="Separador de milhares 3 6 8 3 4" xfId="33619"/>
    <cellStyle name="Separador de milhares 3 6 8 3 5" xfId="27085"/>
    <cellStyle name="Separador de milhares 3 6 8 4" xfId="15987"/>
    <cellStyle name="Separador de milhares 3 6 8 4 2" xfId="42481"/>
    <cellStyle name="Separador de milhares 3 6 8 4 3" xfId="23576"/>
    <cellStyle name="Separador de milhares 3 6 8 5" xfId="10060"/>
    <cellStyle name="Separador de milhares 3 6 8 5 2" xfId="36573"/>
    <cellStyle name="Separador de milhares 3 6 8 6" xfId="30110"/>
    <cellStyle name="Separador de milhares 3 6 8 7" xfId="21804"/>
    <cellStyle name="Separador de milhares 3 6 9" xfId="2167"/>
    <cellStyle name="Separador de milhares 3 6 9 2" xfId="5505"/>
    <cellStyle name="Separador de milhares 3 6 9 2 2" xfId="8717"/>
    <cellStyle name="Separador de milhares 3 6 9 2 2 2" xfId="20571"/>
    <cellStyle name="Separador de milhares 3 6 9 2 2 2 2" xfId="47050"/>
    <cellStyle name="Separador de milhares 3 6 9 2 2 3" xfId="14644"/>
    <cellStyle name="Separador de milhares 3 6 9 2 2 3 2" xfId="41142"/>
    <cellStyle name="Separador de milhares 3 6 9 2 2 4" xfId="35234"/>
    <cellStyle name="Separador de milhares 3 6 9 2 2 5" xfId="28700"/>
    <cellStyle name="Separador de milhares 3 6 9 2 3" xfId="17607"/>
    <cellStyle name="Separador de milhares 3 6 9 2 3 2" xfId="44096"/>
    <cellStyle name="Separador de milhares 3 6 9 2 4" xfId="11680"/>
    <cellStyle name="Separador de milhares 3 6 9 2 4 2" xfId="38188"/>
    <cellStyle name="Separador de milhares 3 6 9 2 5" xfId="32032"/>
    <cellStyle name="Separador de milhares 3 6 9 2 6" xfId="25498"/>
    <cellStyle name="Separador de milhares 3 6 9 3" xfId="7245"/>
    <cellStyle name="Separador de milhares 3 6 9 3 2" xfId="19099"/>
    <cellStyle name="Separador de milhares 3 6 9 3 2 2" xfId="45582"/>
    <cellStyle name="Separador de milhares 3 6 9 3 3" xfId="13172"/>
    <cellStyle name="Separador de milhares 3 6 9 3 3 2" xfId="39674"/>
    <cellStyle name="Separador de milhares 3 6 9 3 4" xfId="33766"/>
    <cellStyle name="Separador de milhares 3 6 9 3 5" xfId="27232"/>
    <cellStyle name="Separador de milhares 3 6 9 4" xfId="16135"/>
    <cellStyle name="Separador de milhares 3 6 9 4 2" xfId="42628"/>
    <cellStyle name="Separador de milhares 3 6 9 4 3" xfId="23726"/>
    <cellStyle name="Separador de milhares 3 6 9 5" xfId="10208"/>
    <cellStyle name="Separador de milhares 3 6 9 5 2" xfId="36720"/>
    <cellStyle name="Separador de milhares 3 6 9 6" xfId="30260"/>
    <cellStyle name="Separador de milhares 3 6 9 7" xfId="21954"/>
    <cellStyle name="Separador de milhares 3 7" xfId="189"/>
    <cellStyle name="Separador de milhares 3 7 10" xfId="2699"/>
    <cellStyle name="Separador de milhares 3 7 10 2" xfId="5653"/>
    <cellStyle name="Separador de milhares 3 7 10 2 2" xfId="8865"/>
    <cellStyle name="Separador de milhares 3 7 10 2 2 2" xfId="20719"/>
    <cellStyle name="Separador de milhares 3 7 10 2 2 2 2" xfId="47198"/>
    <cellStyle name="Separador de milhares 3 7 10 2 2 3" xfId="14792"/>
    <cellStyle name="Separador de milhares 3 7 10 2 2 3 2" xfId="41290"/>
    <cellStyle name="Separador de milhares 3 7 10 2 2 4" xfId="35382"/>
    <cellStyle name="Separador de milhares 3 7 10 2 2 5" xfId="28848"/>
    <cellStyle name="Separador de milhares 3 7 10 2 3" xfId="17755"/>
    <cellStyle name="Separador de milhares 3 7 10 2 3 2" xfId="44244"/>
    <cellStyle name="Separador de milhares 3 7 10 2 4" xfId="11828"/>
    <cellStyle name="Separador de milhares 3 7 10 2 4 2" xfId="38336"/>
    <cellStyle name="Separador de milhares 3 7 10 2 5" xfId="32180"/>
    <cellStyle name="Separador de milhares 3 7 10 2 6" xfId="25646"/>
    <cellStyle name="Separador de milhares 3 7 10 3" xfId="7394"/>
    <cellStyle name="Separador de milhares 3 7 10 3 2" xfId="19248"/>
    <cellStyle name="Separador de milhares 3 7 10 3 2 2" xfId="45730"/>
    <cellStyle name="Separador de milhares 3 7 10 3 3" xfId="13321"/>
    <cellStyle name="Separador de milhares 3 7 10 3 3 2" xfId="39822"/>
    <cellStyle name="Separador de milhares 3 7 10 3 4" xfId="33914"/>
    <cellStyle name="Separador de milhares 3 7 10 3 5" xfId="27380"/>
    <cellStyle name="Separador de milhares 3 7 10 4" xfId="16284"/>
    <cellStyle name="Separador de milhares 3 7 10 4 2" xfId="42776"/>
    <cellStyle name="Separador de milhares 3 7 10 4 3" xfId="23874"/>
    <cellStyle name="Separador de milhares 3 7 10 5" xfId="10357"/>
    <cellStyle name="Separador de milhares 3 7 10 5 2" xfId="36868"/>
    <cellStyle name="Separador de milhares 3 7 10 6" xfId="30408"/>
    <cellStyle name="Separador de milhares 3 7 10 7" xfId="22102"/>
    <cellStyle name="Separador de milhares 3 7 11" xfId="3227"/>
    <cellStyle name="Separador de milhares 3 7 11 2" xfId="5800"/>
    <cellStyle name="Separador de milhares 3 7 11 2 2" xfId="9012"/>
    <cellStyle name="Separador de milhares 3 7 11 2 2 2" xfId="20866"/>
    <cellStyle name="Separador de milhares 3 7 11 2 2 2 2" xfId="47345"/>
    <cellStyle name="Separador de milhares 3 7 11 2 2 3" xfId="14939"/>
    <cellStyle name="Separador de milhares 3 7 11 2 2 3 2" xfId="41437"/>
    <cellStyle name="Separador de milhares 3 7 11 2 2 4" xfId="35529"/>
    <cellStyle name="Separador de milhares 3 7 11 2 2 5" xfId="28995"/>
    <cellStyle name="Separador de milhares 3 7 11 2 3" xfId="17902"/>
    <cellStyle name="Separador de milhares 3 7 11 2 3 2" xfId="44391"/>
    <cellStyle name="Separador de milhares 3 7 11 2 4" xfId="11975"/>
    <cellStyle name="Separador de milhares 3 7 11 2 4 2" xfId="38483"/>
    <cellStyle name="Separador de milhares 3 7 11 2 5" xfId="32327"/>
    <cellStyle name="Separador de milhares 3 7 11 2 6" xfId="25793"/>
    <cellStyle name="Separador de milhares 3 7 11 3" xfId="7542"/>
    <cellStyle name="Separador de milhares 3 7 11 3 2" xfId="19396"/>
    <cellStyle name="Separador de milhares 3 7 11 3 2 2" xfId="45877"/>
    <cellStyle name="Separador de milhares 3 7 11 3 3" xfId="13469"/>
    <cellStyle name="Separador de milhares 3 7 11 3 3 2" xfId="39969"/>
    <cellStyle name="Separador de milhares 3 7 11 3 4" xfId="34061"/>
    <cellStyle name="Separador de milhares 3 7 11 3 5" xfId="27527"/>
    <cellStyle name="Separador de milhares 3 7 11 4" xfId="16432"/>
    <cellStyle name="Separador de milhares 3 7 11 4 2" xfId="42923"/>
    <cellStyle name="Separador de milhares 3 7 11 4 3" xfId="24021"/>
    <cellStyle name="Separador de milhares 3 7 11 5" xfId="10505"/>
    <cellStyle name="Separador de milhares 3 7 11 5 2" xfId="37015"/>
    <cellStyle name="Separador de milhares 3 7 11 6" xfId="30555"/>
    <cellStyle name="Separador de milhares 3 7 11 7" xfId="22249"/>
    <cellStyle name="Separador de milhares 3 7 12" xfId="3755"/>
    <cellStyle name="Separador de milhares 3 7 12 2" xfId="5947"/>
    <cellStyle name="Separador de milhares 3 7 12 2 2" xfId="9159"/>
    <cellStyle name="Separador de milhares 3 7 12 2 2 2" xfId="21013"/>
    <cellStyle name="Separador de milhares 3 7 12 2 2 2 2" xfId="47492"/>
    <cellStyle name="Separador de milhares 3 7 12 2 2 3" xfId="15086"/>
    <cellStyle name="Separador de milhares 3 7 12 2 2 3 2" xfId="41584"/>
    <cellStyle name="Separador de milhares 3 7 12 2 2 4" xfId="35676"/>
    <cellStyle name="Separador de milhares 3 7 12 2 2 5" xfId="29142"/>
    <cellStyle name="Separador de milhares 3 7 12 2 3" xfId="18049"/>
    <cellStyle name="Separador de milhares 3 7 12 2 3 2" xfId="44538"/>
    <cellStyle name="Separador de milhares 3 7 12 2 4" xfId="12122"/>
    <cellStyle name="Separador de milhares 3 7 12 2 4 2" xfId="38630"/>
    <cellStyle name="Separador de milhares 3 7 12 2 5" xfId="32474"/>
    <cellStyle name="Separador de milhares 3 7 12 2 6" xfId="25940"/>
    <cellStyle name="Separador de milhares 3 7 12 3" xfId="7690"/>
    <cellStyle name="Separador de milhares 3 7 12 3 2" xfId="19544"/>
    <cellStyle name="Separador de milhares 3 7 12 3 2 2" xfId="46024"/>
    <cellStyle name="Separador de milhares 3 7 12 3 3" xfId="13617"/>
    <cellStyle name="Separador de milhares 3 7 12 3 3 2" xfId="40116"/>
    <cellStyle name="Separador de milhares 3 7 12 3 4" xfId="34208"/>
    <cellStyle name="Separador de milhares 3 7 12 3 5" xfId="27674"/>
    <cellStyle name="Separador de milhares 3 7 12 4" xfId="16580"/>
    <cellStyle name="Separador de milhares 3 7 12 4 2" xfId="43070"/>
    <cellStyle name="Separador de milhares 3 7 12 4 3" xfId="24168"/>
    <cellStyle name="Separador de milhares 3 7 12 5" xfId="10653"/>
    <cellStyle name="Separador de milhares 3 7 12 5 2" xfId="37162"/>
    <cellStyle name="Separador de milhares 3 7 12 6" xfId="30702"/>
    <cellStyle name="Separador de milhares 3 7 12 7" xfId="22396"/>
    <cellStyle name="Separador de milhares 3 7 13" xfId="4931"/>
    <cellStyle name="Separador de milhares 3 7 13 2" xfId="8155"/>
    <cellStyle name="Separador de milhares 3 7 13 2 2" xfId="20009"/>
    <cellStyle name="Separador de milhares 3 7 13 2 2 2" xfId="46488"/>
    <cellStyle name="Separador de milhares 3 7 13 2 3" xfId="14082"/>
    <cellStyle name="Separador de milhares 3 7 13 2 3 2" xfId="40580"/>
    <cellStyle name="Separador de milhares 3 7 13 2 4" xfId="34672"/>
    <cellStyle name="Separador de milhares 3 7 13 2 5" xfId="28138"/>
    <cellStyle name="Separador de milhares 3 7 13 3" xfId="17045"/>
    <cellStyle name="Separador de milhares 3 7 13 3 2" xfId="43534"/>
    <cellStyle name="Separador de milhares 3 7 13 4" xfId="11118"/>
    <cellStyle name="Separador de milhares 3 7 13 4 2" xfId="37626"/>
    <cellStyle name="Separador de milhares 3 7 13 5" xfId="31458"/>
    <cellStyle name="Separador de milhares 3 7 13 6" xfId="24924"/>
    <cellStyle name="Separador de milhares 3 7 14" xfId="6679"/>
    <cellStyle name="Separador de milhares 3 7 14 2" xfId="18533"/>
    <cellStyle name="Separador de milhares 3 7 14 2 2" xfId="45020"/>
    <cellStyle name="Separador de milhares 3 7 14 3" xfId="12606"/>
    <cellStyle name="Separador de milhares 3 7 14 3 2" xfId="39112"/>
    <cellStyle name="Separador de milhares 3 7 14 4" xfId="33204"/>
    <cellStyle name="Separador de milhares 3 7 14 5" xfId="26670"/>
    <cellStyle name="Separador de milhares 3 7 15" xfId="15569"/>
    <cellStyle name="Separador de milhares 3 7 15 2" xfId="42066"/>
    <cellStyle name="Separador de milhares 3 7 15 3" xfId="23152"/>
    <cellStyle name="Separador de milhares 3 7 16" xfId="9642"/>
    <cellStyle name="Separador de milhares 3 7 16 2" xfId="36158"/>
    <cellStyle name="Separador de milhares 3 7 17" xfId="29686"/>
    <cellStyle name="Separador de milhares 3 7 2" xfId="283"/>
    <cellStyle name="Separador de milhares 3 7 2 10" xfId="4960"/>
    <cellStyle name="Separador de milhares 3 7 2 10 2" xfId="8182"/>
    <cellStyle name="Separador de milhares 3 7 2 10 2 2" xfId="20036"/>
    <cellStyle name="Separador de milhares 3 7 2 10 2 2 2" xfId="46515"/>
    <cellStyle name="Separador de milhares 3 7 2 10 2 3" xfId="14109"/>
    <cellStyle name="Separador de milhares 3 7 2 10 2 3 2" xfId="40607"/>
    <cellStyle name="Separador de milhares 3 7 2 10 2 4" xfId="34699"/>
    <cellStyle name="Separador de milhares 3 7 2 10 2 5" xfId="28165"/>
    <cellStyle name="Separador de milhares 3 7 2 10 3" xfId="17072"/>
    <cellStyle name="Separador de milhares 3 7 2 10 3 2" xfId="43561"/>
    <cellStyle name="Separador de milhares 3 7 2 10 4" xfId="11145"/>
    <cellStyle name="Separador de milhares 3 7 2 10 4 2" xfId="37653"/>
    <cellStyle name="Separador de milhares 3 7 2 10 5" xfId="31487"/>
    <cellStyle name="Separador de milhares 3 7 2 10 6" xfId="24953"/>
    <cellStyle name="Separador de milhares 3 7 2 11" xfId="6706"/>
    <cellStyle name="Separador de milhares 3 7 2 11 2" xfId="18560"/>
    <cellStyle name="Separador de milhares 3 7 2 11 2 2" xfId="45047"/>
    <cellStyle name="Separador de milhares 3 7 2 11 3" xfId="12633"/>
    <cellStyle name="Separador de milhares 3 7 2 11 3 2" xfId="39139"/>
    <cellStyle name="Separador de milhares 3 7 2 11 4" xfId="33231"/>
    <cellStyle name="Separador de milhares 3 7 2 11 5" xfId="26697"/>
    <cellStyle name="Separador de milhares 3 7 2 12" xfId="15596"/>
    <cellStyle name="Separador de milhares 3 7 2 12 2" xfId="42093"/>
    <cellStyle name="Separador de milhares 3 7 2 12 3" xfId="23181"/>
    <cellStyle name="Separador de milhares 3 7 2 13" xfId="9669"/>
    <cellStyle name="Separador de milhares 3 7 2 13 2" xfId="36185"/>
    <cellStyle name="Separador de milhares 3 7 2 14" xfId="29715"/>
    <cellStyle name="Separador de milhares 3 7 2 15" xfId="21433"/>
    <cellStyle name="Separador de milhares 3 7 2 2" xfId="558"/>
    <cellStyle name="Separador de milhares 3 7 2 2 10" xfId="9743"/>
    <cellStyle name="Separador de milhares 3 7 2 2 10 2" xfId="36259"/>
    <cellStyle name="Separador de milhares 3 7 2 2 11" xfId="29796"/>
    <cellStyle name="Separador de milhares 3 7 2 2 12" xfId="21491"/>
    <cellStyle name="Separador de milhares 3 7 2 2 2" xfId="2079"/>
    <cellStyle name="Separador de milhares 3 7 2 2 2 2" xfId="5479"/>
    <cellStyle name="Separador de milhares 3 7 2 2 2 2 2" xfId="8694"/>
    <cellStyle name="Separador de milhares 3 7 2 2 2 2 2 2" xfId="20548"/>
    <cellStyle name="Separador de milhares 3 7 2 2 2 2 2 2 2" xfId="47027"/>
    <cellStyle name="Separador de milhares 3 7 2 2 2 2 2 3" xfId="14621"/>
    <cellStyle name="Separador de milhares 3 7 2 2 2 2 2 3 2" xfId="41119"/>
    <cellStyle name="Separador de milhares 3 7 2 2 2 2 2 4" xfId="35211"/>
    <cellStyle name="Separador de milhares 3 7 2 2 2 2 2 5" xfId="28677"/>
    <cellStyle name="Separador de milhares 3 7 2 2 2 2 3" xfId="17584"/>
    <cellStyle name="Separador de milhares 3 7 2 2 2 2 3 2" xfId="44073"/>
    <cellStyle name="Separador de milhares 3 7 2 2 2 2 4" xfId="11657"/>
    <cellStyle name="Separador de milhares 3 7 2 2 2 2 4 2" xfId="38165"/>
    <cellStyle name="Separador de milhares 3 7 2 2 2 2 5" xfId="32006"/>
    <cellStyle name="Separador de milhares 3 7 2 2 2 2 6" xfId="25472"/>
    <cellStyle name="Separador de milhares 3 7 2 2 2 3" xfId="7222"/>
    <cellStyle name="Separador de milhares 3 7 2 2 2 3 2" xfId="19076"/>
    <cellStyle name="Separador de milhares 3 7 2 2 2 3 2 2" xfId="45559"/>
    <cellStyle name="Separador de milhares 3 7 2 2 2 3 3" xfId="13149"/>
    <cellStyle name="Separador de milhares 3 7 2 2 2 3 3 2" xfId="39651"/>
    <cellStyle name="Separador de milhares 3 7 2 2 2 3 4" xfId="33743"/>
    <cellStyle name="Separador de milhares 3 7 2 2 2 3 5" xfId="27209"/>
    <cellStyle name="Separador de milhares 3 7 2 2 2 4" xfId="16112"/>
    <cellStyle name="Separador de milhares 3 7 2 2 2 4 2" xfId="42605"/>
    <cellStyle name="Separador de milhares 3 7 2 2 2 4 3" xfId="23700"/>
    <cellStyle name="Separador de milhares 3 7 2 2 2 5" xfId="10185"/>
    <cellStyle name="Separador de milhares 3 7 2 2 2 5 2" xfId="36697"/>
    <cellStyle name="Separador de milhares 3 7 2 2 2 6" xfId="30234"/>
    <cellStyle name="Separador de milhares 3 7 2 2 2 7" xfId="21928"/>
    <cellStyle name="Separador de milhares 3 7 2 2 3" xfId="2612"/>
    <cellStyle name="Separador de milhares 3 7 2 2 3 2" xfId="5629"/>
    <cellStyle name="Separador de milhares 3 7 2 2 3 2 2" xfId="8841"/>
    <cellStyle name="Separador de milhares 3 7 2 2 3 2 2 2" xfId="20695"/>
    <cellStyle name="Separador de milhares 3 7 2 2 3 2 2 2 2" xfId="47174"/>
    <cellStyle name="Separador de milhares 3 7 2 2 3 2 2 3" xfId="14768"/>
    <cellStyle name="Separador de milhares 3 7 2 2 3 2 2 3 2" xfId="41266"/>
    <cellStyle name="Separador de milhares 3 7 2 2 3 2 2 4" xfId="35358"/>
    <cellStyle name="Separador de milhares 3 7 2 2 3 2 2 5" xfId="28824"/>
    <cellStyle name="Separador de milhares 3 7 2 2 3 2 3" xfId="17731"/>
    <cellStyle name="Separador de milhares 3 7 2 2 3 2 3 2" xfId="44220"/>
    <cellStyle name="Separador de milhares 3 7 2 2 3 2 4" xfId="11804"/>
    <cellStyle name="Separador de milhares 3 7 2 2 3 2 4 2" xfId="38312"/>
    <cellStyle name="Separador de milhares 3 7 2 2 3 2 5" xfId="32156"/>
    <cellStyle name="Separador de milhares 3 7 2 2 3 2 6" xfId="25622"/>
    <cellStyle name="Separador de milhares 3 7 2 2 3 3" xfId="7370"/>
    <cellStyle name="Separador de milhares 3 7 2 2 3 3 2" xfId="19224"/>
    <cellStyle name="Separador de milhares 3 7 2 2 3 3 2 2" xfId="45706"/>
    <cellStyle name="Separador de milhares 3 7 2 2 3 3 3" xfId="13297"/>
    <cellStyle name="Separador de milhares 3 7 2 2 3 3 3 2" xfId="39798"/>
    <cellStyle name="Separador de milhares 3 7 2 2 3 3 4" xfId="33890"/>
    <cellStyle name="Separador de milhares 3 7 2 2 3 3 5" xfId="27356"/>
    <cellStyle name="Separador de milhares 3 7 2 2 3 4" xfId="16260"/>
    <cellStyle name="Separador de milhares 3 7 2 2 3 4 2" xfId="42752"/>
    <cellStyle name="Separador de milhares 3 7 2 2 3 4 3" xfId="23850"/>
    <cellStyle name="Separador de milhares 3 7 2 2 3 5" xfId="10333"/>
    <cellStyle name="Separador de milhares 3 7 2 2 3 5 2" xfId="36844"/>
    <cellStyle name="Separador de milhares 3 7 2 2 3 6" xfId="30384"/>
    <cellStyle name="Separador de milhares 3 7 2 2 3 7" xfId="22078"/>
    <cellStyle name="Separador de milhares 3 7 2 2 4" xfId="3140"/>
    <cellStyle name="Separador de milhares 3 7 2 2 4 2" xfId="5776"/>
    <cellStyle name="Separador de milhares 3 7 2 2 4 2 2" xfId="8988"/>
    <cellStyle name="Separador de milhares 3 7 2 2 4 2 2 2" xfId="20842"/>
    <cellStyle name="Separador de milhares 3 7 2 2 4 2 2 2 2" xfId="47321"/>
    <cellStyle name="Separador de milhares 3 7 2 2 4 2 2 3" xfId="14915"/>
    <cellStyle name="Separador de milhares 3 7 2 2 4 2 2 3 2" xfId="41413"/>
    <cellStyle name="Separador de milhares 3 7 2 2 4 2 2 4" xfId="35505"/>
    <cellStyle name="Separador de milhares 3 7 2 2 4 2 2 5" xfId="28971"/>
    <cellStyle name="Separador de milhares 3 7 2 2 4 2 3" xfId="17878"/>
    <cellStyle name="Separador de milhares 3 7 2 2 4 2 3 2" xfId="44367"/>
    <cellStyle name="Separador de milhares 3 7 2 2 4 2 4" xfId="11951"/>
    <cellStyle name="Separador de milhares 3 7 2 2 4 2 4 2" xfId="38459"/>
    <cellStyle name="Separador de milhares 3 7 2 2 4 2 5" xfId="32303"/>
    <cellStyle name="Separador de milhares 3 7 2 2 4 2 6" xfId="25769"/>
    <cellStyle name="Separador de milhares 3 7 2 2 4 3" xfId="7518"/>
    <cellStyle name="Separador de milhares 3 7 2 2 4 3 2" xfId="19372"/>
    <cellStyle name="Separador de milhares 3 7 2 2 4 3 2 2" xfId="45853"/>
    <cellStyle name="Separador de milhares 3 7 2 2 4 3 3" xfId="13445"/>
    <cellStyle name="Separador de milhares 3 7 2 2 4 3 3 2" xfId="39945"/>
    <cellStyle name="Separador de milhares 3 7 2 2 4 3 4" xfId="34037"/>
    <cellStyle name="Separador de milhares 3 7 2 2 4 3 5" xfId="27503"/>
    <cellStyle name="Separador de milhares 3 7 2 2 4 4" xfId="16408"/>
    <cellStyle name="Separador de milhares 3 7 2 2 4 4 2" xfId="42899"/>
    <cellStyle name="Separador de milhares 3 7 2 2 4 4 3" xfId="23997"/>
    <cellStyle name="Separador de milhares 3 7 2 2 4 5" xfId="10481"/>
    <cellStyle name="Separador de milhares 3 7 2 2 4 5 2" xfId="36991"/>
    <cellStyle name="Separador de milhares 3 7 2 2 4 6" xfId="30531"/>
    <cellStyle name="Separador de milhares 3 7 2 2 4 7" xfId="22225"/>
    <cellStyle name="Separador de milhares 3 7 2 2 5" xfId="3668"/>
    <cellStyle name="Separador de milhares 3 7 2 2 5 2" xfId="5923"/>
    <cellStyle name="Separador de milhares 3 7 2 2 5 2 2" xfId="9135"/>
    <cellStyle name="Separador de milhares 3 7 2 2 5 2 2 2" xfId="20989"/>
    <cellStyle name="Separador de milhares 3 7 2 2 5 2 2 2 2" xfId="47468"/>
    <cellStyle name="Separador de milhares 3 7 2 2 5 2 2 3" xfId="15062"/>
    <cellStyle name="Separador de milhares 3 7 2 2 5 2 2 3 2" xfId="41560"/>
    <cellStyle name="Separador de milhares 3 7 2 2 5 2 2 4" xfId="35652"/>
    <cellStyle name="Separador de milhares 3 7 2 2 5 2 2 5" xfId="29118"/>
    <cellStyle name="Separador de milhares 3 7 2 2 5 2 3" xfId="18025"/>
    <cellStyle name="Separador de milhares 3 7 2 2 5 2 3 2" xfId="44514"/>
    <cellStyle name="Separador de milhares 3 7 2 2 5 2 4" xfId="12098"/>
    <cellStyle name="Separador de milhares 3 7 2 2 5 2 4 2" xfId="38606"/>
    <cellStyle name="Separador de milhares 3 7 2 2 5 2 5" xfId="32450"/>
    <cellStyle name="Separador de milhares 3 7 2 2 5 2 6" xfId="25916"/>
    <cellStyle name="Separador de milhares 3 7 2 2 5 3" xfId="7666"/>
    <cellStyle name="Separador de milhares 3 7 2 2 5 3 2" xfId="19520"/>
    <cellStyle name="Separador de milhares 3 7 2 2 5 3 2 2" xfId="46000"/>
    <cellStyle name="Separador de milhares 3 7 2 2 5 3 3" xfId="13593"/>
    <cellStyle name="Separador de milhares 3 7 2 2 5 3 3 2" xfId="40092"/>
    <cellStyle name="Separador de milhares 3 7 2 2 5 3 4" xfId="34184"/>
    <cellStyle name="Separador de milhares 3 7 2 2 5 3 5" xfId="27650"/>
    <cellStyle name="Separador de milhares 3 7 2 2 5 4" xfId="16556"/>
    <cellStyle name="Separador de milhares 3 7 2 2 5 4 2" xfId="43046"/>
    <cellStyle name="Separador de milhares 3 7 2 2 5 4 3" xfId="24144"/>
    <cellStyle name="Separador de milhares 3 7 2 2 5 5" xfId="10629"/>
    <cellStyle name="Separador de milhares 3 7 2 2 5 5 2" xfId="37138"/>
    <cellStyle name="Separador de milhares 3 7 2 2 5 6" xfId="30678"/>
    <cellStyle name="Separador de milhares 3 7 2 2 5 7" xfId="22372"/>
    <cellStyle name="Separador de milhares 3 7 2 2 6" xfId="4196"/>
    <cellStyle name="Separador de milhares 3 7 2 2 6 2" xfId="6070"/>
    <cellStyle name="Separador de milhares 3 7 2 2 6 2 2" xfId="9282"/>
    <cellStyle name="Separador de milhares 3 7 2 2 6 2 2 2" xfId="21136"/>
    <cellStyle name="Separador de milhares 3 7 2 2 6 2 2 2 2" xfId="47615"/>
    <cellStyle name="Separador de milhares 3 7 2 2 6 2 2 3" xfId="15209"/>
    <cellStyle name="Separador de milhares 3 7 2 2 6 2 2 3 2" xfId="41707"/>
    <cellStyle name="Separador de milhares 3 7 2 2 6 2 2 4" xfId="35799"/>
    <cellStyle name="Separador de milhares 3 7 2 2 6 2 2 5" xfId="29265"/>
    <cellStyle name="Separador de milhares 3 7 2 2 6 2 3" xfId="18172"/>
    <cellStyle name="Separador de milhares 3 7 2 2 6 2 3 2" xfId="44661"/>
    <cellStyle name="Separador de milhares 3 7 2 2 6 2 4" xfId="12245"/>
    <cellStyle name="Separador de milhares 3 7 2 2 6 2 4 2" xfId="38753"/>
    <cellStyle name="Separador de milhares 3 7 2 2 6 2 5" xfId="32597"/>
    <cellStyle name="Separador de milhares 3 7 2 2 6 2 6" xfId="26063"/>
    <cellStyle name="Separador de milhares 3 7 2 2 6 3" xfId="7814"/>
    <cellStyle name="Separador de milhares 3 7 2 2 6 3 2" xfId="19668"/>
    <cellStyle name="Separador de milhares 3 7 2 2 6 3 2 2" xfId="46147"/>
    <cellStyle name="Separador de milhares 3 7 2 2 6 3 3" xfId="13741"/>
    <cellStyle name="Separador de milhares 3 7 2 2 6 3 3 2" xfId="40239"/>
    <cellStyle name="Separador de milhares 3 7 2 2 6 3 4" xfId="34331"/>
    <cellStyle name="Separador de milhares 3 7 2 2 6 3 5" xfId="27797"/>
    <cellStyle name="Separador de milhares 3 7 2 2 6 4" xfId="16704"/>
    <cellStyle name="Separador de milhares 3 7 2 2 6 4 2" xfId="43193"/>
    <cellStyle name="Separador de milhares 3 7 2 2 6 4 3" xfId="24291"/>
    <cellStyle name="Separador de milhares 3 7 2 2 6 5" xfId="10777"/>
    <cellStyle name="Separador de milhares 3 7 2 2 6 5 2" xfId="37285"/>
    <cellStyle name="Separador de milhares 3 7 2 2 6 6" xfId="30825"/>
    <cellStyle name="Separador de milhares 3 7 2 2 6 7" xfId="22519"/>
    <cellStyle name="Separador de milhares 3 7 2 2 7" xfId="5041"/>
    <cellStyle name="Separador de milhares 3 7 2 2 7 2" xfId="8256"/>
    <cellStyle name="Separador de milhares 3 7 2 2 7 2 2" xfId="20110"/>
    <cellStyle name="Separador de milhares 3 7 2 2 7 2 2 2" xfId="46589"/>
    <cellStyle name="Separador de milhares 3 7 2 2 7 2 3" xfId="14183"/>
    <cellStyle name="Separador de milhares 3 7 2 2 7 2 3 2" xfId="40681"/>
    <cellStyle name="Separador de milhares 3 7 2 2 7 2 4" xfId="34773"/>
    <cellStyle name="Separador de milhares 3 7 2 2 7 2 5" xfId="28239"/>
    <cellStyle name="Separador de milhares 3 7 2 2 7 3" xfId="17146"/>
    <cellStyle name="Separador de milhares 3 7 2 2 7 3 2" xfId="43635"/>
    <cellStyle name="Separador de milhares 3 7 2 2 7 4" xfId="11219"/>
    <cellStyle name="Separador de milhares 3 7 2 2 7 4 2" xfId="37727"/>
    <cellStyle name="Separador de milhares 3 7 2 2 7 5" xfId="31568"/>
    <cellStyle name="Separador de milhares 3 7 2 2 7 6" xfId="25034"/>
    <cellStyle name="Separador de milhares 3 7 2 2 8" xfId="6780"/>
    <cellStyle name="Separador de milhares 3 7 2 2 8 2" xfId="18634"/>
    <cellStyle name="Separador de milhares 3 7 2 2 8 2 2" xfId="45121"/>
    <cellStyle name="Separador de milhares 3 7 2 2 8 3" xfId="12707"/>
    <cellStyle name="Separador de milhares 3 7 2 2 8 3 2" xfId="39213"/>
    <cellStyle name="Separador de milhares 3 7 2 2 8 4" xfId="33305"/>
    <cellStyle name="Separador de milhares 3 7 2 2 8 5" xfId="26771"/>
    <cellStyle name="Separador de milhares 3 7 2 2 9" xfId="15670"/>
    <cellStyle name="Separador de milhares 3 7 2 2 9 2" xfId="42167"/>
    <cellStyle name="Separador de milhares 3 7 2 2 9 3" xfId="23262"/>
    <cellStyle name="Separador de milhares 3 7 2 3" xfId="1032"/>
    <cellStyle name="Separador de milhares 3 7 2 3 2" xfId="5192"/>
    <cellStyle name="Separador de milhares 3 7 2 3 2 2" xfId="8407"/>
    <cellStyle name="Separador de milhares 3 7 2 3 2 2 2" xfId="20261"/>
    <cellStyle name="Separador de milhares 3 7 2 3 2 2 2 2" xfId="46740"/>
    <cellStyle name="Separador de milhares 3 7 2 3 2 2 3" xfId="14334"/>
    <cellStyle name="Separador de milhares 3 7 2 3 2 2 3 2" xfId="40832"/>
    <cellStyle name="Separador de milhares 3 7 2 3 2 2 4" xfId="34924"/>
    <cellStyle name="Separador de milhares 3 7 2 3 2 2 5" xfId="28390"/>
    <cellStyle name="Separador de milhares 3 7 2 3 2 3" xfId="17297"/>
    <cellStyle name="Separador de milhares 3 7 2 3 2 3 2" xfId="43786"/>
    <cellStyle name="Separador de milhares 3 7 2 3 2 4" xfId="11370"/>
    <cellStyle name="Separador de milhares 3 7 2 3 2 4 2" xfId="37878"/>
    <cellStyle name="Separador de milhares 3 7 2 3 2 5" xfId="31719"/>
    <cellStyle name="Separador de milhares 3 7 2 3 2 6" xfId="25185"/>
    <cellStyle name="Separador de milhares 3 7 2 3 3" xfId="6934"/>
    <cellStyle name="Separador de milhares 3 7 2 3 3 2" xfId="18788"/>
    <cellStyle name="Separador de milhares 3 7 2 3 3 2 2" xfId="45272"/>
    <cellStyle name="Separador de milhares 3 7 2 3 3 3" xfId="12861"/>
    <cellStyle name="Separador de milhares 3 7 2 3 3 3 2" xfId="39364"/>
    <cellStyle name="Separador de milhares 3 7 2 3 3 4" xfId="33456"/>
    <cellStyle name="Separador de milhares 3 7 2 3 3 5" xfId="26922"/>
    <cellStyle name="Separador de milhares 3 7 2 3 4" xfId="15824"/>
    <cellStyle name="Separador de milhares 3 7 2 3 4 2" xfId="42318"/>
    <cellStyle name="Separador de milhares 3 7 2 3 4 3" xfId="23413"/>
    <cellStyle name="Separador de milhares 3 7 2 3 5" xfId="9897"/>
    <cellStyle name="Separador de milhares 3 7 2 3 5 2" xfId="36410"/>
    <cellStyle name="Separador de milhares 3 7 2 3 6" xfId="29947"/>
    <cellStyle name="Separador de milhares 3 7 2 3 7" xfId="21641"/>
    <cellStyle name="Separador de milhares 3 7 2 4" xfId="1383"/>
    <cellStyle name="Separador de milhares 3 7 2 4 2" xfId="5290"/>
    <cellStyle name="Separador de milhares 3 7 2 4 2 2" xfId="8505"/>
    <cellStyle name="Separador de milhares 3 7 2 4 2 2 2" xfId="20359"/>
    <cellStyle name="Separador de milhares 3 7 2 4 2 2 2 2" xfId="46838"/>
    <cellStyle name="Separador de milhares 3 7 2 4 2 2 3" xfId="14432"/>
    <cellStyle name="Separador de milhares 3 7 2 4 2 2 3 2" xfId="40930"/>
    <cellStyle name="Separador de milhares 3 7 2 4 2 2 4" xfId="35022"/>
    <cellStyle name="Separador de milhares 3 7 2 4 2 2 5" xfId="28488"/>
    <cellStyle name="Separador de milhares 3 7 2 4 2 3" xfId="17395"/>
    <cellStyle name="Separador de milhares 3 7 2 4 2 3 2" xfId="43884"/>
    <cellStyle name="Separador de milhares 3 7 2 4 2 4" xfId="11468"/>
    <cellStyle name="Separador de milhares 3 7 2 4 2 4 2" xfId="37976"/>
    <cellStyle name="Separador de milhares 3 7 2 4 2 5" xfId="31817"/>
    <cellStyle name="Separador de milhares 3 7 2 4 2 6" xfId="25283"/>
    <cellStyle name="Separador de milhares 3 7 2 4 3" xfId="7032"/>
    <cellStyle name="Separador de milhares 3 7 2 4 3 2" xfId="18886"/>
    <cellStyle name="Separador de milhares 3 7 2 4 3 2 2" xfId="45370"/>
    <cellStyle name="Separador de milhares 3 7 2 4 3 3" xfId="12959"/>
    <cellStyle name="Separador de milhares 3 7 2 4 3 3 2" xfId="39462"/>
    <cellStyle name="Separador de milhares 3 7 2 4 3 4" xfId="33554"/>
    <cellStyle name="Separador de milhares 3 7 2 4 3 5" xfId="27020"/>
    <cellStyle name="Separador de milhares 3 7 2 4 4" xfId="15922"/>
    <cellStyle name="Separador de milhares 3 7 2 4 4 2" xfId="42416"/>
    <cellStyle name="Separador de milhares 3 7 2 4 4 3" xfId="23511"/>
    <cellStyle name="Separador de milhares 3 7 2 4 5" xfId="9995"/>
    <cellStyle name="Separador de milhares 3 7 2 4 5 2" xfId="36508"/>
    <cellStyle name="Separador de milhares 3 7 2 4 6" xfId="30045"/>
    <cellStyle name="Separador de milhares 3 7 2 4 7" xfId="21739"/>
    <cellStyle name="Separador de milhares 3 7 2 5" xfId="1818"/>
    <cellStyle name="Separador de milhares 3 7 2 5 2" xfId="5409"/>
    <cellStyle name="Separador de milhares 3 7 2 5 2 2" xfId="8624"/>
    <cellStyle name="Separador de milhares 3 7 2 5 2 2 2" xfId="20478"/>
    <cellStyle name="Separador de milhares 3 7 2 5 2 2 2 2" xfId="46957"/>
    <cellStyle name="Separador de milhares 3 7 2 5 2 2 3" xfId="14551"/>
    <cellStyle name="Separador de milhares 3 7 2 5 2 2 3 2" xfId="41049"/>
    <cellStyle name="Separador de milhares 3 7 2 5 2 2 4" xfId="35141"/>
    <cellStyle name="Separador de milhares 3 7 2 5 2 2 5" xfId="28607"/>
    <cellStyle name="Separador de milhares 3 7 2 5 2 3" xfId="17514"/>
    <cellStyle name="Separador de milhares 3 7 2 5 2 3 2" xfId="44003"/>
    <cellStyle name="Separador de milhares 3 7 2 5 2 4" xfId="11587"/>
    <cellStyle name="Separador de milhares 3 7 2 5 2 4 2" xfId="38095"/>
    <cellStyle name="Separador de milhares 3 7 2 5 2 5" xfId="31936"/>
    <cellStyle name="Separador de milhares 3 7 2 5 2 6" xfId="25402"/>
    <cellStyle name="Separador de milhares 3 7 2 5 3" xfId="7151"/>
    <cellStyle name="Separador de milhares 3 7 2 5 3 2" xfId="19005"/>
    <cellStyle name="Separador de milhares 3 7 2 5 3 2 2" xfId="45489"/>
    <cellStyle name="Separador de milhares 3 7 2 5 3 3" xfId="13078"/>
    <cellStyle name="Separador de milhares 3 7 2 5 3 3 2" xfId="39581"/>
    <cellStyle name="Separador de milhares 3 7 2 5 3 4" xfId="33673"/>
    <cellStyle name="Separador de milhares 3 7 2 5 3 5" xfId="27139"/>
    <cellStyle name="Separador de milhares 3 7 2 5 4" xfId="16041"/>
    <cellStyle name="Separador de milhares 3 7 2 5 4 2" xfId="42535"/>
    <cellStyle name="Separador de milhares 3 7 2 5 4 3" xfId="23630"/>
    <cellStyle name="Separador de milhares 3 7 2 5 5" xfId="10114"/>
    <cellStyle name="Separador de milhares 3 7 2 5 5 2" xfId="36627"/>
    <cellStyle name="Separador de milhares 3 7 2 5 6" xfId="30164"/>
    <cellStyle name="Separador de milhares 3 7 2 5 7" xfId="21858"/>
    <cellStyle name="Separador de milhares 3 7 2 6" xfId="2351"/>
    <cellStyle name="Separador de milhares 3 7 2 6 2" xfId="5559"/>
    <cellStyle name="Separador de milhares 3 7 2 6 2 2" xfId="8771"/>
    <cellStyle name="Separador de milhares 3 7 2 6 2 2 2" xfId="20625"/>
    <cellStyle name="Separador de milhares 3 7 2 6 2 2 2 2" xfId="47104"/>
    <cellStyle name="Separador de milhares 3 7 2 6 2 2 3" xfId="14698"/>
    <cellStyle name="Separador de milhares 3 7 2 6 2 2 3 2" xfId="41196"/>
    <cellStyle name="Separador de milhares 3 7 2 6 2 2 4" xfId="35288"/>
    <cellStyle name="Separador de milhares 3 7 2 6 2 2 5" xfId="28754"/>
    <cellStyle name="Separador de milhares 3 7 2 6 2 3" xfId="17661"/>
    <cellStyle name="Separador de milhares 3 7 2 6 2 3 2" xfId="44150"/>
    <cellStyle name="Separador de milhares 3 7 2 6 2 4" xfId="11734"/>
    <cellStyle name="Separador de milhares 3 7 2 6 2 4 2" xfId="38242"/>
    <cellStyle name="Separador de milhares 3 7 2 6 2 5" xfId="32086"/>
    <cellStyle name="Separador de milhares 3 7 2 6 2 6" xfId="25552"/>
    <cellStyle name="Separador de milhares 3 7 2 6 3" xfId="7299"/>
    <cellStyle name="Separador de milhares 3 7 2 6 3 2" xfId="19153"/>
    <cellStyle name="Separador de milhares 3 7 2 6 3 2 2" xfId="45636"/>
    <cellStyle name="Separador de milhares 3 7 2 6 3 3" xfId="13226"/>
    <cellStyle name="Separador de milhares 3 7 2 6 3 3 2" xfId="39728"/>
    <cellStyle name="Separador de milhares 3 7 2 6 3 4" xfId="33820"/>
    <cellStyle name="Separador de milhares 3 7 2 6 3 5" xfId="27286"/>
    <cellStyle name="Separador de milhares 3 7 2 6 4" xfId="16189"/>
    <cellStyle name="Separador de milhares 3 7 2 6 4 2" xfId="42682"/>
    <cellStyle name="Separador de milhares 3 7 2 6 4 3" xfId="23780"/>
    <cellStyle name="Separador de milhares 3 7 2 6 5" xfId="10262"/>
    <cellStyle name="Separador de milhares 3 7 2 6 5 2" xfId="36774"/>
    <cellStyle name="Separador de milhares 3 7 2 6 6" xfId="30314"/>
    <cellStyle name="Separador de milhares 3 7 2 6 7" xfId="22008"/>
    <cellStyle name="Separador de milhares 3 7 2 7" xfId="2879"/>
    <cellStyle name="Separador de milhares 3 7 2 7 2" xfId="5706"/>
    <cellStyle name="Separador de milhares 3 7 2 7 2 2" xfId="8918"/>
    <cellStyle name="Separador de milhares 3 7 2 7 2 2 2" xfId="20772"/>
    <cellStyle name="Separador de milhares 3 7 2 7 2 2 2 2" xfId="47251"/>
    <cellStyle name="Separador de milhares 3 7 2 7 2 2 3" xfId="14845"/>
    <cellStyle name="Separador de milhares 3 7 2 7 2 2 3 2" xfId="41343"/>
    <cellStyle name="Separador de milhares 3 7 2 7 2 2 4" xfId="35435"/>
    <cellStyle name="Separador de milhares 3 7 2 7 2 2 5" xfId="28901"/>
    <cellStyle name="Separador de milhares 3 7 2 7 2 3" xfId="17808"/>
    <cellStyle name="Separador de milhares 3 7 2 7 2 3 2" xfId="44297"/>
    <cellStyle name="Separador de milhares 3 7 2 7 2 4" xfId="11881"/>
    <cellStyle name="Separador de milhares 3 7 2 7 2 4 2" xfId="38389"/>
    <cellStyle name="Separador de milhares 3 7 2 7 2 5" xfId="32233"/>
    <cellStyle name="Separador de milhares 3 7 2 7 2 6" xfId="25699"/>
    <cellStyle name="Separador de milhares 3 7 2 7 3" xfId="7447"/>
    <cellStyle name="Separador de milhares 3 7 2 7 3 2" xfId="19301"/>
    <cellStyle name="Separador de milhares 3 7 2 7 3 2 2" xfId="45783"/>
    <cellStyle name="Separador de milhares 3 7 2 7 3 3" xfId="13374"/>
    <cellStyle name="Separador de milhares 3 7 2 7 3 3 2" xfId="39875"/>
    <cellStyle name="Separador de milhares 3 7 2 7 3 4" xfId="33967"/>
    <cellStyle name="Separador de milhares 3 7 2 7 3 5" xfId="27433"/>
    <cellStyle name="Separador de milhares 3 7 2 7 4" xfId="16337"/>
    <cellStyle name="Separador de milhares 3 7 2 7 4 2" xfId="42829"/>
    <cellStyle name="Separador de milhares 3 7 2 7 4 3" xfId="23927"/>
    <cellStyle name="Separador de milhares 3 7 2 7 5" xfId="10410"/>
    <cellStyle name="Separador de milhares 3 7 2 7 5 2" xfId="36921"/>
    <cellStyle name="Separador de milhares 3 7 2 7 6" xfId="30461"/>
    <cellStyle name="Separador de milhares 3 7 2 7 7" xfId="22155"/>
    <cellStyle name="Separador de milhares 3 7 2 8" xfId="3407"/>
    <cellStyle name="Separador de milhares 3 7 2 8 2" xfId="5853"/>
    <cellStyle name="Separador de milhares 3 7 2 8 2 2" xfId="9065"/>
    <cellStyle name="Separador de milhares 3 7 2 8 2 2 2" xfId="20919"/>
    <cellStyle name="Separador de milhares 3 7 2 8 2 2 2 2" xfId="47398"/>
    <cellStyle name="Separador de milhares 3 7 2 8 2 2 3" xfId="14992"/>
    <cellStyle name="Separador de milhares 3 7 2 8 2 2 3 2" xfId="41490"/>
    <cellStyle name="Separador de milhares 3 7 2 8 2 2 4" xfId="35582"/>
    <cellStyle name="Separador de milhares 3 7 2 8 2 2 5" xfId="29048"/>
    <cellStyle name="Separador de milhares 3 7 2 8 2 3" xfId="17955"/>
    <cellStyle name="Separador de milhares 3 7 2 8 2 3 2" xfId="44444"/>
    <cellStyle name="Separador de milhares 3 7 2 8 2 4" xfId="12028"/>
    <cellStyle name="Separador de milhares 3 7 2 8 2 4 2" xfId="38536"/>
    <cellStyle name="Separador de milhares 3 7 2 8 2 5" xfId="32380"/>
    <cellStyle name="Separador de milhares 3 7 2 8 2 6" xfId="25846"/>
    <cellStyle name="Separador de milhares 3 7 2 8 3" xfId="7595"/>
    <cellStyle name="Separador de milhares 3 7 2 8 3 2" xfId="19449"/>
    <cellStyle name="Separador de milhares 3 7 2 8 3 2 2" xfId="45930"/>
    <cellStyle name="Separador de milhares 3 7 2 8 3 3" xfId="13522"/>
    <cellStyle name="Separador de milhares 3 7 2 8 3 3 2" xfId="40022"/>
    <cellStyle name="Separador de milhares 3 7 2 8 3 4" xfId="34114"/>
    <cellStyle name="Separador de milhares 3 7 2 8 3 5" xfId="27580"/>
    <cellStyle name="Separador de milhares 3 7 2 8 4" xfId="16485"/>
    <cellStyle name="Separador de milhares 3 7 2 8 4 2" xfId="42976"/>
    <cellStyle name="Separador de milhares 3 7 2 8 4 3" xfId="24074"/>
    <cellStyle name="Separador de milhares 3 7 2 8 5" xfId="10558"/>
    <cellStyle name="Separador de milhares 3 7 2 8 5 2" xfId="37068"/>
    <cellStyle name="Separador de milhares 3 7 2 8 6" xfId="30608"/>
    <cellStyle name="Separador de milhares 3 7 2 8 7" xfId="22302"/>
    <cellStyle name="Separador de milhares 3 7 2 9" xfId="3935"/>
    <cellStyle name="Separador de milhares 3 7 2 9 2" xfId="6000"/>
    <cellStyle name="Separador de milhares 3 7 2 9 2 2" xfId="9212"/>
    <cellStyle name="Separador de milhares 3 7 2 9 2 2 2" xfId="21066"/>
    <cellStyle name="Separador de milhares 3 7 2 9 2 2 2 2" xfId="47545"/>
    <cellStyle name="Separador de milhares 3 7 2 9 2 2 3" xfId="15139"/>
    <cellStyle name="Separador de milhares 3 7 2 9 2 2 3 2" xfId="41637"/>
    <cellStyle name="Separador de milhares 3 7 2 9 2 2 4" xfId="35729"/>
    <cellStyle name="Separador de milhares 3 7 2 9 2 2 5" xfId="29195"/>
    <cellStyle name="Separador de milhares 3 7 2 9 2 3" xfId="18102"/>
    <cellStyle name="Separador de milhares 3 7 2 9 2 3 2" xfId="44591"/>
    <cellStyle name="Separador de milhares 3 7 2 9 2 4" xfId="12175"/>
    <cellStyle name="Separador de milhares 3 7 2 9 2 4 2" xfId="38683"/>
    <cellStyle name="Separador de milhares 3 7 2 9 2 5" xfId="32527"/>
    <cellStyle name="Separador de milhares 3 7 2 9 2 6" xfId="25993"/>
    <cellStyle name="Separador de milhares 3 7 2 9 3" xfId="7743"/>
    <cellStyle name="Separador de milhares 3 7 2 9 3 2" xfId="19597"/>
    <cellStyle name="Separador de milhares 3 7 2 9 3 2 2" xfId="46077"/>
    <cellStyle name="Separador de milhares 3 7 2 9 3 3" xfId="13670"/>
    <cellStyle name="Separador de milhares 3 7 2 9 3 3 2" xfId="40169"/>
    <cellStyle name="Separador de milhares 3 7 2 9 3 4" xfId="34261"/>
    <cellStyle name="Separador de milhares 3 7 2 9 3 5" xfId="27727"/>
    <cellStyle name="Separador de milhares 3 7 2 9 4" xfId="16633"/>
    <cellStyle name="Separador de milhares 3 7 2 9 4 2" xfId="43123"/>
    <cellStyle name="Separador de milhares 3 7 2 9 4 3" xfId="24221"/>
    <cellStyle name="Separador de milhares 3 7 2 9 5" xfId="10706"/>
    <cellStyle name="Separador de milhares 3 7 2 9 5 2" xfId="37215"/>
    <cellStyle name="Separador de milhares 3 7 2 9 6" xfId="30755"/>
    <cellStyle name="Separador de milhares 3 7 2 9 7" xfId="22449"/>
    <cellStyle name="Separador de milhares 3 7 3" xfId="380"/>
    <cellStyle name="Separador de milhares 3 7 3 10" xfId="4991"/>
    <cellStyle name="Separador de milhares 3 7 3 10 2" xfId="8210"/>
    <cellStyle name="Separador de milhares 3 7 3 10 2 2" xfId="20064"/>
    <cellStyle name="Separador de milhares 3 7 3 10 2 2 2" xfId="46543"/>
    <cellStyle name="Separador de milhares 3 7 3 10 2 3" xfId="14137"/>
    <cellStyle name="Separador de milhares 3 7 3 10 2 3 2" xfId="40635"/>
    <cellStyle name="Separador de milhares 3 7 3 10 2 4" xfId="34727"/>
    <cellStyle name="Separador de milhares 3 7 3 10 2 5" xfId="28193"/>
    <cellStyle name="Separador de milhares 3 7 3 10 3" xfId="17100"/>
    <cellStyle name="Separador de milhares 3 7 3 10 3 2" xfId="43589"/>
    <cellStyle name="Separador de milhares 3 7 3 10 4" xfId="11173"/>
    <cellStyle name="Separador de milhares 3 7 3 10 4 2" xfId="37681"/>
    <cellStyle name="Separador de milhares 3 7 3 10 5" xfId="31518"/>
    <cellStyle name="Separador de milhares 3 7 3 10 6" xfId="24984"/>
    <cellStyle name="Separador de milhares 3 7 3 11" xfId="6734"/>
    <cellStyle name="Separador de milhares 3 7 3 11 2" xfId="18588"/>
    <cellStyle name="Separador de milhares 3 7 3 11 2 2" xfId="45075"/>
    <cellStyle name="Separador de milhares 3 7 3 11 3" xfId="12661"/>
    <cellStyle name="Separador de milhares 3 7 3 11 3 2" xfId="39167"/>
    <cellStyle name="Separador de milhares 3 7 3 11 4" xfId="33259"/>
    <cellStyle name="Separador de milhares 3 7 3 11 5" xfId="26725"/>
    <cellStyle name="Separador de milhares 3 7 3 12" xfId="15624"/>
    <cellStyle name="Separador de milhares 3 7 3 12 2" xfId="42121"/>
    <cellStyle name="Separador de milhares 3 7 3 12 3" xfId="23212"/>
    <cellStyle name="Separador de milhares 3 7 3 13" xfId="9697"/>
    <cellStyle name="Separador de milhares 3 7 3 13 2" xfId="36213"/>
    <cellStyle name="Separador de milhares 3 7 3 14" xfId="29746"/>
    <cellStyle name="Separador de milhares 3 7 3 15" xfId="21464"/>
    <cellStyle name="Separador de milhares 3 7 3 2" xfId="643"/>
    <cellStyle name="Separador de milhares 3 7 3 2 2" xfId="5062"/>
    <cellStyle name="Separador de milhares 3 7 3 2 2 2" xfId="8277"/>
    <cellStyle name="Separador de milhares 3 7 3 2 2 2 2" xfId="20131"/>
    <cellStyle name="Separador de milhares 3 7 3 2 2 2 2 2" xfId="46610"/>
    <cellStyle name="Separador de milhares 3 7 3 2 2 2 3" xfId="14204"/>
    <cellStyle name="Separador de milhares 3 7 3 2 2 2 3 2" xfId="40702"/>
    <cellStyle name="Separador de milhares 3 7 3 2 2 2 4" xfId="34794"/>
    <cellStyle name="Separador de milhares 3 7 3 2 2 2 5" xfId="28260"/>
    <cellStyle name="Separador de milhares 3 7 3 2 2 3" xfId="17167"/>
    <cellStyle name="Separador de milhares 3 7 3 2 2 3 2" xfId="43656"/>
    <cellStyle name="Separador de milhares 3 7 3 2 2 4" xfId="11240"/>
    <cellStyle name="Separador de milhares 3 7 3 2 2 4 2" xfId="37748"/>
    <cellStyle name="Separador de milhares 3 7 3 2 2 5" xfId="31589"/>
    <cellStyle name="Separador de milhares 3 7 3 2 2 6" xfId="25055"/>
    <cellStyle name="Separador de milhares 3 7 3 2 3" xfId="6801"/>
    <cellStyle name="Separador de milhares 3 7 3 2 3 2" xfId="18655"/>
    <cellStyle name="Separador de milhares 3 7 3 2 3 2 2" xfId="45142"/>
    <cellStyle name="Separador de milhares 3 7 3 2 3 3" xfId="12728"/>
    <cellStyle name="Separador de milhares 3 7 3 2 3 3 2" xfId="39234"/>
    <cellStyle name="Separador de milhares 3 7 3 2 3 4" xfId="33326"/>
    <cellStyle name="Separador de milhares 3 7 3 2 3 5" xfId="26792"/>
    <cellStyle name="Separador de milhares 3 7 3 2 4" xfId="15691"/>
    <cellStyle name="Separador de milhares 3 7 3 2 4 2" xfId="42188"/>
    <cellStyle name="Separador de milhares 3 7 3 2 4 3" xfId="23283"/>
    <cellStyle name="Separador de milhares 3 7 3 2 5" xfId="9764"/>
    <cellStyle name="Separador de milhares 3 7 3 2 5 2" xfId="36280"/>
    <cellStyle name="Separador de milhares 3 7 3 2 6" xfId="29817"/>
    <cellStyle name="Separador de milhares 3 7 3 2 7" xfId="21512"/>
    <cellStyle name="Separador de milhares 3 7 3 3" xfId="941"/>
    <cellStyle name="Separador de milhares 3 7 3 3 2" xfId="5164"/>
    <cellStyle name="Separador de milhares 3 7 3 3 2 2" xfId="8379"/>
    <cellStyle name="Separador de milhares 3 7 3 3 2 2 2" xfId="20233"/>
    <cellStyle name="Separador de milhares 3 7 3 3 2 2 2 2" xfId="46712"/>
    <cellStyle name="Separador de milhares 3 7 3 3 2 2 3" xfId="14306"/>
    <cellStyle name="Separador de milhares 3 7 3 3 2 2 3 2" xfId="40804"/>
    <cellStyle name="Separador de milhares 3 7 3 3 2 2 4" xfId="34896"/>
    <cellStyle name="Separador de milhares 3 7 3 3 2 2 5" xfId="28362"/>
    <cellStyle name="Separador de milhares 3 7 3 3 2 3" xfId="17269"/>
    <cellStyle name="Separador de milhares 3 7 3 3 2 3 2" xfId="43758"/>
    <cellStyle name="Separador de milhares 3 7 3 3 2 4" xfId="11342"/>
    <cellStyle name="Separador de milhares 3 7 3 3 2 4 2" xfId="37850"/>
    <cellStyle name="Separador de milhares 3 7 3 3 2 5" xfId="31691"/>
    <cellStyle name="Separador de milhares 3 7 3 3 2 6" xfId="25157"/>
    <cellStyle name="Separador de milhares 3 7 3 3 3" xfId="6906"/>
    <cellStyle name="Separador de milhares 3 7 3 3 3 2" xfId="18760"/>
    <cellStyle name="Separador de milhares 3 7 3 3 3 2 2" xfId="45244"/>
    <cellStyle name="Separador de milhares 3 7 3 3 3 3" xfId="12833"/>
    <cellStyle name="Separador de milhares 3 7 3 3 3 3 2" xfId="39336"/>
    <cellStyle name="Separador de milhares 3 7 3 3 3 4" xfId="33428"/>
    <cellStyle name="Separador de milhares 3 7 3 3 3 5" xfId="26894"/>
    <cellStyle name="Separador de milhares 3 7 3 3 4" xfId="15796"/>
    <cellStyle name="Separador de milhares 3 7 3 3 4 2" xfId="42290"/>
    <cellStyle name="Separador de milhares 3 7 3 3 4 3" xfId="23385"/>
    <cellStyle name="Separador de milhares 3 7 3 3 5" xfId="9869"/>
    <cellStyle name="Separador de milhares 3 7 3 3 5 2" xfId="36382"/>
    <cellStyle name="Separador de milhares 3 7 3 3 6" xfId="29919"/>
    <cellStyle name="Separador de milhares 3 7 3 3 7" xfId="21613"/>
    <cellStyle name="Separador de milhares 3 7 3 4" xfId="1292"/>
    <cellStyle name="Separador de milhares 3 7 3 4 2" xfId="5262"/>
    <cellStyle name="Separador de milhares 3 7 3 4 2 2" xfId="8477"/>
    <cellStyle name="Separador de milhares 3 7 3 4 2 2 2" xfId="20331"/>
    <cellStyle name="Separador de milhares 3 7 3 4 2 2 2 2" xfId="46810"/>
    <cellStyle name="Separador de milhares 3 7 3 4 2 2 3" xfId="14404"/>
    <cellStyle name="Separador de milhares 3 7 3 4 2 2 3 2" xfId="40902"/>
    <cellStyle name="Separador de milhares 3 7 3 4 2 2 4" xfId="34994"/>
    <cellStyle name="Separador de milhares 3 7 3 4 2 2 5" xfId="28460"/>
    <cellStyle name="Separador de milhares 3 7 3 4 2 3" xfId="17367"/>
    <cellStyle name="Separador de milhares 3 7 3 4 2 3 2" xfId="43856"/>
    <cellStyle name="Separador de milhares 3 7 3 4 2 4" xfId="11440"/>
    <cellStyle name="Separador de milhares 3 7 3 4 2 4 2" xfId="37948"/>
    <cellStyle name="Separador de milhares 3 7 3 4 2 5" xfId="31789"/>
    <cellStyle name="Separador de milhares 3 7 3 4 2 6" xfId="25255"/>
    <cellStyle name="Separador de milhares 3 7 3 4 3" xfId="7004"/>
    <cellStyle name="Separador de milhares 3 7 3 4 3 2" xfId="18858"/>
    <cellStyle name="Separador de milhares 3 7 3 4 3 2 2" xfId="45342"/>
    <cellStyle name="Separador de milhares 3 7 3 4 3 3" xfId="12931"/>
    <cellStyle name="Separador de milhares 3 7 3 4 3 3 2" xfId="39434"/>
    <cellStyle name="Separador de milhares 3 7 3 4 3 4" xfId="33526"/>
    <cellStyle name="Separador de milhares 3 7 3 4 3 5" xfId="26992"/>
    <cellStyle name="Separador de milhares 3 7 3 4 4" xfId="15894"/>
    <cellStyle name="Separador de milhares 3 7 3 4 4 2" xfId="42388"/>
    <cellStyle name="Separador de milhares 3 7 3 4 4 3" xfId="23483"/>
    <cellStyle name="Separador de milhares 3 7 3 4 5" xfId="9967"/>
    <cellStyle name="Separador de milhares 3 7 3 4 5 2" xfId="36480"/>
    <cellStyle name="Separador de milhares 3 7 3 4 6" xfId="30017"/>
    <cellStyle name="Separador de milhares 3 7 3 4 7" xfId="21711"/>
    <cellStyle name="Separador de milhares 3 7 3 5" xfId="1727"/>
    <cellStyle name="Separador de milhares 3 7 3 5 2" xfId="5381"/>
    <cellStyle name="Separador de milhares 3 7 3 5 2 2" xfId="8596"/>
    <cellStyle name="Separador de milhares 3 7 3 5 2 2 2" xfId="20450"/>
    <cellStyle name="Separador de milhares 3 7 3 5 2 2 2 2" xfId="46929"/>
    <cellStyle name="Separador de milhares 3 7 3 5 2 2 3" xfId="14523"/>
    <cellStyle name="Separador de milhares 3 7 3 5 2 2 3 2" xfId="41021"/>
    <cellStyle name="Separador de milhares 3 7 3 5 2 2 4" xfId="35113"/>
    <cellStyle name="Separador de milhares 3 7 3 5 2 2 5" xfId="28579"/>
    <cellStyle name="Separador de milhares 3 7 3 5 2 3" xfId="17486"/>
    <cellStyle name="Separador de milhares 3 7 3 5 2 3 2" xfId="43975"/>
    <cellStyle name="Separador de milhares 3 7 3 5 2 4" xfId="11559"/>
    <cellStyle name="Separador de milhares 3 7 3 5 2 4 2" xfId="38067"/>
    <cellStyle name="Separador de milhares 3 7 3 5 2 5" xfId="31908"/>
    <cellStyle name="Separador de milhares 3 7 3 5 2 6" xfId="25374"/>
    <cellStyle name="Separador de milhares 3 7 3 5 3" xfId="7123"/>
    <cellStyle name="Separador de milhares 3 7 3 5 3 2" xfId="18977"/>
    <cellStyle name="Separador de milhares 3 7 3 5 3 2 2" xfId="45461"/>
    <cellStyle name="Separador de milhares 3 7 3 5 3 3" xfId="13050"/>
    <cellStyle name="Separador de milhares 3 7 3 5 3 3 2" xfId="39553"/>
    <cellStyle name="Separador de milhares 3 7 3 5 3 4" xfId="33645"/>
    <cellStyle name="Separador de milhares 3 7 3 5 3 5" xfId="27111"/>
    <cellStyle name="Separador de milhares 3 7 3 5 4" xfId="16013"/>
    <cellStyle name="Separador de milhares 3 7 3 5 4 2" xfId="42507"/>
    <cellStyle name="Separador de milhares 3 7 3 5 4 3" xfId="23602"/>
    <cellStyle name="Separador de milhares 3 7 3 5 5" xfId="10086"/>
    <cellStyle name="Separador de milhares 3 7 3 5 5 2" xfId="36599"/>
    <cellStyle name="Separador de milhares 3 7 3 5 6" xfId="30136"/>
    <cellStyle name="Separador de milhares 3 7 3 5 7" xfId="21830"/>
    <cellStyle name="Separador de milhares 3 7 3 6" xfId="2260"/>
    <cellStyle name="Separador de milhares 3 7 3 6 2" xfId="5531"/>
    <cellStyle name="Separador de milhares 3 7 3 6 2 2" xfId="8743"/>
    <cellStyle name="Separador de milhares 3 7 3 6 2 2 2" xfId="20597"/>
    <cellStyle name="Separador de milhares 3 7 3 6 2 2 2 2" xfId="47076"/>
    <cellStyle name="Separador de milhares 3 7 3 6 2 2 3" xfId="14670"/>
    <cellStyle name="Separador de milhares 3 7 3 6 2 2 3 2" xfId="41168"/>
    <cellStyle name="Separador de milhares 3 7 3 6 2 2 4" xfId="35260"/>
    <cellStyle name="Separador de milhares 3 7 3 6 2 2 5" xfId="28726"/>
    <cellStyle name="Separador de milhares 3 7 3 6 2 3" xfId="17633"/>
    <cellStyle name="Separador de milhares 3 7 3 6 2 3 2" xfId="44122"/>
    <cellStyle name="Separador de milhares 3 7 3 6 2 4" xfId="11706"/>
    <cellStyle name="Separador de milhares 3 7 3 6 2 4 2" xfId="38214"/>
    <cellStyle name="Separador de milhares 3 7 3 6 2 5" xfId="32058"/>
    <cellStyle name="Separador de milhares 3 7 3 6 2 6" xfId="25524"/>
    <cellStyle name="Separador de milhares 3 7 3 6 3" xfId="7271"/>
    <cellStyle name="Separador de milhares 3 7 3 6 3 2" xfId="19125"/>
    <cellStyle name="Separador de milhares 3 7 3 6 3 2 2" xfId="45608"/>
    <cellStyle name="Separador de milhares 3 7 3 6 3 3" xfId="13198"/>
    <cellStyle name="Separador de milhares 3 7 3 6 3 3 2" xfId="39700"/>
    <cellStyle name="Separador de milhares 3 7 3 6 3 4" xfId="33792"/>
    <cellStyle name="Separador de milhares 3 7 3 6 3 5" xfId="27258"/>
    <cellStyle name="Separador de milhares 3 7 3 6 4" xfId="16161"/>
    <cellStyle name="Separador de milhares 3 7 3 6 4 2" xfId="42654"/>
    <cellStyle name="Separador de milhares 3 7 3 6 4 3" xfId="23752"/>
    <cellStyle name="Separador de milhares 3 7 3 6 5" xfId="10234"/>
    <cellStyle name="Separador de milhares 3 7 3 6 5 2" xfId="36746"/>
    <cellStyle name="Separador de milhares 3 7 3 6 6" xfId="30286"/>
    <cellStyle name="Separador de milhares 3 7 3 6 7" xfId="21980"/>
    <cellStyle name="Separador de milhares 3 7 3 7" xfId="2788"/>
    <cellStyle name="Separador de milhares 3 7 3 7 2" xfId="5678"/>
    <cellStyle name="Separador de milhares 3 7 3 7 2 2" xfId="8890"/>
    <cellStyle name="Separador de milhares 3 7 3 7 2 2 2" xfId="20744"/>
    <cellStyle name="Separador de milhares 3 7 3 7 2 2 2 2" xfId="47223"/>
    <cellStyle name="Separador de milhares 3 7 3 7 2 2 3" xfId="14817"/>
    <cellStyle name="Separador de milhares 3 7 3 7 2 2 3 2" xfId="41315"/>
    <cellStyle name="Separador de milhares 3 7 3 7 2 2 4" xfId="35407"/>
    <cellStyle name="Separador de milhares 3 7 3 7 2 2 5" xfId="28873"/>
    <cellStyle name="Separador de milhares 3 7 3 7 2 3" xfId="17780"/>
    <cellStyle name="Separador de milhares 3 7 3 7 2 3 2" xfId="44269"/>
    <cellStyle name="Separador de milhares 3 7 3 7 2 4" xfId="11853"/>
    <cellStyle name="Separador de milhares 3 7 3 7 2 4 2" xfId="38361"/>
    <cellStyle name="Separador de milhares 3 7 3 7 2 5" xfId="32205"/>
    <cellStyle name="Separador de milhares 3 7 3 7 2 6" xfId="25671"/>
    <cellStyle name="Separador de milhares 3 7 3 7 3" xfId="7419"/>
    <cellStyle name="Separador de milhares 3 7 3 7 3 2" xfId="19273"/>
    <cellStyle name="Separador de milhares 3 7 3 7 3 2 2" xfId="45755"/>
    <cellStyle name="Separador de milhares 3 7 3 7 3 3" xfId="13346"/>
    <cellStyle name="Separador de milhares 3 7 3 7 3 3 2" xfId="39847"/>
    <cellStyle name="Separador de milhares 3 7 3 7 3 4" xfId="33939"/>
    <cellStyle name="Separador de milhares 3 7 3 7 3 5" xfId="27405"/>
    <cellStyle name="Separador de milhares 3 7 3 7 4" xfId="16309"/>
    <cellStyle name="Separador de milhares 3 7 3 7 4 2" xfId="42801"/>
    <cellStyle name="Separador de milhares 3 7 3 7 4 3" xfId="23899"/>
    <cellStyle name="Separador de milhares 3 7 3 7 5" xfId="10382"/>
    <cellStyle name="Separador de milhares 3 7 3 7 5 2" xfId="36893"/>
    <cellStyle name="Separador de milhares 3 7 3 7 6" xfId="30433"/>
    <cellStyle name="Separador de milhares 3 7 3 7 7" xfId="22127"/>
    <cellStyle name="Separador de milhares 3 7 3 8" xfId="3316"/>
    <cellStyle name="Separador de milhares 3 7 3 8 2" xfId="5825"/>
    <cellStyle name="Separador de milhares 3 7 3 8 2 2" xfId="9037"/>
    <cellStyle name="Separador de milhares 3 7 3 8 2 2 2" xfId="20891"/>
    <cellStyle name="Separador de milhares 3 7 3 8 2 2 2 2" xfId="47370"/>
    <cellStyle name="Separador de milhares 3 7 3 8 2 2 3" xfId="14964"/>
    <cellStyle name="Separador de milhares 3 7 3 8 2 2 3 2" xfId="41462"/>
    <cellStyle name="Separador de milhares 3 7 3 8 2 2 4" xfId="35554"/>
    <cellStyle name="Separador de milhares 3 7 3 8 2 2 5" xfId="29020"/>
    <cellStyle name="Separador de milhares 3 7 3 8 2 3" xfId="17927"/>
    <cellStyle name="Separador de milhares 3 7 3 8 2 3 2" xfId="44416"/>
    <cellStyle name="Separador de milhares 3 7 3 8 2 4" xfId="12000"/>
    <cellStyle name="Separador de milhares 3 7 3 8 2 4 2" xfId="38508"/>
    <cellStyle name="Separador de milhares 3 7 3 8 2 5" xfId="32352"/>
    <cellStyle name="Separador de milhares 3 7 3 8 2 6" xfId="25818"/>
    <cellStyle name="Separador de milhares 3 7 3 8 3" xfId="7567"/>
    <cellStyle name="Separador de milhares 3 7 3 8 3 2" xfId="19421"/>
    <cellStyle name="Separador de milhares 3 7 3 8 3 2 2" xfId="45902"/>
    <cellStyle name="Separador de milhares 3 7 3 8 3 3" xfId="13494"/>
    <cellStyle name="Separador de milhares 3 7 3 8 3 3 2" xfId="39994"/>
    <cellStyle name="Separador de milhares 3 7 3 8 3 4" xfId="34086"/>
    <cellStyle name="Separador de milhares 3 7 3 8 3 5" xfId="27552"/>
    <cellStyle name="Separador de milhares 3 7 3 8 4" xfId="16457"/>
    <cellStyle name="Separador de milhares 3 7 3 8 4 2" xfId="42948"/>
    <cellStyle name="Separador de milhares 3 7 3 8 4 3" xfId="24046"/>
    <cellStyle name="Separador de milhares 3 7 3 8 5" xfId="10530"/>
    <cellStyle name="Separador de milhares 3 7 3 8 5 2" xfId="37040"/>
    <cellStyle name="Separador de milhares 3 7 3 8 6" xfId="30580"/>
    <cellStyle name="Separador de milhares 3 7 3 8 7" xfId="22274"/>
    <cellStyle name="Separador de milhares 3 7 3 9" xfId="3844"/>
    <cellStyle name="Separador de milhares 3 7 3 9 2" xfId="5972"/>
    <cellStyle name="Separador de milhares 3 7 3 9 2 2" xfId="9184"/>
    <cellStyle name="Separador de milhares 3 7 3 9 2 2 2" xfId="21038"/>
    <cellStyle name="Separador de milhares 3 7 3 9 2 2 2 2" xfId="47517"/>
    <cellStyle name="Separador de milhares 3 7 3 9 2 2 3" xfId="15111"/>
    <cellStyle name="Separador de milhares 3 7 3 9 2 2 3 2" xfId="41609"/>
    <cellStyle name="Separador de milhares 3 7 3 9 2 2 4" xfId="35701"/>
    <cellStyle name="Separador de milhares 3 7 3 9 2 2 5" xfId="29167"/>
    <cellStyle name="Separador de milhares 3 7 3 9 2 3" xfId="18074"/>
    <cellStyle name="Separador de milhares 3 7 3 9 2 3 2" xfId="44563"/>
    <cellStyle name="Separador de milhares 3 7 3 9 2 4" xfId="12147"/>
    <cellStyle name="Separador de milhares 3 7 3 9 2 4 2" xfId="38655"/>
    <cellStyle name="Separador de milhares 3 7 3 9 2 5" xfId="32499"/>
    <cellStyle name="Separador de milhares 3 7 3 9 2 6" xfId="25965"/>
    <cellStyle name="Separador de milhares 3 7 3 9 3" xfId="7715"/>
    <cellStyle name="Separador de milhares 3 7 3 9 3 2" xfId="19569"/>
    <cellStyle name="Separador de milhares 3 7 3 9 3 2 2" xfId="46049"/>
    <cellStyle name="Separador de milhares 3 7 3 9 3 3" xfId="13642"/>
    <cellStyle name="Separador de milhares 3 7 3 9 3 3 2" xfId="40141"/>
    <cellStyle name="Separador de milhares 3 7 3 9 3 4" xfId="34233"/>
    <cellStyle name="Separador de milhares 3 7 3 9 3 5" xfId="27699"/>
    <cellStyle name="Separador de milhares 3 7 3 9 4" xfId="16605"/>
    <cellStyle name="Separador de milhares 3 7 3 9 4 2" xfId="43095"/>
    <cellStyle name="Separador de milhares 3 7 3 9 4 3" xfId="24193"/>
    <cellStyle name="Separador de milhares 3 7 3 9 5" xfId="10678"/>
    <cellStyle name="Separador de milhares 3 7 3 9 5 2" xfId="37187"/>
    <cellStyle name="Separador de milhares 3 7 3 9 6" xfId="30727"/>
    <cellStyle name="Separador de milhares 3 7 3 9 7" xfId="22421"/>
    <cellStyle name="Separador de milhares 3 7 4" xfId="473"/>
    <cellStyle name="Separador de milhares 3 7 4 10" xfId="5019"/>
    <cellStyle name="Separador de milhares 3 7 4 10 2" xfId="8235"/>
    <cellStyle name="Separador de milhares 3 7 4 10 2 2" xfId="20089"/>
    <cellStyle name="Separador de milhares 3 7 4 10 2 2 2" xfId="46568"/>
    <cellStyle name="Separador de milhares 3 7 4 10 2 3" xfId="14162"/>
    <cellStyle name="Separador de milhares 3 7 4 10 2 3 2" xfId="40660"/>
    <cellStyle name="Separador de milhares 3 7 4 10 2 4" xfId="34752"/>
    <cellStyle name="Separador de milhares 3 7 4 10 2 5" xfId="28218"/>
    <cellStyle name="Separador de milhares 3 7 4 10 3" xfId="17125"/>
    <cellStyle name="Separador de milhares 3 7 4 10 3 2" xfId="43614"/>
    <cellStyle name="Separador de milhares 3 7 4 10 4" xfId="11198"/>
    <cellStyle name="Separador de milhares 3 7 4 10 4 2" xfId="37706"/>
    <cellStyle name="Separador de milhares 3 7 4 10 5" xfId="31546"/>
    <cellStyle name="Separador de milhares 3 7 4 10 6" xfId="25012"/>
    <cellStyle name="Separador de milhares 3 7 4 11" xfId="6759"/>
    <cellStyle name="Separador de milhares 3 7 4 11 2" xfId="18613"/>
    <cellStyle name="Separador de milhares 3 7 4 11 2 2" xfId="45100"/>
    <cellStyle name="Separador de milhares 3 7 4 11 3" xfId="12686"/>
    <cellStyle name="Separador de milhares 3 7 4 11 3 2" xfId="39192"/>
    <cellStyle name="Separador de milhares 3 7 4 11 4" xfId="33284"/>
    <cellStyle name="Separador de milhares 3 7 4 11 5" xfId="26750"/>
    <cellStyle name="Separador de milhares 3 7 4 12" xfId="15649"/>
    <cellStyle name="Separador de milhares 3 7 4 12 2" xfId="42146"/>
    <cellStyle name="Separador de milhares 3 7 4 12 3" xfId="23240"/>
    <cellStyle name="Separador de milhares 3 7 4 13" xfId="9722"/>
    <cellStyle name="Separador de milhares 3 7 4 13 2" xfId="36238"/>
    <cellStyle name="Separador de milhares 3 7 4 14" xfId="29774"/>
    <cellStyle name="Separador de milhares 3 7 4 2" xfId="1119"/>
    <cellStyle name="Separador de milhares 3 7 4 2 2" xfId="5216"/>
    <cellStyle name="Separador de milhares 3 7 4 2 2 2" xfId="8431"/>
    <cellStyle name="Separador de milhares 3 7 4 2 2 2 2" xfId="20285"/>
    <cellStyle name="Separador de milhares 3 7 4 2 2 2 2 2" xfId="46764"/>
    <cellStyle name="Separador de milhares 3 7 4 2 2 2 3" xfId="14358"/>
    <cellStyle name="Separador de milhares 3 7 4 2 2 2 3 2" xfId="40856"/>
    <cellStyle name="Separador de milhares 3 7 4 2 2 2 4" xfId="34948"/>
    <cellStyle name="Separador de milhares 3 7 4 2 2 2 5" xfId="28414"/>
    <cellStyle name="Separador de milhares 3 7 4 2 2 3" xfId="17321"/>
    <cellStyle name="Separador de milhares 3 7 4 2 2 3 2" xfId="43810"/>
    <cellStyle name="Separador de milhares 3 7 4 2 2 4" xfId="11394"/>
    <cellStyle name="Separador de milhares 3 7 4 2 2 4 2" xfId="37902"/>
    <cellStyle name="Separador de milhares 3 7 4 2 2 5" xfId="31743"/>
    <cellStyle name="Separador de milhares 3 7 4 2 2 6" xfId="25209"/>
    <cellStyle name="Separador de milhares 3 7 4 2 3" xfId="6958"/>
    <cellStyle name="Separador de milhares 3 7 4 2 3 2" xfId="18812"/>
    <cellStyle name="Separador de milhares 3 7 4 2 3 2 2" xfId="45296"/>
    <cellStyle name="Separador de milhares 3 7 4 2 3 3" xfId="12885"/>
    <cellStyle name="Separador de milhares 3 7 4 2 3 3 2" xfId="39388"/>
    <cellStyle name="Separador de milhares 3 7 4 2 3 4" xfId="33480"/>
    <cellStyle name="Separador de milhares 3 7 4 2 3 5" xfId="26946"/>
    <cellStyle name="Separador de milhares 3 7 4 2 4" xfId="15848"/>
    <cellStyle name="Separador de milhares 3 7 4 2 4 2" xfId="42342"/>
    <cellStyle name="Separador de milhares 3 7 4 2 4 3" xfId="23437"/>
    <cellStyle name="Separador de milhares 3 7 4 2 5" xfId="9921"/>
    <cellStyle name="Separador de milhares 3 7 4 2 5 2" xfId="36434"/>
    <cellStyle name="Separador de milhares 3 7 4 2 6" xfId="29971"/>
    <cellStyle name="Separador de milhares 3 7 4 2 7" xfId="21665"/>
    <cellStyle name="Separador de milhares 3 7 4 3" xfId="1470"/>
    <cellStyle name="Separador de milhares 3 7 4 3 2" xfId="5314"/>
    <cellStyle name="Separador de milhares 3 7 4 3 2 2" xfId="8529"/>
    <cellStyle name="Separador de milhares 3 7 4 3 2 2 2" xfId="20383"/>
    <cellStyle name="Separador de milhares 3 7 4 3 2 2 2 2" xfId="46862"/>
    <cellStyle name="Separador de milhares 3 7 4 3 2 2 3" xfId="14456"/>
    <cellStyle name="Separador de milhares 3 7 4 3 2 2 3 2" xfId="40954"/>
    <cellStyle name="Separador de milhares 3 7 4 3 2 2 4" xfId="35046"/>
    <cellStyle name="Separador de milhares 3 7 4 3 2 2 5" xfId="28512"/>
    <cellStyle name="Separador de milhares 3 7 4 3 2 3" xfId="17419"/>
    <cellStyle name="Separador de milhares 3 7 4 3 2 3 2" xfId="43908"/>
    <cellStyle name="Separador de milhares 3 7 4 3 2 4" xfId="11492"/>
    <cellStyle name="Separador de milhares 3 7 4 3 2 4 2" xfId="38000"/>
    <cellStyle name="Separador de milhares 3 7 4 3 2 5" xfId="31841"/>
    <cellStyle name="Separador de milhares 3 7 4 3 2 6" xfId="25307"/>
    <cellStyle name="Separador de milhares 3 7 4 3 3" xfId="7056"/>
    <cellStyle name="Separador de milhares 3 7 4 3 3 2" xfId="18910"/>
    <cellStyle name="Separador de milhares 3 7 4 3 3 2 2" xfId="45394"/>
    <cellStyle name="Separador de milhares 3 7 4 3 3 3" xfId="12983"/>
    <cellStyle name="Separador de milhares 3 7 4 3 3 3 2" xfId="39486"/>
    <cellStyle name="Separador de milhares 3 7 4 3 3 4" xfId="33578"/>
    <cellStyle name="Separador de milhares 3 7 4 3 3 5" xfId="27044"/>
    <cellStyle name="Separador de milhares 3 7 4 3 4" xfId="15946"/>
    <cellStyle name="Separador de milhares 3 7 4 3 4 2" xfId="42440"/>
    <cellStyle name="Separador de milhares 3 7 4 3 4 3" xfId="23535"/>
    <cellStyle name="Separador de milhares 3 7 4 3 5" xfId="10019"/>
    <cellStyle name="Separador de milhares 3 7 4 3 5 2" xfId="36532"/>
    <cellStyle name="Separador de milhares 3 7 4 3 6" xfId="30069"/>
    <cellStyle name="Separador de milhares 3 7 4 3 7" xfId="21763"/>
    <cellStyle name="Separador de milhares 3 7 4 4" xfId="1905"/>
    <cellStyle name="Separador de milhares 3 7 4 4 2" xfId="5433"/>
    <cellStyle name="Separador de milhares 3 7 4 4 2 2" xfId="8648"/>
    <cellStyle name="Separador de milhares 3 7 4 4 2 2 2" xfId="20502"/>
    <cellStyle name="Separador de milhares 3 7 4 4 2 2 2 2" xfId="46981"/>
    <cellStyle name="Separador de milhares 3 7 4 4 2 2 3" xfId="14575"/>
    <cellStyle name="Separador de milhares 3 7 4 4 2 2 3 2" xfId="41073"/>
    <cellStyle name="Separador de milhares 3 7 4 4 2 2 4" xfId="35165"/>
    <cellStyle name="Separador de milhares 3 7 4 4 2 2 5" xfId="28631"/>
    <cellStyle name="Separador de milhares 3 7 4 4 2 3" xfId="17538"/>
    <cellStyle name="Separador de milhares 3 7 4 4 2 3 2" xfId="44027"/>
    <cellStyle name="Separador de milhares 3 7 4 4 2 4" xfId="11611"/>
    <cellStyle name="Separador de milhares 3 7 4 4 2 4 2" xfId="38119"/>
    <cellStyle name="Separador de milhares 3 7 4 4 2 5" xfId="31960"/>
    <cellStyle name="Separador de milhares 3 7 4 4 2 6" xfId="25426"/>
    <cellStyle name="Separador de milhares 3 7 4 4 3" xfId="7175"/>
    <cellStyle name="Separador de milhares 3 7 4 4 3 2" xfId="19029"/>
    <cellStyle name="Separador de milhares 3 7 4 4 3 2 2" xfId="45513"/>
    <cellStyle name="Separador de milhares 3 7 4 4 3 3" xfId="13102"/>
    <cellStyle name="Separador de milhares 3 7 4 4 3 3 2" xfId="39605"/>
    <cellStyle name="Separador de milhares 3 7 4 4 3 4" xfId="33697"/>
    <cellStyle name="Separador de milhares 3 7 4 4 3 5" xfId="27163"/>
    <cellStyle name="Separador de milhares 3 7 4 4 4" xfId="16065"/>
    <cellStyle name="Separador de milhares 3 7 4 4 4 2" xfId="42559"/>
    <cellStyle name="Separador de milhares 3 7 4 4 4 3" xfId="23654"/>
    <cellStyle name="Separador de milhares 3 7 4 4 5" xfId="10138"/>
    <cellStyle name="Separador de milhares 3 7 4 4 5 2" xfId="36651"/>
    <cellStyle name="Separador de milhares 3 7 4 4 6" xfId="30188"/>
    <cellStyle name="Separador de milhares 3 7 4 4 7" xfId="21882"/>
    <cellStyle name="Separador de milhares 3 7 4 5" xfId="2438"/>
    <cellStyle name="Separador de milhares 3 7 4 5 2" xfId="5583"/>
    <cellStyle name="Separador de milhares 3 7 4 5 2 2" xfId="8795"/>
    <cellStyle name="Separador de milhares 3 7 4 5 2 2 2" xfId="20649"/>
    <cellStyle name="Separador de milhares 3 7 4 5 2 2 2 2" xfId="47128"/>
    <cellStyle name="Separador de milhares 3 7 4 5 2 2 3" xfId="14722"/>
    <cellStyle name="Separador de milhares 3 7 4 5 2 2 3 2" xfId="41220"/>
    <cellStyle name="Separador de milhares 3 7 4 5 2 2 4" xfId="35312"/>
    <cellStyle name="Separador de milhares 3 7 4 5 2 2 5" xfId="28778"/>
    <cellStyle name="Separador de milhares 3 7 4 5 2 3" xfId="17685"/>
    <cellStyle name="Separador de milhares 3 7 4 5 2 3 2" xfId="44174"/>
    <cellStyle name="Separador de milhares 3 7 4 5 2 4" xfId="11758"/>
    <cellStyle name="Separador de milhares 3 7 4 5 2 4 2" xfId="38266"/>
    <cellStyle name="Separador de milhares 3 7 4 5 2 5" xfId="32110"/>
    <cellStyle name="Separador de milhares 3 7 4 5 2 6" xfId="25576"/>
    <cellStyle name="Separador de milhares 3 7 4 5 3" xfId="7323"/>
    <cellStyle name="Separador de milhares 3 7 4 5 3 2" xfId="19177"/>
    <cellStyle name="Separador de milhares 3 7 4 5 3 2 2" xfId="45660"/>
    <cellStyle name="Separador de milhares 3 7 4 5 3 3" xfId="13250"/>
    <cellStyle name="Separador de milhares 3 7 4 5 3 3 2" xfId="39752"/>
    <cellStyle name="Separador de milhares 3 7 4 5 3 4" xfId="33844"/>
    <cellStyle name="Separador de milhares 3 7 4 5 3 5" xfId="27310"/>
    <cellStyle name="Separador de milhares 3 7 4 5 4" xfId="16213"/>
    <cellStyle name="Separador de milhares 3 7 4 5 4 2" xfId="42706"/>
    <cellStyle name="Separador de milhares 3 7 4 5 4 3" xfId="23804"/>
    <cellStyle name="Separador de milhares 3 7 4 5 5" xfId="10286"/>
    <cellStyle name="Separador de milhares 3 7 4 5 5 2" xfId="36798"/>
    <cellStyle name="Separador de milhares 3 7 4 5 6" xfId="30338"/>
    <cellStyle name="Separador de milhares 3 7 4 5 7" xfId="22032"/>
    <cellStyle name="Separador de milhares 3 7 4 6" xfId="2966"/>
    <cellStyle name="Separador de milhares 3 7 4 6 2" xfId="5730"/>
    <cellStyle name="Separador de milhares 3 7 4 6 2 2" xfId="8942"/>
    <cellStyle name="Separador de milhares 3 7 4 6 2 2 2" xfId="20796"/>
    <cellStyle name="Separador de milhares 3 7 4 6 2 2 2 2" xfId="47275"/>
    <cellStyle name="Separador de milhares 3 7 4 6 2 2 3" xfId="14869"/>
    <cellStyle name="Separador de milhares 3 7 4 6 2 2 3 2" xfId="41367"/>
    <cellStyle name="Separador de milhares 3 7 4 6 2 2 4" xfId="35459"/>
    <cellStyle name="Separador de milhares 3 7 4 6 2 2 5" xfId="28925"/>
    <cellStyle name="Separador de milhares 3 7 4 6 2 3" xfId="17832"/>
    <cellStyle name="Separador de milhares 3 7 4 6 2 3 2" xfId="44321"/>
    <cellStyle name="Separador de milhares 3 7 4 6 2 4" xfId="11905"/>
    <cellStyle name="Separador de milhares 3 7 4 6 2 4 2" xfId="38413"/>
    <cellStyle name="Separador de milhares 3 7 4 6 2 5" xfId="32257"/>
    <cellStyle name="Separador de milhares 3 7 4 6 2 6" xfId="25723"/>
    <cellStyle name="Separador de milhares 3 7 4 6 3" xfId="7471"/>
    <cellStyle name="Separador de milhares 3 7 4 6 3 2" xfId="19325"/>
    <cellStyle name="Separador de milhares 3 7 4 6 3 2 2" xfId="45807"/>
    <cellStyle name="Separador de milhares 3 7 4 6 3 3" xfId="13398"/>
    <cellStyle name="Separador de milhares 3 7 4 6 3 3 2" xfId="39899"/>
    <cellStyle name="Separador de milhares 3 7 4 6 3 4" xfId="33991"/>
    <cellStyle name="Separador de milhares 3 7 4 6 3 5" xfId="27457"/>
    <cellStyle name="Separador de milhares 3 7 4 6 4" xfId="16361"/>
    <cellStyle name="Separador de milhares 3 7 4 6 4 2" xfId="42853"/>
    <cellStyle name="Separador de milhares 3 7 4 6 4 3" xfId="23951"/>
    <cellStyle name="Separador de milhares 3 7 4 6 5" xfId="10434"/>
    <cellStyle name="Separador de milhares 3 7 4 6 5 2" xfId="36945"/>
    <cellStyle name="Separador de milhares 3 7 4 6 6" xfId="30485"/>
    <cellStyle name="Separador de milhares 3 7 4 6 7" xfId="22179"/>
    <cellStyle name="Separador de milhares 3 7 4 7" xfId="3494"/>
    <cellStyle name="Separador de milhares 3 7 4 7 2" xfId="5877"/>
    <cellStyle name="Separador de milhares 3 7 4 7 2 2" xfId="9089"/>
    <cellStyle name="Separador de milhares 3 7 4 7 2 2 2" xfId="20943"/>
    <cellStyle name="Separador de milhares 3 7 4 7 2 2 2 2" xfId="47422"/>
    <cellStyle name="Separador de milhares 3 7 4 7 2 2 3" xfId="15016"/>
    <cellStyle name="Separador de milhares 3 7 4 7 2 2 3 2" xfId="41514"/>
    <cellStyle name="Separador de milhares 3 7 4 7 2 2 4" xfId="35606"/>
    <cellStyle name="Separador de milhares 3 7 4 7 2 2 5" xfId="29072"/>
    <cellStyle name="Separador de milhares 3 7 4 7 2 3" xfId="17979"/>
    <cellStyle name="Separador de milhares 3 7 4 7 2 3 2" xfId="44468"/>
    <cellStyle name="Separador de milhares 3 7 4 7 2 4" xfId="12052"/>
    <cellStyle name="Separador de milhares 3 7 4 7 2 4 2" xfId="38560"/>
    <cellStyle name="Separador de milhares 3 7 4 7 2 5" xfId="32404"/>
    <cellStyle name="Separador de milhares 3 7 4 7 2 6" xfId="25870"/>
    <cellStyle name="Separador de milhares 3 7 4 7 3" xfId="7619"/>
    <cellStyle name="Separador de milhares 3 7 4 7 3 2" xfId="19473"/>
    <cellStyle name="Separador de milhares 3 7 4 7 3 2 2" xfId="45954"/>
    <cellStyle name="Separador de milhares 3 7 4 7 3 3" xfId="13546"/>
    <cellStyle name="Separador de milhares 3 7 4 7 3 3 2" xfId="40046"/>
    <cellStyle name="Separador de milhares 3 7 4 7 3 4" xfId="34138"/>
    <cellStyle name="Separador de milhares 3 7 4 7 3 5" xfId="27604"/>
    <cellStyle name="Separador de milhares 3 7 4 7 4" xfId="16509"/>
    <cellStyle name="Separador de milhares 3 7 4 7 4 2" xfId="43000"/>
    <cellStyle name="Separador de milhares 3 7 4 7 4 3" xfId="24098"/>
    <cellStyle name="Separador de milhares 3 7 4 7 5" xfId="10582"/>
    <cellStyle name="Separador de milhares 3 7 4 7 5 2" xfId="37092"/>
    <cellStyle name="Separador de milhares 3 7 4 7 6" xfId="30632"/>
    <cellStyle name="Separador de milhares 3 7 4 7 7" xfId="22326"/>
    <cellStyle name="Separador de milhares 3 7 4 8" xfId="4022"/>
    <cellStyle name="Separador de milhares 3 7 4 8 2" xfId="6024"/>
    <cellStyle name="Separador de milhares 3 7 4 8 2 2" xfId="9236"/>
    <cellStyle name="Separador de milhares 3 7 4 8 2 2 2" xfId="21090"/>
    <cellStyle name="Separador de milhares 3 7 4 8 2 2 2 2" xfId="47569"/>
    <cellStyle name="Separador de milhares 3 7 4 8 2 2 3" xfId="15163"/>
    <cellStyle name="Separador de milhares 3 7 4 8 2 2 3 2" xfId="41661"/>
    <cellStyle name="Separador de milhares 3 7 4 8 2 2 4" xfId="35753"/>
    <cellStyle name="Separador de milhares 3 7 4 8 2 2 5" xfId="29219"/>
    <cellStyle name="Separador de milhares 3 7 4 8 2 3" xfId="18126"/>
    <cellStyle name="Separador de milhares 3 7 4 8 2 3 2" xfId="44615"/>
    <cellStyle name="Separador de milhares 3 7 4 8 2 4" xfId="12199"/>
    <cellStyle name="Separador de milhares 3 7 4 8 2 4 2" xfId="38707"/>
    <cellStyle name="Separador de milhares 3 7 4 8 2 5" xfId="32551"/>
    <cellStyle name="Separador de milhares 3 7 4 8 2 6" xfId="26017"/>
    <cellStyle name="Separador de milhares 3 7 4 8 3" xfId="7767"/>
    <cellStyle name="Separador de milhares 3 7 4 8 3 2" xfId="19621"/>
    <cellStyle name="Separador de milhares 3 7 4 8 3 2 2" xfId="46101"/>
    <cellStyle name="Separador de milhares 3 7 4 8 3 3" xfId="13694"/>
    <cellStyle name="Separador de milhares 3 7 4 8 3 3 2" xfId="40193"/>
    <cellStyle name="Separador de milhares 3 7 4 8 3 4" xfId="34285"/>
    <cellStyle name="Separador de milhares 3 7 4 8 3 5" xfId="27751"/>
    <cellStyle name="Separador de milhares 3 7 4 8 4" xfId="16657"/>
    <cellStyle name="Separador de milhares 3 7 4 8 4 2" xfId="43147"/>
    <cellStyle name="Separador de milhares 3 7 4 8 4 3" xfId="24245"/>
    <cellStyle name="Separador de milhares 3 7 4 8 5" xfId="10730"/>
    <cellStyle name="Separador de milhares 3 7 4 8 5 2" xfId="37239"/>
    <cellStyle name="Separador de milhares 3 7 4 8 6" xfId="30779"/>
    <cellStyle name="Separador de milhares 3 7 4 8 7" xfId="22473"/>
    <cellStyle name="Separador de milhares 3 7 4 9" xfId="805"/>
    <cellStyle name="Separador de milhares 3 7 4 9 2" xfId="5118"/>
    <cellStyle name="Separador de milhares 3 7 4 9 2 2" xfId="8333"/>
    <cellStyle name="Separador de milhares 3 7 4 9 2 2 2" xfId="20187"/>
    <cellStyle name="Separador de milhares 3 7 4 9 2 2 2 2" xfId="46666"/>
    <cellStyle name="Separador de milhares 3 7 4 9 2 2 3" xfId="14260"/>
    <cellStyle name="Separador de milhares 3 7 4 9 2 2 3 2" xfId="40758"/>
    <cellStyle name="Separador de milhares 3 7 4 9 2 2 4" xfId="34850"/>
    <cellStyle name="Separador de milhares 3 7 4 9 2 2 5" xfId="28316"/>
    <cellStyle name="Separador de milhares 3 7 4 9 2 3" xfId="17223"/>
    <cellStyle name="Separador de milhares 3 7 4 9 2 3 2" xfId="43712"/>
    <cellStyle name="Separador de milhares 3 7 4 9 2 4" xfId="11296"/>
    <cellStyle name="Separador de milhares 3 7 4 9 2 4 2" xfId="37804"/>
    <cellStyle name="Separador de milhares 3 7 4 9 2 5" xfId="31645"/>
    <cellStyle name="Separador de milhares 3 7 4 9 2 6" xfId="25111"/>
    <cellStyle name="Separador de milhares 3 7 4 9 3" xfId="6860"/>
    <cellStyle name="Separador de milhares 3 7 4 9 3 2" xfId="18714"/>
    <cellStyle name="Separador de milhares 3 7 4 9 3 2 2" xfId="45198"/>
    <cellStyle name="Separador de milhares 3 7 4 9 3 3" xfId="12787"/>
    <cellStyle name="Separador de milhares 3 7 4 9 3 3 2" xfId="39290"/>
    <cellStyle name="Separador de milhares 3 7 4 9 3 4" xfId="33382"/>
    <cellStyle name="Separador de milhares 3 7 4 9 3 5" xfId="26848"/>
    <cellStyle name="Separador de milhares 3 7 4 9 4" xfId="15750"/>
    <cellStyle name="Separador de milhares 3 7 4 9 4 2" xfId="42244"/>
    <cellStyle name="Separador de milhares 3 7 4 9 4 3" xfId="23339"/>
    <cellStyle name="Separador de milhares 3 7 4 9 5" xfId="9823"/>
    <cellStyle name="Separador de milhares 3 7 4 9 5 2" xfId="36336"/>
    <cellStyle name="Separador de milhares 3 7 4 9 6" xfId="29873"/>
    <cellStyle name="Separador de milhares 3 7 4 9 7" xfId="21567"/>
    <cellStyle name="Separador de milhares 3 7 5" xfId="731"/>
    <cellStyle name="Separador de milhares 3 7 5 10" xfId="15713"/>
    <cellStyle name="Separador de milhares 3 7 5 10 2" xfId="42210"/>
    <cellStyle name="Separador de milhares 3 7 5 10 3" xfId="23305"/>
    <cellStyle name="Separador de milhares 3 7 5 11" xfId="9786"/>
    <cellStyle name="Separador de milhares 3 7 5 11 2" xfId="36302"/>
    <cellStyle name="Separador de milhares 3 7 5 12" xfId="29839"/>
    <cellStyle name="Separador de milhares 3 7 5 13" xfId="21533"/>
    <cellStyle name="Separador de milhares 3 7 5 2" xfId="1554"/>
    <cellStyle name="Separador de milhares 3 7 5 2 2" xfId="5335"/>
    <cellStyle name="Separador de milhares 3 7 5 2 2 2" xfId="8550"/>
    <cellStyle name="Separador de milhares 3 7 5 2 2 2 2" xfId="20404"/>
    <cellStyle name="Separador de milhares 3 7 5 2 2 2 2 2" xfId="46883"/>
    <cellStyle name="Separador de milhares 3 7 5 2 2 2 3" xfId="14477"/>
    <cellStyle name="Separador de milhares 3 7 5 2 2 2 3 2" xfId="40975"/>
    <cellStyle name="Separador de milhares 3 7 5 2 2 2 4" xfId="35067"/>
    <cellStyle name="Separador de milhares 3 7 5 2 2 2 5" xfId="28533"/>
    <cellStyle name="Separador de milhares 3 7 5 2 2 3" xfId="17440"/>
    <cellStyle name="Separador de milhares 3 7 5 2 2 3 2" xfId="43929"/>
    <cellStyle name="Separador de milhares 3 7 5 2 2 4" xfId="11513"/>
    <cellStyle name="Separador de milhares 3 7 5 2 2 4 2" xfId="38021"/>
    <cellStyle name="Separador de milhares 3 7 5 2 2 5" xfId="31862"/>
    <cellStyle name="Separador de milhares 3 7 5 2 2 6" xfId="25328"/>
    <cellStyle name="Separador de milhares 3 7 5 2 3" xfId="7077"/>
    <cellStyle name="Separador de milhares 3 7 5 2 3 2" xfId="18931"/>
    <cellStyle name="Separador de milhares 3 7 5 2 3 2 2" xfId="45415"/>
    <cellStyle name="Separador de milhares 3 7 5 2 3 3" xfId="13004"/>
    <cellStyle name="Separador de milhares 3 7 5 2 3 3 2" xfId="39507"/>
    <cellStyle name="Separador de milhares 3 7 5 2 3 4" xfId="33599"/>
    <cellStyle name="Separador de milhares 3 7 5 2 3 5" xfId="27065"/>
    <cellStyle name="Separador de milhares 3 7 5 2 4" xfId="15967"/>
    <cellStyle name="Separador de milhares 3 7 5 2 4 2" xfId="42461"/>
    <cellStyle name="Separador de milhares 3 7 5 2 4 3" xfId="23556"/>
    <cellStyle name="Separador de milhares 3 7 5 2 5" xfId="10040"/>
    <cellStyle name="Separador de milhares 3 7 5 2 5 2" xfId="36553"/>
    <cellStyle name="Separador de milhares 3 7 5 2 6" xfId="30090"/>
    <cellStyle name="Separador de milhares 3 7 5 2 7" xfId="21784"/>
    <cellStyle name="Separador de milhares 3 7 5 3" xfId="1989"/>
    <cellStyle name="Separador de milhares 3 7 5 3 2" xfId="5454"/>
    <cellStyle name="Separador de milhares 3 7 5 3 2 2" xfId="8669"/>
    <cellStyle name="Separador de milhares 3 7 5 3 2 2 2" xfId="20523"/>
    <cellStyle name="Separador de milhares 3 7 5 3 2 2 2 2" xfId="47002"/>
    <cellStyle name="Separador de milhares 3 7 5 3 2 2 3" xfId="14596"/>
    <cellStyle name="Separador de milhares 3 7 5 3 2 2 3 2" xfId="41094"/>
    <cellStyle name="Separador de milhares 3 7 5 3 2 2 4" xfId="35186"/>
    <cellStyle name="Separador de milhares 3 7 5 3 2 2 5" xfId="28652"/>
    <cellStyle name="Separador de milhares 3 7 5 3 2 3" xfId="17559"/>
    <cellStyle name="Separador de milhares 3 7 5 3 2 3 2" xfId="44048"/>
    <cellStyle name="Separador de milhares 3 7 5 3 2 4" xfId="11632"/>
    <cellStyle name="Separador de milhares 3 7 5 3 2 4 2" xfId="38140"/>
    <cellStyle name="Separador de milhares 3 7 5 3 2 5" xfId="31981"/>
    <cellStyle name="Separador de milhares 3 7 5 3 2 6" xfId="25447"/>
    <cellStyle name="Separador de milhares 3 7 5 3 3" xfId="7196"/>
    <cellStyle name="Separador de milhares 3 7 5 3 3 2" xfId="19050"/>
    <cellStyle name="Separador de milhares 3 7 5 3 3 2 2" xfId="45534"/>
    <cellStyle name="Separador de milhares 3 7 5 3 3 3" xfId="13123"/>
    <cellStyle name="Separador de milhares 3 7 5 3 3 3 2" xfId="39626"/>
    <cellStyle name="Separador de milhares 3 7 5 3 3 4" xfId="33718"/>
    <cellStyle name="Separador de milhares 3 7 5 3 3 5" xfId="27184"/>
    <cellStyle name="Separador de milhares 3 7 5 3 4" xfId="16086"/>
    <cellStyle name="Separador de milhares 3 7 5 3 4 2" xfId="42580"/>
    <cellStyle name="Separador de milhares 3 7 5 3 4 3" xfId="23675"/>
    <cellStyle name="Separador de milhares 3 7 5 3 5" xfId="10159"/>
    <cellStyle name="Separador de milhares 3 7 5 3 5 2" xfId="36672"/>
    <cellStyle name="Separador de milhares 3 7 5 3 6" xfId="30209"/>
    <cellStyle name="Separador de milhares 3 7 5 3 7" xfId="21903"/>
    <cellStyle name="Separador de milhares 3 7 5 4" xfId="2522"/>
    <cellStyle name="Separador de milhares 3 7 5 4 2" xfId="5604"/>
    <cellStyle name="Separador de milhares 3 7 5 4 2 2" xfId="8816"/>
    <cellStyle name="Separador de milhares 3 7 5 4 2 2 2" xfId="20670"/>
    <cellStyle name="Separador de milhares 3 7 5 4 2 2 2 2" xfId="47149"/>
    <cellStyle name="Separador de milhares 3 7 5 4 2 2 3" xfId="14743"/>
    <cellStyle name="Separador de milhares 3 7 5 4 2 2 3 2" xfId="41241"/>
    <cellStyle name="Separador de milhares 3 7 5 4 2 2 4" xfId="35333"/>
    <cellStyle name="Separador de milhares 3 7 5 4 2 2 5" xfId="28799"/>
    <cellStyle name="Separador de milhares 3 7 5 4 2 3" xfId="17706"/>
    <cellStyle name="Separador de milhares 3 7 5 4 2 3 2" xfId="44195"/>
    <cellStyle name="Separador de milhares 3 7 5 4 2 4" xfId="11779"/>
    <cellStyle name="Separador de milhares 3 7 5 4 2 4 2" xfId="38287"/>
    <cellStyle name="Separador de milhares 3 7 5 4 2 5" xfId="32131"/>
    <cellStyle name="Separador de milhares 3 7 5 4 2 6" xfId="25597"/>
    <cellStyle name="Separador de milhares 3 7 5 4 3" xfId="7344"/>
    <cellStyle name="Separador de milhares 3 7 5 4 3 2" xfId="19198"/>
    <cellStyle name="Separador de milhares 3 7 5 4 3 2 2" xfId="45681"/>
    <cellStyle name="Separador de milhares 3 7 5 4 3 3" xfId="13271"/>
    <cellStyle name="Separador de milhares 3 7 5 4 3 3 2" xfId="39773"/>
    <cellStyle name="Separador de milhares 3 7 5 4 3 4" xfId="33865"/>
    <cellStyle name="Separador de milhares 3 7 5 4 3 5" xfId="27331"/>
    <cellStyle name="Separador de milhares 3 7 5 4 4" xfId="16234"/>
    <cellStyle name="Separador de milhares 3 7 5 4 4 2" xfId="42727"/>
    <cellStyle name="Separador de milhares 3 7 5 4 4 3" xfId="23825"/>
    <cellStyle name="Separador de milhares 3 7 5 4 5" xfId="10307"/>
    <cellStyle name="Separador de milhares 3 7 5 4 5 2" xfId="36819"/>
    <cellStyle name="Separador de milhares 3 7 5 4 6" xfId="30359"/>
    <cellStyle name="Separador de milhares 3 7 5 4 7" xfId="22053"/>
    <cellStyle name="Separador de milhares 3 7 5 5" xfId="3050"/>
    <cellStyle name="Separador de milhares 3 7 5 5 2" xfId="5751"/>
    <cellStyle name="Separador de milhares 3 7 5 5 2 2" xfId="8963"/>
    <cellStyle name="Separador de milhares 3 7 5 5 2 2 2" xfId="20817"/>
    <cellStyle name="Separador de milhares 3 7 5 5 2 2 2 2" xfId="47296"/>
    <cellStyle name="Separador de milhares 3 7 5 5 2 2 3" xfId="14890"/>
    <cellStyle name="Separador de milhares 3 7 5 5 2 2 3 2" xfId="41388"/>
    <cellStyle name="Separador de milhares 3 7 5 5 2 2 4" xfId="35480"/>
    <cellStyle name="Separador de milhares 3 7 5 5 2 2 5" xfId="28946"/>
    <cellStyle name="Separador de milhares 3 7 5 5 2 3" xfId="17853"/>
    <cellStyle name="Separador de milhares 3 7 5 5 2 3 2" xfId="44342"/>
    <cellStyle name="Separador de milhares 3 7 5 5 2 4" xfId="11926"/>
    <cellStyle name="Separador de milhares 3 7 5 5 2 4 2" xfId="38434"/>
    <cellStyle name="Separador de milhares 3 7 5 5 2 5" xfId="32278"/>
    <cellStyle name="Separador de milhares 3 7 5 5 2 6" xfId="25744"/>
    <cellStyle name="Separador de milhares 3 7 5 5 3" xfId="7492"/>
    <cellStyle name="Separador de milhares 3 7 5 5 3 2" xfId="19346"/>
    <cellStyle name="Separador de milhares 3 7 5 5 3 2 2" xfId="45828"/>
    <cellStyle name="Separador de milhares 3 7 5 5 3 3" xfId="13419"/>
    <cellStyle name="Separador de milhares 3 7 5 5 3 3 2" xfId="39920"/>
    <cellStyle name="Separador de milhares 3 7 5 5 3 4" xfId="34012"/>
    <cellStyle name="Separador de milhares 3 7 5 5 3 5" xfId="27478"/>
    <cellStyle name="Separador de milhares 3 7 5 5 4" xfId="16382"/>
    <cellStyle name="Separador de milhares 3 7 5 5 4 2" xfId="42874"/>
    <cellStyle name="Separador de milhares 3 7 5 5 4 3" xfId="23972"/>
    <cellStyle name="Separador de milhares 3 7 5 5 5" xfId="10455"/>
    <cellStyle name="Separador de milhares 3 7 5 5 5 2" xfId="36966"/>
    <cellStyle name="Separador de milhares 3 7 5 5 6" xfId="30506"/>
    <cellStyle name="Separador de milhares 3 7 5 5 7" xfId="22200"/>
    <cellStyle name="Separador de milhares 3 7 5 6" xfId="3578"/>
    <cellStyle name="Separador de milhares 3 7 5 6 2" xfId="5898"/>
    <cellStyle name="Separador de milhares 3 7 5 6 2 2" xfId="9110"/>
    <cellStyle name="Separador de milhares 3 7 5 6 2 2 2" xfId="20964"/>
    <cellStyle name="Separador de milhares 3 7 5 6 2 2 2 2" xfId="47443"/>
    <cellStyle name="Separador de milhares 3 7 5 6 2 2 3" xfId="15037"/>
    <cellStyle name="Separador de milhares 3 7 5 6 2 2 3 2" xfId="41535"/>
    <cellStyle name="Separador de milhares 3 7 5 6 2 2 4" xfId="35627"/>
    <cellStyle name="Separador de milhares 3 7 5 6 2 2 5" xfId="29093"/>
    <cellStyle name="Separador de milhares 3 7 5 6 2 3" xfId="18000"/>
    <cellStyle name="Separador de milhares 3 7 5 6 2 3 2" xfId="44489"/>
    <cellStyle name="Separador de milhares 3 7 5 6 2 4" xfId="12073"/>
    <cellStyle name="Separador de milhares 3 7 5 6 2 4 2" xfId="38581"/>
    <cellStyle name="Separador de milhares 3 7 5 6 2 5" xfId="32425"/>
    <cellStyle name="Separador de milhares 3 7 5 6 2 6" xfId="25891"/>
    <cellStyle name="Separador de milhares 3 7 5 6 3" xfId="7640"/>
    <cellStyle name="Separador de milhares 3 7 5 6 3 2" xfId="19494"/>
    <cellStyle name="Separador de milhares 3 7 5 6 3 2 2" xfId="45975"/>
    <cellStyle name="Separador de milhares 3 7 5 6 3 3" xfId="13567"/>
    <cellStyle name="Separador de milhares 3 7 5 6 3 3 2" xfId="40067"/>
    <cellStyle name="Separador de milhares 3 7 5 6 3 4" xfId="34159"/>
    <cellStyle name="Separador de milhares 3 7 5 6 3 5" xfId="27625"/>
    <cellStyle name="Separador de milhares 3 7 5 6 4" xfId="16530"/>
    <cellStyle name="Separador de milhares 3 7 5 6 4 2" xfId="43021"/>
    <cellStyle name="Separador de milhares 3 7 5 6 4 3" xfId="24119"/>
    <cellStyle name="Separador de milhares 3 7 5 6 5" xfId="10603"/>
    <cellStyle name="Separador de milhares 3 7 5 6 5 2" xfId="37113"/>
    <cellStyle name="Separador de milhares 3 7 5 6 6" xfId="30653"/>
    <cellStyle name="Separador de milhares 3 7 5 6 7" xfId="22347"/>
    <cellStyle name="Separador de milhares 3 7 5 7" xfId="4106"/>
    <cellStyle name="Separador de milhares 3 7 5 7 2" xfId="6045"/>
    <cellStyle name="Separador de milhares 3 7 5 7 2 2" xfId="9257"/>
    <cellStyle name="Separador de milhares 3 7 5 7 2 2 2" xfId="21111"/>
    <cellStyle name="Separador de milhares 3 7 5 7 2 2 2 2" xfId="47590"/>
    <cellStyle name="Separador de milhares 3 7 5 7 2 2 3" xfId="15184"/>
    <cellStyle name="Separador de milhares 3 7 5 7 2 2 3 2" xfId="41682"/>
    <cellStyle name="Separador de milhares 3 7 5 7 2 2 4" xfId="35774"/>
    <cellStyle name="Separador de milhares 3 7 5 7 2 2 5" xfId="29240"/>
    <cellStyle name="Separador de milhares 3 7 5 7 2 3" xfId="18147"/>
    <cellStyle name="Separador de milhares 3 7 5 7 2 3 2" xfId="44636"/>
    <cellStyle name="Separador de milhares 3 7 5 7 2 4" xfId="12220"/>
    <cellStyle name="Separador de milhares 3 7 5 7 2 4 2" xfId="38728"/>
    <cellStyle name="Separador de milhares 3 7 5 7 2 5" xfId="32572"/>
    <cellStyle name="Separador de milhares 3 7 5 7 2 6" xfId="26038"/>
    <cellStyle name="Separador de milhares 3 7 5 7 3" xfId="7788"/>
    <cellStyle name="Separador de milhares 3 7 5 7 3 2" xfId="19642"/>
    <cellStyle name="Separador de milhares 3 7 5 7 3 2 2" xfId="46122"/>
    <cellStyle name="Separador de milhares 3 7 5 7 3 3" xfId="13715"/>
    <cellStyle name="Separador de milhares 3 7 5 7 3 3 2" xfId="40214"/>
    <cellStyle name="Separador de milhares 3 7 5 7 3 4" xfId="34306"/>
    <cellStyle name="Separador de milhares 3 7 5 7 3 5" xfId="27772"/>
    <cellStyle name="Separador de milhares 3 7 5 7 4" xfId="16678"/>
    <cellStyle name="Separador de milhares 3 7 5 7 4 2" xfId="43168"/>
    <cellStyle name="Separador de milhares 3 7 5 7 4 3" xfId="24266"/>
    <cellStyle name="Separador de milhares 3 7 5 7 5" xfId="10751"/>
    <cellStyle name="Separador de milhares 3 7 5 7 5 2" xfId="37260"/>
    <cellStyle name="Separador de milhares 3 7 5 7 6" xfId="30800"/>
    <cellStyle name="Separador de milhares 3 7 5 7 7" xfId="22494"/>
    <cellStyle name="Separador de milhares 3 7 5 8" xfId="5084"/>
    <cellStyle name="Separador de milhares 3 7 5 8 2" xfId="8299"/>
    <cellStyle name="Separador de milhares 3 7 5 8 2 2" xfId="20153"/>
    <cellStyle name="Separador de milhares 3 7 5 8 2 2 2" xfId="46632"/>
    <cellStyle name="Separador de milhares 3 7 5 8 2 3" xfId="14226"/>
    <cellStyle name="Separador de milhares 3 7 5 8 2 3 2" xfId="40724"/>
    <cellStyle name="Separador de milhares 3 7 5 8 2 4" xfId="34816"/>
    <cellStyle name="Separador de milhares 3 7 5 8 2 5" xfId="28282"/>
    <cellStyle name="Separador de milhares 3 7 5 8 3" xfId="17189"/>
    <cellStyle name="Separador de milhares 3 7 5 8 3 2" xfId="43678"/>
    <cellStyle name="Separador de milhares 3 7 5 8 4" xfId="11262"/>
    <cellStyle name="Separador de milhares 3 7 5 8 4 2" xfId="37770"/>
    <cellStyle name="Separador de milhares 3 7 5 8 5" xfId="31611"/>
    <cellStyle name="Separador de milhares 3 7 5 8 6" xfId="25077"/>
    <cellStyle name="Separador de milhares 3 7 5 9" xfId="6823"/>
    <cellStyle name="Separador de milhares 3 7 5 9 2" xfId="18677"/>
    <cellStyle name="Separador de milhares 3 7 5 9 2 2" xfId="45164"/>
    <cellStyle name="Separador de milhares 3 7 5 9 3" xfId="12750"/>
    <cellStyle name="Separador de milhares 3 7 5 9 3 2" xfId="39256"/>
    <cellStyle name="Separador de milhares 3 7 5 9 4" xfId="33348"/>
    <cellStyle name="Separador de milhares 3 7 5 9 5" xfId="26814"/>
    <cellStyle name="Separador de milhares 3 7 6" xfId="852"/>
    <cellStyle name="Separador de milhares 3 7 6 2" xfId="4283"/>
    <cellStyle name="Separador de milhares 3 7 6 2 2" xfId="6094"/>
    <cellStyle name="Separador de milhares 3 7 6 2 2 2" xfId="9306"/>
    <cellStyle name="Separador de milhares 3 7 6 2 2 2 2" xfId="21160"/>
    <cellStyle name="Separador de milhares 3 7 6 2 2 2 2 2" xfId="47639"/>
    <cellStyle name="Separador de milhares 3 7 6 2 2 2 3" xfId="15233"/>
    <cellStyle name="Separador de milhares 3 7 6 2 2 2 3 2" xfId="41731"/>
    <cellStyle name="Separador de milhares 3 7 6 2 2 2 4" xfId="35823"/>
    <cellStyle name="Separador de milhares 3 7 6 2 2 2 5" xfId="29289"/>
    <cellStyle name="Separador de milhares 3 7 6 2 2 3" xfId="18196"/>
    <cellStyle name="Separador de milhares 3 7 6 2 2 3 2" xfId="44685"/>
    <cellStyle name="Separador de milhares 3 7 6 2 2 4" xfId="12269"/>
    <cellStyle name="Separador de milhares 3 7 6 2 2 4 2" xfId="38777"/>
    <cellStyle name="Separador de milhares 3 7 6 2 2 5" xfId="32621"/>
    <cellStyle name="Separador de milhares 3 7 6 2 2 6" xfId="26087"/>
    <cellStyle name="Separador de milhares 3 7 6 2 3" xfId="7838"/>
    <cellStyle name="Separador de milhares 3 7 6 2 3 2" xfId="19692"/>
    <cellStyle name="Separador de milhares 3 7 6 2 3 2 2" xfId="46171"/>
    <cellStyle name="Separador de milhares 3 7 6 2 3 3" xfId="13765"/>
    <cellStyle name="Separador de milhares 3 7 6 2 3 3 2" xfId="40263"/>
    <cellStyle name="Separador de milhares 3 7 6 2 3 4" xfId="34355"/>
    <cellStyle name="Separador de milhares 3 7 6 2 3 5" xfId="27821"/>
    <cellStyle name="Separador de milhares 3 7 6 2 4" xfId="16728"/>
    <cellStyle name="Separador de milhares 3 7 6 2 4 2" xfId="43217"/>
    <cellStyle name="Separador de milhares 3 7 6 2 4 3" xfId="24315"/>
    <cellStyle name="Separador de milhares 3 7 6 2 5" xfId="10801"/>
    <cellStyle name="Separador de milhares 3 7 6 2 5 2" xfId="37309"/>
    <cellStyle name="Separador de milhares 3 7 6 2 6" xfId="30849"/>
    <cellStyle name="Separador de milhares 3 7 6 2 7" xfId="22543"/>
    <cellStyle name="Separador de milhares 3 7 6 3" xfId="5139"/>
    <cellStyle name="Separador de milhares 3 7 6 3 2" xfId="8354"/>
    <cellStyle name="Separador de milhares 3 7 6 3 2 2" xfId="20208"/>
    <cellStyle name="Separador de milhares 3 7 6 3 2 2 2" xfId="46687"/>
    <cellStyle name="Separador de milhares 3 7 6 3 2 3" xfId="14281"/>
    <cellStyle name="Separador de milhares 3 7 6 3 2 3 2" xfId="40779"/>
    <cellStyle name="Separador de milhares 3 7 6 3 2 4" xfId="34871"/>
    <cellStyle name="Separador de milhares 3 7 6 3 2 5" xfId="28337"/>
    <cellStyle name="Separador de milhares 3 7 6 3 3" xfId="17244"/>
    <cellStyle name="Separador de milhares 3 7 6 3 3 2" xfId="43733"/>
    <cellStyle name="Separador de milhares 3 7 6 3 4" xfId="11317"/>
    <cellStyle name="Separador de milhares 3 7 6 3 4 2" xfId="37825"/>
    <cellStyle name="Separador de milhares 3 7 6 3 5" xfId="31666"/>
    <cellStyle name="Separador de milhares 3 7 6 3 6" xfId="25132"/>
    <cellStyle name="Separador de milhares 3 7 6 4" xfId="6881"/>
    <cellStyle name="Separador de milhares 3 7 6 4 2" xfId="18735"/>
    <cellStyle name="Separador de milhares 3 7 6 4 2 2" xfId="45219"/>
    <cellStyle name="Separador de milhares 3 7 6 4 3" xfId="12808"/>
    <cellStyle name="Separador de milhares 3 7 6 4 3 2" xfId="39311"/>
    <cellStyle name="Separador de milhares 3 7 6 4 4" xfId="33403"/>
    <cellStyle name="Separador de milhares 3 7 6 4 5" xfId="26869"/>
    <cellStyle name="Separador de milhares 3 7 6 5" xfId="15771"/>
    <cellStyle name="Separador de milhares 3 7 6 5 2" xfId="42265"/>
    <cellStyle name="Separador de milhares 3 7 6 5 3" xfId="23360"/>
    <cellStyle name="Separador de milhares 3 7 6 6" xfId="9844"/>
    <cellStyle name="Separador de milhares 3 7 6 6 2" xfId="36357"/>
    <cellStyle name="Separador de milhares 3 7 6 7" xfId="29894"/>
    <cellStyle name="Separador de milhares 3 7 6 8" xfId="21588"/>
    <cellStyle name="Separador de milhares 3 7 7" xfId="1203"/>
    <cellStyle name="Separador de milhares 3 7 7 2" xfId="5237"/>
    <cellStyle name="Separador de milhares 3 7 7 2 2" xfId="8452"/>
    <cellStyle name="Separador de milhares 3 7 7 2 2 2" xfId="20306"/>
    <cellStyle name="Separador de milhares 3 7 7 2 2 2 2" xfId="46785"/>
    <cellStyle name="Separador de milhares 3 7 7 2 2 3" xfId="14379"/>
    <cellStyle name="Separador de milhares 3 7 7 2 2 3 2" xfId="40877"/>
    <cellStyle name="Separador de milhares 3 7 7 2 2 4" xfId="34969"/>
    <cellStyle name="Separador de milhares 3 7 7 2 2 5" xfId="28435"/>
    <cellStyle name="Separador de milhares 3 7 7 2 3" xfId="17342"/>
    <cellStyle name="Separador de milhares 3 7 7 2 3 2" xfId="43831"/>
    <cellStyle name="Separador de milhares 3 7 7 2 4" xfId="11415"/>
    <cellStyle name="Separador de milhares 3 7 7 2 4 2" xfId="37923"/>
    <cellStyle name="Separador de milhares 3 7 7 2 5" xfId="31764"/>
    <cellStyle name="Separador de milhares 3 7 7 2 6" xfId="25230"/>
    <cellStyle name="Separador de milhares 3 7 7 3" xfId="6979"/>
    <cellStyle name="Separador de milhares 3 7 7 3 2" xfId="18833"/>
    <cellStyle name="Separador de milhares 3 7 7 3 2 2" xfId="45317"/>
    <cellStyle name="Separador de milhares 3 7 7 3 3" xfId="12906"/>
    <cellStyle name="Separador de milhares 3 7 7 3 3 2" xfId="39409"/>
    <cellStyle name="Separador de milhares 3 7 7 3 4" xfId="33501"/>
    <cellStyle name="Separador de milhares 3 7 7 3 5" xfId="26967"/>
    <cellStyle name="Separador de milhares 3 7 7 4" xfId="15869"/>
    <cellStyle name="Separador de milhares 3 7 7 4 2" xfId="42363"/>
    <cellStyle name="Separador de milhares 3 7 7 4 3" xfId="23458"/>
    <cellStyle name="Separador de milhares 3 7 7 5" xfId="9942"/>
    <cellStyle name="Separador de milhares 3 7 7 5 2" xfId="36455"/>
    <cellStyle name="Separador de milhares 3 7 7 6" xfId="29992"/>
    <cellStyle name="Separador de milhares 3 7 7 7" xfId="21686"/>
    <cellStyle name="Separador de milhares 3 7 8" xfId="1638"/>
    <cellStyle name="Separador de milhares 3 7 8 2" xfId="5356"/>
    <cellStyle name="Separador de milhares 3 7 8 2 2" xfId="8571"/>
    <cellStyle name="Separador de milhares 3 7 8 2 2 2" xfId="20425"/>
    <cellStyle name="Separador de milhares 3 7 8 2 2 2 2" xfId="46904"/>
    <cellStyle name="Separador de milhares 3 7 8 2 2 3" xfId="14498"/>
    <cellStyle name="Separador de milhares 3 7 8 2 2 3 2" xfId="40996"/>
    <cellStyle name="Separador de milhares 3 7 8 2 2 4" xfId="35088"/>
    <cellStyle name="Separador de milhares 3 7 8 2 2 5" xfId="28554"/>
    <cellStyle name="Separador de milhares 3 7 8 2 3" xfId="17461"/>
    <cellStyle name="Separador de milhares 3 7 8 2 3 2" xfId="43950"/>
    <cellStyle name="Separador de milhares 3 7 8 2 4" xfId="11534"/>
    <cellStyle name="Separador de milhares 3 7 8 2 4 2" xfId="38042"/>
    <cellStyle name="Separador de milhares 3 7 8 2 5" xfId="31883"/>
    <cellStyle name="Separador de milhares 3 7 8 2 6" xfId="25349"/>
    <cellStyle name="Separador de milhares 3 7 8 3" xfId="7098"/>
    <cellStyle name="Separador de milhares 3 7 8 3 2" xfId="18952"/>
    <cellStyle name="Separador de milhares 3 7 8 3 2 2" xfId="45436"/>
    <cellStyle name="Separador de milhares 3 7 8 3 3" xfId="13025"/>
    <cellStyle name="Separador de milhares 3 7 8 3 3 2" xfId="39528"/>
    <cellStyle name="Separador de milhares 3 7 8 3 4" xfId="33620"/>
    <cellStyle name="Separador de milhares 3 7 8 3 5" xfId="27086"/>
    <cellStyle name="Separador de milhares 3 7 8 4" xfId="15988"/>
    <cellStyle name="Separador de milhares 3 7 8 4 2" xfId="42482"/>
    <cellStyle name="Separador de milhares 3 7 8 4 3" xfId="23577"/>
    <cellStyle name="Separador de milhares 3 7 8 5" xfId="10061"/>
    <cellStyle name="Separador de milhares 3 7 8 5 2" xfId="36574"/>
    <cellStyle name="Separador de milhares 3 7 8 6" xfId="30111"/>
    <cellStyle name="Separador de milhares 3 7 8 7" xfId="21805"/>
    <cellStyle name="Separador de milhares 3 7 9" xfId="2171"/>
    <cellStyle name="Separador de milhares 3 7 9 2" xfId="5506"/>
    <cellStyle name="Separador de milhares 3 7 9 2 2" xfId="8718"/>
    <cellStyle name="Separador de milhares 3 7 9 2 2 2" xfId="20572"/>
    <cellStyle name="Separador de milhares 3 7 9 2 2 2 2" xfId="47051"/>
    <cellStyle name="Separador de milhares 3 7 9 2 2 3" xfId="14645"/>
    <cellStyle name="Separador de milhares 3 7 9 2 2 3 2" xfId="41143"/>
    <cellStyle name="Separador de milhares 3 7 9 2 2 4" xfId="35235"/>
    <cellStyle name="Separador de milhares 3 7 9 2 2 5" xfId="28701"/>
    <cellStyle name="Separador de milhares 3 7 9 2 3" xfId="17608"/>
    <cellStyle name="Separador de milhares 3 7 9 2 3 2" xfId="44097"/>
    <cellStyle name="Separador de milhares 3 7 9 2 4" xfId="11681"/>
    <cellStyle name="Separador de milhares 3 7 9 2 4 2" xfId="38189"/>
    <cellStyle name="Separador de milhares 3 7 9 2 5" xfId="32033"/>
    <cellStyle name="Separador de milhares 3 7 9 2 6" xfId="25499"/>
    <cellStyle name="Separador de milhares 3 7 9 3" xfId="7246"/>
    <cellStyle name="Separador de milhares 3 7 9 3 2" xfId="19100"/>
    <cellStyle name="Separador de milhares 3 7 9 3 2 2" xfId="45583"/>
    <cellStyle name="Separador de milhares 3 7 9 3 3" xfId="13173"/>
    <cellStyle name="Separador de milhares 3 7 9 3 3 2" xfId="39675"/>
    <cellStyle name="Separador de milhares 3 7 9 3 4" xfId="33767"/>
    <cellStyle name="Separador de milhares 3 7 9 3 5" xfId="27233"/>
    <cellStyle name="Separador de milhares 3 7 9 4" xfId="16136"/>
    <cellStyle name="Separador de milhares 3 7 9 4 2" xfId="42629"/>
    <cellStyle name="Separador de milhares 3 7 9 4 3" xfId="23727"/>
    <cellStyle name="Separador de milhares 3 7 9 5" xfId="10209"/>
    <cellStyle name="Separador de milhares 3 7 9 5 2" xfId="36721"/>
    <cellStyle name="Separador de milhares 3 7 9 6" xfId="30261"/>
    <cellStyle name="Separador de milhares 3 7 9 7" xfId="21955"/>
    <cellStyle name="Separador de milhares 3 8" xfId="193"/>
    <cellStyle name="Separador de milhares 3 8 10" xfId="2703"/>
    <cellStyle name="Separador de milhares 3 8 10 2" xfId="5654"/>
    <cellStyle name="Separador de milhares 3 8 10 2 2" xfId="8866"/>
    <cellStyle name="Separador de milhares 3 8 10 2 2 2" xfId="20720"/>
    <cellStyle name="Separador de milhares 3 8 10 2 2 2 2" xfId="47199"/>
    <cellStyle name="Separador de milhares 3 8 10 2 2 3" xfId="14793"/>
    <cellStyle name="Separador de milhares 3 8 10 2 2 3 2" xfId="41291"/>
    <cellStyle name="Separador de milhares 3 8 10 2 2 4" xfId="35383"/>
    <cellStyle name="Separador de milhares 3 8 10 2 2 5" xfId="28849"/>
    <cellStyle name="Separador de milhares 3 8 10 2 3" xfId="17756"/>
    <cellStyle name="Separador de milhares 3 8 10 2 3 2" xfId="44245"/>
    <cellStyle name="Separador de milhares 3 8 10 2 4" xfId="11829"/>
    <cellStyle name="Separador de milhares 3 8 10 2 4 2" xfId="38337"/>
    <cellStyle name="Separador de milhares 3 8 10 2 5" xfId="32181"/>
    <cellStyle name="Separador de milhares 3 8 10 2 6" xfId="25647"/>
    <cellStyle name="Separador de milhares 3 8 10 3" xfId="7395"/>
    <cellStyle name="Separador de milhares 3 8 10 3 2" xfId="19249"/>
    <cellStyle name="Separador de milhares 3 8 10 3 2 2" xfId="45731"/>
    <cellStyle name="Separador de milhares 3 8 10 3 3" xfId="13322"/>
    <cellStyle name="Separador de milhares 3 8 10 3 3 2" xfId="39823"/>
    <cellStyle name="Separador de milhares 3 8 10 3 4" xfId="33915"/>
    <cellStyle name="Separador de milhares 3 8 10 3 5" xfId="27381"/>
    <cellStyle name="Separador de milhares 3 8 10 4" xfId="16285"/>
    <cellStyle name="Separador de milhares 3 8 10 4 2" xfId="42777"/>
    <cellStyle name="Separador de milhares 3 8 10 4 3" xfId="23875"/>
    <cellStyle name="Separador de milhares 3 8 10 5" xfId="10358"/>
    <cellStyle name="Separador de milhares 3 8 10 5 2" xfId="36869"/>
    <cellStyle name="Separador de milhares 3 8 10 6" xfId="30409"/>
    <cellStyle name="Separador de milhares 3 8 10 7" xfId="22103"/>
    <cellStyle name="Separador de milhares 3 8 11" xfId="3231"/>
    <cellStyle name="Separador de milhares 3 8 11 2" xfId="5801"/>
    <cellStyle name="Separador de milhares 3 8 11 2 2" xfId="9013"/>
    <cellStyle name="Separador de milhares 3 8 11 2 2 2" xfId="20867"/>
    <cellStyle name="Separador de milhares 3 8 11 2 2 2 2" xfId="47346"/>
    <cellStyle name="Separador de milhares 3 8 11 2 2 3" xfId="14940"/>
    <cellStyle name="Separador de milhares 3 8 11 2 2 3 2" xfId="41438"/>
    <cellStyle name="Separador de milhares 3 8 11 2 2 4" xfId="35530"/>
    <cellStyle name="Separador de milhares 3 8 11 2 2 5" xfId="28996"/>
    <cellStyle name="Separador de milhares 3 8 11 2 3" xfId="17903"/>
    <cellStyle name="Separador de milhares 3 8 11 2 3 2" xfId="44392"/>
    <cellStyle name="Separador de milhares 3 8 11 2 4" xfId="11976"/>
    <cellStyle name="Separador de milhares 3 8 11 2 4 2" xfId="38484"/>
    <cellStyle name="Separador de milhares 3 8 11 2 5" xfId="32328"/>
    <cellStyle name="Separador de milhares 3 8 11 2 6" xfId="25794"/>
    <cellStyle name="Separador de milhares 3 8 11 3" xfId="7543"/>
    <cellStyle name="Separador de milhares 3 8 11 3 2" xfId="19397"/>
    <cellStyle name="Separador de milhares 3 8 11 3 2 2" xfId="45878"/>
    <cellStyle name="Separador de milhares 3 8 11 3 3" xfId="13470"/>
    <cellStyle name="Separador de milhares 3 8 11 3 3 2" xfId="39970"/>
    <cellStyle name="Separador de milhares 3 8 11 3 4" xfId="34062"/>
    <cellStyle name="Separador de milhares 3 8 11 3 5" xfId="27528"/>
    <cellStyle name="Separador de milhares 3 8 11 4" xfId="16433"/>
    <cellStyle name="Separador de milhares 3 8 11 4 2" xfId="42924"/>
    <cellStyle name="Separador de milhares 3 8 11 4 3" xfId="24022"/>
    <cellStyle name="Separador de milhares 3 8 11 5" xfId="10506"/>
    <cellStyle name="Separador de milhares 3 8 11 5 2" xfId="37016"/>
    <cellStyle name="Separador de milhares 3 8 11 6" xfId="30556"/>
    <cellStyle name="Separador de milhares 3 8 11 7" xfId="22250"/>
    <cellStyle name="Separador de milhares 3 8 12" xfId="3759"/>
    <cellStyle name="Separador de milhares 3 8 12 2" xfId="5948"/>
    <cellStyle name="Separador de milhares 3 8 12 2 2" xfId="9160"/>
    <cellStyle name="Separador de milhares 3 8 12 2 2 2" xfId="21014"/>
    <cellStyle name="Separador de milhares 3 8 12 2 2 2 2" xfId="47493"/>
    <cellStyle name="Separador de milhares 3 8 12 2 2 3" xfId="15087"/>
    <cellStyle name="Separador de milhares 3 8 12 2 2 3 2" xfId="41585"/>
    <cellStyle name="Separador de milhares 3 8 12 2 2 4" xfId="35677"/>
    <cellStyle name="Separador de milhares 3 8 12 2 2 5" xfId="29143"/>
    <cellStyle name="Separador de milhares 3 8 12 2 3" xfId="18050"/>
    <cellStyle name="Separador de milhares 3 8 12 2 3 2" xfId="44539"/>
    <cellStyle name="Separador de milhares 3 8 12 2 4" xfId="12123"/>
    <cellStyle name="Separador de milhares 3 8 12 2 4 2" xfId="38631"/>
    <cellStyle name="Separador de milhares 3 8 12 2 5" xfId="32475"/>
    <cellStyle name="Separador de milhares 3 8 12 2 6" xfId="25941"/>
    <cellStyle name="Separador de milhares 3 8 12 3" xfId="7691"/>
    <cellStyle name="Separador de milhares 3 8 12 3 2" xfId="19545"/>
    <cellStyle name="Separador de milhares 3 8 12 3 2 2" xfId="46025"/>
    <cellStyle name="Separador de milhares 3 8 12 3 3" xfId="13618"/>
    <cellStyle name="Separador de milhares 3 8 12 3 3 2" xfId="40117"/>
    <cellStyle name="Separador de milhares 3 8 12 3 4" xfId="34209"/>
    <cellStyle name="Separador de milhares 3 8 12 3 5" xfId="27675"/>
    <cellStyle name="Separador de milhares 3 8 12 4" xfId="16581"/>
    <cellStyle name="Separador de milhares 3 8 12 4 2" xfId="43071"/>
    <cellStyle name="Separador de milhares 3 8 12 4 3" xfId="24169"/>
    <cellStyle name="Separador de milhares 3 8 12 5" xfId="10654"/>
    <cellStyle name="Separador de milhares 3 8 12 5 2" xfId="37163"/>
    <cellStyle name="Separador de milhares 3 8 12 6" xfId="30703"/>
    <cellStyle name="Separador de milhares 3 8 12 7" xfId="22397"/>
    <cellStyle name="Separador de milhares 3 8 13" xfId="4932"/>
    <cellStyle name="Separador de milhares 3 8 13 2" xfId="8156"/>
    <cellStyle name="Separador de milhares 3 8 13 2 2" xfId="20010"/>
    <cellStyle name="Separador de milhares 3 8 13 2 2 2" xfId="46489"/>
    <cellStyle name="Separador de milhares 3 8 13 2 3" xfId="14083"/>
    <cellStyle name="Separador de milhares 3 8 13 2 3 2" xfId="40581"/>
    <cellStyle name="Separador de milhares 3 8 13 2 4" xfId="34673"/>
    <cellStyle name="Separador de milhares 3 8 13 2 5" xfId="28139"/>
    <cellStyle name="Separador de milhares 3 8 13 3" xfId="17046"/>
    <cellStyle name="Separador de milhares 3 8 13 3 2" xfId="43535"/>
    <cellStyle name="Separador de milhares 3 8 13 4" xfId="11119"/>
    <cellStyle name="Separador de milhares 3 8 13 4 2" xfId="37627"/>
    <cellStyle name="Separador de milhares 3 8 13 5" xfId="31459"/>
    <cellStyle name="Separador de milhares 3 8 13 6" xfId="24925"/>
    <cellStyle name="Separador de milhares 3 8 14" xfId="6680"/>
    <cellStyle name="Separador de milhares 3 8 14 2" xfId="18534"/>
    <cellStyle name="Separador de milhares 3 8 14 2 2" xfId="45021"/>
    <cellStyle name="Separador de milhares 3 8 14 3" xfId="12607"/>
    <cellStyle name="Separador de milhares 3 8 14 3 2" xfId="39113"/>
    <cellStyle name="Separador de milhares 3 8 14 4" xfId="33205"/>
    <cellStyle name="Separador de milhares 3 8 14 5" xfId="26671"/>
    <cellStyle name="Separador de milhares 3 8 15" xfId="15570"/>
    <cellStyle name="Separador de milhares 3 8 15 2" xfId="42067"/>
    <cellStyle name="Separador de milhares 3 8 15 3" xfId="23153"/>
    <cellStyle name="Separador de milhares 3 8 16" xfId="9643"/>
    <cellStyle name="Separador de milhares 3 8 16 2" xfId="36159"/>
    <cellStyle name="Separador de milhares 3 8 17" xfId="29687"/>
    <cellStyle name="Separador de milhares 3 8 2" xfId="287"/>
    <cellStyle name="Separador de milhares 3 8 2 10" xfId="4961"/>
    <cellStyle name="Separador de milhares 3 8 2 10 2" xfId="8183"/>
    <cellStyle name="Separador de milhares 3 8 2 10 2 2" xfId="20037"/>
    <cellStyle name="Separador de milhares 3 8 2 10 2 2 2" xfId="46516"/>
    <cellStyle name="Separador de milhares 3 8 2 10 2 3" xfId="14110"/>
    <cellStyle name="Separador de milhares 3 8 2 10 2 3 2" xfId="40608"/>
    <cellStyle name="Separador de milhares 3 8 2 10 2 4" xfId="34700"/>
    <cellStyle name="Separador de milhares 3 8 2 10 2 5" xfId="28166"/>
    <cellStyle name="Separador de milhares 3 8 2 10 3" xfId="17073"/>
    <cellStyle name="Separador de milhares 3 8 2 10 3 2" xfId="43562"/>
    <cellStyle name="Separador de milhares 3 8 2 10 4" xfId="11146"/>
    <cellStyle name="Separador de milhares 3 8 2 10 4 2" xfId="37654"/>
    <cellStyle name="Separador de milhares 3 8 2 10 5" xfId="31488"/>
    <cellStyle name="Separador de milhares 3 8 2 10 6" xfId="24954"/>
    <cellStyle name="Separador de milhares 3 8 2 11" xfId="6707"/>
    <cellStyle name="Separador de milhares 3 8 2 11 2" xfId="18561"/>
    <cellStyle name="Separador de milhares 3 8 2 11 2 2" xfId="45048"/>
    <cellStyle name="Separador de milhares 3 8 2 11 3" xfId="12634"/>
    <cellStyle name="Separador de milhares 3 8 2 11 3 2" xfId="39140"/>
    <cellStyle name="Separador de milhares 3 8 2 11 4" xfId="33232"/>
    <cellStyle name="Separador de milhares 3 8 2 11 5" xfId="26698"/>
    <cellStyle name="Separador de milhares 3 8 2 12" xfId="15597"/>
    <cellStyle name="Separador de milhares 3 8 2 12 2" xfId="42094"/>
    <cellStyle name="Separador de milhares 3 8 2 12 3" xfId="23182"/>
    <cellStyle name="Separador de milhares 3 8 2 13" xfId="9670"/>
    <cellStyle name="Separador de milhares 3 8 2 13 2" xfId="36186"/>
    <cellStyle name="Separador de milhares 3 8 2 14" xfId="29716"/>
    <cellStyle name="Separador de milhares 3 8 2 15" xfId="21434"/>
    <cellStyle name="Separador de milhares 3 8 2 2" xfId="562"/>
    <cellStyle name="Separador de milhares 3 8 2 2 10" xfId="9744"/>
    <cellStyle name="Separador de milhares 3 8 2 2 10 2" xfId="36260"/>
    <cellStyle name="Separador de milhares 3 8 2 2 11" xfId="29797"/>
    <cellStyle name="Separador de milhares 3 8 2 2 12" xfId="21492"/>
    <cellStyle name="Separador de milhares 3 8 2 2 2" xfId="2083"/>
    <cellStyle name="Separador de milhares 3 8 2 2 2 2" xfId="5480"/>
    <cellStyle name="Separador de milhares 3 8 2 2 2 2 2" xfId="8695"/>
    <cellStyle name="Separador de milhares 3 8 2 2 2 2 2 2" xfId="20549"/>
    <cellStyle name="Separador de milhares 3 8 2 2 2 2 2 2 2" xfId="47028"/>
    <cellStyle name="Separador de milhares 3 8 2 2 2 2 2 3" xfId="14622"/>
    <cellStyle name="Separador de milhares 3 8 2 2 2 2 2 3 2" xfId="41120"/>
    <cellStyle name="Separador de milhares 3 8 2 2 2 2 2 4" xfId="35212"/>
    <cellStyle name="Separador de milhares 3 8 2 2 2 2 2 5" xfId="28678"/>
    <cellStyle name="Separador de milhares 3 8 2 2 2 2 3" xfId="17585"/>
    <cellStyle name="Separador de milhares 3 8 2 2 2 2 3 2" xfId="44074"/>
    <cellStyle name="Separador de milhares 3 8 2 2 2 2 4" xfId="11658"/>
    <cellStyle name="Separador de milhares 3 8 2 2 2 2 4 2" xfId="38166"/>
    <cellStyle name="Separador de milhares 3 8 2 2 2 2 5" xfId="32007"/>
    <cellStyle name="Separador de milhares 3 8 2 2 2 2 6" xfId="25473"/>
    <cellStyle name="Separador de milhares 3 8 2 2 2 3" xfId="7223"/>
    <cellStyle name="Separador de milhares 3 8 2 2 2 3 2" xfId="19077"/>
    <cellStyle name="Separador de milhares 3 8 2 2 2 3 2 2" xfId="45560"/>
    <cellStyle name="Separador de milhares 3 8 2 2 2 3 3" xfId="13150"/>
    <cellStyle name="Separador de milhares 3 8 2 2 2 3 3 2" xfId="39652"/>
    <cellStyle name="Separador de milhares 3 8 2 2 2 3 4" xfId="33744"/>
    <cellStyle name="Separador de milhares 3 8 2 2 2 3 5" xfId="27210"/>
    <cellStyle name="Separador de milhares 3 8 2 2 2 4" xfId="16113"/>
    <cellStyle name="Separador de milhares 3 8 2 2 2 4 2" xfId="42606"/>
    <cellStyle name="Separador de milhares 3 8 2 2 2 4 3" xfId="23701"/>
    <cellStyle name="Separador de milhares 3 8 2 2 2 5" xfId="10186"/>
    <cellStyle name="Separador de milhares 3 8 2 2 2 5 2" xfId="36698"/>
    <cellStyle name="Separador de milhares 3 8 2 2 2 6" xfId="30235"/>
    <cellStyle name="Separador de milhares 3 8 2 2 2 7" xfId="21929"/>
    <cellStyle name="Separador de milhares 3 8 2 2 3" xfId="2616"/>
    <cellStyle name="Separador de milhares 3 8 2 2 3 2" xfId="5630"/>
    <cellStyle name="Separador de milhares 3 8 2 2 3 2 2" xfId="8842"/>
    <cellStyle name="Separador de milhares 3 8 2 2 3 2 2 2" xfId="20696"/>
    <cellStyle name="Separador de milhares 3 8 2 2 3 2 2 2 2" xfId="47175"/>
    <cellStyle name="Separador de milhares 3 8 2 2 3 2 2 3" xfId="14769"/>
    <cellStyle name="Separador de milhares 3 8 2 2 3 2 2 3 2" xfId="41267"/>
    <cellStyle name="Separador de milhares 3 8 2 2 3 2 2 4" xfId="35359"/>
    <cellStyle name="Separador de milhares 3 8 2 2 3 2 2 5" xfId="28825"/>
    <cellStyle name="Separador de milhares 3 8 2 2 3 2 3" xfId="17732"/>
    <cellStyle name="Separador de milhares 3 8 2 2 3 2 3 2" xfId="44221"/>
    <cellStyle name="Separador de milhares 3 8 2 2 3 2 4" xfId="11805"/>
    <cellStyle name="Separador de milhares 3 8 2 2 3 2 4 2" xfId="38313"/>
    <cellStyle name="Separador de milhares 3 8 2 2 3 2 5" xfId="32157"/>
    <cellStyle name="Separador de milhares 3 8 2 2 3 2 6" xfId="25623"/>
    <cellStyle name="Separador de milhares 3 8 2 2 3 3" xfId="7371"/>
    <cellStyle name="Separador de milhares 3 8 2 2 3 3 2" xfId="19225"/>
    <cellStyle name="Separador de milhares 3 8 2 2 3 3 2 2" xfId="45707"/>
    <cellStyle name="Separador de milhares 3 8 2 2 3 3 3" xfId="13298"/>
    <cellStyle name="Separador de milhares 3 8 2 2 3 3 3 2" xfId="39799"/>
    <cellStyle name="Separador de milhares 3 8 2 2 3 3 4" xfId="33891"/>
    <cellStyle name="Separador de milhares 3 8 2 2 3 3 5" xfId="27357"/>
    <cellStyle name="Separador de milhares 3 8 2 2 3 4" xfId="16261"/>
    <cellStyle name="Separador de milhares 3 8 2 2 3 4 2" xfId="42753"/>
    <cellStyle name="Separador de milhares 3 8 2 2 3 4 3" xfId="23851"/>
    <cellStyle name="Separador de milhares 3 8 2 2 3 5" xfId="10334"/>
    <cellStyle name="Separador de milhares 3 8 2 2 3 5 2" xfId="36845"/>
    <cellStyle name="Separador de milhares 3 8 2 2 3 6" xfId="30385"/>
    <cellStyle name="Separador de milhares 3 8 2 2 3 7" xfId="22079"/>
    <cellStyle name="Separador de milhares 3 8 2 2 4" xfId="3144"/>
    <cellStyle name="Separador de milhares 3 8 2 2 4 2" xfId="5777"/>
    <cellStyle name="Separador de milhares 3 8 2 2 4 2 2" xfId="8989"/>
    <cellStyle name="Separador de milhares 3 8 2 2 4 2 2 2" xfId="20843"/>
    <cellStyle name="Separador de milhares 3 8 2 2 4 2 2 2 2" xfId="47322"/>
    <cellStyle name="Separador de milhares 3 8 2 2 4 2 2 3" xfId="14916"/>
    <cellStyle name="Separador de milhares 3 8 2 2 4 2 2 3 2" xfId="41414"/>
    <cellStyle name="Separador de milhares 3 8 2 2 4 2 2 4" xfId="35506"/>
    <cellStyle name="Separador de milhares 3 8 2 2 4 2 2 5" xfId="28972"/>
    <cellStyle name="Separador de milhares 3 8 2 2 4 2 3" xfId="17879"/>
    <cellStyle name="Separador de milhares 3 8 2 2 4 2 3 2" xfId="44368"/>
    <cellStyle name="Separador de milhares 3 8 2 2 4 2 4" xfId="11952"/>
    <cellStyle name="Separador de milhares 3 8 2 2 4 2 4 2" xfId="38460"/>
    <cellStyle name="Separador de milhares 3 8 2 2 4 2 5" xfId="32304"/>
    <cellStyle name="Separador de milhares 3 8 2 2 4 2 6" xfId="25770"/>
    <cellStyle name="Separador de milhares 3 8 2 2 4 3" xfId="7519"/>
    <cellStyle name="Separador de milhares 3 8 2 2 4 3 2" xfId="19373"/>
    <cellStyle name="Separador de milhares 3 8 2 2 4 3 2 2" xfId="45854"/>
    <cellStyle name="Separador de milhares 3 8 2 2 4 3 3" xfId="13446"/>
    <cellStyle name="Separador de milhares 3 8 2 2 4 3 3 2" xfId="39946"/>
    <cellStyle name="Separador de milhares 3 8 2 2 4 3 4" xfId="34038"/>
    <cellStyle name="Separador de milhares 3 8 2 2 4 3 5" xfId="27504"/>
    <cellStyle name="Separador de milhares 3 8 2 2 4 4" xfId="16409"/>
    <cellStyle name="Separador de milhares 3 8 2 2 4 4 2" xfId="42900"/>
    <cellStyle name="Separador de milhares 3 8 2 2 4 4 3" xfId="23998"/>
    <cellStyle name="Separador de milhares 3 8 2 2 4 5" xfId="10482"/>
    <cellStyle name="Separador de milhares 3 8 2 2 4 5 2" xfId="36992"/>
    <cellStyle name="Separador de milhares 3 8 2 2 4 6" xfId="30532"/>
    <cellStyle name="Separador de milhares 3 8 2 2 4 7" xfId="22226"/>
    <cellStyle name="Separador de milhares 3 8 2 2 5" xfId="3672"/>
    <cellStyle name="Separador de milhares 3 8 2 2 5 2" xfId="5924"/>
    <cellStyle name="Separador de milhares 3 8 2 2 5 2 2" xfId="9136"/>
    <cellStyle name="Separador de milhares 3 8 2 2 5 2 2 2" xfId="20990"/>
    <cellStyle name="Separador de milhares 3 8 2 2 5 2 2 2 2" xfId="47469"/>
    <cellStyle name="Separador de milhares 3 8 2 2 5 2 2 3" xfId="15063"/>
    <cellStyle name="Separador de milhares 3 8 2 2 5 2 2 3 2" xfId="41561"/>
    <cellStyle name="Separador de milhares 3 8 2 2 5 2 2 4" xfId="35653"/>
    <cellStyle name="Separador de milhares 3 8 2 2 5 2 2 5" xfId="29119"/>
    <cellStyle name="Separador de milhares 3 8 2 2 5 2 3" xfId="18026"/>
    <cellStyle name="Separador de milhares 3 8 2 2 5 2 3 2" xfId="44515"/>
    <cellStyle name="Separador de milhares 3 8 2 2 5 2 4" xfId="12099"/>
    <cellStyle name="Separador de milhares 3 8 2 2 5 2 4 2" xfId="38607"/>
    <cellStyle name="Separador de milhares 3 8 2 2 5 2 5" xfId="32451"/>
    <cellStyle name="Separador de milhares 3 8 2 2 5 2 6" xfId="25917"/>
    <cellStyle name="Separador de milhares 3 8 2 2 5 3" xfId="7667"/>
    <cellStyle name="Separador de milhares 3 8 2 2 5 3 2" xfId="19521"/>
    <cellStyle name="Separador de milhares 3 8 2 2 5 3 2 2" xfId="46001"/>
    <cellStyle name="Separador de milhares 3 8 2 2 5 3 3" xfId="13594"/>
    <cellStyle name="Separador de milhares 3 8 2 2 5 3 3 2" xfId="40093"/>
    <cellStyle name="Separador de milhares 3 8 2 2 5 3 4" xfId="34185"/>
    <cellStyle name="Separador de milhares 3 8 2 2 5 3 5" xfId="27651"/>
    <cellStyle name="Separador de milhares 3 8 2 2 5 4" xfId="16557"/>
    <cellStyle name="Separador de milhares 3 8 2 2 5 4 2" xfId="43047"/>
    <cellStyle name="Separador de milhares 3 8 2 2 5 4 3" xfId="24145"/>
    <cellStyle name="Separador de milhares 3 8 2 2 5 5" xfId="10630"/>
    <cellStyle name="Separador de milhares 3 8 2 2 5 5 2" xfId="37139"/>
    <cellStyle name="Separador de milhares 3 8 2 2 5 6" xfId="30679"/>
    <cellStyle name="Separador de milhares 3 8 2 2 5 7" xfId="22373"/>
    <cellStyle name="Separador de milhares 3 8 2 2 6" xfId="4200"/>
    <cellStyle name="Separador de milhares 3 8 2 2 6 2" xfId="6071"/>
    <cellStyle name="Separador de milhares 3 8 2 2 6 2 2" xfId="9283"/>
    <cellStyle name="Separador de milhares 3 8 2 2 6 2 2 2" xfId="21137"/>
    <cellStyle name="Separador de milhares 3 8 2 2 6 2 2 2 2" xfId="47616"/>
    <cellStyle name="Separador de milhares 3 8 2 2 6 2 2 3" xfId="15210"/>
    <cellStyle name="Separador de milhares 3 8 2 2 6 2 2 3 2" xfId="41708"/>
    <cellStyle name="Separador de milhares 3 8 2 2 6 2 2 4" xfId="35800"/>
    <cellStyle name="Separador de milhares 3 8 2 2 6 2 2 5" xfId="29266"/>
    <cellStyle name="Separador de milhares 3 8 2 2 6 2 3" xfId="18173"/>
    <cellStyle name="Separador de milhares 3 8 2 2 6 2 3 2" xfId="44662"/>
    <cellStyle name="Separador de milhares 3 8 2 2 6 2 4" xfId="12246"/>
    <cellStyle name="Separador de milhares 3 8 2 2 6 2 4 2" xfId="38754"/>
    <cellStyle name="Separador de milhares 3 8 2 2 6 2 5" xfId="32598"/>
    <cellStyle name="Separador de milhares 3 8 2 2 6 2 6" xfId="26064"/>
    <cellStyle name="Separador de milhares 3 8 2 2 6 3" xfId="7815"/>
    <cellStyle name="Separador de milhares 3 8 2 2 6 3 2" xfId="19669"/>
    <cellStyle name="Separador de milhares 3 8 2 2 6 3 2 2" xfId="46148"/>
    <cellStyle name="Separador de milhares 3 8 2 2 6 3 3" xfId="13742"/>
    <cellStyle name="Separador de milhares 3 8 2 2 6 3 3 2" xfId="40240"/>
    <cellStyle name="Separador de milhares 3 8 2 2 6 3 4" xfId="34332"/>
    <cellStyle name="Separador de milhares 3 8 2 2 6 3 5" xfId="27798"/>
    <cellStyle name="Separador de milhares 3 8 2 2 6 4" xfId="16705"/>
    <cellStyle name="Separador de milhares 3 8 2 2 6 4 2" xfId="43194"/>
    <cellStyle name="Separador de milhares 3 8 2 2 6 4 3" xfId="24292"/>
    <cellStyle name="Separador de milhares 3 8 2 2 6 5" xfId="10778"/>
    <cellStyle name="Separador de milhares 3 8 2 2 6 5 2" xfId="37286"/>
    <cellStyle name="Separador de milhares 3 8 2 2 6 6" xfId="30826"/>
    <cellStyle name="Separador de milhares 3 8 2 2 6 7" xfId="22520"/>
    <cellStyle name="Separador de milhares 3 8 2 2 7" xfId="5042"/>
    <cellStyle name="Separador de milhares 3 8 2 2 7 2" xfId="8257"/>
    <cellStyle name="Separador de milhares 3 8 2 2 7 2 2" xfId="20111"/>
    <cellStyle name="Separador de milhares 3 8 2 2 7 2 2 2" xfId="46590"/>
    <cellStyle name="Separador de milhares 3 8 2 2 7 2 3" xfId="14184"/>
    <cellStyle name="Separador de milhares 3 8 2 2 7 2 3 2" xfId="40682"/>
    <cellStyle name="Separador de milhares 3 8 2 2 7 2 4" xfId="34774"/>
    <cellStyle name="Separador de milhares 3 8 2 2 7 2 5" xfId="28240"/>
    <cellStyle name="Separador de milhares 3 8 2 2 7 3" xfId="17147"/>
    <cellStyle name="Separador de milhares 3 8 2 2 7 3 2" xfId="43636"/>
    <cellStyle name="Separador de milhares 3 8 2 2 7 4" xfId="11220"/>
    <cellStyle name="Separador de milhares 3 8 2 2 7 4 2" xfId="37728"/>
    <cellStyle name="Separador de milhares 3 8 2 2 7 5" xfId="31569"/>
    <cellStyle name="Separador de milhares 3 8 2 2 7 6" xfId="25035"/>
    <cellStyle name="Separador de milhares 3 8 2 2 8" xfId="6781"/>
    <cellStyle name="Separador de milhares 3 8 2 2 8 2" xfId="18635"/>
    <cellStyle name="Separador de milhares 3 8 2 2 8 2 2" xfId="45122"/>
    <cellStyle name="Separador de milhares 3 8 2 2 8 3" xfId="12708"/>
    <cellStyle name="Separador de milhares 3 8 2 2 8 3 2" xfId="39214"/>
    <cellStyle name="Separador de milhares 3 8 2 2 8 4" xfId="33306"/>
    <cellStyle name="Separador de milhares 3 8 2 2 8 5" xfId="26772"/>
    <cellStyle name="Separador de milhares 3 8 2 2 9" xfId="15671"/>
    <cellStyle name="Separador de milhares 3 8 2 2 9 2" xfId="42168"/>
    <cellStyle name="Separador de milhares 3 8 2 2 9 3" xfId="23263"/>
    <cellStyle name="Separador de milhares 3 8 2 3" xfId="1036"/>
    <cellStyle name="Separador de milhares 3 8 2 3 2" xfId="5193"/>
    <cellStyle name="Separador de milhares 3 8 2 3 2 2" xfId="8408"/>
    <cellStyle name="Separador de milhares 3 8 2 3 2 2 2" xfId="20262"/>
    <cellStyle name="Separador de milhares 3 8 2 3 2 2 2 2" xfId="46741"/>
    <cellStyle name="Separador de milhares 3 8 2 3 2 2 3" xfId="14335"/>
    <cellStyle name="Separador de milhares 3 8 2 3 2 2 3 2" xfId="40833"/>
    <cellStyle name="Separador de milhares 3 8 2 3 2 2 4" xfId="34925"/>
    <cellStyle name="Separador de milhares 3 8 2 3 2 2 5" xfId="28391"/>
    <cellStyle name="Separador de milhares 3 8 2 3 2 3" xfId="17298"/>
    <cellStyle name="Separador de milhares 3 8 2 3 2 3 2" xfId="43787"/>
    <cellStyle name="Separador de milhares 3 8 2 3 2 4" xfId="11371"/>
    <cellStyle name="Separador de milhares 3 8 2 3 2 4 2" xfId="37879"/>
    <cellStyle name="Separador de milhares 3 8 2 3 2 5" xfId="31720"/>
    <cellStyle name="Separador de milhares 3 8 2 3 2 6" xfId="25186"/>
    <cellStyle name="Separador de milhares 3 8 2 3 3" xfId="6935"/>
    <cellStyle name="Separador de milhares 3 8 2 3 3 2" xfId="18789"/>
    <cellStyle name="Separador de milhares 3 8 2 3 3 2 2" xfId="45273"/>
    <cellStyle name="Separador de milhares 3 8 2 3 3 3" xfId="12862"/>
    <cellStyle name="Separador de milhares 3 8 2 3 3 3 2" xfId="39365"/>
    <cellStyle name="Separador de milhares 3 8 2 3 3 4" xfId="33457"/>
    <cellStyle name="Separador de milhares 3 8 2 3 3 5" xfId="26923"/>
    <cellStyle name="Separador de milhares 3 8 2 3 4" xfId="15825"/>
    <cellStyle name="Separador de milhares 3 8 2 3 4 2" xfId="42319"/>
    <cellStyle name="Separador de milhares 3 8 2 3 4 3" xfId="23414"/>
    <cellStyle name="Separador de milhares 3 8 2 3 5" xfId="9898"/>
    <cellStyle name="Separador de milhares 3 8 2 3 5 2" xfId="36411"/>
    <cellStyle name="Separador de milhares 3 8 2 3 6" xfId="29948"/>
    <cellStyle name="Separador de milhares 3 8 2 3 7" xfId="21642"/>
    <cellStyle name="Separador de milhares 3 8 2 4" xfId="1387"/>
    <cellStyle name="Separador de milhares 3 8 2 4 2" xfId="5291"/>
    <cellStyle name="Separador de milhares 3 8 2 4 2 2" xfId="8506"/>
    <cellStyle name="Separador de milhares 3 8 2 4 2 2 2" xfId="20360"/>
    <cellStyle name="Separador de milhares 3 8 2 4 2 2 2 2" xfId="46839"/>
    <cellStyle name="Separador de milhares 3 8 2 4 2 2 3" xfId="14433"/>
    <cellStyle name="Separador de milhares 3 8 2 4 2 2 3 2" xfId="40931"/>
    <cellStyle name="Separador de milhares 3 8 2 4 2 2 4" xfId="35023"/>
    <cellStyle name="Separador de milhares 3 8 2 4 2 2 5" xfId="28489"/>
    <cellStyle name="Separador de milhares 3 8 2 4 2 3" xfId="17396"/>
    <cellStyle name="Separador de milhares 3 8 2 4 2 3 2" xfId="43885"/>
    <cellStyle name="Separador de milhares 3 8 2 4 2 4" xfId="11469"/>
    <cellStyle name="Separador de milhares 3 8 2 4 2 4 2" xfId="37977"/>
    <cellStyle name="Separador de milhares 3 8 2 4 2 5" xfId="31818"/>
    <cellStyle name="Separador de milhares 3 8 2 4 2 6" xfId="25284"/>
    <cellStyle name="Separador de milhares 3 8 2 4 3" xfId="7033"/>
    <cellStyle name="Separador de milhares 3 8 2 4 3 2" xfId="18887"/>
    <cellStyle name="Separador de milhares 3 8 2 4 3 2 2" xfId="45371"/>
    <cellStyle name="Separador de milhares 3 8 2 4 3 3" xfId="12960"/>
    <cellStyle name="Separador de milhares 3 8 2 4 3 3 2" xfId="39463"/>
    <cellStyle name="Separador de milhares 3 8 2 4 3 4" xfId="33555"/>
    <cellStyle name="Separador de milhares 3 8 2 4 3 5" xfId="27021"/>
    <cellStyle name="Separador de milhares 3 8 2 4 4" xfId="15923"/>
    <cellStyle name="Separador de milhares 3 8 2 4 4 2" xfId="42417"/>
    <cellStyle name="Separador de milhares 3 8 2 4 4 3" xfId="23512"/>
    <cellStyle name="Separador de milhares 3 8 2 4 5" xfId="9996"/>
    <cellStyle name="Separador de milhares 3 8 2 4 5 2" xfId="36509"/>
    <cellStyle name="Separador de milhares 3 8 2 4 6" xfId="30046"/>
    <cellStyle name="Separador de milhares 3 8 2 4 7" xfId="21740"/>
    <cellStyle name="Separador de milhares 3 8 2 5" xfId="1822"/>
    <cellStyle name="Separador de milhares 3 8 2 5 2" xfId="5410"/>
    <cellStyle name="Separador de milhares 3 8 2 5 2 2" xfId="8625"/>
    <cellStyle name="Separador de milhares 3 8 2 5 2 2 2" xfId="20479"/>
    <cellStyle name="Separador de milhares 3 8 2 5 2 2 2 2" xfId="46958"/>
    <cellStyle name="Separador de milhares 3 8 2 5 2 2 3" xfId="14552"/>
    <cellStyle name="Separador de milhares 3 8 2 5 2 2 3 2" xfId="41050"/>
    <cellStyle name="Separador de milhares 3 8 2 5 2 2 4" xfId="35142"/>
    <cellStyle name="Separador de milhares 3 8 2 5 2 2 5" xfId="28608"/>
    <cellStyle name="Separador de milhares 3 8 2 5 2 3" xfId="17515"/>
    <cellStyle name="Separador de milhares 3 8 2 5 2 3 2" xfId="44004"/>
    <cellStyle name="Separador de milhares 3 8 2 5 2 4" xfId="11588"/>
    <cellStyle name="Separador de milhares 3 8 2 5 2 4 2" xfId="38096"/>
    <cellStyle name="Separador de milhares 3 8 2 5 2 5" xfId="31937"/>
    <cellStyle name="Separador de milhares 3 8 2 5 2 6" xfId="25403"/>
    <cellStyle name="Separador de milhares 3 8 2 5 3" xfId="7152"/>
    <cellStyle name="Separador de milhares 3 8 2 5 3 2" xfId="19006"/>
    <cellStyle name="Separador de milhares 3 8 2 5 3 2 2" xfId="45490"/>
    <cellStyle name="Separador de milhares 3 8 2 5 3 3" xfId="13079"/>
    <cellStyle name="Separador de milhares 3 8 2 5 3 3 2" xfId="39582"/>
    <cellStyle name="Separador de milhares 3 8 2 5 3 4" xfId="33674"/>
    <cellStyle name="Separador de milhares 3 8 2 5 3 5" xfId="27140"/>
    <cellStyle name="Separador de milhares 3 8 2 5 4" xfId="16042"/>
    <cellStyle name="Separador de milhares 3 8 2 5 4 2" xfId="42536"/>
    <cellStyle name="Separador de milhares 3 8 2 5 4 3" xfId="23631"/>
    <cellStyle name="Separador de milhares 3 8 2 5 5" xfId="10115"/>
    <cellStyle name="Separador de milhares 3 8 2 5 5 2" xfId="36628"/>
    <cellStyle name="Separador de milhares 3 8 2 5 6" xfId="30165"/>
    <cellStyle name="Separador de milhares 3 8 2 5 7" xfId="21859"/>
    <cellStyle name="Separador de milhares 3 8 2 6" xfId="2355"/>
    <cellStyle name="Separador de milhares 3 8 2 6 2" xfId="5560"/>
    <cellStyle name="Separador de milhares 3 8 2 6 2 2" xfId="8772"/>
    <cellStyle name="Separador de milhares 3 8 2 6 2 2 2" xfId="20626"/>
    <cellStyle name="Separador de milhares 3 8 2 6 2 2 2 2" xfId="47105"/>
    <cellStyle name="Separador de milhares 3 8 2 6 2 2 3" xfId="14699"/>
    <cellStyle name="Separador de milhares 3 8 2 6 2 2 3 2" xfId="41197"/>
    <cellStyle name="Separador de milhares 3 8 2 6 2 2 4" xfId="35289"/>
    <cellStyle name="Separador de milhares 3 8 2 6 2 2 5" xfId="28755"/>
    <cellStyle name="Separador de milhares 3 8 2 6 2 3" xfId="17662"/>
    <cellStyle name="Separador de milhares 3 8 2 6 2 3 2" xfId="44151"/>
    <cellStyle name="Separador de milhares 3 8 2 6 2 4" xfId="11735"/>
    <cellStyle name="Separador de milhares 3 8 2 6 2 4 2" xfId="38243"/>
    <cellStyle name="Separador de milhares 3 8 2 6 2 5" xfId="32087"/>
    <cellStyle name="Separador de milhares 3 8 2 6 2 6" xfId="25553"/>
    <cellStyle name="Separador de milhares 3 8 2 6 3" xfId="7300"/>
    <cellStyle name="Separador de milhares 3 8 2 6 3 2" xfId="19154"/>
    <cellStyle name="Separador de milhares 3 8 2 6 3 2 2" xfId="45637"/>
    <cellStyle name="Separador de milhares 3 8 2 6 3 3" xfId="13227"/>
    <cellStyle name="Separador de milhares 3 8 2 6 3 3 2" xfId="39729"/>
    <cellStyle name="Separador de milhares 3 8 2 6 3 4" xfId="33821"/>
    <cellStyle name="Separador de milhares 3 8 2 6 3 5" xfId="27287"/>
    <cellStyle name="Separador de milhares 3 8 2 6 4" xfId="16190"/>
    <cellStyle name="Separador de milhares 3 8 2 6 4 2" xfId="42683"/>
    <cellStyle name="Separador de milhares 3 8 2 6 4 3" xfId="23781"/>
    <cellStyle name="Separador de milhares 3 8 2 6 5" xfId="10263"/>
    <cellStyle name="Separador de milhares 3 8 2 6 5 2" xfId="36775"/>
    <cellStyle name="Separador de milhares 3 8 2 6 6" xfId="30315"/>
    <cellStyle name="Separador de milhares 3 8 2 6 7" xfId="22009"/>
    <cellStyle name="Separador de milhares 3 8 2 7" xfId="2883"/>
    <cellStyle name="Separador de milhares 3 8 2 7 2" xfId="5707"/>
    <cellStyle name="Separador de milhares 3 8 2 7 2 2" xfId="8919"/>
    <cellStyle name="Separador de milhares 3 8 2 7 2 2 2" xfId="20773"/>
    <cellStyle name="Separador de milhares 3 8 2 7 2 2 2 2" xfId="47252"/>
    <cellStyle name="Separador de milhares 3 8 2 7 2 2 3" xfId="14846"/>
    <cellStyle name="Separador de milhares 3 8 2 7 2 2 3 2" xfId="41344"/>
    <cellStyle name="Separador de milhares 3 8 2 7 2 2 4" xfId="35436"/>
    <cellStyle name="Separador de milhares 3 8 2 7 2 2 5" xfId="28902"/>
    <cellStyle name="Separador de milhares 3 8 2 7 2 3" xfId="17809"/>
    <cellStyle name="Separador de milhares 3 8 2 7 2 3 2" xfId="44298"/>
    <cellStyle name="Separador de milhares 3 8 2 7 2 4" xfId="11882"/>
    <cellStyle name="Separador de milhares 3 8 2 7 2 4 2" xfId="38390"/>
    <cellStyle name="Separador de milhares 3 8 2 7 2 5" xfId="32234"/>
    <cellStyle name="Separador de milhares 3 8 2 7 2 6" xfId="25700"/>
    <cellStyle name="Separador de milhares 3 8 2 7 3" xfId="7448"/>
    <cellStyle name="Separador de milhares 3 8 2 7 3 2" xfId="19302"/>
    <cellStyle name="Separador de milhares 3 8 2 7 3 2 2" xfId="45784"/>
    <cellStyle name="Separador de milhares 3 8 2 7 3 3" xfId="13375"/>
    <cellStyle name="Separador de milhares 3 8 2 7 3 3 2" xfId="39876"/>
    <cellStyle name="Separador de milhares 3 8 2 7 3 4" xfId="33968"/>
    <cellStyle name="Separador de milhares 3 8 2 7 3 5" xfId="27434"/>
    <cellStyle name="Separador de milhares 3 8 2 7 4" xfId="16338"/>
    <cellStyle name="Separador de milhares 3 8 2 7 4 2" xfId="42830"/>
    <cellStyle name="Separador de milhares 3 8 2 7 4 3" xfId="23928"/>
    <cellStyle name="Separador de milhares 3 8 2 7 5" xfId="10411"/>
    <cellStyle name="Separador de milhares 3 8 2 7 5 2" xfId="36922"/>
    <cellStyle name="Separador de milhares 3 8 2 7 6" xfId="30462"/>
    <cellStyle name="Separador de milhares 3 8 2 7 7" xfId="22156"/>
    <cellStyle name="Separador de milhares 3 8 2 8" xfId="3411"/>
    <cellStyle name="Separador de milhares 3 8 2 8 2" xfId="5854"/>
    <cellStyle name="Separador de milhares 3 8 2 8 2 2" xfId="9066"/>
    <cellStyle name="Separador de milhares 3 8 2 8 2 2 2" xfId="20920"/>
    <cellStyle name="Separador de milhares 3 8 2 8 2 2 2 2" xfId="47399"/>
    <cellStyle name="Separador de milhares 3 8 2 8 2 2 3" xfId="14993"/>
    <cellStyle name="Separador de milhares 3 8 2 8 2 2 3 2" xfId="41491"/>
    <cellStyle name="Separador de milhares 3 8 2 8 2 2 4" xfId="35583"/>
    <cellStyle name="Separador de milhares 3 8 2 8 2 2 5" xfId="29049"/>
    <cellStyle name="Separador de milhares 3 8 2 8 2 3" xfId="17956"/>
    <cellStyle name="Separador de milhares 3 8 2 8 2 3 2" xfId="44445"/>
    <cellStyle name="Separador de milhares 3 8 2 8 2 4" xfId="12029"/>
    <cellStyle name="Separador de milhares 3 8 2 8 2 4 2" xfId="38537"/>
    <cellStyle name="Separador de milhares 3 8 2 8 2 5" xfId="32381"/>
    <cellStyle name="Separador de milhares 3 8 2 8 2 6" xfId="25847"/>
    <cellStyle name="Separador de milhares 3 8 2 8 3" xfId="7596"/>
    <cellStyle name="Separador de milhares 3 8 2 8 3 2" xfId="19450"/>
    <cellStyle name="Separador de milhares 3 8 2 8 3 2 2" xfId="45931"/>
    <cellStyle name="Separador de milhares 3 8 2 8 3 3" xfId="13523"/>
    <cellStyle name="Separador de milhares 3 8 2 8 3 3 2" xfId="40023"/>
    <cellStyle name="Separador de milhares 3 8 2 8 3 4" xfId="34115"/>
    <cellStyle name="Separador de milhares 3 8 2 8 3 5" xfId="27581"/>
    <cellStyle name="Separador de milhares 3 8 2 8 4" xfId="16486"/>
    <cellStyle name="Separador de milhares 3 8 2 8 4 2" xfId="42977"/>
    <cellStyle name="Separador de milhares 3 8 2 8 4 3" xfId="24075"/>
    <cellStyle name="Separador de milhares 3 8 2 8 5" xfId="10559"/>
    <cellStyle name="Separador de milhares 3 8 2 8 5 2" xfId="37069"/>
    <cellStyle name="Separador de milhares 3 8 2 8 6" xfId="30609"/>
    <cellStyle name="Separador de milhares 3 8 2 8 7" xfId="22303"/>
    <cellStyle name="Separador de milhares 3 8 2 9" xfId="3939"/>
    <cellStyle name="Separador de milhares 3 8 2 9 2" xfId="6001"/>
    <cellStyle name="Separador de milhares 3 8 2 9 2 2" xfId="9213"/>
    <cellStyle name="Separador de milhares 3 8 2 9 2 2 2" xfId="21067"/>
    <cellStyle name="Separador de milhares 3 8 2 9 2 2 2 2" xfId="47546"/>
    <cellStyle name="Separador de milhares 3 8 2 9 2 2 3" xfId="15140"/>
    <cellStyle name="Separador de milhares 3 8 2 9 2 2 3 2" xfId="41638"/>
    <cellStyle name="Separador de milhares 3 8 2 9 2 2 4" xfId="35730"/>
    <cellStyle name="Separador de milhares 3 8 2 9 2 2 5" xfId="29196"/>
    <cellStyle name="Separador de milhares 3 8 2 9 2 3" xfId="18103"/>
    <cellStyle name="Separador de milhares 3 8 2 9 2 3 2" xfId="44592"/>
    <cellStyle name="Separador de milhares 3 8 2 9 2 4" xfId="12176"/>
    <cellStyle name="Separador de milhares 3 8 2 9 2 4 2" xfId="38684"/>
    <cellStyle name="Separador de milhares 3 8 2 9 2 5" xfId="32528"/>
    <cellStyle name="Separador de milhares 3 8 2 9 2 6" xfId="25994"/>
    <cellStyle name="Separador de milhares 3 8 2 9 3" xfId="7744"/>
    <cellStyle name="Separador de milhares 3 8 2 9 3 2" xfId="19598"/>
    <cellStyle name="Separador de milhares 3 8 2 9 3 2 2" xfId="46078"/>
    <cellStyle name="Separador de milhares 3 8 2 9 3 3" xfId="13671"/>
    <cellStyle name="Separador de milhares 3 8 2 9 3 3 2" xfId="40170"/>
    <cellStyle name="Separador de milhares 3 8 2 9 3 4" xfId="34262"/>
    <cellStyle name="Separador de milhares 3 8 2 9 3 5" xfId="27728"/>
    <cellStyle name="Separador de milhares 3 8 2 9 4" xfId="16634"/>
    <cellStyle name="Separador de milhares 3 8 2 9 4 2" xfId="43124"/>
    <cellStyle name="Separador de milhares 3 8 2 9 4 3" xfId="24222"/>
    <cellStyle name="Separador de milhares 3 8 2 9 5" xfId="10707"/>
    <cellStyle name="Separador de milhares 3 8 2 9 5 2" xfId="37216"/>
    <cellStyle name="Separador de milhares 3 8 2 9 6" xfId="30756"/>
    <cellStyle name="Separador de milhares 3 8 2 9 7" xfId="22450"/>
    <cellStyle name="Separador de milhares 3 8 3" xfId="384"/>
    <cellStyle name="Separador de milhares 3 8 3 10" xfId="4992"/>
    <cellStyle name="Separador de milhares 3 8 3 10 2" xfId="8211"/>
    <cellStyle name="Separador de milhares 3 8 3 10 2 2" xfId="20065"/>
    <cellStyle name="Separador de milhares 3 8 3 10 2 2 2" xfId="46544"/>
    <cellStyle name="Separador de milhares 3 8 3 10 2 3" xfId="14138"/>
    <cellStyle name="Separador de milhares 3 8 3 10 2 3 2" xfId="40636"/>
    <cellStyle name="Separador de milhares 3 8 3 10 2 4" xfId="34728"/>
    <cellStyle name="Separador de milhares 3 8 3 10 2 5" xfId="28194"/>
    <cellStyle name="Separador de milhares 3 8 3 10 3" xfId="17101"/>
    <cellStyle name="Separador de milhares 3 8 3 10 3 2" xfId="43590"/>
    <cellStyle name="Separador de milhares 3 8 3 10 4" xfId="11174"/>
    <cellStyle name="Separador de milhares 3 8 3 10 4 2" xfId="37682"/>
    <cellStyle name="Separador de milhares 3 8 3 10 5" xfId="31519"/>
    <cellStyle name="Separador de milhares 3 8 3 10 6" xfId="24985"/>
    <cellStyle name="Separador de milhares 3 8 3 11" xfId="6735"/>
    <cellStyle name="Separador de milhares 3 8 3 11 2" xfId="18589"/>
    <cellStyle name="Separador de milhares 3 8 3 11 2 2" xfId="45076"/>
    <cellStyle name="Separador de milhares 3 8 3 11 3" xfId="12662"/>
    <cellStyle name="Separador de milhares 3 8 3 11 3 2" xfId="39168"/>
    <cellStyle name="Separador de milhares 3 8 3 11 4" xfId="33260"/>
    <cellStyle name="Separador de milhares 3 8 3 11 5" xfId="26726"/>
    <cellStyle name="Separador de milhares 3 8 3 12" xfId="15625"/>
    <cellStyle name="Separador de milhares 3 8 3 12 2" xfId="42122"/>
    <cellStyle name="Separador de milhares 3 8 3 12 3" xfId="23213"/>
    <cellStyle name="Separador de milhares 3 8 3 13" xfId="9698"/>
    <cellStyle name="Separador de milhares 3 8 3 13 2" xfId="36214"/>
    <cellStyle name="Separador de milhares 3 8 3 14" xfId="29747"/>
    <cellStyle name="Separador de milhares 3 8 3 15" xfId="21465"/>
    <cellStyle name="Separador de milhares 3 8 3 2" xfId="647"/>
    <cellStyle name="Separador de milhares 3 8 3 2 2" xfId="5063"/>
    <cellStyle name="Separador de milhares 3 8 3 2 2 2" xfId="8278"/>
    <cellStyle name="Separador de milhares 3 8 3 2 2 2 2" xfId="20132"/>
    <cellStyle name="Separador de milhares 3 8 3 2 2 2 2 2" xfId="46611"/>
    <cellStyle name="Separador de milhares 3 8 3 2 2 2 3" xfId="14205"/>
    <cellStyle name="Separador de milhares 3 8 3 2 2 2 3 2" xfId="40703"/>
    <cellStyle name="Separador de milhares 3 8 3 2 2 2 4" xfId="34795"/>
    <cellStyle name="Separador de milhares 3 8 3 2 2 2 5" xfId="28261"/>
    <cellStyle name="Separador de milhares 3 8 3 2 2 3" xfId="17168"/>
    <cellStyle name="Separador de milhares 3 8 3 2 2 3 2" xfId="43657"/>
    <cellStyle name="Separador de milhares 3 8 3 2 2 4" xfId="11241"/>
    <cellStyle name="Separador de milhares 3 8 3 2 2 4 2" xfId="37749"/>
    <cellStyle name="Separador de milhares 3 8 3 2 2 5" xfId="31590"/>
    <cellStyle name="Separador de milhares 3 8 3 2 2 6" xfId="25056"/>
    <cellStyle name="Separador de milhares 3 8 3 2 3" xfId="6802"/>
    <cellStyle name="Separador de milhares 3 8 3 2 3 2" xfId="18656"/>
    <cellStyle name="Separador de milhares 3 8 3 2 3 2 2" xfId="45143"/>
    <cellStyle name="Separador de milhares 3 8 3 2 3 3" xfId="12729"/>
    <cellStyle name="Separador de milhares 3 8 3 2 3 3 2" xfId="39235"/>
    <cellStyle name="Separador de milhares 3 8 3 2 3 4" xfId="33327"/>
    <cellStyle name="Separador de milhares 3 8 3 2 3 5" xfId="26793"/>
    <cellStyle name="Separador de milhares 3 8 3 2 4" xfId="15692"/>
    <cellStyle name="Separador de milhares 3 8 3 2 4 2" xfId="42189"/>
    <cellStyle name="Separador de milhares 3 8 3 2 4 3" xfId="23284"/>
    <cellStyle name="Separador de milhares 3 8 3 2 5" xfId="9765"/>
    <cellStyle name="Separador de milhares 3 8 3 2 5 2" xfId="36281"/>
    <cellStyle name="Separador de milhares 3 8 3 2 6" xfId="29818"/>
    <cellStyle name="Separador de milhares 3 8 3 2 7" xfId="21513"/>
    <cellStyle name="Separador de milhares 3 8 3 3" xfId="945"/>
    <cellStyle name="Separador de milhares 3 8 3 3 2" xfId="5165"/>
    <cellStyle name="Separador de milhares 3 8 3 3 2 2" xfId="8380"/>
    <cellStyle name="Separador de milhares 3 8 3 3 2 2 2" xfId="20234"/>
    <cellStyle name="Separador de milhares 3 8 3 3 2 2 2 2" xfId="46713"/>
    <cellStyle name="Separador de milhares 3 8 3 3 2 2 3" xfId="14307"/>
    <cellStyle name="Separador de milhares 3 8 3 3 2 2 3 2" xfId="40805"/>
    <cellStyle name="Separador de milhares 3 8 3 3 2 2 4" xfId="34897"/>
    <cellStyle name="Separador de milhares 3 8 3 3 2 2 5" xfId="28363"/>
    <cellStyle name="Separador de milhares 3 8 3 3 2 3" xfId="17270"/>
    <cellStyle name="Separador de milhares 3 8 3 3 2 3 2" xfId="43759"/>
    <cellStyle name="Separador de milhares 3 8 3 3 2 4" xfId="11343"/>
    <cellStyle name="Separador de milhares 3 8 3 3 2 4 2" xfId="37851"/>
    <cellStyle name="Separador de milhares 3 8 3 3 2 5" xfId="31692"/>
    <cellStyle name="Separador de milhares 3 8 3 3 2 6" xfId="25158"/>
    <cellStyle name="Separador de milhares 3 8 3 3 3" xfId="6907"/>
    <cellStyle name="Separador de milhares 3 8 3 3 3 2" xfId="18761"/>
    <cellStyle name="Separador de milhares 3 8 3 3 3 2 2" xfId="45245"/>
    <cellStyle name="Separador de milhares 3 8 3 3 3 3" xfId="12834"/>
    <cellStyle name="Separador de milhares 3 8 3 3 3 3 2" xfId="39337"/>
    <cellStyle name="Separador de milhares 3 8 3 3 3 4" xfId="33429"/>
    <cellStyle name="Separador de milhares 3 8 3 3 3 5" xfId="26895"/>
    <cellStyle name="Separador de milhares 3 8 3 3 4" xfId="15797"/>
    <cellStyle name="Separador de milhares 3 8 3 3 4 2" xfId="42291"/>
    <cellStyle name="Separador de milhares 3 8 3 3 4 3" xfId="23386"/>
    <cellStyle name="Separador de milhares 3 8 3 3 5" xfId="9870"/>
    <cellStyle name="Separador de milhares 3 8 3 3 5 2" xfId="36383"/>
    <cellStyle name="Separador de milhares 3 8 3 3 6" xfId="29920"/>
    <cellStyle name="Separador de milhares 3 8 3 3 7" xfId="21614"/>
    <cellStyle name="Separador de milhares 3 8 3 4" xfId="1296"/>
    <cellStyle name="Separador de milhares 3 8 3 4 2" xfId="5263"/>
    <cellStyle name="Separador de milhares 3 8 3 4 2 2" xfId="8478"/>
    <cellStyle name="Separador de milhares 3 8 3 4 2 2 2" xfId="20332"/>
    <cellStyle name="Separador de milhares 3 8 3 4 2 2 2 2" xfId="46811"/>
    <cellStyle name="Separador de milhares 3 8 3 4 2 2 3" xfId="14405"/>
    <cellStyle name="Separador de milhares 3 8 3 4 2 2 3 2" xfId="40903"/>
    <cellStyle name="Separador de milhares 3 8 3 4 2 2 4" xfId="34995"/>
    <cellStyle name="Separador de milhares 3 8 3 4 2 2 5" xfId="28461"/>
    <cellStyle name="Separador de milhares 3 8 3 4 2 3" xfId="17368"/>
    <cellStyle name="Separador de milhares 3 8 3 4 2 3 2" xfId="43857"/>
    <cellStyle name="Separador de milhares 3 8 3 4 2 4" xfId="11441"/>
    <cellStyle name="Separador de milhares 3 8 3 4 2 4 2" xfId="37949"/>
    <cellStyle name="Separador de milhares 3 8 3 4 2 5" xfId="31790"/>
    <cellStyle name="Separador de milhares 3 8 3 4 2 6" xfId="25256"/>
    <cellStyle name="Separador de milhares 3 8 3 4 3" xfId="7005"/>
    <cellStyle name="Separador de milhares 3 8 3 4 3 2" xfId="18859"/>
    <cellStyle name="Separador de milhares 3 8 3 4 3 2 2" xfId="45343"/>
    <cellStyle name="Separador de milhares 3 8 3 4 3 3" xfId="12932"/>
    <cellStyle name="Separador de milhares 3 8 3 4 3 3 2" xfId="39435"/>
    <cellStyle name="Separador de milhares 3 8 3 4 3 4" xfId="33527"/>
    <cellStyle name="Separador de milhares 3 8 3 4 3 5" xfId="26993"/>
    <cellStyle name="Separador de milhares 3 8 3 4 4" xfId="15895"/>
    <cellStyle name="Separador de milhares 3 8 3 4 4 2" xfId="42389"/>
    <cellStyle name="Separador de milhares 3 8 3 4 4 3" xfId="23484"/>
    <cellStyle name="Separador de milhares 3 8 3 4 5" xfId="9968"/>
    <cellStyle name="Separador de milhares 3 8 3 4 5 2" xfId="36481"/>
    <cellStyle name="Separador de milhares 3 8 3 4 6" xfId="30018"/>
    <cellStyle name="Separador de milhares 3 8 3 4 7" xfId="21712"/>
    <cellStyle name="Separador de milhares 3 8 3 5" xfId="1731"/>
    <cellStyle name="Separador de milhares 3 8 3 5 2" xfId="5382"/>
    <cellStyle name="Separador de milhares 3 8 3 5 2 2" xfId="8597"/>
    <cellStyle name="Separador de milhares 3 8 3 5 2 2 2" xfId="20451"/>
    <cellStyle name="Separador de milhares 3 8 3 5 2 2 2 2" xfId="46930"/>
    <cellStyle name="Separador de milhares 3 8 3 5 2 2 3" xfId="14524"/>
    <cellStyle name="Separador de milhares 3 8 3 5 2 2 3 2" xfId="41022"/>
    <cellStyle name="Separador de milhares 3 8 3 5 2 2 4" xfId="35114"/>
    <cellStyle name="Separador de milhares 3 8 3 5 2 2 5" xfId="28580"/>
    <cellStyle name="Separador de milhares 3 8 3 5 2 3" xfId="17487"/>
    <cellStyle name="Separador de milhares 3 8 3 5 2 3 2" xfId="43976"/>
    <cellStyle name="Separador de milhares 3 8 3 5 2 4" xfId="11560"/>
    <cellStyle name="Separador de milhares 3 8 3 5 2 4 2" xfId="38068"/>
    <cellStyle name="Separador de milhares 3 8 3 5 2 5" xfId="31909"/>
    <cellStyle name="Separador de milhares 3 8 3 5 2 6" xfId="25375"/>
    <cellStyle name="Separador de milhares 3 8 3 5 3" xfId="7124"/>
    <cellStyle name="Separador de milhares 3 8 3 5 3 2" xfId="18978"/>
    <cellStyle name="Separador de milhares 3 8 3 5 3 2 2" xfId="45462"/>
    <cellStyle name="Separador de milhares 3 8 3 5 3 3" xfId="13051"/>
    <cellStyle name="Separador de milhares 3 8 3 5 3 3 2" xfId="39554"/>
    <cellStyle name="Separador de milhares 3 8 3 5 3 4" xfId="33646"/>
    <cellStyle name="Separador de milhares 3 8 3 5 3 5" xfId="27112"/>
    <cellStyle name="Separador de milhares 3 8 3 5 4" xfId="16014"/>
    <cellStyle name="Separador de milhares 3 8 3 5 4 2" xfId="42508"/>
    <cellStyle name="Separador de milhares 3 8 3 5 4 3" xfId="23603"/>
    <cellStyle name="Separador de milhares 3 8 3 5 5" xfId="10087"/>
    <cellStyle name="Separador de milhares 3 8 3 5 5 2" xfId="36600"/>
    <cellStyle name="Separador de milhares 3 8 3 5 6" xfId="30137"/>
    <cellStyle name="Separador de milhares 3 8 3 5 7" xfId="21831"/>
    <cellStyle name="Separador de milhares 3 8 3 6" xfId="2264"/>
    <cellStyle name="Separador de milhares 3 8 3 6 2" xfId="5532"/>
    <cellStyle name="Separador de milhares 3 8 3 6 2 2" xfId="8744"/>
    <cellStyle name="Separador de milhares 3 8 3 6 2 2 2" xfId="20598"/>
    <cellStyle name="Separador de milhares 3 8 3 6 2 2 2 2" xfId="47077"/>
    <cellStyle name="Separador de milhares 3 8 3 6 2 2 3" xfId="14671"/>
    <cellStyle name="Separador de milhares 3 8 3 6 2 2 3 2" xfId="41169"/>
    <cellStyle name="Separador de milhares 3 8 3 6 2 2 4" xfId="35261"/>
    <cellStyle name="Separador de milhares 3 8 3 6 2 2 5" xfId="28727"/>
    <cellStyle name="Separador de milhares 3 8 3 6 2 3" xfId="17634"/>
    <cellStyle name="Separador de milhares 3 8 3 6 2 3 2" xfId="44123"/>
    <cellStyle name="Separador de milhares 3 8 3 6 2 4" xfId="11707"/>
    <cellStyle name="Separador de milhares 3 8 3 6 2 4 2" xfId="38215"/>
    <cellStyle name="Separador de milhares 3 8 3 6 2 5" xfId="32059"/>
    <cellStyle name="Separador de milhares 3 8 3 6 2 6" xfId="25525"/>
    <cellStyle name="Separador de milhares 3 8 3 6 3" xfId="7272"/>
    <cellStyle name="Separador de milhares 3 8 3 6 3 2" xfId="19126"/>
    <cellStyle name="Separador de milhares 3 8 3 6 3 2 2" xfId="45609"/>
    <cellStyle name="Separador de milhares 3 8 3 6 3 3" xfId="13199"/>
    <cellStyle name="Separador de milhares 3 8 3 6 3 3 2" xfId="39701"/>
    <cellStyle name="Separador de milhares 3 8 3 6 3 4" xfId="33793"/>
    <cellStyle name="Separador de milhares 3 8 3 6 3 5" xfId="27259"/>
    <cellStyle name="Separador de milhares 3 8 3 6 4" xfId="16162"/>
    <cellStyle name="Separador de milhares 3 8 3 6 4 2" xfId="42655"/>
    <cellStyle name="Separador de milhares 3 8 3 6 4 3" xfId="23753"/>
    <cellStyle name="Separador de milhares 3 8 3 6 5" xfId="10235"/>
    <cellStyle name="Separador de milhares 3 8 3 6 5 2" xfId="36747"/>
    <cellStyle name="Separador de milhares 3 8 3 6 6" xfId="30287"/>
    <cellStyle name="Separador de milhares 3 8 3 6 7" xfId="21981"/>
    <cellStyle name="Separador de milhares 3 8 3 7" xfId="2792"/>
    <cellStyle name="Separador de milhares 3 8 3 7 2" xfId="5679"/>
    <cellStyle name="Separador de milhares 3 8 3 7 2 2" xfId="8891"/>
    <cellStyle name="Separador de milhares 3 8 3 7 2 2 2" xfId="20745"/>
    <cellStyle name="Separador de milhares 3 8 3 7 2 2 2 2" xfId="47224"/>
    <cellStyle name="Separador de milhares 3 8 3 7 2 2 3" xfId="14818"/>
    <cellStyle name="Separador de milhares 3 8 3 7 2 2 3 2" xfId="41316"/>
    <cellStyle name="Separador de milhares 3 8 3 7 2 2 4" xfId="35408"/>
    <cellStyle name="Separador de milhares 3 8 3 7 2 2 5" xfId="28874"/>
    <cellStyle name="Separador de milhares 3 8 3 7 2 3" xfId="17781"/>
    <cellStyle name="Separador de milhares 3 8 3 7 2 3 2" xfId="44270"/>
    <cellStyle name="Separador de milhares 3 8 3 7 2 4" xfId="11854"/>
    <cellStyle name="Separador de milhares 3 8 3 7 2 4 2" xfId="38362"/>
    <cellStyle name="Separador de milhares 3 8 3 7 2 5" xfId="32206"/>
    <cellStyle name="Separador de milhares 3 8 3 7 2 6" xfId="25672"/>
    <cellStyle name="Separador de milhares 3 8 3 7 3" xfId="7420"/>
    <cellStyle name="Separador de milhares 3 8 3 7 3 2" xfId="19274"/>
    <cellStyle name="Separador de milhares 3 8 3 7 3 2 2" xfId="45756"/>
    <cellStyle name="Separador de milhares 3 8 3 7 3 3" xfId="13347"/>
    <cellStyle name="Separador de milhares 3 8 3 7 3 3 2" xfId="39848"/>
    <cellStyle name="Separador de milhares 3 8 3 7 3 4" xfId="33940"/>
    <cellStyle name="Separador de milhares 3 8 3 7 3 5" xfId="27406"/>
    <cellStyle name="Separador de milhares 3 8 3 7 4" xfId="16310"/>
    <cellStyle name="Separador de milhares 3 8 3 7 4 2" xfId="42802"/>
    <cellStyle name="Separador de milhares 3 8 3 7 4 3" xfId="23900"/>
    <cellStyle name="Separador de milhares 3 8 3 7 5" xfId="10383"/>
    <cellStyle name="Separador de milhares 3 8 3 7 5 2" xfId="36894"/>
    <cellStyle name="Separador de milhares 3 8 3 7 6" xfId="30434"/>
    <cellStyle name="Separador de milhares 3 8 3 7 7" xfId="22128"/>
    <cellStyle name="Separador de milhares 3 8 3 8" xfId="3320"/>
    <cellStyle name="Separador de milhares 3 8 3 8 2" xfId="5826"/>
    <cellStyle name="Separador de milhares 3 8 3 8 2 2" xfId="9038"/>
    <cellStyle name="Separador de milhares 3 8 3 8 2 2 2" xfId="20892"/>
    <cellStyle name="Separador de milhares 3 8 3 8 2 2 2 2" xfId="47371"/>
    <cellStyle name="Separador de milhares 3 8 3 8 2 2 3" xfId="14965"/>
    <cellStyle name="Separador de milhares 3 8 3 8 2 2 3 2" xfId="41463"/>
    <cellStyle name="Separador de milhares 3 8 3 8 2 2 4" xfId="35555"/>
    <cellStyle name="Separador de milhares 3 8 3 8 2 2 5" xfId="29021"/>
    <cellStyle name="Separador de milhares 3 8 3 8 2 3" xfId="17928"/>
    <cellStyle name="Separador de milhares 3 8 3 8 2 3 2" xfId="44417"/>
    <cellStyle name="Separador de milhares 3 8 3 8 2 4" xfId="12001"/>
    <cellStyle name="Separador de milhares 3 8 3 8 2 4 2" xfId="38509"/>
    <cellStyle name="Separador de milhares 3 8 3 8 2 5" xfId="32353"/>
    <cellStyle name="Separador de milhares 3 8 3 8 2 6" xfId="25819"/>
    <cellStyle name="Separador de milhares 3 8 3 8 3" xfId="7568"/>
    <cellStyle name="Separador de milhares 3 8 3 8 3 2" xfId="19422"/>
    <cellStyle name="Separador de milhares 3 8 3 8 3 2 2" xfId="45903"/>
    <cellStyle name="Separador de milhares 3 8 3 8 3 3" xfId="13495"/>
    <cellStyle name="Separador de milhares 3 8 3 8 3 3 2" xfId="39995"/>
    <cellStyle name="Separador de milhares 3 8 3 8 3 4" xfId="34087"/>
    <cellStyle name="Separador de milhares 3 8 3 8 3 5" xfId="27553"/>
    <cellStyle name="Separador de milhares 3 8 3 8 4" xfId="16458"/>
    <cellStyle name="Separador de milhares 3 8 3 8 4 2" xfId="42949"/>
    <cellStyle name="Separador de milhares 3 8 3 8 4 3" xfId="24047"/>
    <cellStyle name="Separador de milhares 3 8 3 8 5" xfId="10531"/>
    <cellStyle name="Separador de milhares 3 8 3 8 5 2" xfId="37041"/>
    <cellStyle name="Separador de milhares 3 8 3 8 6" xfId="30581"/>
    <cellStyle name="Separador de milhares 3 8 3 8 7" xfId="22275"/>
    <cellStyle name="Separador de milhares 3 8 3 9" xfId="3848"/>
    <cellStyle name="Separador de milhares 3 8 3 9 2" xfId="5973"/>
    <cellStyle name="Separador de milhares 3 8 3 9 2 2" xfId="9185"/>
    <cellStyle name="Separador de milhares 3 8 3 9 2 2 2" xfId="21039"/>
    <cellStyle name="Separador de milhares 3 8 3 9 2 2 2 2" xfId="47518"/>
    <cellStyle name="Separador de milhares 3 8 3 9 2 2 3" xfId="15112"/>
    <cellStyle name="Separador de milhares 3 8 3 9 2 2 3 2" xfId="41610"/>
    <cellStyle name="Separador de milhares 3 8 3 9 2 2 4" xfId="35702"/>
    <cellStyle name="Separador de milhares 3 8 3 9 2 2 5" xfId="29168"/>
    <cellStyle name="Separador de milhares 3 8 3 9 2 3" xfId="18075"/>
    <cellStyle name="Separador de milhares 3 8 3 9 2 3 2" xfId="44564"/>
    <cellStyle name="Separador de milhares 3 8 3 9 2 4" xfId="12148"/>
    <cellStyle name="Separador de milhares 3 8 3 9 2 4 2" xfId="38656"/>
    <cellStyle name="Separador de milhares 3 8 3 9 2 5" xfId="32500"/>
    <cellStyle name="Separador de milhares 3 8 3 9 2 6" xfId="25966"/>
    <cellStyle name="Separador de milhares 3 8 3 9 3" xfId="7716"/>
    <cellStyle name="Separador de milhares 3 8 3 9 3 2" xfId="19570"/>
    <cellStyle name="Separador de milhares 3 8 3 9 3 2 2" xfId="46050"/>
    <cellStyle name="Separador de milhares 3 8 3 9 3 3" xfId="13643"/>
    <cellStyle name="Separador de milhares 3 8 3 9 3 3 2" xfId="40142"/>
    <cellStyle name="Separador de milhares 3 8 3 9 3 4" xfId="34234"/>
    <cellStyle name="Separador de milhares 3 8 3 9 3 5" xfId="27700"/>
    <cellStyle name="Separador de milhares 3 8 3 9 4" xfId="16606"/>
    <cellStyle name="Separador de milhares 3 8 3 9 4 2" xfId="43096"/>
    <cellStyle name="Separador de milhares 3 8 3 9 4 3" xfId="24194"/>
    <cellStyle name="Separador de milhares 3 8 3 9 5" xfId="10679"/>
    <cellStyle name="Separador de milhares 3 8 3 9 5 2" xfId="37188"/>
    <cellStyle name="Separador de milhares 3 8 3 9 6" xfId="30728"/>
    <cellStyle name="Separador de milhares 3 8 3 9 7" xfId="22422"/>
    <cellStyle name="Separador de milhares 3 8 4" xfId="477"/>
    <cellStyle name="Separador de milhares 3 8 4 10" xfId="5020"/>
    <cellStyle name="Separador de milhares 3 8 4 10 2" xfId="8236"/>
    <cellStyle name="Separador de milhares 3 8 4 10 2 2" xfId="20090"/>
    <cellStyle name="Separador de milhares 3 8 4 10 2 2 2" xfId="46569"/>
    <cellStyle name="Separador de milhares 3 8 4 10 2 3" xfId="14163"/>
    <cellStyle name="Separador de milhares 3 8 4 10 2 3 2" xfId="40661"/>
    <cellStyle name="Separador de milhares 3 8 4 10 2 4" xfId="34753"/>
    <cellStyle name="Separador de milhares 3 8 4 10 2 5" xfId="28219"/>
    <cellStyle name="Separador de milhares 3 8 4 10 3" xfId="17126"/>
    <cellStyle name="Separador de milhares 3 8 4 10 3 2" xfId="43615"/>
    <cellStyle name="Separador de milhares 3 8 4 10 4" xfId="11199"/>
    <cellStyle name="Separador de milhares 3 8 4 10 4 2" xfId="37707"/>
    <cellStyle name="Separador de milhares 3 8 4 10 5" xfId="31547"/>
    <cellStyle name="Separador de milhares 3 8 4 10 6" xfId="25013"/>
    <cellStyle name="Separador de milhares 3 8 4 11" xfId="6760"/>
    <cellStyle name="Separador de milhares 3 8 4 11 2" xfId="18614"/>
    <cellStyle name="Separador de milhares 3 8 4 11 2 2" xfId="45101"/>
    <cellStyle name="Separador de milhares 3 8 4 11 3" xfId="12687"/>
    <cellStyle name="Separador de milhares 3 8 4 11 3 2" xfId="39193"/>
    <cellStyle name="Separador de milhares 3 8 4 11 4" xfId="33285"/>
    <cellStyle name="Separador de milhares 3 8 4 11 5" xfId="26751"/>
    <cellStyle name="Separador de milhares 3 8 4 12" xfId="15650"/>
    <cellStyle name="Separador de milhares 3 8 4 12 2" xfId="42147"/>
    <cellStyle name="Separador de milhares 3 8 4 12 3" xfId="23241"/>
    <cellStyle name="Separador de milhares 3 8 4 13" xfId="9723"/>
    <cellStyle name="Separador de milhares 3 8 4 13 2" xfId="36239"/>
    <cellStyle name="Separador de milhares 3 8 4 14" xfId="29775"/>
    <cellStyle name="Separador de milhares 3 8 4 2" xfId="1123"/>
    <cellStyle name="Separador de milhares 3 8 4 2 2" xfId="5217"/>
    <cellStyle name="Separador de milhares 3 8 4 2 2 2" xfId="8432"/>
    <cellStyle name="Separador de milhares 3 8 4 2 2 2 2" xfId="20286"/>
    <cellStyle name="Separador de milhares 3 8 4 2 2 2 2 2" xfId="46765"/>
    <cellStyle name="Separador de milhares 3 8 4 2 2 2 3" xfId="14359"/>
    <cellStyle name="Separador de milhares 3 8 4 2 2 2 3 2" xfId="40857"/>
    <cellStyle name="Separador de milhares 3 8 4 2 2 2 4" xfId="34949"/>
    <cellStyle name="Separador de milhares 3 8 4 2 2 2 5" xfId="28415"/>
    <cellStyle name="Separador de milhares 3 8 4 2 2 3" xfId="17322"/>
    <cellStyle name="Separador de milhares 3 8 4 2 2 3 2" xfId="43811"/>
    <cellStyle name="Separador de milhares 3 8 4 2 2 4" xfId="11395"/>
    <cellStyle name="Separador de milhares 3 8 4 2 2 4 2" xfId="37903"/>
    <cellStyle name="Separador de milhares 3 8 4 2 2 5" xfId="31744"/>
    <cellStyle name="Separador de milhares 3 8 4 2 2 6" xfId="25210"/>
    <cellStyle name="Separador de milhares 3 8 4 2 3" xfId="6959"/>
    <cellStyle name="Separador de milhares 3 8 4 2 3 2" xfId="18813"/>
    <cellStyle name="Separador de milhares 3 8 4 2 3 2 2" xfId="45297"/>
    <cellStyle name="Separador de milhares 3 8 4 2 3 3" xfId="12886"/>
    <cellStyle name="Separador de milhares 3 8 4 2 3 3 2" xfId="39389"/>
    <cellStyle name="Separador de milhares 3 8 4 2 3 4" xfId="33481"/>
    <cellStyle name="Separador de milhares 3 8 4 2 3 5" xfId="26947"/>
    <cellStyle name="Separador de milhares 3 8 4 2 4" xfId="15849"/>
    <cellStyle name="Separador de milhares 3 8 4 2 4 2" xfId="42343"/>
    <cellStyle name="Separador de milhares 3 8 4 2 4 3" xfId="23438"/>
    <cellStyle name="Separador de milhares 3 8 4 2 5" xfId="9922"/>
    <cellStyle name="Separador de milhares 3 8 4 2 5 2" xfId="36435"/>
    <cellStyle name="Separador de milhares 3 8 4 2 6" xfId="29972"/>
    <cellStyle name="Separador de milhares 3 8 4 2 7" xfId="21666"/>
    <cellStyle name="Separador de milhares 3 8 4 3" xfId="1474"/>
    <cellStyle name="Separador de milhares 3 8 4 3 2" xfId="5315"/>
    <cellStyle name="Separador de milhares 3 8 4 3 2 2" xfId="8530"/>
    <cellStyle name="Separador de milhares 3 8 4 3 2 2 2" xfId="20384"/>
    <cellStyle name="Separador de milhares 3 8 4 3 2 2 2 2" xfId="46863"/>
    <cellStyle name="Separador de milhares 3 8 4 3 2 2 3" xfId="14457"/>
    <cellStyle name="Separador de milhares 3 8 4 3 2 2 3 2" xfId="40955"/>
    <cellStyle name="Separador de milhares 3 8 4 3 2 2 4" xfId="35047"/>
    <cellStyle name="Separador de milhares 3 8 4 3 2 2 5" xfId="28513"/>
    <cellStyle name="Separador de milhares 3 8 4 3 2 3" xfId="17420"/>
    <cellStyle name="Separador de milhares 3 8 4 3 2 3 2" xfId="43909"/>
    <cellStyle name="Separador de milhares 3 8 4 3 2 4" xfId="11493"/>
    <cellStyle name="Separador de milhares 3 8 4 3 2 4 2" xfId="38001"/>
    <cellStyle name="Separador de milhares 3 8 4 3 2 5" xfId="31842"/>
    <cellStyle name="Separador de milhares 3 8 4 3 2 6" xfId="25308"/>
    <cellStyle name="Separador de milhares 3 8 4 3 3" xfId="7057"/>
    <cellStyle name="Separador de milhares 3 8 4 3 3 2" xfId="18911"/>
    <cellStyle name="Separador de milhares 3 8 4 3 3 2 2" xfId="45395"/>
    <cellStyle name="Separador de milhares 3 8 4 3 3 3" xfId="12984"/>
    <cellStyle name="Separador de milhares 3 8 4 3 3 3 2" xfId="39487"/>
    <cellStyle name="Separador de milhares 3 8 4 3 3 4" xfId="33579"/>
    <cellStyle name="Separador de milhares 3 8 4 3 3 5" xfId="27045"/>
    <cellStyle name="Separador de milhares 3 8 4 3 4" xfId="15947"/>
    <cellStyle name="Separador de milhares 3 8 4 3 4 2" xfId="42441"/>
    <cellStyle name="Separador de milhares 3 8 4 3 4 3" xfId="23536"/>
    <cellStyle name="Separador de milhares 3 8 4 3 5" xfId="10020"/>
    <cellStyle name="Separador de milhares 3 8 4 3 5 2" xfId="36533"/>
    <cellStyle name="Separador de milhares 3 8 4 3 6" xfId="30070"/>
    <cellStyle name="Separador de milhares 3 8 4 3 7" xfId="21764"/>
    <cellStyle name="Separador de milhares 3 8 4 4" xfId="1909"/>
    <cellStyle name="Separador de milhares 3 8 4 4 2" xfId="5434"/>
    <cellStyle name="Separador de milhares 3 8 4 4 2 2" xfId="8649"/>
    <cellStyle name="Separador de milhares 3 8 4 4 2 2 2" xfId="20503"/>
    <cellStyle name="Separador de milhares 3 8 4 4 2 2 2 2" xfId="46982"/>
    <cellStyle name="Separador de milhares 3 8 4 4 2 2 3" xfId="14576"/>
    <cellStyle name="Separador de milhares 3 8 4 4 2 2 3 2" xfId="41074"/>
    <cellStyle name="Separador de milhares 3 8 4 4 2 2 4" xfId="35166"/>
    <cellStyle name="Separador de milhares 3 8 4 4 2 2 5" xfId="28632"/>
    <cellStyle name="Separador de milhares 3 8 4 4 2 3" xfId="17539"/>
    <cellStyle name="Separador de milhares 3 8 4 4 2 3 2" xfId="44028"/>
    <cellStyle name="Separador de milhares 3 8 4 4 2 4" xfId="11612"/>
    <cellStyle name="Separador de milhares 3 8 4 4 2 4 2" xfId="38120"/>
    <cellStyle name="Separador de milhares 3 8 4 4 2 5" xfId="31961"/>
    <cellStyle name="Separador de milhares 3 8 4 4 2 6" xfId="25427"/>
    <cellStyle name="Separador de milhares 3 8 4 4 3" xfId="7176"/>
    <cellStyle name="Separador de milhares 3 8 4 4 3 2" xfId="19030"/>
    <cellStyle name="Separador de milhares 3 8 4 4 3 2 2" xfId="45514"/>
    <cellStyle name="Separador de milhares 3 8 4 4 3 3" xfId="13103"/>
    <cellStyle name="Separador de milhares 3 8 4 4 3 3 2" xfId="39606"/>
    <cellStyle name="Separador de milhares 3 8 4 4 3 4" xfId="33698"/>
    <cellStyle name="Separador de milhares 3 8 4 4 3 5" xfId="27164"/>
    <cellStyle name="Separador de milhares 3 8 4 4 4" xfId="16066"/>
    <cellStyle name="Separador de milhares 3 8 4 4 4 2" xfId="42560"/>
    <cellStyle name="Separador de milhares 3 8 4 4 4 3" xfId="23655"/>
    <cellStyle name="Separador de milhares 3 8 4 4 5" xfId="10139"/>
    <cellStyle name="Separador de milhares 3 8 4 4 5 2" xfId="36652"/>
    <cellStyle name="Separador de milhares 3 8 4 4 6" xfId="30189"/>
    <cellStyle name="Separador de milhares 3 8 4 4 7" xfId="21883"/>
    <cellStyle name="Separador de milhares 3 8 4 5" xfId="2442"/>
    <cellStyle name="Separador de milhares 3 8 4 5 2" xfId="5584"/>
    <cellStyle name="Separador de milhares 3 8 4 5 2 2" xfId="8796"/>
    <cellStyle name="Separador de milhares 3 8 4 5 2 2 2" xfId="20650"/>
    <cellStyle name="Separador de milhares 3 8 4 5 2 2 2 2" xfId="47129"/>
    <cellStyle name="Separador de milhares 3 8 4 5 2 2 3" xfId="14723"/>
    <cellStyle name="Separador de milhares 3 8 4 5 2 2 3 2" xfId="41221"/>
    <cellStyle name="Separador de milhares 3 8 4 5 2 2 4" xfId="35313"/>
    <cellStyle name="Separador de milhares 3 8 4 5 2 2 5" xfId="28779"/>
    <cellStyle name="Separador de milhares 3 8 4 5 2 3" xfId="17686"/>
    <cellStyle name="Separador de milhares 3 8 4 5 2 3 2" xfId="44175"/>
    <cellStyle name="Separador de milhares 3 8 4 5 2 4" xfId="11759"/>
    <cellStyle name="Separador de milhares 3 8 4 5 2 4 2" xfId="38267"/>
    <cellStyle name="Separador de milhares 3 8 4 5 2 5" xfId="32111"/>
    <cellStyle name="Separador de milhares 3 8 4 5 2 6" xfId="25577"/>
    <cellStyle name="Separador de milhares 3 8 4 5 3" xfId="7324"/>
    <cellStyle name="Separador de milhares 3 8 4 5 3 2" xfId="19178"/>
    <cellStyle name="Separador de milhares 3 8 4 5 3 2 2" xfId="45661"/>
    <cellStyle name="Separador de milhares 3 8 4 5 3 3" xfId="13251"/>
    <cellStyle name="Separador de milhares 3 8 4 5 3 3 2" xfId="39753"/>
    <cellStyle name="Separador de milhares 3 8 4 5 3 4" xfId="33845"/>
    <cellStyle name="Separador de milhares 3 8 4 5 3 5" xfId="27311"/>
    <cellStyle name="Separador de milhares 3 8 4 5 4" xfId="16214"/>
    <cellStyle name="Separador de milhares 3 8 4 5 4 2" xfId="42707"/>
    <cellStyle name="Separador de milhares 3 8 4 5 4 3" xfId="23805"/>
    <cellStyle name="Separador de milhares 3 8 4 5 5" xfId="10287"/>
    <cellStyle name="Separador de milhares 3 8 4 5 5 2" xfId="36799"/>
    <cellStyle name="Separador de milhares 3 8 4 5 6" xfId="30339"/>
    <cellStyle name="Separador de milhares 3 8 4 5 7" xfId="22033"/>
    <cellStyle name="Separador de milhares 3 8 4 6" xfId="2970"/>
    <cellStyle name="Separador de milhares 3 8 4 6 2" xfId="5731"/>
    <cellStyle name="Separador de milhares 3 8 4 6 2 2" xfId="8943"/>
    <cellStyle name="Separador de milhares 3 8 4 6 2 2 2" xfId="20797"/>
    <cellStyle name="Separador de milhares 3 8 4 6 2 2 2 2" xfId="47276"/>
    <cellStyle name="Separador de milhares 3 8 4 6 2 2 3" xfId="14870"/>
    <cellStyle name="Separador de milhares 3 8 4 6 2 2 3 2" xfId="41368"/>
    <cellStyle name="Separador de milhares 3 8 4 6 2 2 4" xfId="35460"/>
    <cellStyle name="Separador de milhares 3 8 4 6 2 2 5" xfId="28926"/>
    <cellStyle name="Separador de milhares 3 8 4 6 2 3" xfId="17833"/>
    <cellStyle name="Separador de milhares 3 8 4 6 2 3 2" xfId="44322"/>
    <cellStyle name="Separador de milhares 3 8 4 6 2 4" xfId="11906"/>
    <cellStyle name="Separador de milhares 3 8 4 6 2 4 2" xfId="38414"/>
    <cellStyle name="Separador de milhares 3 8 4 6 2 5" xfId="32258"/>
    <cellStyle name="Separador de milhares 3 8 4 6 2 6" xfId="25724"/>
    <cellStyle name="Separador de milhares 3 8 4 6 3" xfId="7472"/>
    <cellStyle name="Separador de milhares 3 8 4 6 3 2" xfId="19326"/>
    <cellStyle name="Separador de milhares 3 8 4 6 3 2 2" xfId="45808"/>
    <cellStyle name="Separador de milhares 3 8 4 6 3 3" xfId="13399"/>
    <cellStyle name="Separador de milhares 3 8 4 6 3 3 2" xfId="39900"/>
    <cellStyle name="Separador de milhares 3 8 4 6 3 4" xfId="33992"/>
    <cellStyle name="Separador de milhares 3 8 4 6 3 5" xfId="27458"/>
    <cellStyle name="Separador de milhares 3 8 4 6 4" xfId="16362"/>
    <cellStyle name="Separador de milhares 3 8 4 6 4 2" xfId="42854"/>
    <cellStyle name="Separador de milhares 3 8 4 6 4 3" xfId="23952"/>
    <cellStyle name="Separador de milhares 3 8 4 6 5" xfId="10435"/>
    <cellStyle name="Separador de milhares 3 8 4 6 5 2" xfId="36946"/>
    <cellStyle name="Separador de milhares 3 8 4 6 6" xfId="30486"/>
    <cellStyle name="Separador de milhares 3 8 4 6 7" xfId="22180"/>
    <cellStyle name="Separador de milhares 3 8 4 7" xfId="3498"/>
    <cellStyle name="Separador de milhares 3 8 4 7 2" xfId="5878"/>
    <cellStyle name="Separador de milhares 3 8 4 7 2 2" xfId="9090"/>
    <cellStyle name="Separador de milhares 3 8 4 7 2 2 2" xfId="20944"/>
    <cellStyle name="Separador de milhares 3 8 4 7 2 2 2 2" xfId="47423"/>
    <cellStyle name="Separador de milhares 3 8 4 7 2 2 3" xfId="15017"/>
    <cellStyle name="Separador de milhares 3 8 4 7 2 2 3 2" xfId="41515"/>
    <cellStyle name="Separador de milhares 3 8 4 7 2 2 4" xfId="35607"/>
    <cellStyle name="Separador de milhares 3 8 4 7 2 2 5" xfId="29073"/>
    <cellStyle name="Separador de milhares 3 8 4 7 2 3" xfId="17980"/>
    <cellStyle name="Separador de milhares 3 8 4 7 2 3 2" xfId="44469"/>
    <cellStyle name="Separador de milhares 3 8 4 7 2 4" xfId="12053"/>
    <cellStyle name="Separador de milhares 3 8 4 7 2 4 2" xfId="38561"/>
    <cellStyle name="Separador de milhares 3 8 4 7 2 5" xfId="32405"/>
    <cellStyle name="Separador de milhares 3 8 4 7 2 6" xfId="25871"/>
    <cellStyle name="Separador de milhares 3 8 4 7 3" xfId="7620"/>
    <cellStyle name="Separador de milhares 3 8 4 7 3 2" xfId="19474"/>
    <cellStyle name="Separador de milhares 3 8 4 7 3 2 2" xfId="45955"/>
    <cellStyle name="Separador de milhares 3 8 4 7 3 3" xfId="13547"/>
    <cellStyle name="Separador de milhares 3 8 4 7 3 3 2" xfId="40047"/>
    <cellStyle name="Separador de milhares 3 8 4 7 3 4" xfId="34139"/>
    <cellStyle name="Separador de milhares 3 8 4 7 3 5" xfId="27605"/>
    <cellStyle name="Separador de milhares 3 8 4 7 4" xfId="16510"/>
    <cellStyle name="Separador de milhares 3 8 4 7 4 2" xfId="43001"/>
    <cellStyle name="Separador de milhares 3 8 4 7 4 3" xfId="24099"/>
    <cellStyle name="Separador de milhares 3 8 4 7 5" xfId="10583"/>
    <cellStyle name="Separador de milhares 3 8 4 7 5 2" xfId="37093"/>
    <cellStyle name="Separador de milhares 3 8 4 7 6" xfId="30633"/>
    <cellStyle name="Separador de milhares 3 8 4 7 7" xfId="22327"/>
    <cellStyle name="Separador de milhares 3 8 4 8" xfId="4026"/>
    <cellStyle name="Separador de milhares 3 8 4 8 2" xfId="6025"/>
    <cellStyle name="Separador de milhares 3 8 4 8 2 2" xfId="9237"/>
    <cellStyle name="Separador de milhares 3 8 4 8 2 2 2" xfId="21091"/>
    <cellStyle name="Separador de milhares 3 8 4 8 2 2 2 2" xfId="47570"/>
    <cellStyle name="Separador de milhares 3 8 4 8 2 2 3" xfId="15164"/>
    <cellStyle name="Separador de milhares 3 8 4 8 2 2 3 2" xfId="41662"/>
    <cellStyle name="Separador de milhares 3 8 4 8 2 2 4" xfId="35754"/>
    <cellStyle name="Separador de milhares 3 8 4 8 2 2 5" xfId="29220"/>
    <cellStyle name="Separador de milhares 3 8 4 8 2 3" xfId="18127"/>
    <cellStyle name="Separador de milhares 3 8 4 8 2 3 2" xfId="44616"/>
    <cellStyle name="Separador de milhares 3 8 4 8 2 4" xfId="12200"/>
    <cellStyle name="Separador de milhares 3 8 4 8 2 4 2" xfId="38708"/>
    <cellStyle name="Separador de milhares 3 8 4 8 2 5" xfId="32552"/>
    <cellStyle name="Separador de milhares 3 8 4 8 2 6" xfId="26018"/>
    <cellStyle name="Separador de milhares 3 8 4 8 3" xfId="7768"/>
    <cellStyle name="Separador de milhares 3 8 4 8 3 2" xfId="19622"/>
    <cellStyle name="Separador de milhares 3 8 4 8 3 2 2" xfId="46102"/>
    <cellStyle name="Separador de milhares 3 8 4 8 3 3" xfId="13695"/>
    <cellStyle name="Separador de milhares 3 8 4 8 3 3 2" xfId="40194"/>
    <cellStyle name="Separador de milhares 3 8 4 8 3 4" xfId="34286"/>
    <cellStyle name="Separador de milhares 3 8 4 8 3 5" xfId="27752"/>
    <cellStyle name="Separador de milhares 3 8 4 8 4" xfId="16658"/>
    <cellStyle name="Separador de milhares 3 8 4 8 4 2" xfId="43148"/>
    <cellStyle name="Separador de milhares 3 8 4 8 4 3" xfId="24246"/>
    <cellStyle name="Separador de milhares 3 8 4 8 5" xfId="10731"/>
    <cellStyle name="Separador de milhares 3 8 4 8 5 2" xfId="37240"/>
    <cellStyle name="Separador de milhares 3 8 4 8 6" xfId="30780"/>
    <cellStyle name="Separador de milhares 3 8 4 8 7" xfId="22474"/>
    <cellStyle name="Separador de milhares 3 8 4 9" xfId="806"/>
    <cellStyle name="Separador de milhares 3 8 4 9 2" xfId="5119"/>
    <cellStyle name="Separador de milhares 3 8 4 9 2 2" xfId="8334"/>
    <cellStyle name="Separador de milhares 3 8 4 9 2 2 2" xfId="20188"/>
    <cellStyle name="Separador de milhares 3 8 4 9 2 2 2 2" xfId="46667"/>
    <cellStyle name="Separador de milhares 3 8 4 9 2 2 3" xfId="14261"/>
    <cellStyle name="Separador de milhares 3 8 4 9 2 2 3 2" xfId="40759"/>
    <cellStyle name="Separador de milhares 3 8 4 9 2 2 4" xfId="34851"/>
    <cellStyle name="Separador de milhares 3 8 4 9 2 2 5" xfId="28317"/>
    <cellStyle name="Separador de milhares 3 8 4 9 2 3" xfId="17224"/>
    <cellStyle name="Separador de milhares 3 8 4 9 2 3 2" xfId="43713"/>
    <cellStyle name="Separador de milhares 3 8 4 9 2 4" xfId="11297"/>
    <cellStyle name="Separador de milhares 3 8 4 9 2 4 2" xfId="37805"/>
    <cellStyle name="Separador de milhares 3 8 4 9 2 5" xfId="31646"/>
    <cellStyle name="Separador de milhares 3 8 4 9 2 6" xfId="25112"/>
    <cellStyle name="Separador de milhares 3 8 4 9 3" xfId="6861"/>
    <cellStyle name="Separador de milhares 3 8 4 9 3 2" xfId="18715"/>
    <cellStyle name="Separador de milhares 3 8 4 9 3 2 2" xfId="45199"/>
    <cellStyle name="Separador de milhares 3 8 4 9 3 3" xfId="12788"/>
    <cellStyle name="Separador de milhares 3 8 4 9 3 3 2" xfId="39291"/>
    <cellStyle name="Separador de milhares 3 8 4 9 3 4" xfId="33383"/>
    <cellStyle name="Separador de milhares 3 8 4 9 3 5" xfId="26849"/>
    <cellStyle name="Separador de milhares 3 8 4 9 4" xfId="15751"/>
    <cellStyle name="Separador de milhares 3 8 4 9 4 2" xfId="42245"/>
    <cellStyle name="Separador de milhares 3 8 4 9 4 3" xfId="23340"/>
    <cellStyle name="Separador de milhares 3 8 4 9 5" xfId="9824"/>
    <cellStyle name="Separador de milhares 3 8 4 9 5 2" xfId="36337"/>
    <cellStyle name="Separador de milhares 3 8 4 9 6" xfId="29874"/>
    <cellStyle name="Separador de milhares 3 8 4 9 7" xfId="21568"/>
    <cellStyle name="Separador de milhares 3 8 5" xfId="735"/>
    <cellStyle name="Separador de milhares 3 8 5 10" xfId="15714"/>
    <cellStyle name="Separador de milhares 3 8 5 10 2" xfId="42211"/>
    <cellStyle name="Separador de milhares 3 8 5 10 3" xfId="23306"/>
    <cellStyle name="Separador de milhares 3 8 5 11" xfId="9787"/>
    <cellStyle name="Separador de milhares 3 8 5 11 2" xfId="36303"/>
    <cellStyle name="Separador de milhares 3 8 5 12" xfId="29840"/>
    <cellStyle name="Separador de milhares 3 8 5 13" xfId="21534"/>
    <cellStyle name="Separador de milhares 3 8 5 2" xfId="1558"/>
    <cellStyle name="Separador de milhares 3 8 5 2 2" xfId="5336"/>
    <cellStyle name="Separador de milhares 3 8 5 2 2 2" xfId="8551"/>
    <cellStyle name="Separador de milhares 3 8 5 2 2 2 2" xfId="20405"/>
    <cellStyle name="Separador de milhares 3 8 5 2 2 2 2 2" xfId="46884"/>
    <cellStyle name="Separador de milhares 3 8 5 2 2 2 3" xfId="14478"/>
    <cellStyle name="Separador de milhares 3 8 5 2 2 2 3 2" xfId="40976"/>
    <cellStyle name="Separador de milhares 3 8 5 2 2 2 4" xfId="35068"/>
    <cellStyle name="Separador de milhares 3 8 5 2 2 2 5" xfId="28534"/>
    <cellStyle name="Separador de milhares 3 8 5 2 2 3" xfId="17441"/>
    <cellStyle name="Separador de milhares 3 8 5 2 2 3 2" xfId="43930"/>
    <cellStyle name="Separador de milhares 3 8 5 2 2 4" xfId="11514"/>
    <cellStyle name="Separador de milhares 3 8 5 2 2 4 2" xfId="38022"/>
    <cellStyle name="Separador de milhares 3 8 5 2 2 5" xfId="31863"/>
    <cellStyle name="Separador de milhares 3 8 5 2 2 6" xfId="25329"/>
    <cellStyle name="Separador de milhares 3 8 5 2 3" xfId="7078"/>
    <cellStyle name="Separador de milhares 3 8 5 2 3 2" xfId="18932"/>
    <cellStyle name="Separador de milhares 3 8 5 2 3 2 2" xfId="45416"/>
    <cellStyle name="Separador de milhares 3 8 5 2 3 3" xfId="13005"/>
    <cellStyle name="Separador de milhares 3 8 5 2 3 3 2" xfId="39508"/>
    <cellStyle name="Separador de milhares 3 8 5 2 3 4" xfId="33600"/>
    <cellStyle name="Separador de milhares 3 8 5 2 3 5" xfId="27066"/>
    <cellStyle name="Separador de milhares 3 8 5 2 4" xfId="15968"/>
    <cellStyle name="Separador de milhares 3 8 5 2 4 2" xfId="42462"/>
    <cellStyle name="Separador de milhares 3 8 5 2 4 3" xfId="23557"/>
    <cellStyle name="Separador de milhares 3 8 5 2 5" xfId="10041"/>
    <cellStyle name="Separador de milhares 3 8 5 2 5 2" xfId="36554"/>
    <cellStyle name="Separador de milhares 3 8 5 2 6" xfId="30091"/>
    <cellStyle name="Separador de milhares 3 8 5 2 7" xfId="21785"/>
    <cellStyle name="Separador de milhares 3 8 5 3" xfId="1993"/>
    <cellStyle name="Separador de milhares 3 8 5 3 2" xfId="5455"/>
    <cellStyle name="Separador de milhares 3 8 5 3 2 2" xfId="8670"/>
    <cellStyle name="Separador de milhares 3 8 5 3 2 2 2" xfId="20524"/>
    <cellStyle name="Separador de milhares 3 8 5 3 2 2 2 2" xfId="47003"/>
    <cellStyle name="Separador de milhares 3 8 5 3 2 2 3" xfId="14597"/>
    <cellStyle name="Separador de milhares 3 8 5 3 2 2 3 2" xfId="41095"/>
    <cellStyle name="Separador de milhares 3 8 5 3 2 2 4" xfId="35187"/>
    <cellStyle name="Separador de milhares 3 8 5 3 2 2 5" xfId="28653"/>
    <cellStyle name="Separador de milhares 3 8 5 3 2 3" xfId="17560"/>
    <cellStyle name="Separador de milhares 3 8 5 3 2 3 2" xfId="44049"/>
    <cellStyle name="Separador de milhares 3 8 5 3 2 4" xfId="11633"/>
    <cellStyle name="Separador de milhares 3 8 5 3 2 4 2" xfId="38141"/>
    <cellStyle name="Separador de milhares 3 8 5 3 2 5" xfId="31982"/>
    <cellStyle name="Separador de milhares 3 8 5 3 2 6" xfId="25448"/>
    <cellStyle name="Separador de milhares 3 8 5 3 3" xfId="7197"/>
    <cellStyle name="Separador de milhares 3 8 5 3 3 2" xfId="19051"/>
    <cellStyle name="Separador de milhares 3 8 5 3 3 2 2" xfId="45535"/>
    <cellStyle name="Separador de milhares 3 8 5 3 3 3" xfId="13124"/>
    <cellStyle name="Separador de milhares 3 8 5 3 3 3 2" xfId="39627"/>
    <cellStyle name="Separador de milhares 3 8 5 3 3 4" xfId="33719"/>
    <cellStyle name="Separador de milhares 3 8 5 3 3 5" xfId="27185"/>
    <cellStyle name="Separador de milhares 3 8 5 3 4" xfId="16087"/>
    <cellStyle name="Separador de milhares 3 8 5 3 4 2" xfId="42581"/>
    <cellStyle name="Separador de milhares 3 8 5 3 4 3" xfId="23676"/>
    <cellStyle name="Separador de milhares 3 8 5 3 5" xfId="10160"/>
    <cellStyle name="Separador de milhares 3 8 5 3 5 2" xfId="36673"/>
    <cellStyle name="Separador de milhares 3 8 5 3 6" xfId="30210"/>
    <cellStyle name="Separador de milhares 3 8 5 3 7" xfId="21904"/>
    <cellStyle name="Separador de milhares 3 8 5 4" xfId="2526"/>
    <cellStyle name="Separador de milhares 3 8 5 4 2" xfId="5605"/>
    <cellStyle name="Separador de milhares 3 8 5 4 2 2" xfId="8817"/>
    <cellStyle name="Separador de milhares 3 8 5 4 2 2 2" xfId="20671"/>
    <cellStyle name="Separador de milhares 3 8 5 4 2 2 2 2" xfId="47150"/>
    <cellStyle name="Separador de milhares 3 8 5 4 2 2 3" xfId="14744"/>
    <cellStyle name="Separador de milhares 3 8 5 4 2 2 3 2" xfId="41242"/>
    <cellStyle name="Separador de milhares 3 8 5 4 2 2 4" xfId="35334"/>
    <cellStyle name="Separador de milhares 3 8 5 4 2 2 5" xfId="28800"/>
    <cellStyle name="Separador de milhares 3 8 5 4 2 3" xfId="17707"/>
    <cellStyle name="Separador de milhares 3 8 5 4 2 3 2" xfId="44196"/>
    <cellStyle name="Separador de milhares 3 8 5 4 2 4" xfId="11780"/>
    <cellStyle name="Separador de milhares 3 8 5 4 2 4 2" xfId="38288"/>
    <cellStyle name="Separador de milhares 3 8 5 4 2 5" xfId="32132"/>
    <cellStyle name="Separador de milhares 3 8 5 4 2 6" xfId="25598"/>
    <cellStyle name="Separador de milhares 3 8 5 4 3" xfId="7345"/>
    <cellStyle name="Separador de milhares 3 8 5 4 3 2" xfId="19199"/>
    <cellStyle name="Separador de milhares 3 8 5 4 3 2 2" xfId="45682"/>
    <cellStyle name="Separador de milhares 3 8 5 4 3 3" xfId="13272"/>
    <cellStyle name="Separador de milhares 3 8 5 4 3 3 2" xfId="39774"/>
    <cellStyle name="Separador de milhares 3 8 5 4 3 4" xfId="33866"/>
    <cellStyle name="Separador de milhares 3 8 5 4 3 5" xfId="27332"/>
    <cellStyle name="Separador de milhares 3 8 5 4 4" xfId="16235"/>
    <cellStyle name="Separador de milhares 3 8 5 4 4 2" xfId="42728"/>
    <cellStyle name="Separador de milhares 3 8 5 4 4 3" xfId="23826"/>
    <cellStyle name="Separador de milhares 3 8 5 4 5" xfId="10308"/>
    <cellStyle name="Separador de milhares 3 8 5 4 5 2" xfId="36820"/>
    <cellStyle name="Separador de milhares 3 8 5 4 6" xfId="30360"/>
    <cellStyle name="Separador de milhares 3 8 5 4 7" xfId="22054"/>
    <cellStyle name="Separador de milhares 3 8 5 5" xfId="3054"/>
    <cellStyle name="Separador de milhares 3 8 5 5 2" xfId="5752"/>
    <cellStyle name="Separador de milhares 3 8 5 5 2 2" xfId="8964"/>
    <cellStyle name="Separador de milhares 3 8 5 5 2 2 2" xfId="20818"/>
    <cellStyle name="Separador de milhares 3 8 5 5 2 2 2 2" xfId="47297"/>
    <cellStyle name="Separador de milhares 3 8 5 5 2 2 3" xfId="14891"/>
    <cellStyle name="Separador de milhares 3 8 5 5 2 2 3 2" xfId="41389"/>
    <cellStyle name="Separador de milhares 3 8 5 5 2 2 4" xfId="35481"/>
    <cellStyle name="Separador de milhares 3 8 5 5 2 2 5" xfId="28947"/>
    <cellStyle name="Separador de milhares 3 8 5 5 2 3" xfId="17854"/>
    <cellStyle name="Separador de milhares 3 8 5 5 2 3 2" xfId="44343"/>
    <cellStyle name="Separador de milhares 3 8 5 5 2 4" xfId="11927"/>
    <cellStyle name="Separador de milhares 3 8 5 5 2 4 2" xfId="38435"/>
    <cellStyle name="Separador de milhares 3 8 5 5 2 5" xfId="32279"/>
    <cellStyle name="Separador de milhares 3 8 5 5 2 6" xfId="25745"/>
    <cellStyle name="Separador de milhares 3 8 5 5 3" xfId="7493"/>
    <cellStyle name="Separador de milhares 3 8 5 5 3 2" xfId="19347"/>
    <cellStyle name="Separador de milhares 3 8 5 5 3 2 2" xfId="45829"/>
    <cellStyle name="Separador de milhares 3 8 5 5 3 3" xfId="13420"/>
    <cellStyle name="Separador de milhares 3 8 5 5 3 3 2" xfId="39921"/>
    <cellStyle name="Separador de milhares 3 8 5 5 3 4" xfId="34013"/>
    <cellStyle name="Separador de milhares 3 8 5 5 3 5" xfId="27479"/>
    <cellStyle name="Separador de milhares 3 8 5 5 4" xfId="16383"/>
    <cellStyle name="Separador de milhares 3 8 5 5 4 2" xfId="42875"/>
    <cellStyle name="Separador de milhares 3 8 5 5 4 3" xfId="23973"/>
    <cellStyle name="Separador de milhares 3 8 5 5 5" xfId="10456"/>
    <cellStyle name="Separador de milhares 3 8 5 5 5 2" xfId="36967"/>
    <cellStyle name="Separador de milhares 3 8 5 5 6" xfId="30507"/>
    <cellStyle name="Separador de milhares 3 8 5 5 7" xfId="22201"/>
    <cellStyle name="Separador de milhares 3 8 5 6" xfId="3582"/>
    <cellStyle name="Separador de milhares 3 8 5 6 2" xfId="5899"/>
    <cellStyle name="Separador de milhares 3 8 5 6 2 2" xfId="9111"/>
    <cellStyle name="Separador de milhares 3 8 5 6 2 2 2" xfId="20965"/>
    <cellStyle name="Separador de milhares 3 8 5 6 2 2 2 2" xfId="47444"/>
    <cellStyle name="Separador de milhares 3 8 5 6 2 2 3" xfId="15038"/>
    <cellStyle name="Separador de milhares 3 8 5 6 2 2 3 2" xfId="41536"/>
    <cellStyle name="Separador de milhares 3 8 5 6 2 2 4" xfId="35628"/>
    <cellStyle name="Separador de milhares 3 8 5 6 2 2 5" xfId="29094"/>
    <cellStyle name="Separador de milhares 3 8 5 6 2 3" xfId="18001"/>
    <cellStyle name="Separador de milhares 3 8 5 6 2 3 2" xfId="44490"/>
    <cellStyle name="Separador de milhares 3 8 5 6 2 4" xfId="12074"/>
    <cellStyle name="Separador de milhares 3 8 5 6 2 4 2" xfId="38582"/>
    <cellStyle name="Separador de milhares 3 8 5 6 2 5" xfId="32426"/>
    <cellStyle name="Separador de milhares 3 8 5 6 2 6" xfId="25892"/>
    <cellStyle name="Separador de milhares 3 8 5 6 3" xfId="7641"/>
    <cellStyle name="Separador de milhares 3 8 5 6 3 2" xfId="19495"/>
    <cellStyle name="Separador de milhares 3 8 5 6 3 2 2" xfId="45976"/>
    <cellStyle name="Separador de milhares 3 8 5 6 3 3" xfId="13568"/>
    <cellStyle name="Separador de milhares 3 8 5 6 3 3 2" xfId="40068"/>
    <cellStyle name="Separador de milhares 3 8 5 6 3 4" xfId="34160"/>
    <cellStyle name="Separador de milhares 3 8 5 6 3 5" xfId="27626"/>
    <cellStyle name="Separador de milhares 3 8 5 6 4" xfId="16531"/>
    <cellStyle name="Separador de milhares 3 8 5 6 4 2" xfId="43022"/>
    <cellStyle name="Separador de milhares 3 8 5 6 4 3" xfId="24120"/>
    <cellStyle name="Separador de milhares 3 8 5 6 5" xfId="10604"/>
    <cellStyle name="Separador de milhares 3 8 5 6 5 2" xfId="37114"/>
    <cellStyle name="Separador de milhares 3 8 5 6 6" xfId="30654"/>
    <cellStyle name="Separador de milhares 3 8 5 6 7" xfId="22348"/>
    <cellStyle name="Separador de milhares 3 8 5 7" xfId="4110"/>
    <cellStyle name="Separador de milhares 3 8 5 7 2" xfId="6046"/>
    <cellStyle name="Separador de milhares 3 8 5 7 2 2" xfId="9258"/>
    <cellStyle name="Separador de milhares 3 8 5 7 2 2 2" xfId="21112"/>
    <cellStyle name="Separador de milhares 3 8 5 7 2 2 2 2" xfId="47591"/>
    <cellStyle name="Separador de milhares 3 8 5 7 2 2 3" xfId="15185"/>
    <cellStyle name="Separador de milhares 3 8 5 7 2 2 3 2" xfId="41683"/>
    <cellStyle name="Separador de milhares 3 8 5 7 2 2 4" xfId="35775"/>
    <cellStyle name="Separador de milhares 3 8 5 7 2 2 5" xfId="29241"/>
    <cellStyle name="Separador de milhares 3 8 5 7 2 3" xfId="18148"/>
    <cellStyle name="Separador de milhares 3 8 5 7 2 3 2" xfId="44637"/>
    <cellStyle name="Separador de milhares 3 8 5 7 2 4" xfId="12221"/>
    <cellStyle name="Separador de milhares 3 8 5 7 2 4 2" xfId="38729"/>
    <cellStyle name="Separador de milhares 3 8 5 7 2 5" xfId="32573"/>
    <cellStyle name="Separador de milhares 3 8 5 7 2 6" xfId="26039"/>
    <cellStyle name="Separador de milhares 3 8 5 7 3" xfId="7789"/>
    <cellStyle name="Separador de milhares 3 8 5 7 3 2" xfId="19643"/>
    <cellStyle name="Separador de milhares 3 8 5 7 3 2 2" xfId="46123"/>
    <cellStyle name="Separador de milhares 3 8 5 7 3 3" xfId="13716"/>
    <cellStyle name="Separador de milhares 3 8 5 7 3 3 2" xfId="40215"/>
    <cellStyle name="Separador de milhares 3 8 5 7 3 4" xfId="34307"/>
    <cellStyle name="Separador de milhares 3 8 5 7 3 5" xfId="27773"/>
    <cellStyle name="Separador de milhares 3 8 5 7 4" xfId="16679"/>
    <cellStyle name="Separador de milhares 3 8 5 7 4 2" xfId="43169"/>
    <cellStyle name="Separador de milhares 3 8 5 7 4 3" xfId="24267"/>
    <cellStyle name="Separador de milhares 3 8 5 7 5" xfId="10752"/>
    <cellStyle name="Separador de milhares 3 8 5 7 5 2" xfId="37261"/>
    <cellStyle name="Separador de milhares 3 8 5 7 6" xfId="30801"/>
    <cellStyle name="Separador de milhares 3 8 5 7 7" xfId="22495"/>
    <cellStyle name="Separador de milhares 3 8 5 8" xfId="5085"/>
    <cellStyle name="Separador de milhares 3 8 5 8 2" xfId="8300"/>
    <cellStyle name="Separador de milhares 3 8 5 8 2 2" xfId="20154"/>
    <cellStyle name="Separador de milhares 3 8 5 8 2 2 2" xfId="46633"/>
    <cellStyle name="Separador de milhares 3 8 5 8 2 3" xfId="14227"/>
    <cellStyle name="Separador de milhares 3 8 5 8 2 3 2" xfId="40725"/>
    <cellStyle name="Separador de milhares 3 8 5 8 2 4" xfId="34817"/>
    <cellStyle name="Separador de milhares 3 8 5 8 2 5" xfId="28283"/>
    <cellStyle name="Separador de milhares 3 8 5 8 3" xfId="17190"/>
    <cellStyle name="Separador de milhares 3 8 5 8 3 2" xfId="43679"/>
    <cellStyle name="Separador de milhares 3 8 5 8 4" xfId="11263"/>
    <cellStyle name="Separador de milhares 3 8 5 8 4 2" xfId="37771"/>
    <cellStyle name="Separador de milhares 3 8 5 8 5" xfId="31612"/>
    <cellStyle name="Separador de milhares 3 8 5 8 6" xfId="25078"/>
    <cellStyle name="Separador de milhares 3 8 5 9" xfId="6824"/>
    <cellStyle name="Separador de milhares 3 8 5 9 2" xfId="18678"/>
    <cellStyle name="Separador de milhares 3 8 5 9 2 2" xfId="45165"/>
    <cellStyle name="Separador de milhares 3 8 5 9 3" xfId="12751"/>
    <cellStyle name="Separador de milhares 3 8 5 9 3 2" xfId="39257"/>
    <cellStyle name="Separador de milhares 3 8 5 9 4" xfId="33349"/>
    <cellStyle name="Separador de milhares 3 8 5 9 5" xfId="26815"/>
    <cellStyle name="Separador de milhares 3 8 6" xfId="856"/>
    <cellStyle name="Separador de milhares 3 8 6 2" xfId="4287"/>
    <cellStyle name="Separador de milhares 3 8 6 2 2" xfId="6095"/>
    <cellStyle name="Separador de milhares 3 8 6 2 2 2" xfId="9307"/>
    <cellStyle name="Separador de milhares 3 8 6 2 2 2 2" xfId="21161"/>
    <cellStyle name="Separador de milhares 3 8 6 2 2 2 2 2" xfId="47640"/>
    <cellStyle name="Separador de milhares 3 8 6 2 2 2 3" xfId="15234"/>
    <cellStyle name="Separador de milhares 3 8 6 2 2 2 3 2" xfId="41732"/>
    <cellStyle name="Separador de milhares 3 8 6 2 2 2 4" xfId="35824"/>
    <cellStyle name="Separador de milhares 3 8 6 2 2 2 5" xfId="29290"/>
    <cellStyle name="Separador de milhares 3 8 6 2 2 3" xfId="18197"/>
    <cellStyle name="Separador de milhares 3 8 6 2 2 3 2" xfId="44686"/>
    <cellStyle name="Separador de milhares 3 8 6 2 2 4" xfId="12270"/>
    <cellStyle name="Separador de milhares 3 8 6 2 2 4 2" xfId="38778"/>
    <cellStyle name="Separador de milhares 3 8 6 2 2 5" xfId="32622"/>
    <cellStyle name="Separador de milhares 3 8 6 2 2 6" xfId="26088"/>
    <cellStyle name="Separador de milhares 3 8 6 2 3" xfId="7839"/>
    <cellStyle name="Separador de milhares 3 8 6 2 3 2" xfId="19693"/>
    <cellStyle name="Separador de milhares 3 8 6 2 3 2 2" xfId="46172"/>
    <cellStyle name="Separador de milhares 3 8 6 2 3 3" xfId="13766"/>
    <cellStyle name="Separador de milhares 3 8 6 2 3 3 2" xfId="40264"/>
    <cellStyle name="Separador de milhares 3 8 6 2 3 4" xfId="34356"/>
    <cellStyle name="Separador de milhares 3 8 6 2 3 5" xfId="27822"/>
    <cellStyle name="Separador de milhares 3 8 6 2 4" xfId="16729"/>
    <cellStyle name="Separador de milhares 3 8 6 2 4 2" xfId="43218"/>
    <cellStyle name="Separador de milhares 3 8 6 2 4 3" xfId="24316"/>
    <cellStyle name="Separador de milhares 3 8 6 2 5" xfId="10802"/>
    <cellStyle name="Separador de milhares 3 8 6 2 5 2" xfId="37310"/>
    <cellStyle name="Separador de milhares 3 8 6 2 6" xfId="30850"/>
    <cellStyle name="Separador de milhares 3 8 6 2 7" xfId="22544"/>
    <cellStyle name="Separador de milhares 3 8 6 3" xfId="5140"/>
    <cellStyle name="Separador de milhares 3 8 6 3 2" xfId="8355"/>
    <cellStyle name="Separador de milhares 3 8 6 3 2 2" xfId="20209"/>
    <cellStyle name="Separador de milhares 3 8 6 3 2 2 2" xfId="46688"/>
    <cellStyle name="Separador de milhares 3 8 6 3 2 3" xfId="14282"/>
    <cellStyle name="Separador de milhares 3 8 6 3 2 3 2" xfId="40780"/>
    <cellStyle name="Separador de milhares 3 8 6 3 2 4" xfId="34872"/>
    <cellStyle name="Separador de milhares 3 8 6 3 2 5" xfId="28338"/>
    <cellStyle name="Separador de milhares 3 8 6 3 3" xfId="17245"/>
    <cellStyle name="Separador de milhares 3 8 6 3 3 2" xfId="43734"/>
    <cellStyle name="Separador de milhares 3 8 6 3 4" xfId="11318"/>
    <cellStyle name="Separador de milhares 3 8 6 3 4 2" xfId="37826"/>
    <cellStyle name="Separador de milhares 3 8 6 3 5" xfId="31667"/>
    <cellStyle name="Separador de milhares 3 8 6 3 6" xfId="25133"/>
    <cellStyle name="Separador de milhares 3 8 6 4" xfId="6882"/>
    <cellStyle name="Separador de milhares 3 8 6 4 2" xfId="18736"/>
    <cellStyle name="Separador de milhares 3 8 6 4 2 2" xfId="45220"/>
    <cellStyle name="Separador de milhares 3 8 6 4 3" xfId="12809"/>
    <cellStyle name="Separador de milhares 3 8 6 4 3 2" xfId="39312"/>
    <cellStyle name="Separador de milhares 3 8 6 4 4" xfId="33404"/>
    <cellStyle name="Separador de milhares 3 8 6 4 5" xfId="26870"/>
    <cellStyle name="Separador de milhares 3 8 6 5" xfId="15772"/>
    <cellStyle name="Separador de milhares 3 8 6 5 2" xfId="42266"/>
    <cellStyle name="Separador de milhares 3 8 6 5 3" xfId="23361"/>
    <cellStyle name="Separador de milhares 3 8 6 6" xfId="9845"/>
    <cellStyle name="Separador de milhares 3 8 6 6 2" xfId="36358"/>
    <cellStyle name="Separador de milhares 3 8 6 7" xfId="29895"/>
    <cellStyle name="Separador de milhares 3 8 6 8" xfId="21589"/>
    <cellStyle name="Separador de milhares 3 8 7" xfId="1207"/>
    <cellStyle name="Separador de milhares 3 8 7 2" xfId="5238"/>
    <cellStyle name="Separador de milhares 3 8 7 2 2" xfId="8453"/>
    <cellStyle name="Separador de milhares 3 8 7 2 2 2" xfId="20307"/>
    <cellStyle name="Separador de milhares 3 8 7 2 2 2 2" xfId="46786"/>
    <cellStyle name="Separador de milhares 3 8 7 2 2 3" xfId="14380"/>
    <cellStyle name="Separador de milhares 3 8 7 2 2 3 2" xfId="40878"/>
    <cellStyle name="Separador de milhares 3 8 7 2 2 4" xfId="34970"/>
    <cellStyle name="Separador de milhares 3 8 7 2 2 5" xfId="28436"/>
    <cellStyle name="Separador de milhares 3 8 7 2 3" xfId="17343"/>
    <cellStyle name="Separador de milhares 3 8 7 2 3 2" xfId="43832"/>
    <cellStyle name="Separador de milhares 3 8 7 2 4" xfId="11416"/>
    <cellStyle name="Separador de milhares 3 8 7 2 4 2" xfId="37924"/>
    <cellStyle name="Separador de milhares 3 8 7 2 5" xfId="31765"/>
    <cellStyle name="Separador de milhares 3 8 7 2 6" xfId="25231"/>
    <cellStyle name="Separador de milhares 3 8 7 3" xfId="6980"/>
    <cellStyle name="Separador de milhares 3 8 7 3 2" xfId="18834"/>
    <cellStyle name="Separador de milhares 3 8 7 3 2 2" xfId="45318"/>
    <cellStyle name="Separador de milhares 3 8 7 3 3" xfId="12907"/>
    <cellStyle name="Separador de milhares 3 8 7 3 3 2" xfId="39410"/>
    <cellStyle name="Separador de milhares 3 8 7 3 4" xfId="33502"/>
    <cellStyle name="Separador de milhares 3 8 7 3 5" xfId="26968"/>
    <cellStyle name="Separador de milhares 3 8 7 4" xfId="15870"/>
    <cellStyle name="Separador de milhares 3 8 7 4 2" xfId="42364"/>
    <cellStyle name="Separador de milhares 3 8 7 4 3" xfId="23459"/>
    <cellStyle name="Separador de milhares 3 8 7 5" xfId="9943"/>
    <cellStyle name="Separador de milhares 3 8 7 5 2" xfId="36456"/>
    <cellStyle name="Separador de milhares 3 8 7 6" xfId="29993"/>
    <cellStyle name="Separador de milhares 3 8 7 7" xfId="21687"/>
    <cellStyle name="Separador de milhares 3 8 8" xfId="1642"/>
    <cellStyle name="Separador de milhares 3 8 8 2" xfId="5357"/>
    <cellStyle name="Separador de milhares 3 8 8 2 2" xfId="8572"/>
    <cellStyle name="Separador de milhares 3 8 8 2 2 2" xfId="20426"/>
    <cellStyle name="Separador de milhares 3 8 8 2 2 2 2" xfId="46905"/>
    <cellStyle name="Separador de milhares 3 8 8 2 2 3" xfId="14499"/>
    <cellStyle name="Separador de milhares 3 8 8 2 2 3 2" xfId="40997"/>
    <cellStyle name="Separador de milhares 3 8 8 2 2 4" xfId="35089"/>
    <cellStyle name="Separador de milhares 3 8 8 2 2 5" xfId="28555"/>
    <cellStyle name="Separador de milhares 3 8 8 2 3" xfId="17462"/>
    <cellStyle name="Separador de milhares 3 8 8 2 3 2" xfId="43951"/>
    <cellStyle name="Separador de milhares 3 8 8 2 4" xfId="11535"/>
    <cellStyle name="Separador de milhares 3 8 8 2 4 2" xfId="38043"/>
    <cellStyle name="Separador de milhares 3 8 8 2 5" xfId="31884"/>
    <cellStyle name="Separador de milhares 3 8 8 2 6" xfId="25350"/>
    <cellStyle name="Separador de milhares 3 8 8 3" xfId="7099"/>
    <cellStyle name="Separador de milhares 3 8 8 3 2" xfId="18953"/>
    <cellStyle name="Separador de milhares 3 8 8 3 2 2" xfId="45437"/>
    <cellStyle name="Separador de milhares 3 8 8 3 3" xfId="13026"/>
    <cellStyle name="Separador de milhares 3 8 8 3 3 2" xfId="39529"/>
    <cellStyle name="Separador de milhares 3 8 8 3 4" xfId="33621"/>
    <cellStyle name="Separador de milhares 3 8 8 3 5" xfId="27087"/>
    <cellStyle name="Separador de milhares 3 8 8 4" xfId="15989"/>
    <cellStyle name="Separador de milhares 3 8 8 4 2" xfId="42483"/>
    <cellStyle name="Separador de milhares 3 8 8 4 3" xfId="23578"/>
    <cellStyle name="Separador de milhares 3 8 8 5" xfId="10062"/>
    <cellStyle name="Separador de milhares 3 8 8 5 2" xfId="36575"/>
    <cellStyle name="Separador de milhares 3 8 8 6" xfId="30112"/>
    <cellStyle name="Separador de milhares 3 8 8 7" xfId="21806"/>
    <cellStyle name="Separador de milhares 3 8 9" xfId="2175"/>
    <cellStyle name="Separador de milhares 3 8 9 2" xfId="5507"/>
    <cellStyle name="Separador de milhares 3 8 9 2 2" xfId="8719"/>
    <cellStyle name="Separador de milhares 3 8 9 2 2 2" xfId="20573"/>
    <cellStyle name="Separador de milhares 3 8 9 2 2 2 2" xfId="47052"/>
    <cellStyle name="Separador de milhares 3 8 9 2 2 3" xfId="14646"/>
    <cellStyle name="Separador de milhares 3 8 9 2 2 3 2" xfId="41144"/>
    <cellStyle name="Separador de milhares 3 8 9 2 2 4" xfId="35236"/>
    <cellStyle name="Separador de milhares 3 8 9 2 2 5" xfId="28702"/>
    <cellStyle name="Separador de milhares 3 8 9 2 3" xfId="17609"/>
    <cellStyle name="Separador de milhares 3 8 9 2 3 2" xfId="44098"/>
    <cellStyle name="Separador de milhares 3 8 9 2 4" xfId="11682"/>
    <cellStyle name="Separador de milhares 3 8 9 2 4 2" xfId="38190"/>
    <cellStyle name="Separador de milhares 3 8 9 2 5" xfId="32034"/>
    <cellStyle name="Separador de milhares 3 8 9 2 6" xfId="25500"/>
    <cellStyle name="Separador de milhares 3 8 9 3" xfId="7247"/>
    <cellStyle name="Separador de milhares 3 8 9 3 2" xfId="19101"/>
    <cellStyle name="Separador de milhares 3 8 9 3 2 2" xfId="45584"/>
    <cellStyle name="Separador de milhares 3 8 9 3 3" xfId="13174"/>
    <cellStyle name="Separador de milhares 3 8 9 3 3 2" xfId="39676"/>
    <cellStyle name="Separador de milhares 3 8 9 3 4" xfId="33768"/>
    <cellStyle name="Separador de milhares 3 8 9 3 5" xfId="27234"/>
    <cellStyle name="Separador de milhares 3 8 9 4" xfId="16137"/>
    <cellStyle name="Separador de milhares 3 8 9 4 2" xfId="42630"/>
    <cellStyle name="Separador de milhares 3 8 9 4 3" xfId="23728"/>
    <cellStyle name="Separador de milhares 3 8 9 5" xfId="10210"/>
    <cellStyle name="Separador de milhares 3 8 9 5 2" xfId="36722"/>
    <cellStyle name="Separador de milhares 3 8 9 6" xfId="30262"/>
    <cellStyle name="Separador de milhares 3 8 9 7" xfId="21956"/>
    <cellStyle name="Separador de milhares 3 9" xfId="201"/>
    <cellStyle name="Separador de milhares 3 9 10" xfId="2711"/>
    <cellStyle name="Separador de milhares 3 9 10 2" xfId="5656"/>
    <cellStyle name="Separador de milhares 3 9 10 2 2" xfId="8868"/>
    <cellStyle name="Separador de milhares 3 9 10 2 2 2" xfId="20722"/>
    <cellStyle name="Separador de milhares 3 9 10 2 2 2 2" xfId="47201"/>
    <cellStyle name="Separador de milhares 3 9 10 2 2 3" xfId="14795"/>
    <cellStyle name="Separador de milhares 3 9 10 2 2 3 2" xfId="41293"/>
    <cellStyle name="Separador de milhares 3 9 10 2 2 4" xfId="35385"/>
    <cellStyle name="Separador de milhares 3 9 10 2 2 5" xfId="28851"/>
    <cellStyle name="Separador de milhares 3 9 10 2 3" xfId="17758"/>
    <cellStyle name="Separador de milhares 3 9 10 2 3 2" xfId="44247"/>
    <cellStyle name="Separador de milhares 3 9 10 2 4" xfId="11831"/>
    <cellStyle name="Separador de milhares 3 9 10 2 4 2" xfId="38339"/>
    <cellStyle name="Separador de milhares 3 9 10 2 5" xfId="32183"/>
    <cellStyle name="Separador de milhares 3 9 10 2 6" xfId="25649"/>
    <cellStyle name="Separador de milhares 3 9 10 3" xfId="7397"/>
    <cellStyle name="Separador de milhares 3 9 10 3 2" xfId="19251"/>
    <cellStyle name="Separador de milhares 3 9 10 3 2 2" xfId="45733"/>
    <cellStyle name="Separador de milhares 3 9 10 3 3" xfId="13324"/>
    <cellStyle name="Separador de milhares 3 9 10 3 3 2" xfId="39825"/>
    <cellStyle name="Separador de milhares 3 9 10 3 4" xfId="33917"/>
    <cellStyle name="Separador de milhares 3 9 10 3 5" xfId="27383"/>
    <cellStyle name="Separador de milhares 3 9 10 4" xfId="16287"/>
    <cellStyle name="Separador de milhares 3 9 10 4 2" xfId="42779"/>
    <cellStyle name="Separador de milhares 3 9 10 4 3" xfId="23877"/>
    <cellStyle name="Separador de milhares 3 9 10 5" xfId="10360"/>
    <cellStyle name="Separador de milhares 3 9 10 5 2" xfId="36871"/>
    <cellStyle name="Separador de milhares 3 9 10 6" xfId="30411"/>
    <cellStyle name="Separador de milhares 3 9 10 7" xfId="22105"/>
    <cellStyle name="Separador de milhares 3 9 11" xfId="3239"/>
    <cellStyle name="Separador de milhares 3 9 11 2" xfId="5803"/>
    <cellStyle name="Separador de milhares 3 9 11 2 2" xfId="9015"/>
    <cellStyle name="Separador de milhares 3 9 11 2 2 2" xfId="20869"/>
    <cellStyle name="Separador de milhares 3 9 11 2 2 2 2" xfId="47348"/>
    <cellStyle name="Separador de milhares 3 9 11 2 2 3" xfId="14942"/>
    <cellStyle name="Separador de milhares 3 9 11 2 2 3 2" xfId="41440"/>
    <cellStyle name="Separador de milhares 3 9 11 2 2 4" xfId="35532"/>
    <cellStyle name="Separador de milhares 3 9 11 2 2 5" xfId="28998"/>
    <cellStyle name="Separador de milhares 3 9 11 2 3" xfId="17905"/>
    <cellStyle name="Separador de milhares 3 9 11 2 3 2" xfId="44394"/>
    <cellStyle name="Separador de milhares 3 9 11 2 4" xfId="11978"/>
    <cellStyle name="Separador de milhares 3 9 11 2 4 2" xfId="38486"/>
    <cellStyle name="Separador de milhares 3 9 11 2 5" xfId="32330"/>
    <cellStyle name="Separador de milhares 3 9 11 2 6" xfId="25796"/>
    <cellStyle name="Separador de milhares 3 9 11 3" xfId="7545"/>
    <cellStyle name="Separador de milhares 3 9 11 3 2" xfId="19399"/>
    <cellStyle name="Separador de milhares 3 9 11 3 2 2" xfId="45880"/>
    <cellStyle name="Separador de milhares 3 9 11 3 3" xfId="13472"/>
    <cellStyle name="Separador de milhares 3 9 11 3 3 2" xfId="39972"/>
    <cellStyle name="Separador de milhares 3 9 11 3 4" xfId="34064"/>
    <cellStyle name="Separador de milhares 3 9 11 3 5" xfId="27530"/>
    <cellStyle name="Separador de milhares 3 9 11 4" xfId="16435"/>
    <cellStyle name="Separador de milhares 3 9 11 4 2" xfId="42926"/>
    <cellStyle name="Separador de milhares 3 9 11 4 3" xfId="24024"/>
    <cellStyle name="Separador de milhares 3 9 11 5" xfId="10508"/>
    <cellStyle name="Separador de milhares 3 9 11 5 2" xfId="37018"/>
    <cellStyle name="Separador de milhares 3 9 11 6" xfId="30558"/>
    <cellStyle name="Separador de milhares 3 9 11 7" xfId="22252"/>
    <cellStyle name="Separador de milhares 3 9 12" xfId="3767"/>
    <cellStyle name="Separador de milhares 3 9 12 2" xfId="5950"/>
    <cellStyle name="Separador de milhares 3 9 12 2 2" xfId="9162"/>
    <cellStyle name="Separador de milhares 3 9 12 2 2 2" xfId="21016"/>
    <cellStyle name="Separador de milhares 3 9 12 2 2 2 2" xfId="47495"/>
    <cellStyle name="Separador de milhares 3 9 12 2 2 3" xfId="15089"/>
    <cellStyle name="Separador de milhares 3 9 12 2 2 3 2" xfId="41587"/>
    <cellStyle name="Separador de milhares 3 9 12 2 2 4" xfId="35679"/>
    <cellStyle name="Separador de milhares 3 9 12 2 2 5" xfId="29145"/>
    <cellStyle name="Separador de milhares 3 9 12 2 3" xfId="18052"/>
    <cellStyle name="Separador de milhares 3 9 12 2 3 2" xfId="44541"/>
    <cellStyle name="Separador de milhares 3 9 12 2 4" xfId="12125"/>
    <cellStyle name="Separador de milhares 3 9 12 2 4 2" xfId="38633"/>
    <cellStyle name="Separador de milhares 3 9 12 2 5" xfId="32477"/>
    <cellStyle name="Separador de milhares 3 9 12 2 6" xfId="25943"/>
    <cellStyle name="Separador de milhares 3 9 12 3" xfId="7693"/>
    <cellStyle name="Separador de milhares 3 9 12 3 2" xfId="19547"/>
    <cellStyle name="Separador de milhares 3 9 12 3 2 2" xfId="46027"/>
    <cellStyle name="Separador de milhares 3 9 12 3 3" xfId="13620"/>
    <cellStyle name="Separador de milhares 3 9 12 3 3 2" xfId="40119"/>
    <cellStyle name="Separador de milhares 3 9 12 3 4" xfId="34211"/>
    <cellStyle name="Separador de milhares 3 9 12 3 5" xfId="27677"/>
    <cellStyle name="Separador de milhares 3 9 12 4" xfId="16583"/>
    <cellStyle name="Separador de milhares 3 9 12 4 2" xfId="43073"/>
    <cellStyle name="Separador de milhares 3 9 12 4 3" xfId="24171"/>
    <cellStyle name="Separador de milhares 3 9 12 5" xfId="10656"/>
    <cellStyle name="Separador de milhares 3 9 12 5 2" xfId="37165"/>
    <cellStyle name="Separador de milhares 3 9 12 6" xfId="30705"/>
    <cellStyle name="Separador de milhares 3 9 12 7" xfId="22399"/>
    <cellStyle name="Separador de milhares 3 9 13" xfId="4934"/>
    <cellStyle name="Separador de milhares 3 9 13 2" xfId="8158"/>
    <cellStyle name="Separador de milhares 3 9 13 2 2" xfId="20012"/>
    <cellStyle name="Separador de milhares 3 9 13 2 2 2" xfId="46491"/>
    <cellStyle name="Separador de milhares 3 9 13 2 3" xfId="14085"/>
    <cellStyle name="Separador de milhares 3 9 13 2 3 2" xfId="40583"/>
    <cellStyle name="Separador de milhares 3 9 13 2 4" xfId="34675"/>
    <cellStyle name="Separador de milhares 3 9 13 2 5" xfId="28141"/>
    <cellStyle name="Separador de milhares 3 9 13 3" xfId="17048"/>
    <cellStyle name="Separador de milhares 3 9 13 3 2" xfId="43537"/>
    <cellStyle name="Separador de milhares 3 9 13 4" xfId="11121"/>
    <cellStyle name="Separador de milhares 3 9 13 4 2" xfId="37629"/>
    <cellStyle name="Separador de milhares 3 9 13 5" xfId="31461"/>
    <cellStyle name="Separador de milhares 3 9 13 6" xfId="24927"/>
    <cellStyle name="Separador de milhares 3 9 14" xfId="6682"/>
    <cellStyle name="Separador de milhares 3 9 14 2" xfId="18536"/>
    <cellStyle name="Separador de milhares 3 9 14 2 2" xfId="45023"/>
    <cellStyle name="Separador de milhares 3 9 14 3" xfId="12609"/>
    <cellStyle name="Separador de milhares 3 9 14 3 2" xfId="39115"/>
    <cellStyle name="Separador de milhares 3 9 14 4" xfId="33207"/>
    <cellStyle name="Separador de milhares 3 9 14 5" xfId="26673"/>
    <cellStyle name="Separador de milhares 3 9 15" xfId="15572"/>
    <cellStyle name="Separador de milhares 3 9 15 2" xfId="42069"/>
    <cellStyle name="Separador de milhares 3 9 15 3" xfId="23155"/>
    <cellStyle name="Separador de milhares 3 9 16" xfId="9645"/>
    <cellStyle name="Separador de milhares 3 9 16 2" xfId="36161"/>
    <cellStyle name="Separador de milhares 3 9 17" xfId="29689"/>
    <cellStyle name="Separador de milhares 3 9 2" xfId="295"/>
    <cellStyle name="Separador de milhares 3 9 2 10" xfId="4963"/>
    <cellStyle name="Separador de milhares 3 9 2 10 2" xfId="8185"/>
    <cellStyle name="Separador de milhares 3 9 2 10 2 2" xfId="20039"/>
    <cellStyle name="Separador de milhares 3 9 2 10 2 2 2" xfId="46518"/>
    <cellStyle name="Separador de milhares 3 9 2 10 2 3" xfId="14112"/>
    <cellStyle name="Separador de milhares 3 9 2 10 2 3 2" xfId="40610"/>
    <cellStyle name="Separador de milhares 3 9 2 10 2 4" xfId="34702"/>
    <cellStyle name="Separador de milhares 3 9 2 10 2 5" xfId="28168"/>
    <cellStyle name="Separador de milhares 3 9 2 10 3" xfId="17075"/>
    <cellStyle name="Separador de milhares 3 9 2 10 3 2" xfId="43564"/>
    <cellStyle name="Separador de milhares 3 9 2 10 4" xfId="11148"/>
    <cellStyle name="Separador de milhares 3 9 2 10 4 2" xfId="37656"/>
    <cellStyle name="Separador de milhares 3 9 2 10 5" xfId="31490"/>
    <cellStyle name="Separador de milhares 3 9 2 10 6" xfId="24956"/>
    <cellStyle name="Separador de milhares 3 9 2 11" xfId="6709"/>
    <cellStyle name="Separador de milhares 3 9 2 11 2" xfId="18563"/>
    <cellStyle name="Separador de milhares 3 9 2 11 2 2" xfId="45050"/>
    <cellStyle name="Separador de milhares 3 9 2 11 3" xfId="12636"/>
    <cellStyle name="Separador de milhares 3 9 2 11 3 2" xfId="39142"/>
    <cellStyle name="Separador de milhares 3 9 2 11 4" xfId="33234"/>
    <cellStyle name="Separador de milhares 3 9 2 11 5" xfId="26700"/>
    <cellStyle name="Separador de milhares 3 9 2 12" xfId="15599"/>
    <cellStyle name="Separador de milhares 3 9 2 12 2" xfId="42096"/>
    <cellStyle name="Separador de milhares 3 9 2 12 3" xfId="23184"/>
    <cellStyle name="Separador de milhares 3 9 2 13" xfId="9672"/>
    <cellStyle name="Separador de milhares 3 9 2 13 2" xfId="36188"/>
    <cellStyle name="Separador de milhares 3 9 2 14" xfId="29718"/>
    <cellStyle name="Separador de milhares 3 9 2 15" xfId="21436"/>
    <cellStyle name="Separador de milhares 3 9 2 2" xfId="570"/>
    <cellStyle name="Separador de milhares 3 9 2 2 10" xfId="9746"/>
    <cellStyle name="Separador de milhares 3 9 2 2 10 2" xfId="36262"/>
    <cellStyle name="Separador de milhares 3 9 2 2 11" xfId="29799"/>
    <cellStyle name="Separador de milhares 3 9 2 2 12" xfId="21494"/>
    <cellStyle name="Separador de milhares 3 9 2 2 2" xfId="2091"/>
    <cellStyle name="Separador de milhares 3 9 2 2 2 2" xfId="5482"/>
    <cellStyle name="Separador de milhares 3 9 2 2 2 2 2" xfId="8697"/>
    <cellStyle name="Separador de milhares 3 9 2 2 2 2 2 2" xfId="20551"/>
    <cellStyle name="Separador de milhares 3 9 2 2 2 2 2 2 2" xfId="47030"/>
    <cellStyle name="Separador de milhares 3 9 2 2 2 2 2 3" xfId="14624"/>
    <cellStyle name="Separador de milhares 3 9 2 2 2 2 2 3 2" xfId="41122"/>
    <cellStyle name="Separador de milhares 3 9 2 2 2 2 2 4" xfId="35214"/>
    <cellStyle name="Separador de milhares 3 9 2 2 2 2 2 5" xfId="28680"/>
    <cellStyle name="Separador de milhares 3 9 2 2 2 2 3" xfId="17587"/>
    <cellStyle name="Separador de milhares 3 9 2 2 2 2 3 2" xfId="44076"/>
    <cellStyle name="Separador de milhares 3 9 2 2 2 2 4" xfId="11660"/>
    <cellStyle name="Separador de milhares 3 9 2 2 2 2 4 2" xfId="38168"/>
    <cellStyle name="Separador de milhares 3 9 2 2 2 2 5" xfId="32009"/>
    <cellStyle name="Separador de milhares 3 9 2 2 2 2 6" xfId="25475"/>
    <cellStyle name="Separador de milhares 3 9 2 2 2 3" xfId="7225"/>
    <cellStyle name="Separador de milhares 3 9 2 2 2 3 2" xfId="19079"/>
    <cellStyle name="Separador de milhares 3 9 2 2 2 3 2 2" xfId="45562"/>
    <cellStyle name="Separador de milhares 3 9 2 2 2 3 3" xfId="13152"/>
    <cellStyle name="Separador de milhares 3 9 2 2 2 3 3 2" xfId="39654"/>
    <cellStyle name="Separador de milhares 3 9 2 2 2 3 4" xfId="33746"/>
    <cellStyle name="Separador de milhares 3 9 2 2 2 3 5" xfId="27212"/>
    <cellStyle name="Separador de milhares 3 9 2 2 2 4" xfId="16115"/>
    <cellStyle name="Separador de milhares 3 9 2 2 2 4 2" xfId="42608"/>
    <cellStyle name="Separador de milhares 3 9 2 2 2 4 3" xfId="23703"/>
    <cellStyle name="Separador de milhares 3 9 2 2 2 5" xfId="10188"/>
    <cellStyle name="Separador de milhares 3 9 2 2 2 5 2" xfId="36700"/>
    <cellStyle name="Separador de milhares 3 9 2 2 2 6" xfId="30237"/>
    <cellStyle name="Separador de milhares 3 9 2 2 2 7" xfId="21931"/>
    <cellStyle name="Separador de milhares 3 9 2 2 3" xfId="2624"/>
    <cellStyle name="Separador de milhares 3 9 2 2 3 2" xfId="5632"/>
    <cellStyle name="Separador de milhares 3 9 2 2 3 2 2" xfId="8844"/>
    <cellStyle name="Separador de milhares 3 9 2 2 3 2 2 2" xfId="20698"/>
    <cellStyle name="Separador de milhares 3 9 2 2 3 2 2 2 2" xfId="47177"/>
    <cellStyle name="Separador de milhares 3 9 2 2 3 2 2 3" xfId="14771"/>
    <cellStyle name="Separador de milhares 3 9 2 2 3 2 2 3 2" xfId="41269"/>
    <cellStyle name="Separador de milhares 3 9 2 2 3 2 2 4" xfId="35361"/>
    <cellStyle name="Separador de milhares 3 9 2 2 3 2 2 5" xfId="28827"/>
    <cellStyle name="Separador de milhares 3 9 2 2 3 2 3" xfId="17734"/>
    <cellStyle name="Separador de milhares 3 9 2 2 3 2 3 2" xfId="44223"/>
    <cellStyle name="Separador de milhares 3 9 2 2 3 2 4" xfId="11807"/>
    <cellStyle name="Separador de milhares 3 9 2 2 3 2 4 2" xfId="38315"/>
    <cellStyle name="Separador de milhares 3 9 2 2 3 2 5" xfId="32159"/>
    <cellStyle name="Separador de milhares 3 9 2 2 3 2 6" xfId="25625"/>
    <cellStyle name="Separador de milhares 3 9 2 2 3 3" xfId="7373"/>
    <cellStyle name="Separador de milhares 3 9 2 2 3 3 2" xfId="19227"/>
    <cellStyle name="Separador de milhares 3 9 2 2 3 3 2 2" xfId="45709"/>
    <cellStyle name="Separador de milhares 3 9 2 2 3 3 3" xfId="13300"/>
    <cellStyle name="Separador de milhares 3 9 2 2 3 3 3 2" xfId="39801"/>
    <cellStyle name="Separador de milhares 3 9 2 2 3 3 4" xfId="33893"/>
    <cellStyle name="Separador de milhares 3 9 2 2 3 3 5" xfId="27359"/>
    <cellStyle name="Separador de milhares 3 9 2 2 3 4" xfId="16263"/>
    <cellStyle name="Separador de milhares 3 9 2 2 3 4 2" xfId="42755"/>
    <cellStyle name="Separador de milhares 3 9 2 2 3 4 3" xfId="23853"/>
    <cellStyle name="Separador de milhares 3 9 2 2 3 5" xfId="10336"/>
    <cellStyle name="Separador de milhares 3 9 2 2 3 5 2" xfId="36847"/>
    <cellStyle name="Separador de milhares 3 9 2 2 3 6" xfId="30387"/>
    <cellStyle name="Separador de milhares 3 9 2 2 3 7" xfId="22081"/>
    <cellStyle name="Separador de milhares 3 9 2 2 4" xfId="3152"/>
    <cellStyle name="Separador de milhares 3 9 2 2 4 2" xfId="5779"/>
    <cellStyle name="Separador de milhares 3 9 2 2 4 2 2" xfId="8991"/>
    <cellStyle name="Separador de milhares 3 9 2 2 4 2 2 2" xfId="20845"/>
    <cellStyle name="Separador de milhares 3 9 2 2 4 2 2 2 2" xfId="47324"/>
    <cellStyle name="Separador de milhares 3 9 2 2 4 2 2 3" xfId="14918"/>
    <cellStyle name="Separador de milhares 3 9 2 2 4 2 2 3 2" xfId="41416"/>
    <cellStyle name="Separador de milhares 3 9 2 2 4 2 2 4" xfId="35508"/>
    <cellStyle name="Separador de milhares 3 9 2 2 4 2 2 5" xfId="28974"/>
    <cellStyle name="Separador de milhares 3 9 2 2 4 2 3" xfId="17881"/>
    <cellStyle name="Separador de milhares 3 9 2 2 4 2 3 2" xfId="44370"/>
    <cellStyle name="Separador de milhares 3 9 2 2 4 2 4" xfId="11954"/>
    <cellStyle name="Separador de milhares 3 9 2 2 4 2 4 2" xfId="38462"/>
    <cellStyle name="Separador de milhares 3 9 2 2 4 2 5" xfId="32306"/>
    <cellStyle name="Separador de milhares 3 9 2 2 4 2 6" xfId="25772"/>
    <cellStyle name="Separador de milhares 3 9 2 2 4 3" xfId="7521"/>
    <cellStyle name="Separador de milhares 3 9 2 2 4 3 2" xfId="19375"/>
    <cellStyle name="Separador de milhares 3 9 2 2 4 3 2 2" xfId="45856"/>
    <cellStyle name="Separador de milhares 3 9 2 2 4 3 3" xfId="13448"/>
    <cellStyle name="Separador de milhares 3 9 2 2 4 3 3 2" xfId="39948"/>
    <cellStyle name="Separador de milhares 3 9 2 2 4 3 4" xfId="34040"/>
    <cellStyle name="Separador de milhares 3 9 2 2 4 3 5" xfId="27506"/>
    <cellStyle name="Separador de milhares 3 9 2 2 4 4" xfId="16411"/>
    <cellStyle name="Separador de milhares 3 9 2 2 4 4 2" xfId="42902"/>
    <cellStyle name="Separador de milhares 3 9 2 2 4 4 3" xfId="24000"/>
    <cellStyle name="Separador de milhares 3 9 2 2 4 5" xfId="10484"/>
    <cellStyle name="Separador de milhares 3 9 2 2 4 5 2" xfId="36994"/>
    <cellStyle name="Separador de milhares 3 9 2 2 4 6" xfId="30534"/>
    <cellStyle name="Separador de milhares 3 9 2 2 4 7" xfId="22228"/>
    <cellStyle name="Separador de milhares 3 9 2 2 5" xfId="3680"/>
    <cellStyle name="Separador de milhares 3 9 2 2 5 2" xfId="5926"/>
    <cellStyle name="Separador de milhares 3 9 2 2 5 2 2" xfId="9138"/>
    <cellStyle name="Separador de milhares 3 9 2 2 5 2 2 2" xfId="20992"/>
    <cellStyle name="Separador de milhares 3 9 2 2 5 2 2 2 2" xfId="47471"/>
    <cellStyle name="Separador de milhares 3 9 2 2 5 2 2 3" xfId="15065"/>
    <cellStyle name="Separador de milhares 3 9 2 2 5 2 2 3 2" xfId="41563"/>
    <cellStyle name="Separador de milhares 3 9 2 2 5 2 2 4" xfId="35655"/>
    <cellStyle name="Separador de milhares 3 9 2 2 5 2 2 5" xfId="29121"/>
    <cellStyle name="Separador de milhares 3 9 2 2 5 2 3" xfId="18028"/>
    <cellStyle name="Separador de milhares 3 9 2 2 5 2 3 2" xfId="44517"/>
    <cellStyle name="Separador de milhares 3 9 2 2 5 2 4" xfId="12101"/>
    <cellStyle name="Separador de milhares 3 9 2 2 5 2 4 2" xfId="38609"/>
    <cellStyle name="Separador de milhares 3 9 2 2 5 2 5" xfId="32453"/>
    <cellStyle name="Separador de milhares 3 9 2 2 5 2 6" xfId="25919"/>
    <cellStyle name="Separador de milhares 3 9 2 2 5 3" xfId="7669"/>
    <cellStyle name="Separador de milhares 3 9 2 2 5 3 2" xfId="19523"/>
    <cellStyle name="Separador de milhares 3 9 2 2 5 3 2 2" xfId="46003"/>
    <cellStyle name="Separador de milhares 3 9 2 2 5 3 3" xfId="13596"/>
    <cellStyle name="Separador de milhares 3 9 2 2 5 3 3 2" xfId="40095"/>
    <cellStyle name="Separador de milhares 3 9 2 2 5 3 4" xfId="34187"/>
    <cellStyle name="Separador de milhares 3 9 2 2 5 3 5" xfId="27653"/>
    <cellStyle name="Separador de milhares 3 9 2 2 5 4" xfId="16559"/>
    <cellStyle name="Separador de milhares 3 9 2 2 5 4 2" xfId="43049"/>
    <cellStyle name="Separador de milhares 3 9 2 2 5 4 3" xfId="24147"/>
    <cellStyle name="Separador de milhares 3 9 2 2 5 5" xfId="10632"/>
    <cellStyle name="Separador de milhares 3 9 2 2 5 5 2" xfId="37141"/>
    <cellStyle name="Separador de milhares 3 9 2 2 5 6" xfId="30681"/>
    <cellStyle name="Separador de milhares 3 9 2 2 5 7" xfId="22375"/>
    <cellStyle name="Separador de milhares 3 9 2 2 6" xfId="4208"/>
    <cellStyle name="Separador de milhares 3 9 2 2 6 2" xfId="6073"/>
    <cellStyle name="Separador de milhares 3 9 2 2 6 2 2" xfId="9285"/>
    <cellStyle name="Separador de milhares 3 9 2 2 6 2 2 2" xfId="21139"/>
    <cellStyle name="Separador de milhares 3 9 2 2 6 2 2 2 2" xfId="47618"/>
    <cellStyle name="Separador de milhares 3 9 2 2 6 2 2 3" xfId="15212"/>
    <cellStyle name="Separador de milhares 3 9 2 2 6 2 2 3 2" xfId="41710"/>
    <cellStyle name="Separador de milhares 3 9 2 2 6 2 2 4" xfId="35802"/>
    <cellStyle name="Separador de milhares 3 9 2 2 6 2 2 5" xfId="29268"/>
    <cellStyle name="Separador de milhares 3 9 2 2 6 2 3" xfId="18175"/>
    <cellStyle name="Separador de milhares 3 9 2 2 6 2 3 2" xfId="44664"/>
    <cellStyle name="Separador de milhares 3 9 2 2 6 2 4" xfId="12248"/>
    <cellStyle name="Separador de milhares 3 9 2 2 6 2 4 2" xfId="38756"/>
    <cellStyle name="Separador de milhares 3 9 2 2 6 2 5" xfId="32600"/>
    <cellStyle name="Separador de milhares 3 9 2 2 6 2 6" xfId="26066"/>
    <cellStyle name="Separador de milhares 3 9 2 2 6 3" xfId="7817"/>
    <cellStyle name="Separador de milhares 3 9 2 2 6 3 2" xfId="19671"/>
    <cellStyle name="Separador de milhares 3 9 2 2 6 3 2 2" xfId="46150"/>
    <cellStyle name="Separador de milhares 3 9 2 2 6 3 3" xfId="13744"/>
    <cellStyle name="Separador de milhares 3 9 2 2 6 3 3 2" xfId="40242"/>
    <cellStyle name="Separador de milhares 3 9 2 2 6 3 4" xfId="34334"/>
    <cellStyle name="Separador de milhares 3 9 2 2 6 3 5" xfId="27800"/>
    <cellStyle name="Separador de milhares 3 9 2 2 6 4" xfId="16707"/>
    <cellStyle name="Separador de milhares 3 9 2 2 6 4 2" xfId="43196"/>
    <cellStyle name="Separador de milhares 3 9 2 2 6 4 3" xfId="24294"/>
    <cellStyle name="Separador de milhares 3 9 2 2 6 5" xfId="10780"/>
    <cellStyle name="Separador de milhares 3 9 2 2 6 5 2" xfId="37288"/>
    <cellStyle name="Separador de milhares 3 9 2 2 6 6" xfId="30828"/>
    <cellStyle name="Separador de milhares 3 9 2 2 6 7" xfId="22522"/>
    <cellStyle name="Separador de milhares 3 9 2 2 7" xfId="5044"/>
    <cellStyle name="Separador de milhares 3 9 2 2 7 2" xfId="8259"/>
    <cellStyle name="Separador de milhares 3 9 2 2 7 2 2" xfId="20113"/>
    <cellStyle name="Separador de milhares 3 9 2 2 7 2 2 2" xfId="46592"/>
    <cellStyle name="Separador de milhares 3 9 2 2 7 2 3" xfId="14186"/>
    <cellStyle name="Separador de milhares 3 9 2 2 7 2 3 2" xfId="40684"/>
    <cellStyle name="Separador de milhares 3 9 2 2 7 2 4" xfId="34776"/>
    <cellStyle name="Separador de milhares 3 9 2 2 7 2 5" xfId="28242"/>
    <cellStyle name="Separador de milhares 3 9 2 2 7 3" xfId="17149"/>
    <cellStyle name="Separador de milhares 3 9 2 2 7 3 2" xfId="43638"/>
    <cellStyle name="Separador de milhares 3 9 2 2 7 4" xfId="11222"/>
    <cellStyle name="Separador de milhares 3 9 2 2 7 4 2" xfId="37730"/>
    <cellStyle name="Separador de milhares 3 9 2 2 7 5" xfId="31571"/>
    <cellStyle name="Separador de milhares 3 9 2 2 7 6" xfId="25037"/>
    <cellStyle name="Separador de milhares 3 9 2 2 8" xfId="6783"/>
    <cellStyle name="Separador de milhares 3 9 2 2 8 2" xfId="18637"/>
    <cellStyle name="Separador de milhares 3 9 2 2 8 2 2" xfId="45124"/>
    <cellStyle name="Separador de milhares 3 9 2 2 8 3" xfId="12710"/>
    <cellStyle name="Separador de milhares 3 9 2 2 8 3 2" xfId="39216"/>
    <cellStyle name="Separador de milhares 3 9 2 2 8 4" xfId="33308"/>
    <cellStyle name="Separador de milhares 3 9 2 2 8 5" xfId="26774"/>
    <cellStyle name="Separador de milhares 3 9 2 2 9" xfId="15673"/>
    <cellStyle name="Separador de milhares 3 9 2 2 9 2" xfId="42170"/>
    <cellStyle name="Separador de milhares 3 9 2 2 9 3" xfId="23265"/>
    <cellStyle name="Separador de milhares 3 9 2 3" xfId="1044"/>
    <cellStyle name="Separador de milhares 3 9 2 3 2" xfId="5195"/>
    <cellStyle name="Separador de milhares 3 9 2 3 2 2" xfId="8410"/>
    <cellStyle name="Separador de milhares 3 9 2 3 2 2 2" xfId="20264"/>
    <cellStyle name="Separador de milhares 3 9 2 3 2 2 2 2" xfId="46743"/>
    <cellStyle name="Separador de milhares 3 9 2 3 2 2 3" xfId="14337"/>
    <cellStyle name="Separador de milhares 3 9 2 3 2 2 3 2" xfId="40835"/>
    <cellStyle name="Separador de milhares 3 9 2 3 2 2 4" xfId="34927"/>
    <cellStyle name="Separador de milhares 3 9 2 3 2 2 5" xfId="28393"/>
    <cellStyle name="Separador de milhares 3 9 2 3 2 3" xfId="17300"/>
    <cellStyle name="Separador de milhares 3 9 2 3 2 3 2" xfId="43789"/>
    <cellStyle name="Separador de milhares 3 9 2 3 2 4" xfId="11373"/>
    <cellStyle name="Separador de milhares 3 9 2 3 2 4 2" xfId="37881"/>
    <cellStyle name="Separador de milhares 3 9 2 3 2 5" xfId="31722"/>
    <cellStyle name="Separador de milhares 3 9 2 3 2 6" xfId="25188"/>
    <cellStyle name="Separador de milhares 3 9 2 3 3" xfId="6937"/>
    <cellStyle name="Separador de milhares 3 9 2 3 3 2" xfId="18791"/>
    <cellStyle name="Separador de milhares 3 9 2 3 3 2 2" xfId="45275"/>
    <cellStyle name="Separador de milhares 3 9 2 3 3 3" xfId="12864"/>
    <cellStyle name="Separador de milhares 3 9 2 3 3 3 2" xfId="39367"/>
    <cellStyle name="Separador de milhares 3 9 2 3 3 4" xfId="33459"/>
    <cellStyle name="Separador de milhares 3 9 2 3 3 5" xfId="26925"/>
    <cellStyle name="Separador de milhares 3 9 2 3 4" xfId="15827"/>
    <cellStyle name="Separador de milhares 3 9 2 3 4 2" xfId="42321"/>
    <cellStyle name="Separador de milhares 3 9 2 3 4 3" xfId="23416"/>
    <cellStyle name="Separador de milhares 3 9 2 3 5" xfId="9900"/>
    <cellStyle name="Separador de milhares 3 9 2 3 5 2" xfId="36413"/>
    <cellStyle name="Separador de milhares 3 9 2 3 6" xfId="29950"/>
    <cellStyle name="Separador de milhares 3 9 2 3 7" xfId="21644"/>
    <cellStyle name="Separador de milhares 3 9 2 4" xfId="1395"/>
    <cellStyle name="Separador de milhares 3 9 2 4 2" xfId="5293"/>
    <cellStyle name="Separador de milhares 3 9 2 4 2 2" xfId="8508"/>
    <cellStyle name="Separador de milhares 3 9 2 4 2 2 2" xfId="20362"/>
    <cellStyle name="Separador de milhares 3 9 2 4 2 2 2 2" xfId="46841"/>
    <cellStyle name="Separador de milhares 3 9 2 4 2 2 3" xfId="14435"/>
    <cellStyle name="Separador de milhares 3 9 2 4 2 2 3 2" xfId="40933"/>
    <cellStyle name="Separador de milhares 3 9 2 4 2 2 4" xfId="35025"/>
    <cellStyle name="Separador de milhares 3 9 2 4 2 2 5" xfId="28491"/>
    <cellStyle name="Separador de milhares 3 9 2 4 2 3" xfId="17398"/>
    <cellStyle name="Separador de milhares 3 9 2 4 2 3 2" xfId="43887"/>
    <cellStyle name="Separador de milhares 3 9 2 4 2 4" xfId="11471"/>
    <cellStyle name="Separador de milhares 3 9 2 4 2 4 2" xfId="37979"/>
    <cellStyle name="Separador de milhares 3 9 2 4 2 5" xfId="31820"/>
    <cellStyle name="Separador de milhares 3 9 2 4 2 6" xfId="25286"/>
    <cellStyle name="Separador de milhares 3 9 2 4 3" xfId="7035"/>
    <cellStyle name="Separador de milhares 3 9 2 4 3 2" xfId="18889"/>
    <cellStyle name="Separador de milhares 3 9 2 4 3 2 2" xfId="45373"/>
    <cellStyle name="Separador de milhares 3 9 2 4 3 3" xfId="12962"/>
    <cellStyle name="Separador de milhares 3 9 2 4 3 3 2" xfId="39465"/>
    <cellStyle name="Separador de milhares 3 9 2 4 3 4" xfId="33557"/>
    <cellStyle name="Separador de milhares 3 9 2 4 3 5" xfId="27023"/>
    <cellStyle name="Separador de milhares 3 9 2 4 4" xfId="15925"/>
    <cellStyle name="Separador de milhares 3 9 2 4 4 2" xfId="42419"/>
    <cellStyle name="Separador de milhares 3 9 2 4 4 3" xfId="23514"/>
    <cellStyle name="Separador de milhares 3 9 2 4 5" xfId="9998"/>
    <cellStyle name="Separador de milhares 3 9 2 4 5 2" xfId="36511"/>
    <cellStyle name="Separador de milhares 3 9 2 4 6" xfId="30048"/>
    <cellStyle name="Separador de milhares 3 9 2 4 7" xfId="21742"/>
    <cellStyle name="Separador de milhares 3 9 2 5" xfId="1830"/>
    <cellStyle name="Separador de milhares 3 9 2 5 2" xfId="5412"/>
    <cellStyle name="Separador de milhares 3 9 2 5 2 2" xfId="8627"/>
    <cellStyle name="Separador de milhares 3 9 2 5 2 2 2" xfId="20481"/>
    <cellStyle name="Separador de milhares 3 9 2 5 2 2 2 2" xfId="46960"/>
    <cellStyle name="Separador de milhares 3 9 2 5 2 2 3" xfId="14554"/>
    <cellStyle name="Separador de milhares 3 9 2 5 2 2 3 2" xfId="41052"/>
    <cellStyle name="Separador de milhares 3 9 2 5 2 2 4" xfId="35144"/>
    <cellStyle name="Separador de milhares 3 9 2 5 2 2 5" xfId="28610"/>
    <cellStyle name="Separador de milhares 3 9 2 5 2 3" xfId="17517"/>
    <cellStyle name="Separador de milhares 3 9 2 5 2 3 2" xfId="44006"/>
    <cellStyle name="Separador de milhares 3 9 2 5 2 4" xfId="11590"/>
    <cellStyle name="Separador de milhares 3 9 2 5 2 4 2" xfId="38098"/>
    <cellStyle name="Separador de milhares 3 9 2 5 2 5" xfId="31939"/>
    <cellStyle name="Separador de milhares 3 9 2 5 2 6" xfId="25405"/>
    <cellStyle name="Separador de milhares 3 9 2 5 3" xfId="7154"/>
    <cellStyle name="Separador de milhares 3 9 2 5 3 2" xfId="19008"/>
    <cellStyle name="Separador de milhares 3 9 2 5 3 2 2" xfId="45492"/>
    <cellStyle name="Separador de milhares 3 9 2 5 3 3" xfId="13081"/>
    <cellStyle name="Separador de milhares 3 9 2 5 3 3 2" xfId="39584"/>
    <cellStyle name="Separador de milhares 3 9 2 5 3 4" xfId="33676"/>
    <cellStyle name="Separador de milhares 3 9 2 5 3 5" xfId="27142"/>
    <cellStyle name="Separador de milhares 3 9 2 5 4" xfId="16044"/>
    <cellStyle name="Separador de milhares 3 9 2 5 4 2" xfId="42538"/>
    <cellStyle name="Separador de milhares 3 9 2 5 4 3" xfId="23633"/>
    <cellStyle name="Separador de milhares 3 9 2 5 5" xfId="10117"/>
    <cellStyle name="Separador de milhares 3 9 2 5 5 2" xfId="36630"/>
    <cellStyle name="Separador de milhares 3 9 2 5 6" xfId="30167"/>
    <cellStyle name="Separador de milhares 3 9 2 5 7" xfId="21861"/>
    <cellStyle name="Separador de milhares 3 9 2 6" xfId="2363"/>
    <cellStyle name="Separador de milhares 3 9 2 6 2" xfId="5562"/>
    <cellStyle name="Separador de milhares 3 9 2 6 2 2" xfId="8774"/>
    <cellStyle name="Separador de milhares 3 9 2 6 2 2 2" xfId="20628"/>
    <cellStyle name="Separador de milhares 3 9 2 6 2 2 2 2" xfId="47107"/>
    <cellStyle name="Separador de milhares 3 9 2 6 2 2 3" xfId="14701"/>
    <cellStyle name="Separador de milhares 3 9 2 6 2 2 3 2" xfId="41199"/>
    <cellStyle name="Separador de milhares 3 9 2 6 2 2 4" xfId="35291"/>
    <cellStyle name="Separador de milhares 3 9 2 6 2 2 5" xfId="28757"/>
    <cellStyle name="Separador de milhares 3 9 2 6 2 3" xfId="17664"/>
    <cellStyle name="Separador de milhares 3 9 2 6 2 3 2" xfId="44153"/>
    <cellStyle name="Separador de milhares 3 9 2 6 2 4" xfId="11737"/>
    <cellStyle name="Separador de milhares 3 9 2 6 2 4 2" xfId="38245"/>
    <cellStyle name="Separador de milhares 3 9 2 6 2 5" xfId="32089"/>
    <cellStyle name="Separador de milhares 3 9 2 6 2 6" xfId="25555"/>
    <cellStyle name="Separador de milhares 3 9 2 6 3" xfId="7302"/>
    <cellStyle name="Separador de milhares 3 9 2 6 3 2" xfId="19156"/>
    <cellStyle name="Separador de milhares 3 9 2 6 3 2 2" xfId="45639"/>
    <cellStyle name="Separador de milhares 3 9 2 6 3 3" xfId="13229"/>
    <cellStyle name="Separador de milhares 3 9 2 6 3 3 2" xfId="39731"/>
    <cellStyle name="Separador de milhares 3 9 2 6 3 4" xfId="33823"/>
    <cellStyle name="Separador de milhares 3 9 2 6 3 5" xfId="27289"/>
    <cellStyle name="Separador de milhares 3 9 2 6 4" xfId="16192"/>
    <cellStyle name="Separador de milhares 3 9 2 6 4 2" xfId="42685"/>
    <cellStyle name="Separador de milhares 3 9 2 6 4 3" xfId="23783"/>
    <cellStyle name="Separador de milhares 3 9 2 6 5" xfId="10265"/>
    <cellStyle name="Separador de milhares 3 9 2 6 5 2" xfId="36777"/>
    <cellStyle name="Separador de milhares 3 9 2 6 6" xfId="30317"/>
    <cellStyle name="Separador de milhares 3 9 2 6 7" xfId="22011"/>
    <cellStyle name="Separador de milhares 3 9 2 7" xfId="2891"/>
    <cellStyle name="Separador de milhares 3 9 2 7 2" xfId="5709"/>
    <cellStyle name="Separador de milhares 3 9 2 7 2 2" xfId="8921"/>
    <cellStyle name="Separador de milhares 3 9 2 7 2 2 2" xfId="20775"/>
    <cellStyle name="Separador de milhares 3 9 2 7 2 2 2 2" xfId="47254"/>
    <cellStyle name="Separador de milhares 3 9 2 7 2 2 3" xfId="14848"/>
    <cellStyle name="Separador de milhares 3 9 2 7 2 2 3 2" xfId="41346"/>
    <cellStyle name="Separador de milhares 3 9 2 7 2 2 4" xfId="35438"/>
    <cellStyle name="Separador de milhares 3 9 2 7 2 2 5" xfId="28904"/>
    <cellStyle name="Separador de milhares 3 9 2 7 2 3" xfId="17811"/>
    <cellStyle name="Separador de milhares 3 9 2 7 2 3 2" xfId="44300"/>
    <cellStyle name="Separador de milhares 3 9 2 7 2 4" xfId="11884"/>
    <cellStyle name="Separador de milhares 3 9 2 7 2 4 2" xfId="38392"/>
    <cellStyle name="Separador de milhares 3 9 2 7 2 5" xfId="32236"/>
    <cellStyle name="Separador de milhares 3 9 2 7 2 6" xfId="25702"/>
    <cellStyle name="Separador de milhares 3 9 2 7 3" xfId="7450"/>
    <cellStyle name="Separador de milhares 3 9 2 7 3 2" xfId="19304"/>
    <cellStyle name="Separador de milhares 3 9 2 7 3 2 2" xfId="45786"/>
    <cellStyle name="Separador de milhares 3 9 2 7 3 3" xfId="13377"/>
    <cellStyle name="Separador de milhares 3 9 2 7 3 3 2" xfId="39878"/>
    <cellStyle name="Separador de milhares 3 9 2 7 3 4" xfId="33970"/>
    <cellStyle name="Separador de milhares 3 9 2 7 3 5" xfId="27436"/>
    <cellStyle name="Separador de milhares 3 9 2 7 4" xfId="16340"/>
    <cellStyle name="Separador de milhares 3 9 2 7 4 2" xfId="42832"/>
    <cellStyle name="Separador de milhares 3 9 2 7 4 3" xfId="23930"/>
    <cellStyle name="Separador de milhares 3 9 2 7 5" xfId="10413"/>
    <cellStyle name="Separador de milhares 3 9 2 7 5 2" xfId="36924"/>
    <cellStyle name="Separador de milhares 3 9 2 7 6" xfId="30464"/>
    <cellStyle name="Separador de milhares 3 9 2 7 7" xfId="22158"/>
    <cellStyle name="Separador de milhares 3 9 2 8" xfId="3419"/>
    <cellStyle name="Separador de milhares 3 9 2 8 2" xfId="5856"/>
    <cellStyle name="Separador de milhares 3 9 2 8 2 2" xfId="9068"/>
    <cellStyle name="Separador de milhares 3 9 2 8 2 2 2" xfId="20922"/>
    <cellStyle name="Separador de milhares 3 9 2 8 2 2 2 2" xfId="47401"/>
    <cellStyle name="Separador de milhares 3 9 2 8 2 2 3" xfId="14995"/>
    <cellStyle name="Separador de milhares 3 9 2 8 2 2 3 2" xfId="41493"/>
    <cellStyle name="Separador de milhares 3 9 2 8 2 2 4" xfId="35585"/>
    <cellStyle name="Separador de milhares 3 9 2 8 2 2 5" xfId="29051"/>
    <cellStyle name="Separador de milhares 3 9 2 8 2 3" xfId="17958"/>
    <cellStyle name="Separador de milhares 3 9 2 8 2 3 2" xfId="44447"/>
    <cellStyle name="Separador de milhares 3 9 2 8 2 4" xfId="12031"/>
    <cellStyle name="Separador de milhares 3 9 2 8 2 4 2" xfId="38539"/>
    <cellStyle name="Separador de milhares 3 9 2 8 2 5" xfId="32383"/>
    <cellStyle name="Separador de milhares 3 9 2 8 2 6" xfId="25849"/>
    <cellStyle name="Separador de milhares 3 9 2 8 3" xfId="7598"/>
    <cellStyle name="Separador de milhares 3 9 2 8 3 2" xfId="19452"/>
    <cellStyle name="Separador de milhares 3 9 2 8 3 2 2" xfId="45933"/>
    <cellStyle name="Separador de milhares 3 9 2 8 3 3" xfId="13525"/>
    <cellStyle name="Separador de milhares 3 9 2 8 3 3 2" xfId="40025"/>
    <cellStyle name="Separador de milhares 3 9 2 8 3 4" xfId="34117"/>
    <cellStyle name="Separador de milhares 3 9 2 8 3 5" xfId="27583"/>
    <cellStyle name="Separador de milhares 3 9 2 8 4" xfId="16488"/>
    <cellStyle name="Separador de milhares 3 9 2 8 4 2" xfId="42979"/>
    <cellStyle name="Separador de milhares 3 9 2 8 4 3" xfId="24077"/>
    <cellStyle name="Separador de milhares 3 9 2 8 5" xfId="10561"/>
    <cellStyle name="Separador de milhares 3 9 2 8 5 2" xfId="37071"/>
    <cellStyle name="Separador de milhares 3 9 2 8 6" xfId="30611"/>
    <cellStyle name="Separador de milhares 3 9 2 8 7" xfId="22305"/>
    <cellStyle name="Separador de milhares 3 9 2 9" xfId="3947"/>
    <cellStyle name="Separador de milhares 3 9 2 9 2" xfId="6003"/>
    <cellStyle name="Separador de milhares 3 9 2 9 2 2" xfId="9215"/>
    <cellStyle name="Separador de milhares 3 9 2 9 2 2 2" xfId="21069"/>
    <cellStyle name="Separador de milhares 3 9 2 9 2 2 2 2" xfId="47548"/>
    <cellStyle name="Separador de milhares 3 9 2 9 2 2 3" xfId="15142"/>
    <cellStyle name="Separador de milhares 3 9 2 9 2 2 3 2" xfId="41640"/>
    <cellStyle name="Separador de milhares 3 9 2 9 2 2 4" xfId="35732"/>
    <cellStyle name="Separador de milhares 3 9 2 9 2 2 5" xfId="29198"/>
    <cellStyle name="Separador de milhares 3 9 2 9 2 3" xfId="18105"/>
    <cellStyle name="Separador de milhares 3 9 2 9 2 3 2" xfId="44594"/>
    <cellStyle name="Separador de milhares 3 9 2 9 2 4" xfId="12178"/>
    <cellStyle name="Separador de milhares 3 9 2 9 2 4 2" xfId="38686"/>
    <cellStyle name="Separador de milhares 3 9 2 9 2 5" xfId="32530"/>
    <cellStyle name="Separador de milhares 3 9 2 9 2 6" xfId="25996"/>
    <cellStyle name="Separador de milhares 3 9 2 9 3" xfId="7746"/>
    <cellStyle name="Separador de milhares 3 9 2 9 3 2" xfId="19600"/>
    <cellStyle name="Separador de milhares 3 9 2 9 3 2 2" xfId="46080"/>
    <cellStyle name="Separador de milhares 3 9 2 9 3 3" xfId="13673"/>
    <cellStyle name="Separador de milhares 3 9 2 9 3 3 2" xfId="40172"/>
    <cellStyle name="Separador de milhares 3 9 2 9 3 4" xfId="34264"/>
    <cellStyle name="Separador de milhares 3 9 2 9 3 5" xfId="27730"/>
    <cellStyle name="Separador de milhares 3 9 2 9 4" xfId="16636"/>
    <cellStyle name="Separador de milhares 3 9 2 9 4 2" xfId="43126"/>
    <cellStyle name="Separador de milhares 3 9 2 9 4 3" xfId="24224"/>
    <cellStyle name="Separador de milhares 3 9 2 9 5" xfId="10709"/>
    <cellStyle name="Separador de milhares 3 9 2 9 5 2" xfId="37218"/>
    <cellStyle name="Separador de milhares 3 9 2 9 6" xfId="30758"/>
    <cellStyle name="Separador de milhares 3 9 2 9 7" xfId="22452"/>
    <cellStyle name="Separador de milhares 3 9 3" xfId="392"/>
    <cellStyle name="Separador de milhares 3 9 3 10" xfId="4994"/>
    <cellStyle name="Separador de milhares 3 9 3 10 2" xfId="8213"/>
    <cellStyle name="Separador de milhares 3 9 3 10 2 2" xfId="20067"/>
    <cellStyle name="Separador de milhares 3 9 3 10 2 2 2" xfId="46546"/>
    <cellStyle name="Separador de milhares 3 9 3 10 2 3" xfId="14140"/>
    <cellStyle name="Separador de milhares 3 9 3 10 2 3 2" xfId="40638"/>
    <cellStyle name="Separador de milhares 3 9 3 10 2 4" xfId="34730"/>
    <cellStyle name="Separador de milhares 3 9 3 10 2 5" xfId="28196"/>
    <cellStyle name="Separador de milhares 3 9 3 10 3" xfId="17103"/>
    <cellStyle name="Separador de milhares 3 9 3 10 3 2" xfId="43592"/>
    <cellStyle name="Separador de milhares 3 9 3 10 4" xfId="11176"/>
    <cellStyle name="Separador de milhares 3 9 3 10 4 2" xfId="37684"/>
    <cellStyle name="Separador de milhares 3 9 3 10 5" xfId="31521"/>
    <cellStyle name="Separador de milhares 3 9 3 10 6" xfId="24987"/>
    <cellStyle name="Separador de milhares 3 9 3 11" xfId="6737"/>
    <cellStyle name="Separador de milhares 3 9 3 11 2" xfId="18591"/>
    <cellStyle name="Separador de milhares 3 9 3 11 2 2" xfId="45078"/>
    <cellStyle name="Separador de milhares 3 9 3 11 3" xfId="12664"/>
    <cellStyle name="Separador de milhares 3 9 3 11 3 2" xfId="39170"/>
    <cellStyle name="Separador de milhares 3 9 3 11 4" xfId="33262"/>
    <cellStyle name="Separador de milhares 3 9 3 11 5" xfId="26728"/>
    <cellStyle name="Separador de milhares 3 9 3 12" xfId="15627"/>
    <cellStyle name="Separador de milhares 3 9 3 12 2" xfId="42124"/>
    <cellStyle name="Separador de milhares 3 9 3 12 3" xfId="23215"/>
    <cellStyle name="Separador de milhares 3 9 3 13" xfId="9700"/>
    <cellStyle name="Separador de milhares 3 9 3 13 2" xfId="36216"/>
    <cellStyle name="Separador de milhares 3 9 3 14" xfId="29749"/>
    <cellStyle name="Separador de milhares 3 9 3 15" xfId="21467"/>
    <cellStyle name="Separador de milhares 3 9 3 2" xfId="655"/>
    <cellStyle name="Separador de milhares 3 9 3 2 2" xfId="5065"/>
    <cellStyle name="Separador de milhares 3 9 3 2 2 2" xfId="8280"/>
    <cellStyle name="Separador de milhares 3 9 3 2 2 2 2" xfId="20134"/>
    <cellStyle name="Separador de milhares 3 9 3 2 2 2 2 2" xfId="46613"/>
    <cellStyle name="Separador de milhares 3 9 3 2 2 2 3" xfId="14207"/>
    <cellStyle name="Separador de milhares 3 9 3 2 2 2 3 2" xfId="40705"/>
    <cellStyle name="Separador de milhares 3 9 3 2 2 2 4" xfId="34797"/>
    <cellStyle name="Separador de milhares 3 9 3 2 2 2 5" xfId="28263"/>
    <cellStyle name="Separador de milhares 3 9 3 2 2 3" xfId="17170"/>
    <cellStyle name="Separador de milhares 3 9 3 2 2 3 2" xfId="43659"/>
    <cellStyle name="Separador de milhares 3 9 3 2 2 4" xfId="11243"/>
    <cellStyle name="Separador de milhares 3 9 3 2 2 4 2" xfId="37751"/>
    <cellStyle name="Separador de milhares 3 9 3 2 2 5" xfId="31592"/>
    <cellStyle name="Separador de milhares 3 9 3 2 2 6" xfId="25058"/>
    <cellStyle name="Separador de milhares 3 9 3 2 3" xfId="6804"/>
    <cellStyle name="Separador de milhares 3 9 3 2 3 2" xfId="18658"/>
    <cellStyle name="Separador de milhares 3 9 3 2 3 2 2" xfId="45145"/>
    <cellStyle name="Separador de milhares 3 9 3 2 3 3" xfId="12731"/>
    <cellStyle name="Separador de milhares 3 9 3 2 3 3 2" xfId="39237"/>
    <cellStyle name="Separador de milhares 3 9 3 2 3 4" xfId="33329"/>
    <cellStyle name="Separador de milhares 3 9 3 2 3 5" xfId="26795"/>
    <cellStyle name="Separador de milhares 3 9 3 2 4" xfId="15694"/>
    <cellStyle name="Separador de milhares 3 9 3 2 4 2" xfId="42191"/>
    <cellStyle name="Separador de milhares 3 9 3 2 4 3" xfId="23286"/>
    <cellStyle name="Separador de milhares 3 9 3 2 5" xfId="9767"/>
    <cellStyle name="Separador de milhares 3 9 3 2 5 2" xfId="36283"/>
    <cellStyle name="Separador de milhares 3 9 3 2 6" xfId="29820"/>
    <cellStyle name="Separador de milhares 3 9 3 2 7" xfId="21515"/>
    <cellStyle name="Separador de milhares 3 9 3 3" xfId="953"/>
    <cellStyle name="Separador de milhares 3 9 3 3 2" xfId="5167"/>
    <cellStyle name="Separador de milhares 3 9 3 3 2 2" xfId="8382"/>
    <cellStyle name="Separador de milhares 3 9 3 3 2 2 2" xfId="20236"/>
    <cellStyle name="Separador de milhares 3 9 3 3 2 2 2 2" xfId="46715"/>
    <cellStyle name="Separador de milhares 3 9 3 3 2 2 3" xfId="14309"/>
    <cellStyle name="Separador de milhares 3 9 3 3 2 2 3 2" xfId="40807"/>
    <cellStyle name="Separador de milhares 3 9 3 3 2 2 4" xfId="34899"/>
    <cellStyle name="Separador de milhares 3 9 3 3 2 2 5" xfId="28365"/>
    <cellStyle name="Separador de milhares 3 9 3 3 2 3" xfId="17272"/>
    <cellStyle name="Separador de milhares 3 9 3 3 2 3 2" xfId="43761"/>
    <cellStyle name="Separador de milhares 3 9 3 3 2 4" xfId="11345"/>
    <cellStyle name="Separador de milhares 3 9 3 3 2 4 2" xfId="37853"/>
    <cellStyle name="Separador de milhares 3 9 3 3 2 5" xfId="31694"/>
    <cellStyle name="Separador de milhares 3 9 3 3 2 6" xfId="25160"/>
    <cellStyle name="Separador de milhares 3 9 3 3 3" xfId="6909"/>
    <cellStyle name="Separador de milhares 3 9 3 3 3 2" xfId="18763"/>
    <cellStyle name="Separador de milhares 3 9 3 3 3 2 2" xfId="45247"/>
    <cellStyle name="Separador de milhares 3 9 3 3 3 3" xfId="12836"/>
    <cellStyle name="Separador de milhares 3 9 3 3 3 3 2" xfId="39339"/>
    <cellStyle name="Separador de milhares 3 9 3 3 3 4" xfId="33431"/>
    <cellStyle name="Separador de milhares 3 9 3 3 3 5" xfId="26897"/>
    <cellStyle name="Separador de milhares 3 9 3 3 4" xfId="15799"/>
    <cellStyle name="Separador de milhares 3 9 3 3 4 2" xfId="42293"/>
    <cellStyle name="Separador de milhares 3 9 3 3 4 3" xfId="23388"/>
    <cellStyle name="Separador de milhares 3 9 3 3 5" xfId="9872"/>
    <cellStyle name="Separador de milhares 3 9 3 3 5 2" xfId="36385"/>
    <cellStyle name="Separador de milhares 3 9 3 3 6" xfId="29922"/>
    <cellStyle name="Separador de milhares 3 9 3 3 7" xfId="21616"/>
    <cellStyle name="Separador de milhares 3 9 3 4" xfId="1304"/>
    <cellStyle name="Separador de milhares 3 9 3 4 2" xfId="5265"/>
    <cellStyle name="Separador de milhares 3 9 3 4 2 2" xfId="8480"/>
    <cellStyle name="Separador de milhares 3 9 3 4 2 2 2" xfId="20334"/>
    <cellStyle name="Separador de milhares 3 9 3 4 2 2 2 2" xfId="46813"/>
    <cellStyle name="Separador de milhares 3 9 3 4 2 2 3" xfId="14407"/>
    <cellStyle name="Separador de milhares 3 9 3 4 2 2 3 2" xfId="40905"/>
    <cellStyle name="Separador de milhares 3 9 3 4 2 2 4" xfId="34997"/>
    <cellStyle name="Separador de milhares 3 9 3 4 2 2 5" xfId="28463"/>
    <cellStyle name="Separador de milhares 3 9 3 4 2 3" xfId="17370"/>
    <cellStyle name="Separador de milhares 3 9 3 4 2 3 2" xfId="43859"/>
    <cellStyle name="Separador de milhares 3 9 3 4 2 4" xfId="11443"/>
    <cellStyle name="Separador de milhares 3 9 3 4 2 4 2" xfId="37951"/>
    <cellStyle name="Separador de milhares 3 9 3 4 2 5" xfId="31792"/>
    <cellStyle name="Separador de milhares 3 9 3 4 2 6" xfId="25258"/>
    <cellStyle name="Separador de milhares 3 9 3 4 3" xfId="7007"/>
    <cellStyle name="Separador de milhares 3 9 3 4 3 2" xfId="18861"/>
    <cellStyle name="Separador de milhares 3 9 3 4 3 2 2" xfId="45345"/>
    <cellStyle name="Separador de milhares 3 9 3 4 3 3" xfId="12934"/>
    <cellStyle name="Separador de milhares 3 9 3 4 3 3 2" xfId="39437"/>
    <cellStyle name="Separador de milhares 3 9 3 4 3 4" xfId="33529"/>
    <cellStyle name="Separador de milhares 3 9 3 4 3 5" xfId="26995"/>
    <cellStyle name="Separador de milhares 3 9 3 4 4" xfId="15897"/>
    <cellStyle name="Separador de milhares 3 9 3 4 4 2" xfId="42391"/>
    <cellStyle name="Separador de milhares 3 9 3 4 4 3" xfId="23486"/>
    <cellStyle name="Separador de milhares 3 9 3 4 5" xfId="9970"/>
    <cellStyle name="Separador de milhares 3 9 3 4 5 2" xfId="36483"/>
    <cellStyle name="Separador de milhares 3 9 3 4 6" xfId="30020"/>
    <cellStyle name="Separador de milhares 3 9 3 4 7" xfId="21714"/>
    <cellStyle name="Separador de milhares 3 9 3 5" xfId="1739"/>
    <cellStyle name="Separador de milhares 3 9 3 5 2" xfId="5384"/>
    <cellStyle name="Separador de milhares 3 9 3 5 2 2" xfId="8599"/>
    <cellStyle name="Separador de milhares 3 9 3 5 2 2 2" xfId="20453"/>
    <cellStyle name="Separador de milhares 3 9 3 5 2 2 2 2" xfId="46932"/>
    <cellStyle name="Separador de milhares 3 9 3 5 2 2 3" xfId="14526"/>
    <cellStyle name="Separador de milhares 3 9 3 5 2 2 3 2" xfId="41024"/>
    <cellStyle name="Separador de milhares 3 9 3 5 2 2 4" xfId="35116"/>
    <cellStyle name="Separador de milhares 3 9 3 5 2 2 5" xfId="28582"/>
    <cellStyle name="Separador de milhares 3 9 3 5 2 3" xfId="17489"/>
    <cellStyle name="Separador de milhares 3 9 3 5 2 3 2" xfId="43978"/>
    <cellStyle name="Separador de milhares 3 9 3 5 2 4" xfId="11562"/>
    <cellStyle name="Separador de milhares 3 9 3 5 2 4 2" xfId="38070"/>
    <cellStyle name="Separador de milhares 3 9 3 5 2 5" xfId="31911"/>
    <cellStyle name="Separador de milhares 3 9 3 5 2 6" xfId="25377"/>
    <cellStyle name="Separador de milhares 3 9 3 5 3" xfId="7126"/>
    <cellStyle name="Separador de milhares 3 9 3 5 3 2" xfId="18980"/>
    <cellStyle name="Separador de milhares 3 9 3 5 3 2 2" xfId="45464"/>
    <cellStyle name="Separador de milhares 3 9 3 5 3 3" xfId="13053"/>
    <cellStyle name="Separador de milhares 3 9 3 5 3 3 2" xfId="39556"/>
    <cellStyle name="Separador de milhares 3 9 3 5 3 4" xfId="33648"/>
    <cellStyle name="Separador de milhares 3 9 3 5 3 5" xfId="27114"/>
    <cellStyle name="Separador de milhares 3 9 3 5 4" xfId="16016"/>
    <cellStyle name="Separador de milhares 3 9 3 5 4 2" xfId="42510"/>
    <cellStyle name="Separador de milhares 3 9 3 5 4 3" xfId="23605"/>
    <cellStyle name="Separador de milhares 3 9 3 5 5" xfId="10089"/>
    <cellStyle name="Separador de milhares 3 9 3 5 5 2" xfId="36602"/>
    <cellStyle name="Separador de milhares 3 9 3 5 6" xfId="30139"/>
    <cellStyle name="Separador de milhares 3 9 3 5 7" xfId="21833"/>
    <cellStyle name="Separador de milhares 3 9 3 6" xfId="2272"/>
    <cellStyle name="Separador de milhares 3 9 3 6 2" xfId="5534"/>
    <cellStyle name="Separador de milhares 3 9 3 6 2 2" xfId="8746"/>
    <cellStyle name="Separador de milhares 3 9 3 6 2 2 2" xfId="20600"/>
    <cellStyle name="Separador de milhares 3 9 3 6 2 2 2 2" xfId="47079"/>
    <cellStyle name="Separador de milhares 3 9 3 6 2 2 3" xfId="14673"/>
    <cellStyle name="Separador de milhares 3 9 3 6 2 2 3 2" xfId="41171"/>
    <cellStyle name="Separador de milhares 3 9 3 6 2 2 4" xfId="35263"/>
    <cellStyle name="Separador de milhares 3 9 3 6 2 2 5" xfId="28729"/>
    <cellStyle name="Separador de milhares 3 9 3 6 2 3" xfId="17636"/>
    <cellStyle name="Separador de milhares 3 9 3 6 2 3 2" xfId="44125"/>
    <cellStyle name="Separador de milhares 3 9 3 6 2 4" xfId="11709"/>
    <cellStyle name="Separador de milhares 3 9 3 6 2 4 2" xfId="38217"/>
    <cellStyle name="Separador de milhares 3 9 3 6 2 5" xfId="32061"/>
    <cellStyle name="Separador de milhares 3 9 3 6 2 6" xfId="25527"/>
    <cellStyle name="Separador de milhares 3 9 3 6 3" xfId="7274"/>
    <cellStyle name="Separador de milhares 3 9 3 6 3 2" xfId="19128"/>
    <cellStyle name="Separador de milhares 3 9 3 6 3 2 2" xfId="45611"/>
    <cellStyle name="Separador de milhares 3 9 3 6 3 3" xfId="13201"/>
    <cellStyle name="Separador de milhares 3 9 3 6 3 3 2" xfId="39703"/>
    <cellStyle name="Separador de milhares 3 9 3 6 3 4" xfId="33795"/>
    <cellStyle name="Separador de milhares 3 9 3 6 3 5" xfId="27261"/>
    <cellStyle name="Separador de milhares 3 9 3 6 4" xfId="16164"/>
    <cellStyle name="Separador de milhares 3 9 3 6 4 2" xfId="42657"/>
    <cellStyle name="Separador de milhares 3 9 3 6 4 3" xfId="23755"/>
    <cellStyle name="Separador de milhares 3 9 3 6 5" xfId="10237"/>
    <cellStyle name="Separador de milhares 3 9 3 6 5 2" xfId="36749"/>
    <cellStyle name="Separador de milhares 3 9 3 6 6" xfId="30289"/>
    <cellStyle name="Separador de milhares 3 9 3 6 7" xfId="21983"/>
    <cellStyle name="Separador de milhares 3 9 3 7" xfId="2800"/>
    <cellStyle name="Separador de milhares 3 9 3 7 2" xfId="5681"/>
    <cellStyle name="Separador de milhares 3 9 3 7 2 2" xfId="8893"/>
    <cellStyle name="Separador de milhares 3 9 3 7 2 2 2" xfId="20747"/>
    <cellStyle name="Separador de milhares 3 9 3 7 2 2 2 2" xfId="47226"/>
    <cellStyle name="Separador de milhares 3 9 3 7 2 2 3" xfId="14820"/>
    <cellStyle name="Separador de milhares 3 9 3 7 2 2 3 2" xfId="41318"/>
    <cellStyle name="Separador de milhares 3 9 3 7 2 2 4" xfId="35410"/>
    <cellStyle name="Separador de milhares 3 9 3 7 2 2 5" xfId="28876"/>
    <cellStyle name="Separador de milhares 3 9 3 7 2 3" xfId="17783"/>
    <cellStyle name="Separador de milhares 3 9 3 7 2 3 2" xfId="44272"/>
    <cellStyle name="Separador de milhares 3 9 3 7 2 4" xfId="11856"/>
    <cellStyle name="Separador de milhares 3 9 3 7 2 4 2" xfId="38364"/>
    <cellStyle name="Separador de milhares 3 9 3 7 2 5" xfId="32208"/>
    <cellStyle name="Separador de milhares 3 9 3 7 2 6" xfId="25674"/>
    <cellStyle name="Separador de milhares 3 9 3 7 3" xfId="7422"/>
    <cellStyle name="Separador de milhares 3 9 3 7 3 2" xfId="19276"/>
    <cellStyle name="Separador de milhares 3 9 3 7 3 2 2" xfId="45758"/>
    <cellStyle name="Separador de milhares 3 9 3 7 3 3" xfId="13349"/>
    <cellStyle name="Separador de milhares 3 9 3 7 3 3 2" xfId="39850"/>
    <cellStyle name="Separador de milhares 3 9 3 7 3 4" xfId="33942"/>
    <cellStyle name="Separador de milhares 3 9 3 7 3 5" xfId="27408"/>
    <cellStyle name="Separador de milhares 3 9 3 7 4" xfId="16312"/>
    <cellStyle name="Separador de milhares 3 9 3 7 4 2" xfId="42804"/>
    <cellStyle name="Separador de milhares 3 9 3 7 4 3" xfId="23902"/>
    <cellStyle name="Separador de milhares 3 9 3 7 5" xfId="10385"/>
    <cellStyle name="Separador de milhares 3 9 3 7 5 2" xfId="36896"/>
    <cellStyle name="Separador de milhares 3 9 3 7 6" xfId="30436"/>
    <cellStyle name="Separador de milhares 3 9 3 7 7" xfId="22130"/>
    <cellStyle name="Separador de milhares 3 9 3 8" xfId="3328"/>
    <cellStyle name="Separador de milhares 3 9 3 8 2" xfId="5828"/>
    <cellStyle name="Separador de milhares 3 9 3 8 2 2" xfId="9040"/>
    <cellStyle name="Separador de milhares 3 9 3 8 2 2 2" xfId="20894"/>
    <cellStyle name="Separador de milhares 3 9 3 8 2 2 2 2" xfId="47373"/>
    <cellStyle name="Separador de milhares 3 9 3 8 2 2 3" xfId="14967"/>
    <cellStyle name="Separador de milhares 3 9 3 8 2 2 3 2" xfId="41465"/>
    <cellStyle name="Separador de milhares 3 9 3 8 2 2 4" xfId="35557"/>
    <cellStyle name="Separador de milhares 3 9 3 8 2 2 5" xfId="29023"/>
    <cellStyle name="Separador de milhares 3 9 3 8 2 3" xfId="17930"/>
    <cellStyle name="Separador de milhares 3 9 3 8 2 3 2" xfId="44419"/>
    <cellStyle name="Separador de milhares 3 9 3 8 2 4" xfId="12003"/>
    <cellStyle name="Separador de milhares 3 9 3 8 2 4 2" xfId="38511"/>
    <cellStyle name="Separador de milhares 3 9 3 8 2 5" xfId="32355"/>
    <cellStyle name="Separador de milhares 3 9 3 8 2 6" xfId="25821"/>
    <cellStyle name="Separador de milhares 3 9 3 8 3" xfId="7570"/>
    <cellStyle name="Separador de milhares 3 9 3 8 3 2" xfId="19424"/>
    <cellStyle name="Separador de milhares 3 9 3 8 3 2 2" xfId="45905"/>
    <cellStyle name="Separador de milhares 3 9 3 8 3 3" xfId="13497"/>
    <cellStyle name="Separador de milhares 3 9 3 8 3 3 2" xfId="39997"/>
    <cellStyle name="Separador de milhares 3 9 3 8 3 4" xfId="34089"/>
    <cellStyle name="Separador de milhares 3 9 3 8 3 5" xfId="27555"/>
    <cellStyle name="Separador de milhares 3 9 3 8 4" xfId="16460"/>
    <cellStyle name="Separador de milhares 3 9 3 8 4 2" xfId="42951"/>
    <cellStyle name="Separador de milhares 3 9 3 8 4 3" xfId="24049"/>
    <cellStyle name="Separador de milhares 3 9 3 8 5" xfId="10533"/>
    <cellStyle name="Separador de milhares 3 9 3 8 5 2" xfId="37043"/>
    <cellStyle name="Separador de milhares 3 9 3 8 6" xfId="30583"/>
    <cellStyle name="Separador de milhares 3 9 3 8 7" xfId="22277"/>
    <cellStyle name="Separador de milhares 3 9 3 9" xfId="3856"/>
    <cellStyle name="Separador de milhares 3 9 3 9 2" xfId="5975"/>
    <cellStyle name="Separador de milhares 3 9 3 9 2 2" xfId="9187"/>
    <cellStyle name="Separador de milhares 3 9 3 9 2 2 2" xfId="21041"/>
    <cellStyle name="Separador de milhares 3 9 3 9 2 2 2 2" xfId="47520"/>
    <cellStyle name="Separador de milhares 3 9 3 9 2 2 3" xfId="15114"/>
    <cellStyle name="Separador de milhares 3 9 3 9 2 2 3 2" xfId="41612"/>
    <cellStyle name="Separador de milhares 3 9 3 9 2 2 4" xfId="35704"/>
    <cellStyle name="Separador de milhares 3 9 3 9 2 2 5" xfId="29170"/>
    <cellStyle name="Separador de milhares 3 9 3 9 2 3" xfId="18077"/>
    <cellStyle name="Separador de milhares 3 9 3 9 2 3 2" xfId="44566"/>
    <cellStyle name="Separador de milhares 3 9 3 9 2 4" xfId="12150"/>
    <cellStyle name="Separador de milhares 3 9 3 9 2 4 2" xfId="38658"/>
    <cellStyle name="Separador de milhares 3 9 3 9 2 5" xfId="32502"/>
    <cellStyle name="Separador de milhares 3 9 3 9 2 6" xfId="25968"/>
    <cellStyle name="Separador de milhares 3 9 3 9 3" xfId="7718"/>
    <cellStyle name="Separador de milhares 3 9 3 9 3 2" xfId="19572"/>
    <cellStyle name="Separador de milhares 3 9 3 9 3 2 2" xfId="46052"/>
    <cellStyle name="Separador de milhares 3 9 3 9 3 3" xfId="13645"/>
    <cellStyle name="Separador de milhares 3 9 3 9 3 3 2" xfId="40144"/>
    <cellStyle name="Separador de milhares 3 9 3 9 3 4" xfId="34236"/>
    <cellStyle name="Separador de milhares 3 9 3 9 3 5" xfId="27702"/>
    <cellStyle name="Separador de milhares 3 9 3 9 4" xfId="16608"/>
    <cellStyle name="Separador de milhares 3 9 3 9 4 2" xfId="43098"/>
    <cellStyle name="Separador de milhares 3 9 3 9 4 3" xfId="24196"/>
    <cellStyle name="Separador de milhares 3 9 3 9 5" xfId="10681"/>
    <cellStyle name="Separador de milhares 3 9 3 9 5 2" xfId="37190"/>
    <cellStyle name="Separador de milhares 3 9 3 9 6" xfId="30730"/>
    <cellStyle name="Separador de milhares 3 9 3 9 7" xfId="22424"/>
    <cellStyle name="Separador de milhares 3 9 4" xfId="485"/>
    <cellStyle name="Separador de milhares 3 9 4 10" xfId="5022"/>
    <cellStyle name="Separador de milhares 3 9 4 10 2" xfId="8238"/>
    <cellStyle name="Separador de milhares 3 9 4 10 2 2" xfId="20092"/>
    <cellStyle name="Separador de milhares 3 9 4 10 2 2 2" xfId="46571"/>
    <cellStyle name="Separador de milhares 3 9 4 10 2 3" xfId="14165"/>
    <cellStyle name="Separador de milhares 3 9 4 10 2 3 2" xfId="40663"/>
    <cellStyle name="Separador de milhares 3 9 4 10 2 4" xfId="34755"/>
    <cellStyle name="Separador de milhares 3 9 4 10 2 5" xfId="28221"/>
    <cellStyle name="Separador de milhares 3 9 4 10 3" xfId="17128"/>
    <cellStyle name="Separador de milhares 3 9 4 10 3 2" xfId="43617"/>
    <cellStyle name="Separador de milhares 3 9 4 10 4" xfId="11201"/>
    <cellStyle name="Separador de milhares 3 9 4 10 4 2" xfId="37709"/>
    <cellStyle name="Separador de milhares 3 9 4 10 5" xfId="31549"/>
    <cellStyle name="Separador de milhares 3 9 4 10 6" xfId="25015"/>
    <cellStyle name="Separador de milhares 3 9 4 11" xfId="6762"/>
    <cellStyle name="Separador de milhares 3 9 4 11 2" xfId="18616"/>
    <cellStyle name="Separador de milhares 3 9 4 11 2 2" xfId="45103"/>
    <cellStyle name="Separador de milhares 3 9 4 11 3" xfId="12689"/>
    <cellStyle name="Separador de milhares 3 9 4 11 3 2" xfId="39195"/>
    <cellStyle name="Separador de milhares 3 9 4 11 4" xfId="33287"/>
    <cellStyle name="Separador de milhares 3 9 4 11 5" xfId="26753"/>
    <cellStyle name="Separador de milhares 3 9 4 12" xfId="15652"/>
    <cellStyle name="Separador de milhares 3 9 4 12 2" xfId="42149"/>
    <cellStyle name="Separador de milhares 3 9 4 12 3" xfId="23243"/>
    <cellStyle name="Separador de milhares 3 9 4 13" xfId="9725"/>
    <cellStyle name="Separador de milhares 3 9 4 13 2" xfId="36241"/>
    <cellStyle name="Separador de milhares 3 9 4 14" xfId="29777"/>
    <cellStyle name="Separador de milhares 3 9 4 2" xfId="1131"/>
    <cellStyle name="Separador de milhares 3 9 4 2 2" xfId="5219"/>
    <cellStyle name="Separador de milhares 3 9 4 2 2 2" xfId="8434"/>
    <cellStyle name="Separador de milhares 3 9 4 2 2 2 2" xfId="20288"/>
    <cellStyle name="Separador de milhares 3 9 4 2 2 2 2 2" xfId="46767"/>
    <cellStyle name="Separador de milhares 3 9 4 2 2 2 3" xfId="14361"/>
    <cellStyle name="Separador de milhares 3 9 4 2 2 2 3 2" xfId="40859"/>
    <cellStyle name="Separador de milhares 3 9 4 2 2 2 4" xfId="34951"/>
    <cellStyle name="Separador de milhares 3 9 4 2 2 2 5" xfId="28417"/>
    <cellStyle name="Separador de milhares 3 9 4 2 2 3" xfId="17324"/>
    <cellStyle name="Separador de milhares 3 9 4 2 2 3 2" xfId="43813"/>
    <cellStyle name="Separador de milhares 3 9 4 2 2 4" xfId="11397"/>
    <cellStyle name="Separador de milhares 3 9 4 2 2 4 2" xfId="37905"/>
    <cellStyle name="Separador de milhares 3 9 4 2 2 5" xfId="31746"/>
    <cellStyle name="Separador de milhares 3 9 4 2 2 6" xfId="25212"/>
    <cellStyle name="Separador de milhares 3 9 4 2 3" xfId="6961"/>
    <cellStyle name="Separador de milhares 3 9 4 2 3 2" xfId="18815"/>
    <cellStyle name="Separador de milhares 3 9 4 2 3 2 2" xfId="45299"/>
    <cellStyle name="Separador de milhares 3 9 4 2 3 3" xfId="12888"/>
    <cellStyle name="Separador de milhares 3 9 4 2 3 3 2" xfId="39391"/>
    <cellStyle name="Separador de milhares 3 9 4 2 3 4" xfId="33483"/>
    <cellStyle name="Separador de milhares 3 9 4 2 3 5" xfId="26949"/>
    <cellStyle name="Separador de milhares 3 9 4 2 4" xfId="15851"/>
    <cellStyle name="Separador de milhares 3 9 4 2 4 2" xfId="42345"/>
    <cellStyle name="Separador de milhares 3 9 4 2 4 3" xfId="23440"/>
    <cellStyle name="Separador de milhares 3 9 4 2 5" xfId="9924"/>
    <cellStyle name="Separador de milhares 3 9 4 2 5 2" xfId="36437"/>
    <cellStyle name="Separador de milhares 3 9 4 2 6" xfId="29974"/>
    <cellStyle name="Separador de milhares 3 9 4 2 7" xfId="21668"/>
    <cellStyle name="Separador de milhares 3 9 4 3" xfId="1482"/>
    <cellStyle name="Separador de milhares 3 9 4 3 2" xfId="5317"/>
    <cellStyle name="Separador de milhares 3 9 4 3 2 2" xfId="8532"/>
    <cellStyle name="Separador de milhares 3 9 4 3 2 2 2" xfId="20386"/>
    <cellStyle name="Separador de milhares 3 9 4 3 2 2 2 2" xfId="46865"/>
    <cellStyle name="Separador de milhares 3 9 4 3 2 2 3" xfId="14459"/>
    <cellStyle name="Separador de milhares 3 9 4 3 2 2 3 2" xfId="40957"/>
    <cellStyle name="Separador de milhares 3 9 4 3 2 2 4" xfId="35049"/>
    <cellStyle name="Separador de milhares 3 9 4 3 2 2 5" xfId="28515"/>
    <cellStyle name="Separador de milhares 3 9 4 3 2 3" xfId="17422"/>
    <cellStyle name="Separador de milhares 3 9 4 3 2 3 2" xfId="43911"/>
    <cellStyle name="Separador de milhares 3 9 4 3 2 4" xfId="11495"/>
    <cellStyle name="Separador de milhares 3 9 4 3 2 4 2" xfId="38003"/>
    <cellStyle name="Separador de milhares 3 9 4 3 2 5" xfId="31844"/>
    <cellStyle name="Separador de milhares 3 9 4 3 2 6" xfId="25310"/>
    <cellStyle name="Separador de milhares 3 9 4 3 3" xfId="7059"/>
    <cellStyle name="Separador de milhares 3 9 4 3 3 2" xfId="18913"/>
    <cellStyle name="Separador de milhares 3 9 4 3 3 2 2" xfId="45397"/>
    <cellStyle name="Separador de milhares 3 9 4 3 3 3" xfId="12986"/>
    <cellStyle name="Separador de milhares 3 9 4 3 3 3 2" xfId="39489"/>
    <cellStyle name="Separador de milhares 3 9 4 3 3 4" xfId="33581"/>
    <cellStyle name="Separador de milhares 3 9 4 3 3 5" xfId="27047"/>
    <cellStyle name="Separador de milhares 3 9 4 3 4" xfId="15949"/>
    <cellStyle name="Separador de milhares 3 9 4 3 4 2" xfId="42443"/>
    <cellStyle name="Separador de milhares 3 9 4 3 4 3" xfId="23538"/>
    <cellStyle name="Separador de milhares 3 9 4 3 5" xfId="10022"/>
    <cellStyle name="Separador de milhares 3 9 4 3 5 2" xfId="36535"/>
    <cellStyle name="Separador de milhares 3 9 4 3 6" xfId="30072"/>
    <cellStyle name="Separador de milhares 3 9 4 3 7" xfId="21766"/>
    <cellStyle name="Separador de milhares 3 9 4 4" xfId="1917"/>
    <cellStyle name="Separador de milhares 3 9 4 4 2" xfId="5436"/>
    <cellStyle name="Separador de milhares 3 9 4 4 2 2" xfId="8651"/>
    <cellStyle name="Separador de milhares 3 9 4 4 2 2 2" xfId="20505"/>
    <cellStyle name="Separador de milhares 3 9 4 4 2 2 2 2" xfId="46984"/>
    <cellStyle name="Separador de milhares 3 9 4 4 2 2 3" xfId="14578"/>
    <cellStyle name="Separador de milhares 3 9 4 4 2 2 3 2" xfId="41076"/>
    <cellStyle name="Separador de milhares 3 9 4 4 2 2 4" xfId="35168"/>
    <cellStyle name="Separador de milhares 3 9 4 4 2 2 5" xfId="28634"/>
    <cellStyle name="Separador de milhares 3 9 4 4 2 3" xfId="17541"/>
    <cellStyle name="Separador de milhares 3 9 4 4 2 3 2" xfId="44030"/>
    <cellStyle name="Separador de milhares 3 9 4 4 2 4" xfId="11614"/>
    <cellStyle name="Separador de milhares 3 9 4 4 2 4 2" xfId="38122"/>
    <cellStyle name="Separador de milhares 3 9 4 4 2 5" xfId="31963"/>
    <cellStyle name="Separador de milhares 3 9 4 4 2 6" xfId="25429"/>
    <cellStyle name="Separador de milhares 3 9 4 4 3" xfId="7178"/>
    <cellStyle name="Separador de milhares 3 9 4 4 3 2" xfId="19032"/>
    <cellStyle name="Separador de milhares 3 9 4 4 3 2 2" xfId="45516"/>
    <cellStyle name="Separador de milhares 3 9 4 4 3 3" xfId="13105"/>
    <cellStyle name="Separador de milhares 3 9 4 4 3 3 2" xfId="39608"/>
    <cellStyle name="Separador de milhares 3 9 4 4 3 4" xfId="33700"/>
    <cellStyle name="Separador de milhares 3 9 4 4 3 5" xfId="27166"/>
    <cellStyle name="Separador de milhares 3 9 4 4 4" xfId="16068"/>
    <cellStyle name="Separador de milhares 3 9 4 4 4 2" xfId="42562"/>
    <cellStyle name="Separador de milhares 3 9 4 4 4 3" xfId="23657"/>
    <cellStyle name="Separador de milhares 3 9 4 4 5" xfId="10141"/>
    <cellStyle name="Separador de milhares 3 9 4 4 5 2" xfId="36654"/>
    <cellStyle name="Separador de milhares 3 9 4 4 6" xfId="30191"/>
    <cellStyle name="Separador de milhares 3 9 4 4 7" xfId="21885"/>
    <cellStyle name="Separador de milhares 3 9 4 5" xfId="2450"/>
    <cellStyle name="Separador de milhares 3 9 4 5 2" xfId="5586"/>
    <cellStyle name="Separador de milhares 3 9 4 5 2 2" xfId="8798"/>
    <cellStyle name="Separador de milhares 3 9 4 5 2 2 2" xfId="20652"/>
    <cellStyle name="Separador de milhares 3 9 4 5 2 2 2 2" xfId="47131"/>
    <cellStyle name="Separador de milhares 3 9 4 5 2 2 3" xfId="14725"/>
    <cellStyle name="Separador de milhares 3 9 4 5 2 2 3 2" xfId="41223"/>
    <cellStyle name="Separador de milhares 3 9 4 5 2 2 4" xfId="35315"/>
    <cellStyle name="Separador de milhares 3 9 4 5 2 2 5" xfId="28781"/>
    <cellStyle name="Separador de milhares 3 9 4 5 2 3" xfId="17688"/>
    <cellStyle name="Separador de milhares 3 9 4 5 2 3 2" xfId="44177"/>
    <cellStyle name="Separador de milhares 3 9 4 5 2 4" xfId="11761"/>
    <cellStyle name="Separador de milhares 3 9 4 5 2 4 2" xfId="38269"/>
    <cellStyle name="Separador de milhares 3 9 4 5 2 5" xfId="32113"/>
    <cellStyle name="Separador de milhares 3 9 4 5 2 6" xfId="25579"/>
    <cellStyle name="Separador de milhares 3 9 4 5 3" xfId="7326"/>
    <cellStyle name="Separador de milhares 3 9 4 5 3 2" xfId="19180"/>
    <cellStyle name="Separador de milhares 3 9 4 5 3 2 2" xfId="45663"/>
    <cellStyle name="Separador de milhares 3 9 4 5 3 3" xfId="13253"/>
    <cellStyle name="Separador de milhares 3 9 4 5 3 3 2" xfId="39755"/>
    <cellStyle name="Separador de milhares 3 9 4 5 3 4" xfId="33847"/>
    <cellStyle name="Separador de milhares 3 9 4 5 3 5" xfId="27313"/>
    <cellStyle name="Separador de milhares 3 9 4 5 4" xfId="16216"/>
    <cellStyle name="Separador de milhares 3 9 4 5 4 2" xfId="42709"/>
    <cellStyle name="Separador de milhares 3 9 4 5 4 3" xfId="23807"/>
    <cellStyle name="Separador de milhares 3 9 4 5 5" xfId="10289"/>
    <cellStyle name="Separador de milhares 3 9 4 5 5 2" xfId="36801"/>
    <cellStyle name="Separador de milhares 3 9 4 5 6" xfId="30341"/>
    <cellStyle name="Separador de milhares 3 9 4 5 7" xfId="22035"/>
    <cellStyle name="Separador de milhares 3 9 4 6" xfId="2978"/>
    <cellStyle name="Separador de milhares 3 9 4 6 2" xfId="5733"/>
    <cellStyle name="Separador de milhares 3 9 4 6 2 2" xfId="8945"/>
    <cellStyle name="Separador de milhares 3 9 4 6 2 2 2" xfId="20799"/>
    <cellStyle name="Separador de milhares 3 9 4 6 2 2 2 2" xfId="47278"/>
    <cellStyle name="Separador de milhares 3 9 4 6 2 2 3" xfId="14872"/>
    <cellStyle name="Separador de milhares 3 9 4 6 2 2 3 2" xfId="41370"/>
    <cellStyle name="Separador de milhares 3 9 4 6 2 2 4" xfId="35462"/>
    <cellStyle name="Separador de milhares 3 9 4 6 2 2 5" xfId="28928"/>
    <cellStyle name="Separador de milhares 3 9 4 6 2 3" xfId="17835"/>
    <cellStyle name="Separador de milhares 3 9 4 6 2 3 2" xfId="44324"/>
    <cellStyle name="Separador de milhares 3 9 4 6 2 4" xfId="11908"/>
    <cellStyle name="Separador de milhares 3 9 4 6 2 4 2" xfId="38416"/>
    <cellStyle name="Separador de milhares 3 9 4 6 2 5" xfId="32260"/>
    <cellStyle name="Separador de milhares 3 9 4 6 2 6" xfId="25726"/>
    <cellStyle name="Separador de milhares 3 9 4 6 3" xfId="7474"/>
    <cellStyle name="Separador de milhares 3 9 4 6 3 2" xfId="19328"/>
    <cellStyle name="Separador de milhares 3 9 4 6 3 2 2" xfId="45810"/>
    <cellStyle name="Separador de milhares 3 9 4 6 3 3" xfId="13401"/>
    <cellStyle name="Separador de milhares 3 9 4 6 3 3 2" xfId="39902"/>
    <cellStyle name="Separador de milhares 3 9 4 6 3 4" xfId="33994"/>
    <cellStyle name="Separador de milhares 3 9 4 6 3 5" xfId="27460"/>
    <cellStyle name="Separador de milhares 3 9 4 6 4" xfId="16364"/>
    <cellStyle name="Separador de milhares 3 9 4 6 4 2" xfId="42856"/>
    <cellStyle name="Separador de milhares 3 9 4 6 4 3" xfId="23954"/>
    <cellStyle name="Separador de milhares 3 9 4 6 5" xfId="10437"/>
    <cellStyle name="Separador de milhares 3 9 4 6 5 2" xfId="36948"/>
    <cellStyle name="Separador de milhares 3 9 4 6 6" xfId="30488"/>
    <cellStyle name="Separador de milhares 3 9 4 6 7" xfId="22182"/>
    <cellStyle name="Separador de milhares 3 9 4 7" xfId="3506"/>
    <cellStyle name="Separador de milhares 3 9 4 7 2" xfId="5880"/>
    <cellStyle name="Separador de milhares 3 9 4 7 2 2" xfId="9092"/>
    <cellStyle name="Separador de milhares 3 9 4 7 2 2 2" xfId="20946"/>
    <cellStyle name="Separador de milhares 3 9 4 7 2 2 2 2" xfId="47425"/>
    <cellStyle name="Separador de milhares 3 9 4 7 2 2 3" xfId="15019"/>
    <cellStyle name="Separador de milhares 3 9 4 7 2 2 3 2" xfId="41517"/>
    <cellStyle name="Separador de milhares 3 9 4 7 2 2 4" xfId="35609"/>
    <cellStyle name="Separador de milhares 3 9 4 7 2 2 5" xfId="29075"/>
    <cellStyle name="Separador de milhares 3 9 4 7 2 3" xfId="17982"/>
    <cellStyle name="Separador de milhares 3 9 4 7 2 3 2" xfId="44471"/>
    <cellStyle name="Separador de milhares 3 9 4 7 2 4" xfId="12055"/>
    <cellStyle name="Separador de milhares 3 9 4 7 2 4 2" xfId="38563"/>
    <cellStyle name="Separador de milhares 3 9 4 7 2 5" xfId="32407"/>
    <cellStyle name="Separador de milhares 3 9 4 7 2 6" xfId="25873"/>
    <cellStyle name="Separador de milhares 3 9 4 7 3" xfId="7622"/>
    <cellStyle name="Separador de milhares 3 9 4 7 3 2" xfId="19476"/>
    <cellStyle name="Separador de milhares 3 9 4 7 3 2 2" xfId="45957"/>
    <cellStyle name="Separador de milhares 3 9 4 7 3 3" xfId="13549"/>
    <cellStyle name="Separador de milhares 3 9 4 7 3 3 2" xfId="40049"/>
    <cellStyle name="Separador de milhares 3 9 4 7 3 4" xfId="34141"/>
    <cellStyle name="Separador de milhares 3 9 4 7 3 5" xfId="27607"/>
    <cellStyle name="Separador de milhares 3 9 4 7 4" xfId="16512"/>
    <cellStyle name="Separador de milhares 3 9 4 7 4 2" xfId="43003"/>
    <cellStyle name="Separador de milhares 3 9 4 7 4 3" xfId="24101"/>
    <cellStyle name="Separador de milhares 3 9 4 7 5" xfId="10585"/>
    <cellStyle name="Separador de milhares 3 9 4 7 5 2" xfId="37095"/>
    <cellStyle name="Separador de milhares 3 9 4 7 6" xfId="30635"/>
    <cellStyle name="Separador de milhares 3 9 4 7 7" xfId="22329"/>
    <cellStyle name="Separador de milhares 3 9 4 8" xfId="4034"/>
    <cellStyle name="Separador de milhares 3 9 4 8 2" xfId="6027"/>
    <cellStyle name="Separador de milhares 3 9 4 8 2 2" xfId="9239"/>
    <cellStyle name="Separador de milhares 3 9 4 8 2 2 2" xfId="21093"/>
    <cellStyle name="Separador de milhares 3 9 4 8 2 2 2 2" xfId="47572"/>
    <cellStyle name="Separador de milhares 3 9 4 8 2 2 3" xfId="15166"/>
    <cellStyle name="Separador de milhares 3 9 4 8 2 2 3 2" xfId="41664"/>
    <cellStyle name="Separador de milhares 3 9 4 8 2 2 4" xfId="35756"/>
    <cellStyle name="Separador de milhares 3 9 4 8 2 2 5" xfId="29222"/>
    <cellStyle name="Separador de milhares 3 9 4 8 2 3" xfId="18129"/>
    <cellStyle name="Separador de milhares 3 9 4 8 2 3 2" xfId="44618"/>
    <cellStyle name="Separador de milhares 3 9 4 8 2 4" xfId="12202"/>
    <cellStyle name="Separador de milhares 3 9 4 8 2 4 2" xfId="38710"/>
    <cellStyle name="Separador de milhares 3 9 4 8 2 5" xfId="32554"/>
    <cellStyle name="Separador de milhares 3 9 4 8 2 6" xfId="26020"/>
    <cellStyle name="Separador de milhares 3 9 4 8 3" xfId="7770"/>
    <cellStyle name="Separador de milhares 3 9 4 8 3 2" xfId="19624"/>
    <cellStyle name="Separador de milhares 3 9 4 8 3 2 2" xfId="46104"/>
    <cellStyle name="Separador de milhares 3 9 4 8 3 3" xfId="13697"/>
    <cellStyle name="Separador de milhares 3 9 4 8 3 3 2" xfId="40196"/>
    <cellStyle name="Separador de milhares 3 9 4 8 3 4" xfId="34288"/>
    <cellStyle name="Separador de milhares 3 9 4 8 3 5" xfId="27754"/>
    <cellStyle name="Separador de milhares 3 9 4 8 4" xfId="16660"/>
    <cellStyle name="Separador de milhares 3 9 4 8 4 2" xfId="43150"/>
    <cellStyle name="Separador de milhares 3 9 4 8 4 3" xfId="24248"/>
    <cellStyle name="Separador de milhares 3 9 4 8 5" xfId="10733"/>
    <cellStyle name="Separador de milhares 3 9 4 8 5 2" xfId="37242"/>
    <cellStyle name="Separador de milhares 3 9 4 8 6" xfId="30782"/>
    <cellStyle name="Separador de milhares 3 9 4 8 7" xfId="22476"/>
    <cellStyle name="Separador de milhares 3 9 4 9" xfId="808"/>
    <cellStyle name="Separador de milhares 3 9 4 9 2" xfId="5121"/>
    <cellStyle name="Separador de milhares 3 9 4 9 2 2" xfId="8336"/>
    <cellStyle name="Separador de milhares 3 9 4 9 2 2 2" xfId="20190"/>
    <cellStyle name="Separador de milhares 3 9 4 9 2 2 2 2" xfId="46669"/>
    <cellStyle name="Separador de milhares 3 9 4 9 2 2 3" xfId="14263"/>
    <cellStyle name="Separador de milhares 3 9 4 9 2 2 3 2" xfId="40761"/>
    <cellStyle name="Separador de milhares 3 9 4 9 2 2 4" xfId="34853"/>
    <cellStyle name="Separador de milhares 3 9 4 9 2 2 5" xfId="28319"/>
    <cellStyle name="Separador de milhares 3 9 4 9 2 3" xfId="17226"/>
    <cellStyle name="Separador de milhares 3 9 4 9 2 3 2" xfId="43715"/>
    <cellStyle name="Separador de milhares 3 9 4 9 2 4" xfId="11299"/>
    <cellStyle name="Separador de milhares 3 9 4 9 2 4 2" xfId="37807"/>
    <cellStyle name="Separador de milhares 3 9 4 9 2 5" xfId="31648"/>
    <cellStyle name="Separador de milhares 3 9 4 9 2 6" xfId="25114"/>
    <cellStyle name="Separador de milhares 3 9 4 9 3" xfId="6863"/>
    <cellStyle name="Separador de milhares 3 9 4 9 3 2" xfId="18717"/>
    <cellStyle name="Separador de milhares 3 9 4 9 3 2 2" xfId="45201"/>
    <cellStyle name="Separador de milhares 3 9 4 9 3 3" xfId="12790"/>
    <cellStyle name="Separador de milhares 3 9 4 9 3 3 2" xfId="39293"/>
    <cellStyle name="Separador de milhares 3 9 4 9 3 4" xfId="33385"/>
    <cellStyle name="Separador de milhares 3 9 4 9 3 5" xfId="26851"/>
    <cellStyle name="Separador de milhares 3 9 4 9 4" xfId="15753"/>
    <cellStyle name="Separador de milhares 3 9 4 9 4 2" xfId="42247"/>
    <cellStyle name="Separador de milhares 3 9 4 9 4 3" xfId="23342"/>
    <cellStyle name="Separador de milhares 3 9 4 9 5" xfId="9826"/>
    <cellStyle name="Separador de milhares 3 9 4 9 5 2" xfId="36339"/>
    <cellStyle name="Separador de milhares 3 9 4 9 6" xfId="29876"/>
    <cellStyle name="Separador de milhares 3 9 4 9 7" xfId="21570"/>
    <cellStyle name="Separador de milhares 3 9 5" xfId="743"/>
    <cellStyle name="Separador de milhares 3 9 5 10" xfId="15716"/>
    <cellStyle name="Separador de milhares 3 9 5 10 2" xfId="42213"/>
    <cellStyle name="Separador de milhares 3 9 5 10 3" xfId="23308"/>
    <cellStyle name="Separador de milhares 3 9 5 11" xfId="9789"/>
    <cellStyle name="Separador de milhares 3 9 5 11 2" xfId="36305"/>
    <cellStyle name="Separador de milhares 3 9 5 12" xfId="29842"/>
    <cellStyle name="Separador de milhares 3 9 5 13" xfId="21536"/>
    <cellStyle name="Separador de milhares 3 9 5 2" xfId="1566"/>
    <cellStyle name="Separador de milhares 3 9 5 2 2" xfId="5338"/>
    <cellStyle name="Separador de milhares 3 9 5 2 2 2" xfId="8553"/>
    <cellStyle name="Separador de milhares 3 9 5 2 2 2 2" xfId="20407"/>
    <cellStyle name="Separador de milhares 3 9 5 2 2 2 2 2" xfId="46886"/>
    <cellStyle name="Separador de milhares 3 9 5 2 2 2 3" xfId="14480"/>
    <cellStyle name="Separador de milhares 3 9 5 2 2 2 3 2" xfId="40978"/>
    <cellStyle name="Separador de milhares 3 9 5 2 2 2 4" xfId="35070"/>
    <cellStyle name="Separador de milhares 3 9 5 2 2 2 5" xfId="28536"/>
    <cellStyle name="Separador de milhares 3 9 5 2 2 3" xfId="17443"/>
    <cellStyle name="Separador de milhares 3 9 5 2 2 3 2" xfId="43932"/>
    <cellStyle name="Separador de milhares 3 9 5 2 2 4" xfId="11516"/>
    <cellStyle name="Separador de milhares 3 9 5 2 2 4 2" xfId="38024"/>
    <cellStyle name="Separador de milhares 3 9 5 2 2 5" xfId="31865"/>
    <cellStyle name="Separador de milhares 3 9 5 2 2 6" xfId="25331"/>
    <cellStyle name="Separador de milhares 3 9 5 2 3" xfId="7080"/>
    <cellStyle name="Separador de milhares 3 9 5 2 3 2" xfId="18934"/>
    <cellStyle name="Separador de milhares 3 9 5 2 3 2 2" xfId="45418"/>
    <cellStyle name="Separador de milhares 3 9 5 2 3 3" xfId="13007"/>
    <cellStyle name="Separador de milhares 3 9 5 2 3 3 2" xfId="39510"/>
    <cellStyle name="Separador de milhares 3 9 5 2 3 4" xfId="33602"/>
    <cellStyle name="Separador de milhares 3 9 5 2 3 5" xfId="27068"/>
    <cellStyle name="Separador de milhares 3 9 5 2 4" xfId="15970"/>
    <cellStyle name="Separador de milhares 3 9 5 2 4 2" xfId="42464"/>
    <cellStyle name="Separador de milhares 3 9 5 2 4 3" xfId="23559"/>
    <cellStyle name="Separador de milhares 3 9 5 2 5" xfId="10043"/>
    <cellStyle name="Separador de milhares 3 9 5 2 5 2" xfId="36556"/>
    <cellStyle name="Separador de milhares 3 9 5 2 6" xfId="30093"/>
    <cellStyle name="Separador de milhares 3 9 5 2 7" xfId="21787"/>
    <cellStyle name="Separador de milhares 3 9 5 3" xfId="2001"/>
    <cellStyle name="Separador de milhares 3 9 5 3 2" xfId="5457"/>
    <cellStyle name="Separador de milhares 3 9 5 3 2 2" xfId="8672"/>
    <cellStyle name="Separador de milhares 3 9 5 3 2 2 2" xfId="20526"/>
    <cellStyle name="Separador de milhares 3 9 5 3 2 2 2 2" xfId="47005"/>
    <cellStyle name="Separador de milhares 3 9 5 3 2 2 3" xfId="14599"/>
    <cellStyle name="Separador de milhares 3 9 5 3 2 2 3 2" xfId="41097"/>
    <cellStyle name="Separador de milhares 3 9 5 3 2 2 4" xfId="35189"/>
    <cellStyle name="Separador de milhares 3 9 5 3 2 2 5" xfId="28655"/>
    <cellStyle name="Separador de milhares 3 9 5 3 2 3" xfId="17562"/>
    <cellStyle name="Separador de milhares 3 9 5 3 2 3 2" xfId="44051"/>
    <cellStyle name="Separador de milhares 3 9 5 3 2 4" xfId="11635"/>
    <cellStyle name="Separador de milhares 3 9 5 3 2 4 2" xfId="38143"/>
    <cellStyle name="Separador de milhares 3 9 5 3 2 5" xfId="31984"/>
    <cellStyle name="Separador de milhares 3 9 5 3 2 6" xfId="25450"/>
    <cellStyle name="Separador de milhares 3 9 5 3 3" xfId="7199"/>
    <cellStyle name="Separador de milhares 3 9 5 3 3 2" xfId="19053"/>
    <cellStyle name="Separador de milhares 3 9 5 3 3 2 2" xfId="45537"/>
    <cellStyle name="Separador de milhares 3 9 5 3 3 3" xfId="13126"/>
    <cellStyle name="Separador de milhares 3 9 5 3 3 3 2" xfId="39629"/>
    <cellStyle name="Separador de milhares 3 9 5 3 3 4" xfId="33721"/>
    <cellStyle name="Separador de milhares 3 9 5 3 3 5" xfId="27187"/>
    <cellStyle name="Separador de milhares 3 9 5 3 4" xfId="16089"/>
    <cellStyle name="Separador de milhares 3 9 5 3 4 2" xfId="42583"/>
    <cellStyle name="Separador de milhares 3 9 5 3 4 3" xfId="23678"/>
    <cellStyle name="Separador de milhares 3 9 5 3 5" xfId="10162"/>
    <cellStyle name="Separador de milhares 3 9 5 3 5 2" xfId="36675"/>
    <cellStyle name="Separador de milhares 3 9 5 3 6" xfId="30212"/>
    <cellStyle name="Separador de milhares 3 9 5 3 7" xfId="21906"/>
    <cellStyle name="Separador de milhares 3 9 5 4" xfId="2534"/>
    <cellStyle name="Separador de milhares 3 9 5 4 2" xfId="5607"/>
    <cellStyle name="Separador de milhares 3 9 5 4 2 2" xfId="8819"/>
    <cellStyle name="Separador de milhares 3 9 5 4 2 2 2" xfId="20673"/>
    <cellStyle name="Separador de milhares 3 9 5 4 2 2 2 2" xfId="47152"/>
    <cellStyle name="Separador de milhares 3 9 5 4 2 2 3" xfId="14746"/>
    <cellStyle name="Separador de milhares 3 9 5 4 2 2 3 2" xfId="41244"/>
    <cellStyle name="Separador de milhares 3 9 5 4 2 2 4" xfId="35336"/>
    <cellStyle name="Separador de milhares 3 9 5 4 2 2 5" xfId="28802"/>
    <cellStyle name="Separador de milhares 3 9 5 4 2 3" xfId="17709"/>
    <cellStyle name="Separador de milhares 3 9 5 4 2 3 2" xfId="44198"/>
    <cellStyle name="Separador de milhares 3 9 5 4 2 4" xfId="11782"/>
    <cellStyle name="Separador de milhares 3 9 5 4 2 4 2" xfId="38290"/>
    <cellStyle name="Separador de milhares 3 9 5 4 2 5" xfId="32134"/>
    <cellStyle name="Separador de milhares 3 9 5 4 2 6" xfId="25600"/>
    <cellStyle name="Separador de milhares 3 9 5 4 3" xfId="7347"/>
    <cellStyle name="Separador de milhares 3 9 5 4 3 2" xfId="19201"/>
    <cellStyle name="Separador de milhares 3 9 5 4 3 2 2" xfId="45684"/>
    <cellStyle name="Separador de milhares 3 9 5 4 3 3" xfId="13274"/>
    <cellStyle name="Separador de milhares 3 9 5 4 3 3 2" xfId="39776"/>
    <cellStyle name="Separador de milhares 3 9 5 4 3 4" xfId="33868"/>
    <cellStyle name="Separador de milhares 3 9 5 4 3 5" xfId="27334"/>
    <cellStyle name="Separador de milhares 3 9 5 4 4" xfId="16237"/>
    <cellStyle name="Separador de milhares 3 9 5 4 4 2" xfId="42730"/>
    <cellStyle name="Separador de milhares 3 9 5 4 4 3" xfId="23828"/>
    <cellStyle name="Separador de milhares 3 9 5 4 5" xfId="10310"/>
    <cellStyle name="Separador de milhares 3 9 5 4 5 2" xfId="36822"/>
    <cellStyle name="Separador de milhares 3 9 5 4 6" xfId="30362"/>
    <cellStyle name="Separador de milhares 3 9 5 4 7" xfId="22056"/>
    <cellStyle name="Separador de milhares 3 9 5 5" xfId="3062"/>
    <cellStyle name="Separador de milhares 3 9 5 5 2" xfId="5754"/>
    <cellStyle name="Separador de milhares 3 9 5 5 2 2" xfId="8966"/>
    <cellStyle name="Separador de milhares 3 9 5 5 2 2 2" xfId="20820"/>
    <cellStyle name="Separador de milhares 3 9 5 5 2 2 2 2" xfId="47299"/>
    <cellStyle name="Separador de milhares 3 9 5 5 2 2 3" xfId="14893"/>
    <cellStyle name="Separador de milhares 3 9 5 5 2 2 3 2" xfId="41391"/>
    <cellStyle name="Separador de milhares 3 9 5 5 2 2 4" xfId="35483"/>
    <cellStyle name="Separador de milhares 3 9 5 5 2 2 5" xfId="28949"/>
    <cellStyle name="Separador de milhares 3 9 5 5 2 3" xfId="17856"/>
    <cellStyle name="Separador de milhares 3 9 5 5 2 3 2" xfId="44345"/>
    <cellStyle name="Separador de milhares 3 9 5 5 2 4" xfId="11929"/>
    <cellStyle name="Separador de milhares 3 9 5 5 2 4 2" xfId="38437"/>
    <cellStyle name="Separador de milhares 3 9 5 5 2 5" xfId="32281"/>
    <cellStyle name="Separador de milhares 3 9 5 5 2 6" xfId="25747"/>
    <cellStyle name="Separador de milhares 3 9 5 5 3" xfId="7495"/>
    <cellStyle name="Separador de milhares 3 9 5 5 3 2" xfId="19349"/>
    <cellStyle name="Separador de milhares 3 9 5 5 3 2 2" xfId="45831"/>
    <cellStyle name="Separador de milhares 3 9 5 5 3 3" xfId="13422"/>
    <cellStyle name="Separador de milhares 3 9 5 5 3 3 2" xfId="39923"/>
    <cellStyle name="Separador de milhares 3 9 5 5 3 4" xfId="34015"/>
    <cellStyle name="Separador de milhares 3 9 5 5 3 5" xfId="27481"/>
    <cellStyle name="Separador de milhares 3 9 5 5 4" xfId="16385"/>
    <cellStyle name="Separador de milhares 3 9 5 5 4 2" xfId="42877"/>
    <cellStyle name="Separador de milhares 3 9 5 5 4 3" xfId="23975"/>
    <cellStyle name="Separador de milhares 3 9 5 5 5" xfId="10458"/>
    <cellStyle name="Separador de milhares 3 9 5 5 5 2" xfId="36969"/>
    <cellStyle name="Separador de milhares 3 9 5 5 6" xfId="30509"/>
    <cellStyle name="Separador de milhares 3 9 5 5 7" xfId="22203"/>
    <cellStyle name="Separador de milhares 3 9 5 6" xfId="3590"/>
    <cellStyle name="Separador de milhares 3 9 5 6 2" xfId="5901"/>
    <cellStyle name="Separador de milhares 3 9 5 6 2 2" xfId="9113"/>
    <cellStyle name="Separador de milhares 3 9 5 6 2 2 2" xfId="20967"/>
    <cellStyle name="Separador de milhares 3 9 5 6 2 2 2 2" xfId="47446"/>
    <cellStyle name="Separador de milhares 3 9 5 6 2 2 3" xfId="15040"/>
    <cellStyle name="Separador de milhares 3 9 5 6 2 2 3 2" xfId="41538"/>
    <cellStyle name="Separador de milhares 3 9 5 6 2 2 4" xfId="35630"/>
    <cellStyle name="Separador de milhares 3 9 5 6 2 2 5" xfId="29096"/>
    <cellStyle name="Separador de milhares 3 9 5 6 2 3" xfId="18003"/>
    <cellStyle name="Separador de milhares 3 9 5 6 2 3 2" xfId="44492"/>
    <cellStyle name="Separador de milhares 3 9 5 6 2 4" xfId="12076"/>
    <cellStyle name="Separador de milhares 3 9 5 6 2 4 2" xfId="38584"/>
    <cellStyle name="Separador de milhares 3 9 5 6 2 5" xfId="32428"/>
    <cellStyle name="Separador de milhares 3 9 5 6 2 6" xfId="25894"/>
    <cellStyle name="Separador de milhares 3 9 5 6 3" xfId="7643"/>
    <cellStyle name="Separador de milhares 3 9 5 6 3 2" xfId="19497"/>
    <cellStyle name="Separador de milhares 3 9 5 6 3 2 2" xfId="45978"/>
    <cellStyle name="Separador de milhares 3 9 5 6 3 3" xfId="13570"/>
    <cellStyle name="Separador de milhares 3 9 5 6 3 3 2" xfId="40070"/>
    <cellStyle name="Separador de milhares 3 9 5 6 3 4" xfId="34162"/>
    <cellStyle name="Separador de milhares 3 9 5 6 3 5" xfId="27628"/>
    <cellStyle name="Separador de milhares 3 9 5 6 4" xfId="16533"/>
    <cellStyle name="Separador de milhares 3 9 5 6 4 2" xfId="43024"/>
    <cellStyle name="Separador de milhares 3 9 5 6 4 3" xfId="24122"/>
    <cellStyle name="Separador de milhares 3 9 5 6 5" xfId="10606"/>
    <cellStyle name="Separador de milhares 3 9 5 6 5 2" xfId="37116"/>
    <cellStyle name="Separador de milhares 3 9 5 6 6" xfId="30656"/>
    <cellStyle name="Separador de milhares 3 9 5 6 7" xfId="22350"/>
    <cellStyle name="Separador de milhares 3 9 5 7" xfId="4118"/>
    <cellStyle name="Separador de milhares 3 9 5 7 2" xfId="6048"/>
    <cellStyle name="Separador de milhares 3 9 5 7 2 2" xfId="9260"/>
    <cellStyle name="Separador de milhares 3 9 5 7 2 2 2" xfId="21114"/>
    <cellStyle name="Separador de milhares 3 9 5 7 2 2 2 2" xfId="47593"/>
    <cellStyle name="Separador de milhares 3 9 5 7 2 2 3" xfId="15187"/>
    <cellStyle name="Separador de milhares 3 9 5 7 2 2 3 2" xfId="41685"/>
    <cellStyle name="Separador de milhares 3 9 5 7 2 2 4" xfId="35777"/>
    <cellStyle name="Separador de milhares 3 9 5 7 2 2 5" xfId="29243"/>
    <cellStyle name="Separador de milhares 3 9 5 7 2 3" xfId="18150"/>
    <cellStyle name="Separador de milhares 3 9 5 7 2 3 2" xfId="44639"/>
    <cellStyle name="Separador de milhares 3 9 5 7 2 4" xfId="12223"/>
    <cellStyle name="Separador de milhares 3 9 5 7 2 4 2" xfId="38731"/>
    <cellStyle name="Separador de milhares 3 9 5 7 2 5" xfId="32575"/>
    <cellStyle name="Separador de milhares 3 9 5 7 2 6" xfId="26041"/>
    <cellStyle name="Separador de milhares 3 9 5 7 3" xfId="7791"/>
    <cellStyle name="Separador de milhares 3 9 5 7 3 2" xfId="19645"/>
    <cellStyle name="Separador de milhares 3 9 5 7 3 2 2" xfId="46125"/>
    <cellStyle name="Separador de milhares 3 9 5 7 3 3" xfId="13718"/>
    <cellStyle name="Separador de milhares 3 9 5 7 3 3 2" xfId="40217"/>
    <cellStyle name="Separador de milhares 3 9 5 7 3 4" xfId="34309"/>
    <cellStyle name="Separador de milhares 3 9 5 7 3 5" xfId="27775"/>
    <cellStyle name="Separador de milhares 3 9 5 7 4" xfId="16681"/>
    <cellStyle name="Separador de milhares 3 9 5 7 4 2" xfId="43171"/>
    <cellStyle name="Separador de milhares 3 9 5 7 4 3" xfId="24269"/>
    <cellStyle name="Separador de milhares 3 9 5 7 5" xfId="10754"/>
    <cellStyle name="Separador de milhares 3 9 5 7 5 2" xfId="37263"/>
    <cellStyle name="Separador de milhares 3 9 5 7 6" xfId="30803"/>
    <cellStyle name="Separador de milhares 3 9 5 7 7" xfId="22497"/>
    <cellStyle name="Separador de milhares 3 9 5 8" xfId="5087"/>
    <cellStyle name="Separador de milhares 3 9 5 8 2" xfId="8302"/>
    <cellStyle name="Separador de milhares 3 9 5 8 2 2" xfId="20156"/>
    <cellStyle name="Separador de milhares 3 9 5 8 2 2 2" xfId="46635"/>
    <cellStyle name="Separador de milhares 3 9 5 8 2 3" xfId="14229"/>
    <cellStyle name="Separador de milhares 3 9 5 8 2 3 2" xfId="40727"/>
    <cellStyle name="Separador de milhares 3 9 5 8 2 4" xfId="34819"/>
    <cellStyle name="Separador de milhares 3 9 5 8 2 5" xfId="28285"/>
    <cellStyle name="Separador de milhares 3 9 5 8 3" xfId="17192"/>
    <cellStyle name="Separador de milhares 3 9 5 8 3 2" xfId="43681"/>
    <cellStyle name="Separador de milhares 3 9 5 8 4" xfId="11265"/>
    <cellStyle name="Separador de milhares 3 9 5 8 4 2" xfId="37773"/>
    <cellStyle name="Separador de milhares 3 9 5 8 5" xfId="31614"/>
    <cellStyle name="Separador de milhares 3 9 5 8 6" xfId="25080"/>
    <cellStyle name="Separador de milhares 3 9 5 9" xfId="6826"/>
    <cellStyle name="Separador de milhares 3 9 5 9 2" xfId="18680"/>
    <cellStyle name="Separador de milhares 3 9 5 9 2 2" xfId="45167"/>
    <cellStyle name="Separador de milhares 3 9 5 9 3" xfId="12753"/>
    <cellStyle name="Separador de milhares 3 9 5 9 3 2" xfId="39259"/>
    <cellStyle name="Separador de milhares 3 9 5 9 4" xfId="33351"/>
    <cellStyle name="Separador de milhares 3 9 5 9 5" xfId="26817"/>
    <cellStyle name="Separador de milhares 3 9 6" xfId="864"/>
    <cellStyle name="Separador de milhares 3 9 6 2" xfId="4295"/>
    <cellStyle name="Separador de milhares 3 9 6 2 2" xfId="6097"/>
    <cellStyle name="Separador de milhares 3 9 6 2 2 2" xfId="9309"/>
    <cellStyle name="Separador de milhares 3 9 6 2 2 2 2" xfId="21163"/>
    <cellStyle name="Separador de milhares 3 9 6 2 2 2 2 2" xfId="47642"/>
    <cellStyle name="Separador de milhares 3 9 6 2 2 2 3" xfId="15236"/>
    <cellStyle name="Separador de milhares 3 9 6 2 2 2 3 2" xfId="41734"/>
    <cellStyle name="Separador de milhares 3 9 6 2 2 2 4" xfId="35826"/>
    <cellStyle name="Separador de milhares 3 9 6 2 2 2 5" xfId="29292"/>
    <cellStyle name="Separador de milhares 3 9 6 2 2 3" xfId="18199"/>
    <cellStyle name="Separador de milhares 3 9 6 2 2 3 2" xfId="44688"/>
    <cellStyle name="Separador de milhares 3 9 6 2 2 4" xfId="12272"/>
    <cellStyle name="Separador de milhares 3 9 6 2 2 4 2" xfId="38780"/>
    <cellStyle name="Separador de milhares 3 9 6 2 2 5" xfId="32624"/>
    <cellStyle name="Separador de milhares 3 9 6 2 2 6" xfId="26090"/>
    <cellStyle name="Separador de milhares 3 9 6 2 3" xfId="7841"/>
    <cellStyle name="Separador de milhares 3 9 6 2 3 2" xfId="19695"/>
    <cellStyle name="Separador de milhares 3 9 6 2 3 2 2" xfId="46174"/>
    <cellStyle name="Separador de milhares 3 9 6 2 3 3" xfId="13768"/>
    <cellStyle name="Separador de milhares 3 9 6 2 3 3 2" xfId="40266"/>
    <cellStyle name="Separador de milhares 3 9 6 2 3 4" xfId="34358"/>
    <cellStyle name="Separador de milhares 3 9 6 2 3 5" xfId="27824"/>
    <cellStyle name="Separador de milhares 3 9 6 2 4" xfId="16731"/>
    <cellStyle name="Separador de milhares 3 9 6 2 4 2" xfId="43220"/>
    <cellStyle name="Separador de milhares 3 9 6 2 4 3" xfId="24318"/>
    <cellStyle name="Separador de milhares 3 9 6 2 5" xfId="10804"/>
    <cellStyle name="Separador de milhares 3 9 6 2 5 2" xfId="37312"/>
    <cellStyle name="Separador de milhares 3 9 6 2 6" xfId="30852"/>
    <cellStyle name="Separador de milhares 3 9 6 2 7" xfId="22546"/>
    <cellStyle name="Separador de milhares 3 9 6 3" xfId="5142"/>
    <cellStyle name="Separador de milhares 3 9 6 3 2" xfId="8357"/>
    <cellStyle name="Separador de milhares 3 9 6 3 2 2" xfId="20211"/>
    <cellStyle name="Separador de milhares 3 9 6 3 2 2 2" xfId="46690"/>
    <cellStyle name="Separador de milhares 3 9 6 3 2 3" xfId="14284"/>
    <cellStyle name="Separador de milhares 3 9 6 3 2 3 2" xfId="40782"/>
    <cellStyle name="Separador de milhares 3 9 6 3 2 4" xfId="34874"/>
    <cellStyle name="Separador de milhares 3 9 6 3 2 5" xfId="28340"/>
    <cellStyle name="Separador de milhares 3 9 6 3 3" xfId="17247"/>
    <cellStyle name="Separador de milhares 3 9 6 3 3 2" xfId="43736"/>
    <cellStyle name="Separador de milhares 3 9 6 3 4" xfId="11320"/>
    <cellStyle name="Separador de milhares 3 9 6 3 4 2" xfId="37828"/>
    <cellStyle name="Separador de milhares 3 9 6 3 5" xfId="31669"/>
    <cellStyle name="Separador de milhares 3 9 6 3 6" xfId="25135"/>
    <cellStyle name="Separador de milhares 3 9 6 4" xfId="6884"/>
    <cellStyle name="Separador de milhares 3 9 6 4 2" xfId="18738"/>
    <cellStyle name="Separador de milhares 3 9 6 4 2 2" xfId="45222"/>
    <cellStyle name="Separador de milhares 3 9 6 4 3" xfId="12811"/>
    <cellStyle name="Separador de milhares 3 9 6 4 3 2" xfId="39314"/>
    <cellStyle name="Separador de milhares 3 9 6 4 4" xfId="33406"/>
    <cellStyle name="Separador de milhares 3 9 6 4 5" xfId="26872"/>
    <cellStyle name="Separador de milhares 3 9 6 5" xfId="15774"/>
    <cellStyle name="Separador de milhares 3 9 6 5 2" xfId="42268"/>
    <cellStyle name="Separador de milhares 3 9 6 5 3" xfId="23363"/>
    <cellStyle name="Separador de milhares 3 9 6 6" xfId="9847"/>
    <cellStyle name="Separador de milhares 3 9 6 6 2" xfId="36360"/>
    <cellStyle name="Separador de milhares 3 9 6 7" xfId="29897"/>
    <cellStyle name="Separador de milhares 3 9 6 8" xfId="21591"/>
    <cellStyle name="Separador de milhares 3 9 7" xfId="1215"/>
    <cellStyle name="Separador de milhares 3 9 7 2" xfId="5240"/>
    <cellStyle name="Separador de milhares 3 9 7 2 2" xfId="8455"/>
    <cellStyle name="Separador de milhares 3 9 7 2 2 2" xfId="20309"/>
    <cellStyle name="Separador de milhares 3 9 7 2 2 2 2" xfId="46788"/>
    <cellStyle name="Separador de milhares 3 9 7 2 2 3" xfId="14382"/>
    <cellStyle name="Separador de milhares 3 9 7 2 2 3 2" xfId="40880"/>
    <cellStyle name="Separador de milhares 3 9 7 2 2 4" xfId="34972"/>
    <cellStyle name="Separador de milhares 3 9 7 2 2 5" xfId="28438"/>
    <cellStyle name="Separador de milhares 3 9 7 2 3" xfId="17345"/>
    <cellStyle name="Separador de milhares 3 9 7 2 3 2" xfId="43834"/>
    <cellStyle name="Separador de milhares 3 9 7 2 4" xfId="11418"/>
    <cellStyle name="Separador de milhares 3 9 7 2 4 2" xfId="37926"/>
    <cellStyle name="Separador de milhares 3 9 7 2 5" xfId="31767"/>
    <cellStyle name="Separador de milhares 3 9 7 2 6" xfId="25233"/>
    <cellStyle name="Separador de milhares 3 9 7 3" xfId="6982"/>
    <cellStyle name="Separador de milhares 3 9 7 3 2" xfId="18836"/>
    <cellStyle name="Separador de milhares 3 9 7 3 2 2" xfId="45320"/>
    <cellStyle name="Separador de milhares 3 9 7 3 3" xfId="12909"/>
    <cellStyle name="Separador de milhares 3 9 7 3 3 2" xfId="39412"/>
    <cellStyle name="Separador de milhares 3 9 7 3 4" xfId="33504"/>
    <cellStyle name="Separador de milhares 3 9 7 3 5" xfId="26970"/>
    <cellStyle name="Separador de milhares 3 9 7 4" xfId="15872"/>
    <cellStyle name="Separador de milhares 3 9 7 4 2" xfId="42366"/>
    <cellStyle name="Separador de milhares 3 9 7 4 3" xfId="23461"/>
    <cellStyle name="Separador de milhares 3 9 7 5" xfId="9945"/>
    <cellStyle name="Separador de milhares 3 9 7 5 2" xfId="36458"/>
    <cellStyle name="Separador de milhares 3 9 7 6" xfId="29995"/>
    <cellStyle name="Separador de milhares 3 9 7 7" xfId="21689"/>
    <cellStyle name="Separador de milhares 3 9 8" xfId="1650"/>
    <cellStyle name="Separador de milhares 3 9 8 2" xfId="5359"/>
    <cellStyle name="Separador de milhares 3 9 8 2 2" xfId="8574"/>
    <cellStyle name="Separador de milhares 3 9 8 2 2 2" xfId="20428"/>
    <cellStyle name="Separador de milhares 3 9 8 2 2 2 2" xfId="46907"/>
    <cellStyle name="Separador de milhares 3 9 8 2 2 3" xfId="14501"/>
    <cellStyle name="Separador de milhares 3 9 8 2 2 3 2" xfId="40999"/>
    <cellStyle name="Separador de milhares 3 9 8 2 2 4" xfId="35091"/>
    <cellStyle name="Separador de milhares 3 9 8 2 2 5" xfId="28557"/>
    <cellStyle name="Separador de milhares 3 9 8 2 3" xfId="17464"/>
    <cellStyle name="Separador de milhares 3 9 8 2 3 2" xfId="43953"/>
    <cellStyle name="Separador de milhares 3 9 8 2 4" xfId="11537"/>
    <cellStyle name="Separador de milhares 3 9 8 2 4 2" xfId="38045"/>
    <cellStyle name="Separador de milhares 3 9 8 2 5" xfId="31886"/>
    <cellStyle name="Separador de milhares 3 9 8 2 6" xfId="25352"/>
    <cellStyle name="Separador de milhares 3 9 8 3" xfId="7101"/>
    <cellStyle name="Separador de milhares 3 9 8 3 2" xfId="18955"/>
    <cellStyle name="Separador de milhares 3 9 8 3 2 2" xfId="45439"/>
    <cellStyle name="Separador de milhares 3 9 8 3 3" xfId="13028"/>
    <cellStyle name="Separador de milhares 3 9 8 3 3 2" xfId="39531"/>
    <cellStyle name="Separador de milhares 3 9 8 3 4" xfId="33623"/>
    <cellStyle name="Separador de milhares 3 9 8 3 5" xfId="27089"/>
    <cellStyle name="Separador de milhares 3 9 8 4" xfId="15991"/>
    <cellStyle name="Separador de milhares 3 9 8 4 2" xfId="42485"/>
    <cellStyle name="Separador de milhares 3 9 8 4 3" xfId="23580"/>
    <cellStyle name="Separador de milhares 3 9 8 5" xfId="10064"/>
    <cellStyle name="Separador de milhares 3 9 8 5 2" xfId="36577"/>
    <cellStyle name="Separador de milhares 3 9 8 6" xfId="30114"/>
    <cellStyle name="Separador de milhares 3 9 8 7" xfId="21808"/>
    <cellStyle name="Separador de milhares 3 9 9" xfId="2183"/>
    <cellStyle name="Separador de milhares 3 9 9 2" xfId="5509"/>
    <cellStyle name="Separador de milhares 3 9 9 2 2" xfId="8721"/>
    <cellStyle name="Separador de milhares 3 9 9 2 2 2" xfId="20575"/>
    <cellStyle name="Separador de milhares 3 9 9 2 2 2 2" xfId="47054"/>
    <cellStyle name="Separador de milhares 3 9 9 2 2 3" xfId="14648"/>
    <cellStyle name="Separador de milhares 3 9 9 2 2 3 2" xfId="41146"/>
    <cellStyle name="Separador de milhares 3 9 9 2 2 4" xfId="35238"/>
    <cellStyle name="Separador de milhares 3 9 9 2 2 5" xfId="28704"/>
    <cellStyle name="Separador de milhares 3 9 9 2 3" xfId="17611"/>
    <cellStyle name="Separador de milhares 3 9 9 2 3 2" xfId="44100"/>
    <cellStyle name="Separador de milhares 3 9 9 2 4" xfId="11684"/>
    <cellStyle name="Separador de milhares 3 9 9 2 4 2" xfId="38192"/>
    <cellStyle name="Separador de milhares 3 9 9 2 5" xfId="32036"/>
    <cellStyle name="Separador de milhares 3 9 9 2 6" xfId="25502"/>
    <cellStyle name="Separador de milhares 3 9 9 3" xfId="7249"/>
    <cellStyle name="Separador de milhares 3 9 9 3 2" xfId="19103"/>
    <cellStyle name="Separador de milhares 3 9 9 3 2 2" xfId="45586"/>
    <cellStyle name="Separador de milhares 3 9 9 3 3" xfId="13176"/>
    <cellStyle name="Separador de milhares 3 9 9 3 3 2" xfId="39678"/>
    <cellStyle name="Separador de milhares 3 9 9 3 4" xfId="33770"/>
    <cellStyle name="Separador de milhares 3 9 9 3 5" xfId="27236"/>
    <cellStyle name="Separador de milhares 3 9 9 4" xfId="16139"/>
    <cellStyle name="Separador de milhares 3 9 9 4 2" xfId="42632"/>
    <cellStyle name="Separador de milhares 3 9 9 4 3" xfId="23730"/>
    <cellStyle name="Separador de milhares 3 9 9 5" xfId="10212"/>
    <cellStyle name="Separador de milhares 3 9 9 5 2" xfId="36724"/>
    <cellStyle name="Separador de milhares 3 9 9 6" xfId="30264"/>
    <cellStyle name="Separador de milhares 3 9 9 7" xfId="21958"/>
    <cellStyle name="Separador de milhares 4" xfId="242"/>
    <cellStyle name="Separador de milhares 4 2" xfId="337"/>
    <cellStyle name="Separador de milhares 4 2 10" xfId="4977"/>
    <cellStyle name="Separador de milhares 4 2 10 2" xfId="8197"/>
    <cellStyle name="Separador de milhares 4 2 10 2 2" xfId="20051"/>
    <cellStyle name="Separador de milhares 4 2 10 2 2 2" xfId="46530"/>
    <cellStyle name="Separador de milhares 4 2 10 2 3" xfId="14124"/>
    <cellStyle name="Separador de milhares 4 2 10 2 3 2" xfId="40622"/>
    <cellStyle name="Separador de milhares 4 2 10 2 4" xfId="34714"/>
    <cellStyle name="Separador de milhares 4 2 10 2 5" xfId="28180"/>
    <cellStyle name="Separador de milhares 4 2 10 3" xfId="17087"/>
    <cellStyle name="Separador de milhares 4 2 10 3 2" xfId="43576"/>
    <cellStyle name="Separador de milhares 4 2 10 4" xfId="11160"/>
    <cellStyle name="Separador de milhares 4 2 10 4 2" xfId="37668"/>
    <cellStyle name="Separador de milhares 4 2 10 5" xfId="31504"/>
    <cellStyle name="Separador de milhares 4 2 10 6" xfId="24970"/>
    <cellStyle name="Separador de milhares 4 2 11" xfId="6721"/>
    <cellStyle name="Separador de milhares 4 2 11 2" xfId="18575"/>
    <cellStyle name="Separador de milhares 4 2 11 2 2" xfId="45062"/>
    <cellStyle name="Separador de milhares 4 2 11 3" xfId="12648"/>
    <cellStyle name="Separador de milhares 4 2 11 3 2" xfId="39154"/>
    <cellStyle name="Separador de milhares 4 2 11 4" xfId="33246"/>
    <cellStyle name="Separador de milhares 4 2 11 5" xfId="26712"/>
    <cellStyle name="Separador de milhares 4 2 12" xfId="15611"/>
    <cellStyle name="Separador de milhares 4 2 12 2" xfId="42108"/>
    <cellStyle name="Separador de milhares 4 2 12 3" xfId="23198"/>
    <cellStyle name="Separador de milhares 4 2 13" xfId="9684"/>
    <cellStyle name="Separador de milhares 4 2 13 2" xfId="36200"/>
    <cellStyle name="Separador de milhares 4 2 14" xfId="29732"/>
    <cellStyle name="Separador de milhares 4 2 15" xfId="21450"/>
    <cellStyle name="Separador de milhares 4 2 2" xfId="796"/>
    <cellStyle name="Separador de milhares 4 2 2 10" xfId="9814"/>
    <cellStyle name="Separador de milhares 4 2 2 10 2" xfId="36327"/>
    <cellStyle name="Separador de milhares 4 2 2 11" xfId="29864"/>
    <cellStyle name="Separador de milhares 4 2 2 12" xfId="21558"/>
    <cellStyle name="Separador de milhares 4 2 2 2" xfId="2133"/>
    <cellStyle name="Separador de milhares 4 2 2 2 2" xfId="5496"/>
    <cellStyle name="Separador de milhares 4 2 2 2 2 2" xfId="8709"/>
    <cellStyle name="Separador de milhares 4 2 2 2 2 2 2" xfId="20563"/>
    <cellStyle name="Separador de milhares 4 2 2 2 2 2 2 2" xfId="47042"/>
    <cellStyle name="Separador de milhares 4 2 2 2 2 2 3" xfId="14636"/>
    <cellStyle name="Separador de milhares 4 2 2 2 2 2 3 2" xfId="41134"/>
    <cellStyle name="Separador de milhares 4 2 2 2 2 2 4" xfId="35226"/>
    <cellStyle name="Separador de milhares 4 2 2 2 2 2 5" xfId="28692"/>
    <cellStyle name="Separador de milhares 4 2 2 2 2 3" xfId="17599"/>
    <cellStyle name="Separador de milhares 4 2 2 2 2 3 2" xfId="44088"/>
    <cellStyle name="Separador de milhares 4 2 2 2 2 4" xfId="11672"/>
    <cellStyle name="Separador de milhares 4 2 2 2 2 4 2" xfId="38180"/>
    <cellStyle name="Separador de milhares 4 2 2 2 2 5" xfId="32023"/>
    <cellStyle name="Separador de milhares 4 2 2 2 2 6" xfId="25489"/>
    <cellStyle name="Separador de milhares 4 2 2 2 3" xfId="7237"/>
    <cellStyle name="Separador de milhares 4 2 2 2 3 2" xfId="19091"/>
    <cellStyle name="Separador de milhares 4 2 2 2 3 2 2" xfId="45574"/>
    <cellStyle name="Separador de milhares 4 2 2 2 3 3" xfId="13164"/>
    <cellStyle name="Separador de milhares 4 2 2 2 3 3 2" xfId="39666"/>
    <cellStyle name="Separador de milhares 4 2 2 2 3 4" xfId="33758"/>
    <cellStyle name="Separador de milhares 4 2 2 2 3 5" xfId="27224"/>
    <cellStyle name="Separador de milhares 4 2 2 2 4" xfId="16127"/>
    <cellStyle name="Separador de milhares 4 2 2 2 4 2" xfId="42620"/>
    <cellStyle name="Separador de milhares 4 2 2 2 4 3" xfId="23717"/>
    <cellStyle name="Separador de milhares 4 2 2 2 5" xfId="10200"/>
    <cellStyle name="Separador de milhares 4 2 2 2 5 2" xfId="36712"/>
    <cellStyle name="Separador de milhares 4 2 2 2 6" xfId="30251"/>
    <cellStyle name="Separador de milhares 4 2 2 2 7" xfId="21945"/>
    <cellStyle name="Separador de milhares 4 2 2 3" xfId="2664"/>
    <cellStyle name="Separador de milhares 4 2 2 3 2" xfId="5644"/>
    <cellStyle name="Separador de milhares 4 2 2 3 2 2" xfId="8856"/>
    <cellStyle name="Separador de milhares 4 2 2 3 2 2 2" xfId="20710"/>
    <cellStyle name="Separador de milhares 4 2 2 3 2 2 2 2" xfId="47189"/>
    <cellStyle name="Separador de milhares 4 2 2 3 2 2 3" xfId="14783"/>
    <cellStyle name="Separador de milhares 4 2 2 3 2 2 3 2" xfId="41281"/>
    <cellStyle name="Separador de milhares 4 2 2 3 2 2 4" xfId="35373"/>
    <cellStyle name="Separador de milhares 4 2 2 3 2 2 5" xfId="28839"/>
    <cellStyle name="Separador de milhares 4 2 2 3 2 3" xfId="17746"/>
    <cellStyle name="Separador de milhares 4 2 2 3 2 3 2" xfId="44235"/>
    <cellStyle name="Separador de milhares 4 2 2 3 2 4" xfId="11819"/>
    <cellStyle name="Separador de milhares 4 2 2 3 2 4 2" xfId="38327"/>
    <cellStyle name="Separador de milhares 4 2 2 3 2 5" xfId="32171"/>
    <cellStyle name="Separador de milhares 4 2 2 3 2 6" xfId="25637"/>
    <cellStyle name="Separador de milhares 4 2 2 3 3" xfId="7385"/>
    <cellStyle name="Separador de milhares 4 2 2 3 3 2" xfId="19239"/>
    <cellStyle name="Separador de milhares 4 2 2 3 3 2 2" xfId="45721"/>
    <cellStyle name="Separador de milhares 4 2 2 3 3 3" xfId="13312"/>
    <cellStyle name="Separador de milhares 4 2 2 3 3 3 2" xfId="39813"/>
    <cellStyle name="Separador de milhares 4 2 2 3 3 4" xfId="33905"/>
    <cellStyle name="Separador de milhares 4 2 2 3 3 5" xfId="27371"/>
    <cellStyle name="Separador de milhares 4 2 2 3 4" xfId="16275"/>
    <cellStyle name="Separador de milhares 4 2 2 3 4 2" xfId="42767"/>
    <cellStyle name="Separador de milhares 4 2 2 3 4 3" xfId="23865"/>
    <cellStyle name="Separador de milhares 4 2 2 3 5" xfId="10348"/>
    <cellStyle name="Separador de milhares 4 2 2 3 5 2" xfId="36859"/>
    <cellStyle name="Separador de milhares 4 2 2 3 6" xfId="30399"/>
    <cellStyle name="Separador de milhares 4 2 2 3 7" xfId="22093"/>
    <cellStyle name="Separador de milhares 4 2 2 4" xfId="3192"/>
    <cellStyle name="Separador de milhares 4 2 2 4 2" xfId="5791"/>
    <cellStyle name="Separador de milhares 4 2 2 4 2 2" xfId="9003"/>
    <cellStyle name="Separador de milhares 4 2 2 4 2 2 2" xfId="20857"/>
    <cellStyle name="Separador de milhares 4 2 2 4 2 2 2 2" xfId="47336"/>
    <cellStyle name="Separador de milhares 4 2 2 4 2 2 3" xfId="14930"/>
    <cellStyle name="Separador de milhares 4 2 2 4 2 2 3 2" xfId="41428"/>
    <cellStyle name="Separador de milhares 4 2 2 4 2 2 4" xfId="35520"/>
    <cellStyle name="Separador de milhares 4 2 2 4 2 2 5" xfId="28986"/>
    <cellStyle name="Separador de milhares 4 2 2 4 2 3" xfId="17893"/>
    <cellStyle name="Separador de milhares 4 2 2 4 2 3 2" xfId="44382"/>
    <cellStyle name="Separador de milhares 4 2 2 4 2 4" xfId="11966"/>
    <cellStyle name="Separador de milhares 4 2 2 4 2 4 2" xfId="38474"/>
    <cellStyle name="Separador de milhares 4 2 2 4 2 5" xfId="32318"/>
    <cellStyle name="Separador de milhares 4 2 2 4 2 6" xfId="25784"/>
    <cellStyle name="Separador de milhares 4 2 2 4 3" xfId="7533"/>
    <cellStyle name="Separador de milhares 4 2 2 4 3 2" xfId="19387"/>
    <cellStyle name="Separador de milhares 4 2 2 4 3 2 2" xfId="45868"/>
    <cellStyle name="Separador de milhares 4 2 2 4 3 3" xfId="13460"/>
    <cellStyle name="Separador de milhares 4 2 2 4 3 3 2" xfId="39960"/>
    <cellStyle name="Separador de milhares 4 2 2 4 3 4" xfId="34052"/>
    <cellStyle name="Separador de milhares 4 2 2 4 3 5" xfId="27518"/>
    <cellStyle name="Separador de milhares 4 2 2 4 4" xfId="16423"/>
    <cellStyle name="Separador de milhares 4 2 2 4 4 2" xfId="42914"/>
    <cellStyle name="Separador de milhares 4 2 2 4 4 3" xfId="24012"/>
    <cellStyle name="Separador de milhares 4 2 2 4 5" xfId="10496"/>
    <cellStyle name="Separador de milhares 4 2 2 4 5 2" xfId="37006"/>
    <cellStyle name="Separador de milhares 4 2 2 4 6" xfId="30546"/>
    <cellStyle name="Separador de milhares 4 2 2 4 7" xfId="22240"/>
    <cellStyle name="Separador de milhares 4 2 2 5" xfId="3720"/>
    <cellStyle name="Separador de milhares 4 2 2 5 2" xfId="5938"/>
    <cellStyle name="Separador de milhares 4 2 2 5 2 2" xfId="9150"/>
    <cellStyle name="Separador de milhares 4 2 2 5 2 2 2" xfId="21004"/>
    <cellStyle name="Separador de milhares 4 2 2 5 2 2 2 2" xfId="47483"/>
    <cellStyle name="Separador de milhares 4 2 2 5 2 2 3" xfId="15077"/>
    <cellStyle name="Separador de milhares 4 2 2 5 2 2 3 2" xfId="41575"/>
    <cellStyle name="Separador de milhares 4 2 2 5 2 2 4" xfId="35667"/>
    <cellStyle name="Separador de milhares 4 2 2 5 2 2 5" xfId="29133"/>
    <cellStyle name="Separador de milhares 4 2 2 5 2 3" xfId="18040"/>
    <cellStyle name="Separador de milhares 4 2 2 5 2 3 2" xfId="44529"/>
    <cellStyle name="Separador de milhares 4 2 2 5 2 4" xfId="12113"/>
    <cellStyle name="Separador de milhares 4 2 2 5 2 4 2" xfId="38621"/>
    <cellStyle name="Separador de milhares 4 2 2 5 2 5" xfId="32465"/>
    <cellStyle name="Separador de milhares 4 2 2 5 2 6" xfId="25931"/>
    <cellStyle name="Separador de milhares 4 2 2 5 3" xfId="7681"/>
    <cellStyle name="Separador de milhares 4 2 2 5 3 2" xfId="19535"/>
    <cellStyle name="Separador de milhares 4 2 2 5 3 2 2" xfId="46015"/>
    <cellStyle name="Separador de milhares 4 2 2 5 3 3" xfId="13608"/>
    <cellStyle name="Separador de milhares 4 2 2 5 3 3 2" xfId="40107"/>
    <cellStyle name="Separador de milhares 4 2 2 5 3 4" xfId="34199"/>
    <cellStyle name="Separador de milhares 4 2 2 5 3 5" xfId="27665"/>
    <cellStyle name="Separador de milhares 4 2 2 5 4" xfId="16571"/>
    <cellStyle name="Separador de milhares 4 2 2 5 4 2" xfId="43061"/>
    <cellStyle name="Separador de milhares 4 2 2 5 4 3" xfId="24159"/>
    <cellStyle name="Separador de milhares 4 2 2 5 5" xfId="10644"/>
    <cellStyle name="Separador de milhares 4 2 2 5 5 2" xfId="37153"/>
    <cellStyle name="Separador de milhares 4 2 2 5 6" xfId="30693"/>
    <cellStyle name="Separador de milhares 4 2 2 5 7" xfId="22387"/>
    <cellStyle name="Separador de milhares 4 2 2 6" xfId="4248"/>
    <cellStyle name="Separador de milhares 4 2 2 6 2" xfId="6085"/>
    <cellStyle name="Separador de milhares 4 2 2 6 2 2" xfId="9297"/>
    <cellStyle name="Separador de milhares 4 2 2 6 2 2 2" xfId="21151"/>
    <cellStyle name="Separador de milhares 4 2 2 6 2 2 2 2" xfId="47630"/>
    <cellStyle name="Separador de milhares 4 2 2 6 2 2 3" xfId="15224"/>
    <cellStyle name="Separador de milhares 4 2 2 6 2 2 3 2" xfId="41722"/>
    <cellStyle name="Separador de milhares 4 2 2 6 2 2 4" xfId="35814"/>
    <cellStyle name="Separador de milhares 4 2 2 6 2 2 5" xfId="29280"/>
    <cellStyle name="Separador de milhares 4 2 2 6 2 3" xfId="18187"/>
    <cellStyle name="Separador de milhares 4 2 2 6 2 3 2" xfId="44676"/>
    <cellStyle name="Separador de milhares 4 2 2 6 2 4" xfId="12260"/>
    <cellStyle name="Separador de milhares 4 2 2 6 2 4 2" xfId="38768"/>
    <cellStyle name="Separador de milhares 4 2 2 6 2 5" xfId="32612"/>
    <cellStyle name="Separador de milhares 4 2 2 6 2 6" xfId="26078"/>
    <cellStyle name="Separador de milhares 4 2 2 6 3" xfId="7829"/>
    <cellStyle name="Separador de milhares 4 2 2 6 3 2" xfId="19683"/>
    <cellStyle name="Separador de milhares 4 2 2 6 3 2 2" xfId="46162"/>
    <cellStyle name="Separador de milhares 4 2 2 6 3 3" xfId="13756"/>
    <cellStyle name="Separador de milhares 4 2 2 6 3 3 2" xfId="40254"/>
    <cellStyle name="Separador de milhares 4 2 2 6 3 4" xfId="34346"/>
    <cellStyle name="Separador de milhares 4 2 2 6 3 5" xfId="27812"/>
    <cellStyle name="Separador de milhares 4 2 2 6 4" xfId="16719"/>
    <cellStyle name="Separador de milhares 4 2 2 6 4 2" xfId="43208"/>
    <cellStyle name="Separador de milhares 4 2 2 6 4 3" xfId="24306"/>
    <cellStyle name="Separador de milhares 4 2 2 6 5" xfId="10792"/>
    <cellStyle name="Separador de milhares 4 2 2 6 5 2" xfId="37300"/>
    <cellStyle name="Separador de milhares 4 2 2 6 6" xfId="30840"/>
    <cellStyle name="Separador de milhares 4 2 2 6 7" xfId="22534"/>
    <cellStyle name="Separador de milhares 4 2 2 7" xfId="5109"/>
    <cellStyle name="Separador de milhares 4 2 2 7 2" xfId="8324"/>
    <cellStyle name="Separador de milhares 4 2 2 7 2 2" xfId="20178"/>
    <cellStyle name="Separador de milhares 4 2 2 7 2 2 2" xfId="46657"/>
    <cellStyle name="Separador de milhares 4 2 2 7 2 3" xfId="14251"/>
    <cellStyle name="Separador de milhares 4 2 2 7 2 3 2" xfId="40749"/>
    <cellStyle name="Separador de milhares 4 2 2 7 2 4" xfId="34841"/>
    <cellStyle name="Separador de milhares 4 2 2 7 2 5" xfId="28307"/>
    <cellStyle name="Separador de milhares 4 2 2 7 3" xfId="17214"/>
    <cellStyle name="Separador de milhares 4 2 2 7 3 2" xfId="43703"/>
    <cellStyle name="Separador de milhares 4 2 2 7 4" xfId="11287"/>
    <cellStyle name="Separador de milhares 4 2 2 7 4 2" xfId="37795"/>
    <cellStyle name="Separador de milhares 4 2 2 7 5" xfId="31636"/>
    <cellStyle name="Separador de milhares 4 2 2 7 6" xfId="25102"/>
    <cellStyle name="Separador de milhares 4 2 2 8" xfId="6851"/>
    <cellStyle name="Separador de milhares 4 2 2 8 2" xfId="18705"/>
    <cellStyle name="Separador de milhares 4 2 2 8 2 2" xfId="45189"/>
    <cellStyle name="Separador de milhares 4 2 2 8 3" xfId="12778"/>
    <cellStyle name="Separador de milhares 4 2 2 8 3 2" xfId="39281"/>
    <cellStyle name="Separador de milhares 4 2 2 8 4" xfId="33373"/>
    <cellStyle name="Separador de milhares 4 2 2 8 5" xfId="26839"/>
    <cellStyle name="Separador de milhares 4 2 2 9" xfId="15741"/>
    <cellStyle name="Separador de milhares 4 2 2 9 2" xfId="42235"/>
    <cellStyle name="Separador de milhares 4 2 2 9 3" xfId="23330"/>
    <cellStyle name="Separador de milhares 4 2 3" xfId="1084"/>
    <cellStyle name="Separador de milhares 4 2 3 2" xfId="5207"/>
    <cellStyle name="Separador de milhares 4 2 3 2 2" xfId="8422"/>
    <cellStyle name="Separador de milhares 4 2 3 2 2 2" xfId="20276"/>
    <cellStyle name="Separador de milhares 4 2 3 2 2 2 2" xfId="46755"/>
    <cellStyle name="Separador de milhares 4 2 3 2 2 3" xfId="14349"/>
    <cellStyle name="Separador de milhares 4 2 3 2 2 3 2" xfId="40847"/>
    <cellStyle name="Separador de milhares 4 2 3 2 2 4" xfId="34939"/>
    <cellStyle name="Separador de milhares 4 2 3 2 2 5" xfId="28405"/>
    <cellStyle name="Separador de milhares 4 2 3 2 3" xfId="17312"/>
    <cellStyle name="Separador de milhares 4 2 3 2 3 2" xfId="43801"/>
    <cellStyle name="Separador de milhares 4 2 3 2 4" xfId="11385"/>
    <cellStyle name="Separador de milhares 4 2 3 2 4 2" xfId="37893"/>
    <cellStyle name="Separador de milhares 4 2 3 2 5" xfId="31734"/>
    <cellStyle name="Separador de milhares 4 2 3 2 6" xfId="25200"/>
    <cellStyle name="Separador de milhares 4 2 3 3" xfId="6949"/>
    <cellStyle name="Separador de milhares 4 2 3 3 2" xfId="18803"/>
    <cellStyle name="Separador de milhares 4 2 3 3 2 2" xfId="45287"/>
    <cellStyle name="Separador de milhares 4 2 3 3 3" xfId="12876"/>
    <cellStyle name="Separador de milhares 4 2 3 3 3 2" xfId="39379"/>
    <cellStyle name="Separador de milhares 4 2 3 3 4" xfId="33471"/>
    <cellStyle name="Separador de milhares 4 2 3 3 5" xfId="26937"/>
    <cellStyle name="Separador de milhares 4 2 3 4" xfId="15839"/>
    <cellStyle name="Separador de milhares 4 2 3 4 2" xfId="42333"/>
    <cellStyle name="Separador de milhares 4 2 3 4 3" xfId="23428"/>
    <cellStyle name="Separador de milhares 4 2 3 5" xfId="9912"/>
    <cellStyle name="Separador de milhares 4 2 3 5 2" xfId="36425"/>
    <cellStyle name="Separador de milhares 4 2 3 6" xfId="29962"/>
    <cellStyle name="Separador de milhares 4 2 3 7" xfId="21656"/>
    <cellStyle name="Separador de milhares 4 2 4" xfId="1435"/>
    <cellStyle name="Separador de milhares 4 2 4 2" xfId="5305"/>
    <cellStyle name="Separador de milhares 4 2 4 2 2" xfId="8520"/>
    <cellStyle name="Separador de milhares 4 2 4 2 2 2" xfId="20374"/>
    <cellStyle name="Separador de milhares 4 2 4 2 2 2 2" xfId="46853"/>
    <cellStyle name="Separador de milhares 4 2 4 2 2 3" xfId="14447"/>
    <cellStyle name="Separador de milhares 4 2 4 2 2 3 2" xfId="40945"/>
    <cellStyle name="Separador de milhares 4 2 4 2 2 4" xfId="35037"/>
    <cellStyle name="Separador de milhares 4 2 4 2 2 5" xfId="28503"/>
    <cellStyle name="Separador de milhares 4 2 4 2 3" xfId="17410"/>
    <cellStyle name="Separador de milhares 4 2 4 2 3 2" xfId="43899"/>
    <cellStyle name="Separador de milhares 4 2 4 2 4" xfId="11483"/>
    <cellStyle name="Separador de milhares 4 2 4 2 4 2" xfId="37991"/>
    <cellStyle name="Separador de milhares 4 2 4 2 5" xfId="31832"/>
    <cellStyle name="Separador de milhares 4 2 4 2 6" xfId="25298"/>
    <cellStyle name="Separador de milhares 4 2 4 3" xfId="7047"/>
    <cellStyle name="Separador de milhares 4 2 4 3 2" xfId="18901"/>
    <cellStyle name="Separador de milhares 4 2 4 3 2 2" xfId="45385"/>
    <cellStyle name="Separador de milhares 4 2 4 3 3" xfId="12974"/>
    <cellStyle name="Separador de milhares 4 2 4 3 3 2" xfId="39477"/>
    <cellStyle name="Separador de milhares 4 2 4 3 4" xfId="33569"/>
    <cellStyle name="Separador de milhares 4 2 4 3 5" xfId="27035"/>
    <cellStyle name="Separador de milhares 4 2 4 4" xfId="15937"/>
    <cellStyle name="Separador de milhares 4 2 4 4 2" xfId="42431"/>
    <cellStyle name="Separador de milhares 4 2 4 4 3" xfId="23526"/>
    <cellStyle name="Separador de milhares 4 2 4 5" xfId="10010"/>
    <cellStyle name="Separador de milhares 4 2 4 5 2" xfId="36523"/>
    <cellStyle name="Separador de milhares 4 2 4 6" xfId="30060"/>
    <cellStyle name="Separador de milhares 4 2 4 7" xfId="21754"/>
    <cellStyle name="Separador de milhares 4 2 5" xfId="1870"/>
    <cellStyle name="Separador de milhares 4 2 5 2" xfId="5424"/>
    <cellStyle name="Separador de milhares 4 2 5 2 2" xfId="8639"/>
    <cellStyle name="Separador de milhares 4 2 5 2 2 2" xfId="20493"/>
    <cellStyle name="Separador de milhares 4 2 5 2 2 2 2" xfId="46972"/>
    <cellStyle name="Separador de milhares 4 2 5 2 2 3" xfId="14566"/>
    <cellStyle name="Separador de milhares 4 2 5 2 2 3 2" xfId="41064"/>
    <cellStyle name="Separador de milhares 4 2 5 2 2 4" xfId="35156"/>
    <cellStyle name="Separador de milhares 4 2 5 2 2 5" xfId="28622"/>
    <cellStyle name="Separador de milhares 4 2 5 2 3" xfId="17529"/>
    <cellStyle name="Separador de milhares 4 2 5 2 3 2" xfId="44018"/>
    <cellStyle name="Separador de milhares 4 2 5 2 4" xfId="11602"/>
    <cellStyle name="Separador de milhares 4 2 5 2 4 2" xfId="38110"/>
    <cellStyle name="Separador de milhares 4 2 5 2 5" xfId="31951"/>
    <cellStyle name="Separador de milhares 4 2 5 2 6" xfId="25417"/>
    <cellStyle name="Separador de milhares 4 2 5 3" xfId="7166"/>
    <cellStyle name="Separador de milhares 4 2 5 3 2" xfId="19020"/>
    <cellStyle name="Separador de milhares 4 2 5 3 2 2" xfId="45504"/>
    <cellStyle name="Separador de milhares 4 2 5 3 3" xfId="13093"/>
    <cellStyle name="Separador de milhares 4 2 5 3 3 2" xfId="39596"/>
    <cellStyle name="Separador de milhares 4 2 5 3 4" xfId="33688"/>
    <cellStyle name="Separador de milhares 4 2 5 3 5" xfId="27154"/>
    <cellStyle name="Separador de milhares 4 2 5 4" xfId="16056"/>
    <cellStyle name="Separador de milhares 4 2 5 4 2" xfId="42550"/>
    <cellStyle name="Separador de milhares 4 2 5 4 3" xfId="23645"/>
    <cellStyle name="Separador de milhares 4 2 5 5" xfId="10129"/>
    <cellStyle name="Separador de milhares 4 2 5 5 2" xfId="36642"/>
    <cellStyle name="Separador de milhares 4 2 5 6" xfId="30179"/>
    <cellStyle name="Separador de milhares 4 2 5 7" xfId="21873"/>
    <cellStyle name="Separador de milhares 4 2 6" xfId="2403"/>
    <cellStyle name="Separador de milhares 4 2 6 2" xfId="5574"/>
    <cellStyle name="Separador de milhares 4 2 6 2 2" xfId="8786"/>
    <cellStyle name="Separador de milhares 4 2 6 2 2 2" xfId="20640"/>
    <cellStyle name="Separador de milhares 4 2 6 2 2 2 2" xfId="47119"/>
    <cellStyle name="Separador de milhares 4 2 6 2 2 3" xfId="14713"/>
    <cellStyle name="Separador de milhares 4 2 6 2 2 3 2" xfId="41211"/>
    <cellStyle name="Separador de milhares 4 2 6 2 2 4" xfId="35303"/>
    <cellStyle name="Separador de milhares 4 2 6 2 2 5" xfId="28769"/>
    <cellStyle name="Separador de milhares 4 2 6 2 3" xfId="17676"/>
    <cellStyle name="Separador de milhares 4 2 6 2 3 2" xfId="44165"/>
    <cellStyle name="Separador de milhares 4 2 6 2 4" xfId="11749"/>
    <cellStyle name="Separador de milhares 4 2 6 2 4 2" xfId="38257"/>
    <cellStyle name="Separador de milhares 4 2 6 2 5" xfId="32101"/>
    <cellStyle name="Separador de milhares 4 2 6 2 6" xfId="25567"/>
    <cellStyle name="Separador de milhares 4 2 6 3" xfId="7314"/>
    <cellStyle name="Separador de milhares 4 2 6 3 2" xfId="19168"/>
    <cellStyle name="Separador de milhares 4 2 6 3 2 2" xfId="45651"/>
    <cellStyle name="Separador de milhares 4 2 6 3 3" xfId="13241"/>
    <cellStyle name="Separador de milhares 4 2 6 3 3 2" xfId="39743"/>
    <cellStyle name="Separador de milhares 4 2 6 3 4" xfId="33835"/>
    <cellStyle name="Separador de milhares 4 2 6 3 5" xfId="27301"/>
    <cellStyle name="Separador de milhares 4 2 6 4" xfId="16204"/>
    <cellStyle name="Separador de milhares 4 2 6 4 2" xfId="42697"/>
    <cellStyle name="Separador de milhares 4 2 6 4 3" xfId="23795"/>
    <cellStyle name="Separador de milhares 4 2 6 5" xfId="10277"/>
    <cellStyle name="Separador de milhares 4 2 6 5 2" xfId="36789"/>
    <cellStyle name="Separador de milhares 4 2 6 6" xfId="30329"/>
    <cellStyle name="Separador de milhares 4 2 6 7" xfId="22023"/>
    <cellStyle name="Separador de milhares 4 2 7" xfId="2931"/>
    <cellStyle name="Separador de milhares 4 2 7 2" xfId="5721"/>
    <cellStyle name="Separador de milhares 4 2 7 2 2" xfId="8933"/>
    <cellStyle name="Separador de milhares 4 2 7 2 2 2" xfId="20787"/>
    <cellStyle name="Separador de milhares 4 2 7 2 2 2 2" xfId="47266"/>
    <cellStyle name="Separador de milhares 4 2 7 2 2 3" xfId="14860"/>
    <cellStyle name="Separador de milhares 4 2 7 2 2 3 2" xfId="41358"/>
    <cellStyle name="Separador de milhares 4 2 7 2 2 4" xfId="35450"/>
    <cellStyle name="Separador de milhares 4 2 7 2 2 5" xfId="28916"/>
    <cellStyle name="Separador de milhares 4 2 7 2 3" xfId="17823"/>
    <cellStyle name="Separador de milhares 4 2 7 2 3 2" xfId="44312"/>
    <cellStyle name="Separador de milhares 4 2 7 2 4" xfId="11896"/>
    <cellStyle name="Separador de milhares 4 2 7 2 4 2" xfId="38404"/>
    <cellStyle name="Separador de milhares 4 2 7 2 5" xfId="32248"/>
    <cellStyle name="Separador de milhares 4 2 7 2 6" xfId="25714"/>
    <cellStyle name="Separador de milhares 4 2 7 3" xfId="7462"/>
    <cellStyle name="Separador de milhares 4 2 7 3 2" xfId="19316"/>
    <cellStyle name="Separador de milhares 4 2 7 3 2 2" xfId="45798"/>
    <cellStyle name="Separador de milhares 4 2 7 3 3" xfId="13389"/>
    <cellStyle name="Separador de milhares 4 2 7 3 3 2" xfId="39890"/>
    <cellStyle name="Separador de milhares 4 2 7 3 4" xfId="33982"/>
    <cellStyle name="Separador de milhares 4 2 7 3 5" xfId="27448"/>
    <cellStyle name="Separador de milhares 4 2 7 4" xfId="16352"/>
    <cellStyle name="Separador de milhares 4 2 7 4 2" xfId="42844"/>
    <cellStyle name="Separador de milhares 4 2 7 4 3" xfId="23942"/>
    <cellStyle name="Separador de milhares 4 2 7 5" xfId="10425"/>
    <cellStyle name="Separador de milhares 4 2 7 5 2" xfId="36936"/>
    <cellStyle name="Separador de milhares 4 2 7 6" xfId="30476"/>
    <cellStyle name="Separador de milhares 4 2 7 7" xfId="22170"/>
    <cellStyle name="Separador de milhares 4 2 8" xfId="3459"/>
    <cellStyle name="Separador de milhares 4 2 8 2" xfId="5868"/>
    <cellStyle name="Separador de milhares 4 2 8 2 2" xfId="9080"/>
    <cellStyle name="Separador de milhares 4 2 8 2 2 2" xfId="20934"/>
    <cellStyle name="Separador de milhares 4 2 8 2 2 2 2" xfId="47413"/>
    <cellStyle name="Separador de milhares 4 2 8 2 2 3" xfId="15007"/>
    <cellStyle name="Separador de milhares 4 2 8 2 2 3 2" xfId="41505"/>
    <cellStyle name="Separador de milhares 4 2 8 2 2 4" xfId="35597"/>
    <cellStyle name="Separador de milhares 4 2 8 2 2 5" xfId="29063"/>
    <cellStyle name="Separador de milhares 4 2 8 2 3" xfId="17970"/>
    <cellStyle name="Separador de milhares 4 2 8 2 3 2" xfId="44459"/>
    <cellStyle name="Separador de milhares 4 2 8 2 4" xfId="12043"/>
    <cellStyle name="Separador de milhares 4 2 8 2 4 2" xfId="38551"/>
    <cellStyle name="Separador de milhares 4 2 8 2 5" xfId="32395"/>
    <cellStyle name="Separador de milhares 4 2 8 2 6" xfId="25861"/>
    <cellStyle name="Separador de milhares 4 2 8 3" xfId="7610"/>
    <cellStyle name="Separador de milhares 4 2 8 3 2" xfId="19464"/>
    <cellStyle name="Separador de milhares 4 2 8 3 2 2" xfId="45945"/>
    <cellStyle name="Separador de milhares 4 2 8 3 3" xfId="13537"/>
    <cellStyle name="Separador de milhares 4 2 8 3 3 2" xfId="40037"/>
    <cellStyle name="Separador de milhares 4 2 8 3 4" xfId="34129"/>
    <cellStyle name="Separador de milhares 4 2 8 3 5" xfId="27595"/>
    <cellStyle name="Separador de milhares 4 2 8 4" xfId="16500"/>
    <cellStyle name="Separador de milhares 4 2 8 4 2" xfId="42991"/>
    <cellStyle name="Separador de milhares 4 2 8 4 3" xfId="24089"/>
    <cellStyle name="Separador de milhares 4 2 8 5" xfId="10573"/>
    <cellStyle name="Separador de milhares 4 2 8 5 2" xfId="37083"/>
    <cellStyle name="Separador de milhares 4 2 8 6" xfId="30623"/>
    <cellStyle name="Separador de milhares 4 2 8 7" xfId="22317"/>
    <cellStyle name="Separador de milhares 4 2 9" xfId="3987"/>
    <cellStyle name="Separador de milhares 4 2 9 2" xfId="6015"/>
    <cellStyle name="Separador de milhares 4 2 9 2 2" xfId="9227"/>
    <cellStyle name="Separador de milhares 4 2 9 2 2 2" xfId="21081"/>
    <cellStyle name="Separador de milhares 4 2 9 2 2 2 2" xfId="47560"/>
    <cellStyle name="Separador de milhares 4 2 9 2 2 3" xfId="15154"/>
    <cellStyle name="Separador de milhares 4 2 9 2 2 3 2" xfId="41652"/>
    <cellStyle name="Separador de milhares 4 2 9 2 2 4" xfId="35744"/>
    <cellStyle name="Separador de milhares 4 2 9 2 2 5" xfId="29210"/>
    <cellStyle name="Separador de milhares 4 2 9 2 3" xfId="18117"/>
    <cellStyle name="Separador de milhares 4 2 9 2 3 2" xfId="44606"/>
    <cellStyle name="Separador de milhares 4 2 9 2 4" xfId="12190"/>
    <cellStyle name="Separador de milhares 4 2 9 2 4 2" xfId="38698"/>
    <cellStyle name="Separador de milhares 4 2 9 2 5" xfId="32542"/>
    <cellStyle name="Separador de milhares 4 2 9 2 6" xfId="26008"/>
    <cellStyle name="Separador de milhares 4 2 9 3" xfId="7758"/>
    <cellStyle name="Separador de milhares 4 2 9 3 2" xfId="19612"/>
    <cellStyle name="Separador de milhares 4 2 9 3 2 2" xfId="46092"/>
    <cellStyle name="Separador de milhares 4 2 9 3 3" xfId="13685"/>
    <cellStyle name="Separador de milhares 4 2 9 3 3 2" xfId="40184"/>
    <cellStyle name="Separador de milhares 4 2 9 3 4" xfId="34276"/>
    <cellStyle name="Separador de milhares 4 2 9 3 5" xfId="27742"/>
    <cellStyle name="Separador de milhares 4 2 9 4" xfId="16648"/>
    <cellStyle name="Separador de milhares 4 2 9 4 2" xfId="43138"/>
    <cellStyle name="Separador de milhares 4 2 9 4 3" xfId="24236"/>
    <cellStyle name="Separador de milhares 4 2 9 5" xfId="10721"/>
    <cellStyle name="Separador de milhares 4 2 9 5 2" xfId="37230"/>
    <cellStyle name="Separador de milhares 4 2 9 6" xfId="30770"/>
    <cellStyle name="Separador de milhares 4 2 9 7" xfId="22464"/>
    <cellStyle name="Separador de milhares 4 3" xfId="434"/>
    <cellStyle name="Separador de milhares 4 3 10" xfId="5008"/>
    <cellStyle name="Separador de milhares 4 3 10 2" xfId="8225"/>
    <cellStyle name="Separador de milhares 4 3 10 2 2" xfId="20079"/>
    <cellStyle name="Separador de milhares 4 3 10 2 2 2" xfId="46558"/>
    <cellStyle name="Separador de milhares 4 3 10 2 3" xfId="14152"/>
    <cellStyle name="Separador de milhares 4 3 10 2 3 2" xfId="40650"/>
    <cellStyle name="Separador de milhares 4 3 10 2 4" xfId="34742"/>
    <cellStyle name="Separador de milhares 4 3 10 2 5" xfId="28208"/>
    <cellStyle name="Separador de milhares 4 3 10 3" xfId="17115"/>
    <cellStyle name="Separador de milhares 4 3 10 3 2" xfId="43604"/>
    <cellStyle name="Separador de milhares 4 3 10 4" xfId="11188"/>
    <cellStyle name="Separador de milhares 4 3 10 4 2" xfId="37696"/>
    <cellStyle name="Separador de milhares 4 3 10 5" xfId="31535"/>
    <cellStyle name="Separador de milhares 4 3 10 6" xfId="25001"/>
    <cellStyle name="Separador de milhares 4 3 11" xfId="6749"/>
    <cellStyle name="Separador de milhares 4 3 11 2" xfId="18603"/>
    <cellStyle name="Separador de milhares 4 3 11 2 2" xfId="45090"/>
    <cellStyle name="Separador de milhares 4 3 11 3" xfId="12676"/>
    <cellStyle name="Separador de milhares 4 3 11 3 2" xfId="39182"/>
    <cellStyle name="Separador de milhares 4 3 11 4" xfId="33274"/>
    <cellStyle name="Separador de milhares 4 3 11 5" xfId="26740"/>
    <cellStyle name="Separador de milhares 4 3 12" xfId="15639"/>
    <cellStyle name="Separador de milhares 4 3 12 2" xfId="42136"/>
    <cellStyle name="Separador de milhares 4 3 12 3" xfId="23229"/>
    <cellStyle name="Separador de milhares 4 3 13" xfId="9712"/>
    <cellStyle name="Separador de milhares 4 3 13 2" xfId="36228"/>
    <cellStyle name="Separador de milhares 4 3 14" xfId="29763"/>
    <cellStyle name="Separador de milhares 4 3 15" xfId="21481"/>
    <cellStyle name="Separador de milhares 4 3 2" xfId="789"/>
    <cellStyle name="Separador de milhares 4 3 2 2" xfId="5102"/>
    <cellStyle name="Separador de milhares 4 3 2 2 2" xfId="8317"/>
    <cellStyle name="Separador de milhares 4 3 2 2 2 2" xfId="20171"/>
    <cellStyle name="Separador de milhares 4 3 2 2 2 2 2" xfId="46650"/>
    <cellStyle name="Separador de milhares 4 3 2 2 2 3" xfId="14244"/>
    <cellStyle name="Separador de milhares 4 3 2 2 2 3 2" xfId="40742"/>
    <cellStyle name="Separador de milhares 4 3 2 2 2 4" xfId="34834"/>
    <cellStyle name="Separador de milhares 4 3 2 2 2 5" xfId="28300"/>
    <cellStyle name="Separador de milhares 4 3 2 2 3" xfId="17207"/>
    <cellStyle name="Separador de milhares 4 3 2 2 3 2" xfId="43696"/>
    <cellStyle name="Separador de milhares 4 3 2 2 4" xfId="11280"/>
    <cellStyle name="Separador de milhares 4 3 2 2 4 2" xfId="37788"/>
    <cellStyle name="Separador de milhares 4 3 2 2 5" xfId="31629"/>
    <cellStyle name="Separador de milhares 4 3 2 2 6" xfId="25095"/>
    <cellStyle name="Separador de milhares 4 3 2 3" xfId="6844"/>
    <cellStyle name="Separador de milhares 4 3 2 3 2" xfId="18698"/>
    <cellStyle name="Separador de milhares 4 3 2 3 2 2" xfId="45182"/>
    <cellStyle name="Separador de milhares 4 3 2 3 3" xfId="12771"/>
    <cellStyle name="Separador de milhares 4 3 2 3 3 2" xfId="39274"/>
    <cellStyle name="Separador de milhares 4 3 2 3 4" xfId="33366"/>
    <cellStyle name="Separador de milhares 4 3 2 3 5" xfId="26832"/>
    <cellStyle name="Separador de milhares 4 3 2 4" xfId="15734"/>
    <cellStyle name="Separador de milhares 4 3 2 4 2" xfId="42228"/>
    <cellStyle name="Separador de milhares 4 3 2 4 3" xfId="23323"/>
    <cellStyle name="Separador de milhares 4 3 2 5" xfId="9807"/>
    <cellStyle name="Separador de milhares 4 3 2 5 2" xfId="36320"/>
    <cellStyle name="Separador de milhares 4 3 2 6" xfId="29857"/>
    <cellStyle name="Separador de milhares 4 3 2 7" xfId="21551"/>
    <cellStyle name="Separador de milhares 4 3 3" xfId="993"/>
    <cellStyle name="Separador de milhares 4 3 3 2" xfId="5179"/>
    <cellStyle name="Separador de milhares 4 3 3 2 2" xfId="8394"/>
    <cellStyle name="Separador de milhares 4 3 3 2 2 2" xfId="20248"/>
    <cellStyle name="Separador de milhares 4 3 3 2 2 2 2" xfId="46727"/>
    <cellStyle name="Separador de milhares 4 3 3 2 2 3" xfId="14321"/>
    <cellStyle name="Separador de milhares 4 3 3 2 2 3 2" xfId="40819"/>
    <cellStyle name="Separador de milhares 4 3 3 2 2 4" xfId="34911"/>
    <cellStyle name="Separador de milhares 4 3 3 2 2 5" xfId="28377"/>
    <cellStyle name="Separador de milhares 4 3 3 2 3" xfId="17284"/>
    <cellStyle name="Separador de milhares 4 3 3 2 3 2" xfId="43773"/>
    <cellStyle name="Separador de milhares 4 3 3 2 4" xfId="11357"/>
    <cellStyle name="Separador de milhares 4 3 3 2 4 2" xfId="37865"/>
    <cellStyle name="Separador de milhares 4 3 3 2 5" xfId="31706"/>
    <cellStyle name="Separador de milhares 4 3 3 2 6" xfId="25172"/>
    <cellStyle name="Separador de milhares 4 3 3 3" xfId="6921"/>
    <cellStyle name="Separador de milhares 4 3 3 3 2" xfId="18775"/>
    <cellStyle name="Separador de milhares 4 3 3 3 2 2" xfId="45259"/>
    <cellStyle name="Separador de milhares 4 3 3 3 3" xfId="12848"/>
    <cellStyle name="Separador de milhares 4 3 3 3 3 2" xfId="39351"/>
    <cellStyle name="Separador de milhares 4 3 3 3 4" xfId="33443"/>
    <cellStyle name="Separador de milhares 4 3 3 3 5" xfId="26909"/>
    <cellStyle name="Separador de milhares 4 3 3 4" xfId="15811"/>
    <cellStyle name="Separador de milhares 4 3 3 4 2" xfId="42305"/>
    <cellStyle name="Separador de milhares 4 3 3 4 3" xfId="23400"/>
    <cellStyle name="Separador de milhares 4 3 3 5" xfId="9884"/>
    <cellStyle name="Separador de milhares 4 3 3 5 2" xfId="36397"/>
    <cellStyle name="Separador de milhares 4 3 3 6" xfId="29934"/>
    <cellStyle name="Separador de milhares 4 3 3 7" xfId="21628"/>
    <cellStyle name="Separador de milhares 4 3 4" xfId="1344"/>
    <cellStyle name="Separador de milhares 4 3 4 2" xfId="5277"/>
    <cellStyle name="Separador de milhares 4 3 4 2 2" xfId="8492"/>
    <cellStyle name="Separador de milhares 4 3 4 2 2 2" xfId="20346"/>
    <cellStyle name="Separador de milhares 4 3 4 2 2 2 2" xfId="46825"/>
    <cellStyle name="Separador de milhares 4 3 4 2 2 3" xfId="14419"/>
    <cellStyle name="Separador de milhares 4 3 4 2 2 3 2" xfId="40917"/>
    <cellStyle name="Separador de milhares 4 3 4 2 2 4" xfId="35009"/>
    <cellStyle name="Separador de milhares 4 3 4 2 2 5" xfId="28475"/>
    <cellStyle name="Separador de milhares 4 3 4 2 3" xfId="17382"/>
    <cellStyle name="Separador de milhares 4 3 4 2 3 2" xfId="43871"/>
    <cellStyle name="Separador de milhares 4 3 4 2 4" xfId="11455"/>
    <cellStyle name="Separador de milhares 4 3 4 2 4 2" xfId="37963"/>
    <cellStyle name="Separador de milhares 4 3 4 2 5" xfId="31804"/>
    <cellStyle name="Separador de milhares 4 3 4 2 6" xfId="25270"/>
    <cellStyle name="Separador de milhares 4 3 4 3" xfId="7019"/>
    <cellStyle name="Separador de milhares 4 3 4 3 2" xfId="18873"/>
    <cellStyle name="Separador de milhares 4 3 4 3 2 2" xfId="45357"/>
    <cellStyle name="Separador de milhares 4 3 4 3 3" xfId="12946"/>
    <cellStyle name="Separador de milhares 4 3 4 3 3 2" xfId="39449"/>
    <cellStyle name="Separador de milhares 4 3 4 3 4" xfId="33541"/>
    <cellStyle name="Separador de milhares 4 3 4 3 5" xfId="27007"/>
    <cellStyle name="Separador de milhares 4 3 4 4" xfId="15909"/>
    <cellStyle name="Separador de milhares 4 3 4 4 2" xfId="42403"/>
    <cellStyle name="Separador de milhares 4 3 4 4 3" xfId="23498"/>
    <cellStyle name="Separador de milhares 4 3 4 5" xfId="9982"/>
    <cellStyle name="Separador de milhares 4 3 4 5 2" xfId="36495"/>
    <cellStyle name="Separador de milhares 4 3 4 6" xfId="30032"/>
    <cellStyle name="Separador de milhares 4 3 4 7" xfId="21726"/>
    <cellStyle name="Separador de milhares 4 3 5" xfId="1779"/>
    <cellStyle name="Separador de milhares 4 3 5 2" xfId="5396"/>
    <cellStyle name="Separador de milhares 4 3 5 2 2" xfId="8611"/>
    <cellStyle name="Separador de milhares 4 3 5 2 2 2" xfId="20465"/>
    <cellStyle name="Separador de milhares 4 3 5 2 2 2 2" xfId="46944"/>
    <cellStyle name="Separador de milhares 4 3 5 2 2 3" xfId="14538"/>
    <cellStyle name="Separador de milhares 4 3 5 2 2 3 2" xfId="41036"/>
    <cellStyle name="Separador de milhares 4 3 5 2 2 4" xfId="35128"/>
    <cellStyle name="Separador de milhares 4 3 5 2 2 5" xfId="28594"/>
    <cellStyle name="Separador de milhares 4 3 5 2 3" xfId="17501"/>
    <cellStyle name="Separador de milhares 4 3 5 2 3 2" xfId="43990"/>
    <cellStyle name="Separador de milhares 4 3 5 2 4" xfId="11574"/>
    <cellStyle name="Separador de milhares 4 3 5 2 4 2" xfId="38082"/>
    <cellStyle name="Separador de milhares 4 3 5 2 5" xfId="31923"/>
    <cellStyle name="Separador de milhares 4 3 5 2 6" xfId="25389"/>
    <cellStyle name="Separador de milhares 4 3 5 3" xfId="7138"/>
    <cellStyle name="Separador de milhares 4 3 5 3 2" xfId="18992"/>
    <cellStyle name="Separador de milhares 4 3 5 3 2 2" xfId="45476"/>
    <cellStyle name="Separador de milhares 4 3 5 3 3" xfId="13065"/>
    <cellStyle name="Separador de milhares 4 3 5 3 3 2" xfId="39568"/>
    <cellStyle name="Separador de milhares 4 3 5 3 4" xfId="33660"/>
    <cellStyle name="Separador de milhares 4 3 5 3 5" xfId="27126"/>
    <cellStyle name="Separador de milhares 4 3 5 4" xfId="16028"/>
    <cellStyle name="Separador de milhares 4 3 5 4 2" xfId="42522"/>
    <cellStyle name="Separador de milhares 4 3 5 4 3" xfId="23617"/>
    <cellStyle name="Separador de milhares 4 3 5 5" xfId="10101"/>
    <cellStyle name="Separador de milhares 4 3 5 5 2" xfId="36614"/>
    <cellStyle name="Separador de milhares 4 3 5 6" xfId="30151"/>
    <cellStyle name="Separador de milhares 4 3 5 7" xfId="21845"/>
    <cellStyle name="Separador de milhares 4 3 6" xfId="2312"/>
    <cellStyle name="Separador de milhares 4 3 6 2" xfId="5546"/>
    <cellStyle name="Separador de milhares 4 3 6 2 2" xfId="8758"/>
    <cellStyle name="Separador de milhares 4 3 6 2 2 2" xfId="20612"/>
    <cellStyle name="Separador de milhares 4 3 6 2 2 2 2" xfId="47091"/>
    <cellStyle name="Separador de milhares 4 3 6 2 2 3" xfId="14685"/>
    <cellStyle name="Separador de milhares 4 3 6 2 2 3 2" xfId="41183"/>
    <cellStyle name="Separador de milhares 4 3 6 2 2 4" xfId="35275"/>
    <cellStyle name="Separador de milhares 4 3 6 2 2 5" xfId="28741"/>
    <cellStyle name="Separador de milhares 4 3 6 2 3" xfId="17648"/>
    <cellStyle name="Separador de milhares 4 3 6 2 3 2" xfId="44137"/>
    <cellStyle name="Separador de milhares 4 3 6 2 4" xfId="11721"/>
    <cellStyle name="Separador de milhares 4 3 6 2 4 2" xfId="38229"/>
    <cellStyle name="Separador de milhares 4 3 6 2 5" xfId="32073"/>
    <cellStyle name="Separador de milhares 4 3 6 2 6" xfId="25539"/>
    <cellStyle name="Separador de milhares 4 3 6 3" xfId="7286"/>
    <cellStyle name="Separador de milhares 4 3 6 3 2" xfId="19140"/>
    <cellStyle name="Separador de milhares 4 3 6 3 2 2" xfId="45623"/>
    <cellStyle name="Separador de milhares 4 3 6 3 3" xfId="13213"/>
    <cellStyle name="Separador de milhares 4 3 6 3 3 2" xfId="39715"/>
    <cellStyle name="Separador de milhares 4 3 6 3 4" xfId="33807"/>
    <cellStyle name="Separador de milhares 4 3 6 3 5" xfId="27273"/>
    <cellStyle name="Separador de milhares 4 3 6 4" xfId="16176"/>
    <cellStyle name="Separador de milhares 4 3 6 4 2" xfId="42669"/>
    <cellStyle name="Separador de milhares 4 3 6 4 3" xfId="23767"/>
    <cellStyle name="Separador de milhares 4 3 6 5" xfId="10249"/>
    <cellStyle name="Separador de milhares 4 3 6 5 2" xfId="36761"/>
    <cellStyle name="Separador de milhares 4 3 6 6" xfId="30301"/>
    <cellStyle name="Separador de milhares 4 3 6 7" xfId="21995"/>
    <cellStyle name="Separador de milhares 4 3 7" xfId="2840"/>
    <cellStyle name="Separador de milhares 4 3 7 2" xfId="5693"/>
    <cellStyle name="Separador de milhares 4 3 7 2 2" xfId="8905"/>
    <cellStyle name="Separador de milhares 4 3 7 2 2 2" xfId="20759"/>
    <cellStyle name="Separador de milhares 4 3 7 2 2 2 2" xfId="47238"/>
    <cellStyle name="Separador de milhares 4 3 7 2 2 3" xfId="14832"/>
    <cellStyle name="Separador de milhares 4 3 7 2 2 3 2" xfId="41330"/>
    <cellStyle name="Separador de milhares 4 3 7 2 2 4" xfId="35422"/>
    <cellStyle name="Separador de milhares 4 3 7 2 2 5" xfId="28888"/>
    <cellStyle name="Separador de milhares 4 3 7 2 3" xfId="17795"/>
    <cellStyle name="Separador de milhares 4 3 7 2 3 2" xfId="44284"/>
    <cellStyle name="Separador de milhares 4 3 7 2 4" xfId="11868"/>
    <cellStyle name="Separador de milhares 4 3 7 2 4 2" xfId="38376"/>
    <cellStyle name="Separador de milhares 4 3 7 2 5" xfId="32220"/>
    <cellStyle name="Separador de milhares 4 3 7 2 6" xfId="25686"/>
    <cellStyle name="Separador de milhares 4 3 7 3" xfId="7434"/>
    <cellStyle name="Separador de milhares 4 3 7 3 2" xfId="19288"/>
    <cellStyle name="Separador de milhares 4 3 7 3 2 2" xfId="45770"/>
    <cellStyle name="Separador de milhares 4 3 7 3 3" xfId="13361"/>
    <cellStyle name="Separador de milhares 4 3 7 3 3 2" xfId="39862"/>
    <cellStyle name="Separador de milhares 4 3 7 3 4" xfId="33954"/>
    <cellStyle name="Separador de milhares 4 3 7 3 5" xfId="27420"/>
    <cellStyle name="Separador de milhares 4 3 7 4" xfId="16324"/>
    <cellStyle name="Separador de milhares 4 3 7 4 2" xfId="42816"/>
    <cellStyle name="Separador de milhares 4 3 7 4 3" xfId="23914"/>
    <cellStyle name="Separador de milhares 4 3 7 5" xfId="10397"/>
    <cellStyle name="Separador de milhares 4 3 7 5 2" xfId="36908"/>
    <cellStyle name="Separador de milhares 4 3 7 6" xfId="30448"/>
    <cellStyle name="Separador de milhares 4 3 7 7" xfId="22142"/>
    <cellStyle name="Separador de milhares 4 3 8" xfId="3368"/>
    <cellStyle name="Separador de milhares 4 3 8 2" xfId="5840"/>
    <cellStyle name="Separador de milhares 4 3 8 2 2" xfId="9052"/>
    <cellStyle name="Separador de milhares 4 3 8 2 2 2" xfId="20906"/>
    <cellStyle name="Separador de milhares 4 3 8 2 2 2 2" xfId="47385"/>
    <cellStyle name="Separador de milhares 4 3 8 2 2 3" xfId="14979"/>
    <cellStyle name="Separador de milhares 4 3 8 2 2 3 2" xfId="41477"/>
    <cellStyle name="Separador de milhares 4 3 8 2 2 4" xfId="35569"/>
    <cellStyle name="Separador de milhares 4 3 8 2 2 5" xfId="29035"/>
    <cellStyle name="Separador de milhares 4 3 8 2 3" xfId="17942"/>
    <cellStyle name="Separador de milhares 4 3 8 2 3 2" xfId="44431"/>
    <cellStyle name="Separador de milhares 4 3 8 2 4" xfId="12015"/>
    <cellStyle name="Separador de milhares 4 3 8 2 4 2" xfId="38523"/>
    <cellStyle name="Separador de milhares 4 3 8 2 5" xfId="32367"/>
    <cellStyle name="Separador de milhares 4 3 8 2 6" xfId="25833"/>
    <cellStyle name="Separador de milhares 4 3 8 3" xfId="7582"/>
    <cellStyle name="Separador de milhares 4 3 8 3 2" xfId="19436"/>
    <cellStyle name="Separador de milhares 4 3 8 3 2 2" xfId="45917"/>
    <cellStyle name="Separador de milhares 4 3 8 3 3" xfId="13509"/>
    <cellStyle name="Separador de milhares 4 3 8 3 3 2" xfId="40009"/>
    <cellStyle name="Separador de milhares 4 3 8 3 4" xfId="34101"/>
    <cellStyle name="Separador de milhares 4 3 8 3 5" xfId="27567"/>
    <cellStyle name="Separador de milhares 4 3 8 4" xfId="16472"/>
    <cellStyle name="Separador de milhares 4 3 8 4 2" xfId="42963"/>
    <cellStyle name="Separador de milhares 4 3 8 4 3" xfId="24061"/>
    <cellStyle name="Separador de milhares 4 3 8 5" xfId="10545"/>
    <cellStyle name="Separador de milhares 4 3 8 5 2" xfId="37055"/>
    <cellStyle name="Separador de milhares 4 3 8 6" xfId="30595"/>
    <cellStyle name="Separador de milhares 4 3 8 7" xfId="22289"/>
    <cellStyle name="Separador de milhares 4 3 9" xfId="3896"/>
    <cellStyle name="Separador de milhares 4 3 9 2" xfId="5987"/>
    <cellStyle name="Separador de milhares 4 3 9 2 2" xfId="9199"/>
    <cellStyle name="Separador de milhares 4 3 9 2 2 2" xfId="21053"/>
    <cellStyle name="Separador de milhares 4 3 9 2 2 2 2" xfId="47532"/>
    <cellStyle name="Separador de milhares 4 3 9 2 2 3" xfId="15126"/>
    <cellStyle name="Separador de milhares 4 3 9 2 2 3 2" xfId="41624"/>
    <cellStyle name="Separador de milhares 4 3 9 2 2 4" xfId="35716"/>
    <cellStyle name="Separador de milhares 4 3 9 2 2 5" xfId="29182"/>
    <cellStyle name="Separador de milhares 4 3 9 2 3" xfId="18089"/>
    <cellStyle name="Separador de milhares 4 3 9 2 3 2" xfId="44578"/>
    <cellStyle name="Separador de milhares 4 3 9 2 4" xfId="12162"/>
    <cellStyle name="Separador de milhares 4 3 9 2 4 2" xfId="38670"/>
    <cellStyle name="Separador de milhares 4 3 9 2 5" xfId="32514"/>
    <cellStyle name="Separador de milhares 4 3 9 2 6" xfId="25980"/>
    <cellStyle name="Separador de milhares 4 3 9 3" xfId="7730"/>
    <cellStyle name="Separador de milhares 4 3 9 3 2" xfId="19584"/>
    <cellStyle name="Separador de milhares 4 3 9 3 2 2" xfId="46064"/>
    <cellStyle name="Separador de milhares 4 3 9 3 3" xfId="13657"/>
    <cellStyle name="Separador de milhares 4 3 9 3 3 2" xfId="40156"/>
    <cellStyle name="Separador de milhares 4 3 9 3 4" xfId="34248"/>
    <cellStyle name="Separador de milhares 4 3 9 3 5" xfId="27714"/>
    <cellStyle name="Separador de milhares 4 3 9 4" xfId="16620"/>
    <cellStyle name="Separador de milhares 4 3 9 4 2" xfId="43110"/>
    <cellStyle name="Separador de milhares 4 3 9 4 3" xfId="24208"/>
    <cellStyle name="Separador de milhares 4 3 9 5" xfId="10693"/>
    <cellStyle name="Separador de milhares 4 3 9 5 2" xfId="37202"/>
    <cellStyle name="Separador de milhares 4 3 9 6" xfId="30742"/>
    <cellStyle name="Separador de milhares 4 3 9 7" xfId="22436"/>
    <cellStyle name="Separador de milhares 4 4" xfId="4946"/>
    <cellStyle name="Separador de milhares 4 4 2" xfId="8169"/>
    <cellStyle name="Separador de milhares 4 4 2 2" xfId="20023"/>
    <cellStyle name="Separador de milhares 4 4 2 2 2" xfId="46502"/>
    <cellStyle name="Separador de milhares 4 4 2 3" xfId="14096"/>
    <cellStyle name="Separador de milhares 4 4 2 3 2" xfId="40594"/>
    <cellStyle name="Separador de milhares 4 4 2 4" xfId="34686"/>
    <cellStyle name="Separador de milhares 4 4 2 5" xfId="28152"/>
    <cellStyle name="Separador de milhares 4 4 3" xfId="17059"/>
    <cellStyle name="Separador de milhares 4 4 3 2" xfId="43548"/>
    <cellStyle name="Separador de milhares 4 4 4" xfId="11132"/>
    <cellStyle name="Separador de milhares 4 4 4 2" xfId="37640"/>
    <cellStyle name="Separador de milhares 4 4 5" xfId="31473"/>
    <cellStyle name="Separador de milhares 4 4 6" xfId="24939"/>
    <cellStyle name="Separador de milhares 4 5" xfId="6693"/>
    <cellStyle name="Separador de milhares 4 5 2" xfId="18547"/>
    <cellStyle name="Separador de milhares 4 5 2 2" xfId="45034"/>
    <cellStyle name="Separador de milhares 4 5 3" xfId="12620"/>
    <cellStyle name="Separador de milhares 4 5 3 2" xfId="39126"/>
    <cellStyle name="Separador de milhares 4 5 4" xfId="33218"/>
    <cellStyle name="Separador de milhares 4 5 5" xfId="26684"/>
    <cellStyle name="Separador de milhares 4 6" xfId="15583"/>
    <cellStyle name="Separador de milhares 4 6 2" xfId="42080"/>
    <cellStyle name="Separador de milhares 4 6 3" xfId="23167"/>
    <cellStyle name="Separador de milhares 4 7" xfId="9656"/>
    <cellStyle name="Separador de milhares 4 7 2" xfId="36172"/>
    <cellStyle name="Separador de milhares 4 8" xfId="29701"/>
    <cellStyle name="Separador de milhares_MODELO CÂMARA" xfId="4"/>
    <cellStyle name="Vírgula" xfId="1" builtinId="3"/>
    <cellStyle name="Vírgula 10" xfId="102"/>
    <cellStyle name="Vírgula 10 10" xfId="22730"/>
    <cellStyle name="Vírgula 10 2" xfId="4633"/>
    <cellStyle name="Vírgula 10 2 2" xfId="6405"/>
    <cellStyle name="Vírgula 10 2 2 2" xfId="9468"/>
    <cellStyle name="Vírgula 10 2 2 2 2" xfId="21322"/>
    <cellStyle name="Vírgula 10 2 2 2 2 2" xfId="47801"/>
    <cellStyle name="Vírgula 10 2 2 2 3" xfId="15395"/>
    <cellStyle name="Vírgula 10 2 2 2 3 2" xfId="41893"/>
    <cellStyle name="Vírgula 10 2 2 2 4" xfId="35985"/>
    <cellStyle name="Vírgula 10 2 2 2 5" xfId="29451"/>
    <cellStyle name="Vírgula 10 2 2 3" xfId="18358"/>
    <cellStyle name="Vírgula 10 2 2 3 2" xfId="44847"/>
    <cellStyle name="Vírgula 10 2 2 4" xfId="12431"/>
    <cellStyle name="Vírgula 10 2 2 4 2" xfId="38939"/>
    <cellStyle name="Vírgula 10 2 2 5" xfId="32932"/>
    <cellStyle name="Vírgula 10 2 2 6" xfId="26398"/>
    <cellStyle name="Vírgula 10 2 3" xfId="8000"/>
    <cellStyle name="Vírgula 10 2 3 2" xfId="19854"/>
    <cellStyle name="Vírgula 10 2 3 2 2" xfId="46333"/>
    <cellStyle name="Vírgula 10 2 3 3" xfId="13927"/>
    <cellStyle name="Vírgula 10 2 3 3 2" xfId="40425"/>
    <cellStyle name="Vírgula 10 2 3 4" xfId="34517"/>
    <cellStyle name="Vírgula 10 2 3 5" xfId="27983"/>
    <cellStyle name="Vírgula 10 2 4" xfId="16890"/>
    <cellStyle name="Vírgula 10 2 4 2" xfId="43379"/>
    <cellStyle name="Vírgula 10 2 4 3" xfId="24626"/>
    <cellStyle name="Vírgula 10 2 5" xfId="10963"/>
    <cellStyle name="Vírgula 10 2 5 2" xfId="37471"/>
    <cellStyle name="Vírgula 10 2 6" xfId="31160"/>
    <cellStyle name="Vírgula 10 2 7" xfId="22854"/>
    <cellStyle name="Vírgula 10 3" xfId="4757"/>
    <cellStyle name="Vírgula 10 3 2" xfId="6529"/>
    <cellStyle name="Vírgula 10 3 2 2" xfId="9530"/>
    <cellStyle name="Vírgula 10 3 2 2 2" xfId="21384"/>
    <cellStyle name="Vírgula 10 3 2 2 2 2" xfId="47863"/>
    <cellStyle name="Vírgula 10 3 2 2 3" xfId="15457"/>
    <cellStyle name="Vírgula 10 3 2 2 3 2" xfId="41955"/>
    <cellStyle name="Vírgula 10 3 2 2 4" xfId="36047"/>
    <cellStyle name="Vírgula 10 3 2 2 5" xfId="29513"/>
    <cellStyle name="Vírgula 10 3 2 3" xfId="18420"/>
    <cellStyle name="Vírgula 10 3 2 3 2" xfId="44909"/>
    <cellStyle name="Vírgula 10 3 2 4" xfId="12493"/>
    <cellStyle name="Vírgula 10 3 2 4 2" xfId="39001"/>
    <cellStyle name="Vírgula 10 3 2 5" xfId="33056"/>
    <cellStyle name="Vírgula 10 3 2 6" xfId="26522"/>
    <cellStyle name="Vírgula 10 3 3" xfId="8062"/>
    <cellStyle name="Vírgula 10 3 3 2" xfId="19916"/>
    <cellStyle name="Vírgula 10 3 3 2 2" xfId="46395"/>
    <cellStyle name="Vírgula 10 3 3 3" xfId="13989"/>
    <cellStyle name="Vírgula 10 3 3 3 2" xfId="40487"/>
    <cellStyle name="Vírgula 10 3 3 4" xfId="34579"/>
    <cellStyle name="Vírgula 10 3 3 5" xfId="28045"/>
    <cellStyle name="Vírgula 10 3 4" xfId="16952"/>
    <cellStyle name="Vírgula 10 3 4 2" xfId="43441"/>
    <cellStyle name="Vírgula 10 3 4 3" xfId="24750"/>
    <cellStyle name="Vírgula 10 3 5" xfId="11025"/>
    <cellStyle name="Vírgula 10 3 5 2" xfId="37533"/>
    <cellStyle name="Vírgula 10 3 6" xfId="31284"/>
    <cellStyle name="Vírgula 10 3 7" xfId="22978"/>
    <cellStyle name="Vírgula 10 4" xfId="4509"/>
    <cellStyle name="Vírgula 10 4 2" xfId="6281"/>
    <cellStyle name="Vírgula 10 4 2 2" xfId="9406"/>
    <cellStyle name="Vírgula 10 4 2 2 2" xfId="21260"/>
    <cellStyle name="Vírgula 10 4 2 2 2 2" xfId="47739"/>
    <cellStyle name="Vírgula 10 4 2 2 3" xfId="15333"/>
    <cellStyle name="Vírgula 10 4 2 2 3 2" xfId="41831"/>
    <cellStyle name="Vírgula 10 4 2 2 4" xfId="35923"/>
    <cellStyle name="Vírgula 10 4 2 2 5" xfId="29389"/>
    <cellStyle name="Vírgula 10 4 2 3" xfId="18296"/>
    <cellStyle name="Vírgula 10 4 2 3 2" xfId="44785"/>
    <cellStyle name="Vírgula 10 4 2 4" xfId="12369"/>
    <cellStyle name="Vírgula 10 4 2 4 2" xfId="38877"/>
    <cellStyle name="Vírgula 10 4 2 5" xfId="32808"/>
    <cellStyle name="Vírgula 10 4 2 6" xfId="26274"/>
    <cellStyle name="Vírgula 10 4 3" xfId="7938"/>
    <cellStyle name="Vírgula 10 4 3 2" xfId="19792"/>
    <cellStyle name="Vírgula 10 4 3 2 2" xfId="46271"/>
    <cellStyle name="Vírgula 10 4 3 3" xfId="13865"/>
    <cellStyle name="Vírgula 10 4 3 3 2" xfId="40363"/>
    <cellStyle name="Vírgula 10 4 3 4" xfId="34455"/>
    <cellStyle name="Vírgula 10 4 3 5" xfId="27921"/>
    <cellStyle name="Vírgula 10 4 4" xfId="16828"/>
    <cellStyle name="Vírgula 10 4 4 2" xfId="43317"/>
    <cellStyle name="Vírgula 10 4 5" xfId="10901"/>
    <cellStyle name="Vírgula 10 4 5 2" xfId="37409"/>
    <cellStyle name="Vírgula 10 4 6" xfId="31036"/>
    <cellStyle name="Vírgula 10 4 7" xfId="24502"/>
    <cellStyle name="Vírgula 10 5" xfId="4881"/>
    <cellStyle name="Vírgula 10 5 2" xfId="8124"/>
    <cellStyle name="Vírgula 10 5 2 2" xfId="19978"/>
    <cellStyle name="Vírgula 10 5 2 2 2" xfId="46457"/>
    <cellStyle name="Vírgula 10 5 2 3" xfId="14051"/>
    <cellStyle name="Vírgula 10 5 2 3 2" xfId="40549"/>
    <cellStyle name="Vírgula 10 5 2 4" xfId="34641"/>
    <cellStyle name="Vírgula 10 5 2 5" xfId="28107"/>
    <cellStyle name="Vírgula 10 5 3" xfId="17014"/>
    <cellStyle name="Vírgula 10 5 3 2" xfId="43503"/>
    <cellStyle name="Vírgula 10 5 4" xfId="11087"/>
    <cellStyle name="Vírgula 10 5 4 2" xfId="37595"/>
    <cellStyle name="Vírgula 10 5 5" xfId="31408"/>
    <cellStyle name="Vírgula 10 5 6" xfId="24874"/>
    <cellStyle name="Vírgula 10 6" xfId="6648"/>
    <cellStyle name="Vírgula 10 6 2" xfId="18502"/>
    <cellStyle name="Vírgula 10 6 2 2" xfId="44989"/>
    <cellStyle name="Vírgula 10 6 3" xfId="12575"/>
    <cellStyle name="Vírgula 10 6 3 2" xfId="39081"/>
    <cellStyle name="Vírgula 10 6 4" xfId="33173"/>
    <cellStyle name="Vírgula 10 6 5" xfId="26639"/>
    <cellStyle name="Vírgula 10 7" xfId="15538"/>
    <cellStyle name="Vírgula 10 7 2" xfId="42035"/>
    <cellStyle name="Vírgula 10 7 3" xfId="23102"/>
    <cellStyle name="Vírgula 10 8" xfId="9611"/>
    <cellStyle name="Vírgula 10 8 2" xfId="36127"/>
    <cellStyle name="Vírgula 10 9" xfId="29636"/>
    <cellStyle name="Vírgula 11" xfId="138"/>
    <cellStyle name="Vírgula 11 10" xfId="22766"/>
    <cellStyle name="Vírgula 11 2" xfId="4669"/>
    <cellStyle name="Vírgula 11 2 2" xfId="6441"/>
    <cellStyle name="Vírgula 11 2 2 2" xfId="9486"/>
    <cellStyle name="Vírgula 11 2 2 2 2" xfId="21340"/>
    <cellStyle name="Vírgula 11 2 2 2 2 2" xfId="47819"/>
    <cellStyle name="Vírgula 11 2 2 2 3" xfId="15413"/>
    <cellStyle name="Vírgula 11 2 2 2 3 2" xfId="41911"/>
    <cellStyle name="Vírgula 11 2 2 2 4" xfId="36003"/>
    <cellStyle name="Vírgula 11 2 2 2 5" xfId="29469"/>
    <cellStyle name="Vírgula 11 2 2 3" xfId="18376"/>
    <cellStyle name="Vírgula 11 2 2 3 2" xfId="44865"/>
    <cellStyle name="Vírgula 11 2 2 4" xfId="12449"/>
    <cellStyle name="Vírgula 11 2 2 4 2" xfId="38957"/>
    <cellStyle name="Vírgula 11 2 2 5" xfId="32968"/>
    <cellStyle name="Vírgula 11 2 2 6" xfId="26434"/>
    <cellStyle name="Vírgula 11 2 3" xfId="8018"/>
    <cellStyle name="Vírgula 11 2 3 2" xfId="19872"/>
    <cellStyle name="Vírgula 11 2 3 2 2" xfId="46351"/>
    <cellStyle name="Vírgula 11 2 3 3" xfId="13945"/>
    <cellStyle name="Vírgula 11 2 3 3 2" xfId="40443"/>
    <cellStyle name="Vírgula 11 2 3 4" xfId="34535"/>
    <cellStyle name="Vírgula 11 2 3 5" xfId="28001"/>
    <cellStyle name="Vírgula 11 2 4" xfId="16908"/>
    <cellStyle name="Vírgula 11 2 4 2" xfId="43397"/>
    <cellStyle name="Vírgula 11 2 4 3" xfId="24662"/>
    <cellStyle name="Vírgula 11 2 5" xfId="10981"/>
    <cellStyle name="Vírgula 11 2 5 2" xfId="37489"/>
    <cellStyle name="Vírgula 11 2 6" xfId="31196"/>
    <cellStyle name="Vírgula 11 2 7" xfId="22890"/>
    <cellStyle name="Vírgula 11 3" xfId="4793"/>
    <cellStyle name="Vírgula 11 3 2" xfId="6565"/>
    <cellStyle name="Vírgula 11 3 2 2" xfId="9548"/>
    <cellStyle name="Vírgula 11 3 2 2 2" xfId="21402"/>
    <cellStyle name="Vírgula 11 3 2 2 2 2" xfId="47881"/>
    <cellStyle name="Vírgula 11 3 2 2 3" xfId="15475"/>
    <cellStyle name="Vírgula 11 3 2 2 3 2" xfId="41973"/>
    <cellStyle name="Vírgula 11 3 2 2 4" xfId="36065"/>
    <cellStyle name="Vírgula 11 3 2 2 5" xfId="29531"/>
    <cellStyle name="Vírgula 11 3 2 3" xfId="18438"/>
    <cellStyle name="Vírgula 11 3 2 3 2" xfId="44927"/>
    <cellStyle name="Vírgula 11 3 2 4" xfId="12511"/>
    <cellStyle name="Vírgula 11 3 2 4 2" xfId="39019"/>
    <cellStyle name="Vírgula 11 3 2 5" xfId="33092"/>
    <cellStyle name="Vírgula 11 3 2 6" xfId="26558"/>
    <cellStyle name="Vírgula 11 3 3" xfId="8080"/>
    <cellStyle name="Vírgula 11 3 3 2" xfId="19934"/>
    <cellStyle name="Vírgula 11 3 3 2 2" xfId="46413"/>
    <cellStyle name="Vírgula 11 3 3 3" xfId="14007"/>
    <cellStyle name="Vírgula 11 3 3 3 2" xfId="40505"/>
    <cellStyle name="Vírgula 11 3 3 4" xfId="34597"/>
    <cellStyle name="Vírgula 11 3 3 5" xfId="28063"/>
    <cellStyle name="Vírgula 11 3 4" xfId="16970"/>
    <cellStyle name="Vírgula 11 3 4 2" xfId="43459"/>
    <cellStyle name="Vírgula 11 3 4 3" xfId="24786"/>
    <cellStyle name="Vírgula 11 3 5" xfId="11043"/>
    <cellStyle name="Vírgula 11 3 5 2" xfId="37551"/>
    <cellStyle name="Vírgula 11 3 6" xfId="31320"/>
    <cellStyle name="Vírgula 11 3 7" xfId="23014"/>
    <cellStyle name="Vírgula 11 4" xfId="4545"/>
    <cellStyle name="Vírgula 11 4 2" xfId="6317"/>
    <cellStyle name="Vírgula 11 4 2 2" xfId="9424"/>
    <cellStyle name="Vírgula 11 4 2 2 2" xfId="21278"/>
    <cellStyle name="Vírgula 11 4 2 2 2 2" xfId="47757"/>
    <cellStyle name="Vírgula 11 4 2 2 3" xfId="15351"/>
    <cellStyle name="Vírgula 11 4 2 2 3 2" xfId="41849"/>
    <cellStyle name="Vírgula 11 4 2 2 4" xfId="35941"/>
    <cellStyle name="Vírgula 11 4 2 2 5" xfId="29407"/>
    <cellStyle name="Vírgula 11 4 2 3" xfId="18314"/>
    <cellStyle name="Vírgula 11 4 2 3 2" xfId="44803"/>
    <cellStyle name="Vírgula 11 4 2 4" xfId="12387"/>
    <cellStyle name="Vírgula 11 4 2 4 2" xfId="38895"/>
    <cellStyle name="Vírgula 11 4 2 5" xfId="32844"/>
    <cellStyle name="Vírgula 11 4 2 6" xfId="26310"/>
    <cellStyle name="Vírgula 11 4 3" xfId="7956"/>
    <cellStyle name="Vírgula 11 4 3 2" xfId="19810"/>
    <cellStyle name="Vírgula 11 4 3 2 2" xfId="46289"/>
    <cellStyle name="Vírgula 11 4 3 3" xfId="13883"/>
    <cellStyle name="Vírgula 11 4 3 3 2" xfId="40381"/>
    <cellStyle name="Vírgula 11 4 3 4" xfId="34473"/>
    <cellStyle name="Vírgula 11 4 3 5" xfId="27939"/>
    <cellStyle name="Vírgula 11 4 4" xfId="16846"/>
    <cellStyle name="Vírgula 11 4 4 2" xfId="43335"/>
    <cellStyle name="Vírgula 11 4 5" xfId="10919"/>
    <cellStyle name="Vírgula 11 4 5 2" xfId="37427"/>
    <cellStyle name="Vírgula 11 4 6" xfId="31072"/>
    <cellStyle name="Vírgula 11 4 7" xfId="24538"/>
    <cellStyle name="Vírgula 11 5" xfId="4917"/>
    <cellStyle name="Vírgula 11 5 2" xfId="8142"/>
    <cellStyle name="Vírgula 11 5 2 2" xfId="19996"/>
    <cellStyle name="Vírgula 11 5 2 2 2" xfId="46475"/>
    <cellStyle name="Vírgula 11 5 2 3" xfId="14069"/>
    <cellStyle name="Vírgula 11 5 2 3 2" xfId="40567"/>
    <cellStyle name="Vírgula 11 5 2 4" xfId="34659"/>
    <cellStyle name="Vírgula 11 5 2 5" xfId="28125"/>
    <cellStyle name="Vírgula 11 5 3" xfId="17032"/>
    <cellStyle name="Vírgula 11 5 3 2" xfId="43521"/>
    <cellStyle name="Vírgula 11 5 4" xfId="11105"/>
    <cellStyle name="Vírgula 11 5 4 2" xfId="37613"/>
    <cellStyle name="Vírgula 11 5 5" xfId="31444"/>
    <cellStyle name="Vírgula 11 5 6" xfId="24910"/>
    <cellStyle name="Vírgula 11 6" xfId="6666"/>
    <cellStyle name="Vírgula 11 6 2" xfId="18520"/>
    <cellStyle name="Vírgula 11 6 2 2" xfId="45007"/>
    <cellStyle name="Vírgula 11 6 3" xfId="12593"/>
    <cellStyle name="Vírgula 11 6 3 2" xfId="39099"/>
    <cellStyle name="Vírgula 11 6 4" xfId="33191"/>
    <cellStyle name="Vírgula 11 6 5" xfId="26657"/>
    <cellStyle name="Vírgula 11 7" xfId="15556"/>
    <cellStyle name="Vírgula 11 7 2" xfId="42053"/>
    <cellStyle name="Vírgula 11 7 3" xfId="23138"/>
    <cellStyle name="Vírgula 11 8" xfId="9629"/>
    <cellStyle name="Vírgula 11 8 2" xfId="36145"/>
    <cellStyle name="Vírgula 11 9" xfId="29672"/>
    <cellStyle name="Vírgula 12" xfId="6567"/>
    <cellStyle name="Vírgula 12 2" xfId="9549"/>
    <cellStyle name="Vírgula 12 2 2" xfId="21403"/>
    <cellStyle name="Vírgula 12 2 2 2" xfId="47882"/>
    <cellStyle name="Vírgula 12 2 3" xfId="15476"/>
    <cellStyle name="Vírgula 12 2 3 2" xfId="41974"/>
    <cellStyle name="Vírgula 12 2 4" xfId="36066"/>
    <cellStyle name="Vírgula 12 2 5" xfId="29532"/>
    <cellStyle name="Vírgula 12 3" xfId="18439"/>
    <cellStyle name="Vírgula 12 3 2" xfId="44928"/>
    <cellStyle name="Vírgula 12 4" xfId="12512"/>
    <cellStyle name="Vírgula 12 4 2" xfId="39020"/>
    <cellStyle name="Vírgula 12 5" xfId="33094"/>
    <cellStyle name="Vírgula 12 6" xfId="26560"/>
    <cellStyle name="Vírgula 13" xfId="47900"/>
    <cellStyle name="Vírgula 14" xfId="47902"/>
    <cellStyle name="Vírgula 2" xfId="7"/>
    <cellStyle name="Vírgula 2 2" xfId="28"/>
    <cellStyle name="Vírgula 2 2 10" xfId="4350"/>
    <cellStyle name="Vírgula 2 2 10 2" xfId="6122"/>
    <cellStyle name="Vírgula 2 2 10 2 2" xfId="9326"/>
    <cellStyle name="Vírgula 2 2 10 2 2 2" xfId="21180"/>
    <cellStyle name="Vírgula 2 2 10 2 2 2 2" xfId="47659"/>
    <cellStyle name="Vírgula 2 2 10 2 2 3" xfId="15253"/>
    <cellStyle name="Vírgula 2 2 10 2 2 3 2" xfId="41751"/>
    <cellStyle name="Vírgula 2 2 10 2 2 4" xfId="35843"/>
    <cellStyle name="Vírgula 2 2 10 2 2 5" xfId="29309"/>
    <cellStyle name="Vírgula 2 2 10 2 3" xfId="18216"/>
    <cellStyle name="Vírgula 2 2 10 2 3 2" xfId="44705"/>
    <cellStyle name="Vírgula 2 2 10 2 4" xfId="12289"/>
    <cellStyle name="Vírgula 2 2 10 2 4 2" xfId="38797"/>
    <cellStyle name="Vírgula 2 2 10 2 5" xfId="32649"/>
    <cellStyle name="Vírgula 2 2 10 2 6" xfId="26115"/>
    <cellStyle name="Vírgula 2 2 10 3" xfId="7858"/>
    <cellStyle name="Vírgula 2 2 10 3 2" xfId="19712"/>
    <cellStyle name="Vírgula 2 2 10 3 2 2" xfId="46191"/>
    <cellStyle name="Vírgula 2 2 10 3 3" xfId="13785"/>
    <cellStyle name="Vírgula 2 2 10 3 3 2" xfId="40283"/>
    <cellStyle name="Vírgula 2 2 10 3 4" xfId="34375"/>
    <cellStyle name="Vírgula 2 2 10 3 5" xfId="27841"/>
    <cellStyle name="Vírgula 2 2 10 4" xfId="16748"/>
    <cellStyle name="Vírgula 2 2 10 4 2" xfId="43237"/>
    <cellStyle name="Vírgula 2 2 10 4 3" xfId="24343"/>
    <cellStyle name="Vírgula 2 2 10 5" xfId="10821"/>
    <cellStyle name="Vírgula 2 2 10 5 2" xfId="37329"/>
    <cellStyle name="Vírgula 2 2 10 6" xfId="30877"/>
    <cellStyle name="Vírgula 2 2 10 7" xfId="22571"/>
    <cellStyle name="Vírgula 2 2 11" xfId="4436"/>
    <cellStyle name="Vírgula 2 2 11 2" xfId="6208"/>
    <cellStyle name="Vírgula 2 2 11 2 2" xfId="9369"/>
    <cellStyle name="Vírgula 2 2 11 2 2 2" xfId="21223"/>
    <cellStyle name="Vírgula 2 2 11 2 2 2 2" xfId="47702"/>
    <cellStyle name="Vírgula 2 2 11 2 2 3" xfId="15296"/>
    <cellStyle name="Vírgula 2 2 11 2 2 3 2" xfId="41794"/>
    <cellStyle name="Vírgula 2 2 11 2 2 4" xfId="35886"/>
    <cellStyle name="Vírgula 2 2 11 2 2 5" xfId="29352"/>
    <cellStyle name="Vírgula 2 2 11 2 3" xfId="18259"/>
    <cellStyle name="Vírgula 2 2 11 2 3 2" xfId="44748"/>
    <cellStyle name="Vírgula 2 2 11 2 4" xfId="12332"/>
    <cellStyle name="Vírgula 2 2 11 2 4 2" xfId="38840"/>
    <cellStyle name="Vírgula 2 2 11 2 5" xfId="32735"/>
    <cellStyle name="Vírgula 2 2 11 2 6" xfId="26201"/>
    <cellStyle name="Vírgula 2 2 11 3" xfId="7901"/>
    <cellStyle name="Vírgula 2 2 11 3 2" xfId="19755"/>
    <cellStyle name="Vírgula 2 2 11 3 2 2" xfId="46234"/>
    <cellStyle name="Vírgula 2 2 11 3 3" xfId="13828"/>
    <cellStyle name="Vírgula 2 2 11 3 3 2" xfId="40326"/>
    <cellStyle name="Vírgula 2 2 11 3 4" xfId="34418"/>
    <cellStyle name="Vírgula 2 2 11 3 5" xfId="27884"/>
    <cellStyle name="Vírgula 2 2 11 4" xfId="16791"/>
    <cellStyle name="Vírgula 2 2 11 4 2" xfId="43280"/>
    <cellStyle name="Vírgula 2 2 11 4 3" xfId="24429"/>
    <cellStyle name="Vírgula 2 2 11 5" xfId="10864"/>
    <cellStyle name="Vírgula 2 2 11 5 2" xfId="37372"/>
    <cellStyle name="Vírgula 2 2 11 6" xfId="30963"/>
    <cellStyle name="Vírgula 2 2 11 7" xfId="22657"/>
    <cellStyle name="Vírgula 2 2 12" xfId="4560"/>
    <cellStyle name="Vírgula 2 2 12 2" xfId="6332"/>
    <cellStyle name="Vírgula 2 2 12 2 2" xfId="9431"/>
    <cellStyle name="Vírgula 2 2 12 2 2 2" xfId="21285"/>
    <cellStyle name="Vírgula 2 2 12 2 2 2 2" xfId="47764"/>
    <cellStyle name="Vírgula 2 2 12 2 2 3" xfId="15358"/>
    <cellStyle name="Vírgula 2 2 12 2 2 3 2" xfId="41856"/>
    <cellStyle name="Vírgula 2 2 12 2 2 4" xfId="35948"/>
    <cellStyle name="Vírgula 2 2 12 2 2 5" xfId="29414"/>
    <cellStyle name="Vírgula 2 2 12 2 3" xfId="18321"/>
    <cellStyle name="Vírgula 2 2 12 2 3 2" xfId="44810"/>
    <cellStyle name="Vírgula 2 2 12 2 4" xfId="12394"/>
    <cellStyle name="Vírgula 2 2 12 2 4 2" xfId="38902"/>
    <cellStyle name="Vírgula 2 2 12 2 5" xfId="32859"/>
    <cellStyle name="Vírgula 2 2 12 2 6" xfId="26325"/>
    <cellStyle name="Vírgula 2 2 12 3" xfId="7963"/>
    <cellStyle name="Vírgula 2 2 12 3 2" xfId="19817"/>
    <cellStyle name="Vírgula 2 2 12 3 2 2" xfId="46296"/>
    <cellStyle name="Vírgula 2 2 12 3 3" xfId="13890"/>
    <cellStyle name="Vírgula 2 2 12 3 3 2" xfId="40388"/>
    <cellStyle name="Vírgula 2 2 12 3 4" xfId="34480"/>
    <cellStyle name="Vírgula 2 2 12 3 5" xfId="27946"/>
    <cellStyle name="Vírgula 2 2 12 4" xfId="16853"/>
    <cellStyle name="Vírgula 2 2 12 4 2" xfId="43342"/>
    <cellStyle name="Vírgula 2 2 12 4 3" xfId="24553"/>
    <cellStyle name="Vírgula 2 2 12 5" xfId="10926"/>
    <cellStyle name="Vírgula 2 2 12 5 2" xfId="37434"/>
    <cellStyle name="Vírgula 2 2 12 6" xfId="31087"/>
    <cellStyle name="Vírgula 2 2 12 7" xfId="22781"/>
    <cellStyle name="Vírgula 2 2 13" xfId="4684"/>
    <cellStyle name="Vírgula 2 2 13 2" xfId="6456"/>
    <cellStyle name="Vírgula 2 2 13 2 2" xfId="9493"/>
    <cellStyle name="Vírgula 2 2 13 2 2 2" xfId="21347"/>
    <cellStyle name="Vírgula 2 2 13 2 2 2 2" xfId="47826"/>
    <cellStyle name="Vírgula 2 2 13 2 2 3" xfId="15420"/>
    <cellStyle name="Vírgula 2 2 13 2 2 3 2" xfId="41918"/>
    <cellStyle name="Vírgula 2 2 13 2 2 4" xfId="36010"/>
    <cellStyle name="Vírgula 2 2 13 2 2 5" xfId="29476"/>
    <cellStyle name="Vírgula 2 2 13 2 3" xfId="18383"/>
    <cellStyle name="Vírgula 2 2 13 2 3 2" xfId="44872"/>
    <cellStyle name="Vírgula 2 2 13 2 4" xfId="12456"/>
    <cellStyle name="Vírgula 2 2 13 2 4 2" xfId="38964"/>
    <cellStyle name="Vírgula 2 2 13 2 5" xfId="32983"/>
    <cellStyle name="Vírgula 2 2 13 2 6" xfId="26449"/>
    <cellStyle name="Vírgula 2 2 13 3" xfId="8025"/>
    <cellStyle name="Vírgula 2 2 13 3 2" xfId="19879"/>
    <cellStyle name="Vírgula 2 2 13 3 2 2" xfId="46358"/>
    <cellStyle name="Vírgula 2 2 13 3 3" xfId="13952"/>
    <cellStyle name="Vírgula 2 2 13 3 3 2" xfId="40450"/>
    <cellStyle name="Vírgula 2 2 13 3 4" xfId="34542"/>
    <cellStyle name="Vírgula 2 2 13 3 5" xfId="28008"/>
    <cellStyle name="Vírgula 2 2 13 4" xfId="16915"/>
    <cellStyle name="Vírgula 2 2 13 4 2" xfId="43404"/>
    <cellStyle name="Vírgula 2 2 13 4 3" xfId="24677"/>
    <cellStyle name="Vírgula 2 2 13 5" xfId="10988"/>
    <cellStyle name="Vírgula 2 2 13 5 2" xfId="37496"/>
    <cellStyle name="Vírgula 2 2 13 6" xfId="31211"/>
    <cellStyle name="Vírgula 2 2 13 7" xfId="22905"/>
    <cellStyle name="Vírgula 2 2 14" xfId="334"/>
    <cellStyle name="Vírgula 2 2 14 2" xfId="4974"/>
    <cellStyle name="Vírgula 2 2 14 2 2" xfId="8195"/>
    <cellStyle name="Vírgula 2 2 14 2 2 2" xfId="20049"/>
    <cellStyle name="Vírgula 2 2 14 2 2 2 2" xfId="46528"/>
    <cellStyle name="Vírgula 2 2 14 2 2 3" xfId="14122"/>
    <cellStyle name="Vírgula 2 2 14 2 2 3 2" xfId="40620"/>
    <cellStyle name="Vírgula 2 2 14 2 2 4" xfId="34712"/>
    <cellStyle name="Vírgula 2 2 14 2 2 5" xfId="28178"/>
    <cellStyle name="Vírgula 2 2 14 2 3" xfId="17085"/>
    <cellStyle name="Vírgula 2 2 14 2 3 2" xfId="43574"/>
    <cellStyle name="Vírgula 2 2 14 2 4" xfId="11158"/>
    <cellStyle name="Vírgula 2 2 14 2 4 2" xfId="37666"/>
    <cellStyle name="Vírgula 2 2 14 2 5" xfId="31501"/>
    <cellStyle name="Vírgula 2 2 14 2 6" xfId="24967"/>
    <cellStyle name="Vírgula 2 2 14 3" xfId="6719"/>
    <cellStyle name="Vírgula 2 2 14 3 2" xfId="18573"/>
    <cellStyle name="Vírgula 2 2 14 3 2 2" xfId="45060"/>
    <cellStyle name="Vírgula 2 2 14 3 3" xfId="12646"/>
    <cellStyle name="Vírgula 2 2 14 3 3 2" xfId="39152"/>
    <cellStyle name="Vírgula 2 2 14 3 4" xfId="33244"/>
    <cellStyle name="Vírgula 2 2 14 3 5" xfId="26710"/>
    <cellStyle name="Vírgula 2 2 14 4" xfId="15609"/>
    <cellStyle name="Vírgula 2 2 14 4 2" xfId="42106"/>
    <cellStyle name="Vírgula 2 2 14 5" xfId="9682"/>
    <cellStyle name="Vírgula 2 2 14 5 2" xfId="36198"/>
    <cellStyle name="Vírgula 2 2 14 6" xfId="29729"/>
    <cellStyle name="Vírgula 2 2 14 7" xfId="23195"/>
    <cellStyle name="Vírgula 2 2 15" xfId="4808"/>
    <cellStyle name="Vírgula 2 2 15 2" xfId="8087"/>
    <cellStyle name="Vírgula 2 2 15 2 2" xfId="19941"/>
    <cellStyle name="Vírgula 2 2 15 2 2 2" xfId="46420"/>
    <cellStyle name="Vírgula 2 2 15 2 3" xfId="14014"/>
    <cellStyle name="Vírgula 2 2 15 2 3 2" xfId="40512"/>
    <cellStyle name="Vírgula 2 2 15 2 4" xfId="34604"/>
    <cellStyle name="Vírgula 2 2 15 2 5" xfId="28070"/>
    <cellStyle name="Vírgula 2 2 15 3" xfId="16977"/>
    <cellStyle name="Vírgula 2 2 15 3 2" xfId="43466"/>
    <cellStyle name="Vírgula 2 2 15 4" xfId="11050"/>
    <cellStyle name="Vírgula 2 2 15 4 2" xfId="37558"/>
    <cellStyle name="Vírgula 2 2 15 5" xfId="31335"/>
    <cellStyle name="Vírgula 2 2 15 6" xfId="24801"/>
    <cellStyle name="Vírgula 2 2 16" xfId="6572"/>
    <cellStyle name="Vírgula 2 2 16 2" xfId="9551"/>
    <cellStyle name="Vírgula 2 2 16 2 2" xfId="21405"/>
    <cellStyle name="Vírgula 2 2 16 2 2 2" xfId="47884"/>
    <cellStyle name="Vírgula 2 2 16 2 3" xfId="15478"/>
    <cellStyle name="Vírgula 2 2 16 2 3 2" xfId="41976"/>
    <cellStyle name="Vírgula 2 2 16 2 4" xfId="36068"/>
    <cellStyle name="Vírgula 2 2 16 2 5" xfId="29534"/>
    <cellStyle name="Vírgula 2 2 16 3" xfId="18441"/>
    <cellStyle name="Vírgula 2 2 16 3 2" xfId="44930"/>
    <cellStyle name="Vírgula 2 2 16 4" xfId="12514"/>
    <cellStyle name="Vírgula 2 2 16 4 2" xfId="39022"/>
    <cellStyle name="Vírgula 2 2 16 5" xfId="33099"/>
    <cellStyle name="Vírgula 2 2 16 6" xfId="26565"/>
    <cellStyle name="Vírgula 2 2 17" xfId="6611"/>
    <cellStyle name="Vírgula 2 2 17 2" xfId="18465"/>
    <cellStyle name="Vírgula 2 2 17 2 2" xfId="44952"/>
    <cellStyle name="Vírgula 2 2 17 3" xfId="12538"/>
    <cellStyle name="Vírgula 2 2 17 3 2" xfId="39044"/>
    <cellStyle name="Vírgula 2 2 17 4" xfId="33136"/>
    <cellStyle name="Vírgula 2 2 17 5" xfId="26602"/>
    <cellStyle name="Vírgula 2 2 18" xfId="15501"/>
    <cellStyle name="Vírgula 2 2 18 2" xfId="41998"/>
    <cellStyle name="Vírgula 2 2 18 3" xfId="23029"/>
    <cellStyle name="Vírgula 2 2 19" xfId="9574"/>
    <cellStyle name="Vírgula 2 2 19 2" xfId="36090"/>
    <cellStyle name="Vírgula 2 2 2" xfId="34"/>
    <cellStyle name="Vírgula 2 2 2 10" xfId="4690"/>
    <cellStyle name="Vírgula 2 2 2 10 2" xfId="6462"/>
    <cellStyle name="Vírgula 2 2 2 10 2 2" xfId="9496"/>
    <cellStyle name="Vírgula 2 2 2 10 2 2 2" xfId="21350"/>
    <cellStyle name="Vírgula 2 2 2 10 2 2 2 2" xfId="47829"/>
    <cellStyle name="Vírgula 2 2 2 10 2 2 3" xfId="15423"/>
    <cellStyle name="Vírgula 2 2 2 10 2 2 3 2" xfId="41921"/>
    <cellStyle name="Vírgula 2 2 2 10 2 2 4" xfId="36013"/>
    <cellStyle name="Vírgula 2 2 2 10 2 2 5" xfId="29479"/>
    <cellStyle name="Vírgula 2 2 2 10 2 3" xfId="18386"/>
    <cellStyle name="Vírgula 2 2 2 10 2 3 2" xfId="44875"/>
    <cellStyle name="Vírgula 2 2 2 10 2 4" xfId="12459"/>
    <cellStyle name="Vírgula 2 2 2 10 2 4 2" xfId="38967"/>
    <cellStyle name="Vírgula 2 2 2 10 2 5" xfId="32989"/>
    <cellStyle name="Vírgula 2 2 2 10 2 6" xfId="26455"/>
    <cellStyle name="Vírgula 2 2 2 10 3" xfId="8028"/>
    <cellStyle name="Vírgula 2 2 2 10 3 2" xfId="19882"/>
    <cellStyle name="Vírgula 2 2 2 10 3 2 2" xfId="46361"/>
    <cellStyle name="Vírgula 2 2 2 10 3 3" xfId="13955"/>
    <cellStyle name="Vírgula 2 2 2 10 3 3 2" xfId="40453"/>
    <cellStyle name="Vírgula 2 2 2 10 3 4" xfId="34545"/>
    <cellStyle name="Vírgula 2 2 2 10 3 5" xfId="28011"/>
    <cellStyle name="Vírgula 2 2 2 10 4" xfId="16918"/>
    <cellStyle name="Vírgula 2 2 2 10 4 2" xfId="43407"/>
    <cellStyle name="Vírgula 2 2 2 10 4 3" xfId="24683"/>
    <cellStyle name="Vírgula 2 2 2 10 5" xfId="10991"/>
    <cellStyle name="Vírgula 2 2 2 10 5 2" xfId="37499"/>
    <cellStyle name="Vírgula 2 2 2 10 6" xfId="31217"/>
    <cellStyle name="Vírgula 2 2 2 10 7" xfId="22911"/>
    <cellStyle name="Vírgula 2 2 2 11" xfId="794"/>
    <cellStyle name="Vírgula 2 2 2 11 2" xfId="5107"/>
    <cellStyle name="Vírgula 2 2 2 11 2 2" xfId="8322"/>
    <cellStyle name="Vírgula 2 2 2 11 2 2 2" xfId="20176"/>
    <cellStyle name="Vírgula 2 2 2 11 2 2 2 2" xfId="46655"/>
    <cellStyle name="Vírgula 2 2 2 11 2 2 3" xfId="14249"/>
    <cellStyle name="Vírgula 2 2 2 11 2 2 3 2" xfId="40747"/>
    <cellStyle name="Vírgula 2 2 2 11 2 2 4" xfId="34839"/>
    <cellStyle name="Vírgula 2 2 2 11 2 2 5" xfId="28305"/>
    <cellStyle name="Vírgula 2 2 2 11 2 3" xfId="17212"/>
    <cellStyle name="Vírgula 2 2 2 11 2 3 2" xfId="43701"/>
    <cellStyle name="Vírgula 2 2 2 11 2 4" xfId="11285"/>
    <cellStyle name="Vírgula 2 2 2 11 2 4 2" xfId="37793"/>
    <cellStyle name="Vírgula 2 2 2 11 2 5" xfId="31634"/>
    <cellStyle name="Vírgula 2 2 2 11 2 6" xfId="25100"/>
    <cellStyle name="Vírgula 2 2 2 11 3" xfId="6849"/>
    <cellStyle name="Vírgula 2 2 2 11 3 2" xfId="18703"/>
    <cellStyle name="Vírgula 2 2 2 11 3 2 2" xfId="45187"/>
    <cellStyle name="Vírgula 2 2 2 11 3 3" xfId="12776"/>
    <cellStyle name="Vírgula 2 2 2 11 3 3 2" xfId="39279"/>
    <cellStyle name="Vírgula 2 2 2 11 3 4" xfId="33371"/>
    <cellStyle name="Vírgula 2 2 2 11 3 5" xfId="26837"/>
    <cellStyle name="Vírgula 2 2 2 11 4" xfId="15739"/>
    <cellStyle name="Vírgula 2 2 2 11 4 2" xfId="42233"/>
    <cellStyle name="Vírgula 2 2 2 11 5" xfId="9812"/>
    <cellStyle name="Vírgula 2 2 2 11 5 2" xfId="36325"/>
    <cellStyle name="Vírgula 2 2 2 11 6" xfId="29862"/>
    <cellStyle name="Vírgula 2 2 2 11 7" xfId="23328"/>
    <cellStyle name="Vírgula 2 2 2 12" xfId="4814"/>
    <cellStyle name="Vírgula 2 2 2 12 2" xfId="8090"/>
    <cellStyle name="Vírgula 2 2 2 12 2 2" xfId="19944"/>
    <cellStyle name="Vírgula 2 2 2 12 2 2 2" xfId="46423"/>
    <cellStyle name="Vírgula 2 2 2 12 2 3" xfId="14017"/>
    <cellStyle name="Vírgula 2 2 2 12 2 3 2" xfId="40515"/>
    <cellStyle name="Vírgula 2 2 2 12 2 4" xfId="34607"/>
    <cellStyle name="Vírgula 2 2 2 12 2 5" xfId="28073"/>
    <cellStyle name="Vírgula 2 2 2 12 3" xfId="16980"/>
    <cellStyle name="Vírgula 2 2 2 12 3 2" xfId="43469"/>
    <cellStyle name="Vírgula 2 2 2 12 4" xfId="11053"/>
    <cellStyle name="Vírgula 2 2 2 12 4 2" xfId="37561"/>
    <cellStyle name="Vírgula 2 2 2 12 5" xfId="31341"/>
    <cellStyle name="Vírgula 2 2 2 12 6" xfId="24807"/>
    <cellStyle name="Vírgula 2 2 2 13" xfId="6578"/>
    <cellStyle name="Vírgula 2 2 2 13 2" xfId="9554"/>
    <cellStyle name="Vírgula 2 2 2 13 2 2" xfId="21408"/>
    <cellStyle name="Vírgula 2 2 2 13 2 2 2" xfId="47887"/>
    <cellStyle name="Vírgula 2 2 2 13 2 3" xfId="15481"/>
    <cellStyle name="Vírgula 2 2 2 13 2 3 2" xfId="41979"/>
    <cellStyle name="Vírgula 2 2 2 13 2 4" xfId="36071"/>
    <cellStyle name="Vírgula 2 2 2 13 2 5" xfId="29537"/>
    <cellStyle name="Vírgula 2 2 2 13 3" xfId="18444"/>
    <cellStyle name="Vírgula 2 2 2 13 3 2" xfId="44933"/>
    <cellStyle name="Vírgula 2 2 2 13 4" xfId="12517"/>
    <cellStyle name="Vírgula 2 2 2 13 4 2" xfId="39025"/>
    <cellStyle name="Vírgula 2 2 2 13 5" xfId="33105"/>
    <cellStyle name="Vírgula 2 2 2 13 6" xfId="26571"/>
    <cellStyle name="Vírgula 2 2 2 14" xfId="6614"/>
    <cellStyle name="Vírgula 2 2 2 14 2" xfId="18468"/>
    <cellStyle name="Vírgula 2 2 2 14 2 2" xfId="44955"/>
    <cellStyle name="Vírgula 2 2 2 14 3" xfId="12541"/>
    <cellStyle name="Vírgula 2 2 2 14 3 2" xfId="39047"/>
    <cellStyle name="Vírgula 2 2 2 14 4" xfId="33139"/>
    <cellStyle name="Vírgula 2 2 2 14 5" xfId="26605"/>
    <cellStyle name="Vírgula 2 2 2 15" xfId="15504"/>
    <cellStyle name="Vírgula 2 2 2 15 2" xfId="42001"/>
    <cellStyle name="Vírgula 2 2 2 15 3" xfId="23035"/>
    <cellStyle name="Vírgula 2 2 2 16" xfId="9577"/>
    <cellStyle name="Vírgula 2 2 2 16 2" xfId="36093"/>
    <cellStyle name="Vírgula 2 2 2 17" xfId="29569"/>
    <cellStyle name="Vírgula 2 2 2 18" xfId="21556"/>
    <cellStyle name="Vírgula 2 2 2 2" xfId="52"/>
    <cellStyle name="Vírgula 2 2 2 2 10" xfId="6623"/>
    <cellStyle name="Vírgula 2 2 2 2 10 2" xfId="18477"/>
    <cellStyle name="Vírgula 2 2 2 2 10 2 2" xfId="44964"/>
    <cellStyle name="Vírgula 2 2 2 2 10 3" xfId="12550"/>
    <cellStyle name="Vírgula 2 2 2 2 10 3 2" xfId="39056"/>
    <cellStyle name="Vírgula 2 2 2 2 10 4" xfId="33148"/>
    <cellStyle name="Vírgula 2 2 2 2 10 5" xfId="26614"/>
    <cellStyle name="Vírgula 2 2 2 2 11" xfId="15513"/>
    <cellStyle name="Vírgula 2 2 2 2 11 2" xfId="42010"/>
    <cellStyle name="Vírgula 2 2 2 2 11 3" xfId="23053"/>
    <cellStyle name="Vírgula 2 2 2 2 12" xfId="9586"/>
    <cellStyle name="Vírgula 2 2 2 2 12 2" xfId="36102"/>
    <cellStyle name="Vírgula 2 2 2 2 13" xfId="29587"/>
    <cellStyle name="Vírgula 2 2 2 2 14" xfId="21942"/>
    <cellStyle name="Vírgula 2 2 2 2 2" xfId="93"/>
    <cellStyle name="Vírgula 2 2 2 2 2 10" xfId="29627"/>
    <cellStyle name="Vírgula 2 2 2 2 2 11" xfId="22635"/>
    <cellStyle name="Vírgula 2 2 2 2 2 2" xfId="4500"/>
    <cellStyle name="Vírgula 2 2 2 2 2 2 2" xfId="6272"/>
    <cellStyle name="Vírgula 2 2 2 2 2 2 2 2" xfId="9401"/>
    <cellStyle name="Vírgula 2 2 2 2 2 2 2 2 2" xfId="21255"/>
    <cellStyle name="Vírgula 2 2 2 2 2 2 2 2 2 2" xfId="47734"/>
    <cellStyle name="Vírgula 2 2 2 2 2 2 2 2 3" xfId="15328"/>
    <cellStyle name="Vírgula 2 2 2 2 2 2 2 2 3 2" xfId="41826"/>
    <cellStyle name="Vírgula 2 2 2 2 2 2 2 2 4" xfId="35918"/>
    <cellStyle name="Vírgula 2 2 2 2 2 2 2 2 5" xfId="29384"/>
    <cellStyle name="Vírgula 2 2 2 2 2 2 2 3" xfId="18291"/>
    <cellStyle name="Vírgula 2 2 2 2 2 2 2 3 2" xfId="44780"/>
    <cellStyle name="Vírgula 2 2 2 2 2 2 2 4" xfId="12364"/>
    <cellStyle name="Vírgula 2 2 2 2 2 2 2 4 2" xfId="38872"/>
    <cellStyle name="Vírgula 2 2 2 2 2 2 2 5" xfId="32799"/>
    <cellStyle name="Vírgula 2 2 2 2 2 2 2 6" xfId="26265"/>
    <cellStyle name="Vírgula 2 2 2 2 2 2 3" xfId="7933"/>
    <cellStyle name="Vírgula 2 2 2 2 2 2 3 2" xfId="19787"/>
    <cellStyle name="Vírgula 2 2 2 2 2 2 3 2 2" xfId="46266"/>
    <cellStyle name="Vírgula 2 2 2 2 2 2 3 3" xfId="13860"/>
    <cellStyle name="Vírgula 2 2 2 2 2 2 3 3 2" xfId="40358"/>
    <cellStyle name="Vírgula 2 2 2 2 2 2 3 4" xfId="34450"/>
    <cellStyle name="Vírgula 2 2 2 2 2 2 3 5" xfId="27916"/>
    <cellStyle name="Vírgula 2 2 2 2 2 2 4" xfId="16823"/>
    <cellStyle name="Vírgula 2 2 2 2 2 2 4 2" xfId="43312"/>
    <cellStyle name="Vírgula 2 2 2 2 2 2 4 3" xfId="24493"/>
    <cellStyle name="Vírgula 2 2 2 2 2 2 5" xfId="10896"/>
    <cellStyle name="Vírgula 2 2 2 2 2 2 5 2" xfId="37404"/>
    <cellStyle name="Vírgula 2 2 2 2 2 2 6" xfId="31027"/>
    <cellStyle name="Vírgula 2 2 2 2 2 2 7" xfId="22721"/>
    <cellStyle name="Vírgula 2 2 2 2 2 3" xfId="4624"/>
    <cellStyle name="Vírgula 2 2 2 2 2 3 2" xfId="6396"/>
    <cellStyle name="Vírgula 2 2 2 2 2 3 2 2" xfId="9463"/>
    <cellStyle name="Vírgula 2 2 2 2 2 3 2 2 2" xfId="21317"/>
    <cellStyle name="Vírgula 2 2 2 2 2 3 2 2 2 2" xfId="47796"/>
    <cellStyle name="Vírgula 2 2 2 2 2 3 2 2 3" xfId="15390"/>
    <cellStyle name="Vírgula 2 2 2 2 2 3 2 2 3 2" xfId="41888"/>
    <cellStyle name="Vírgula 2 2 2 2 2 3 2 2 4" xfId="35980"/>
    <cellStyle name="Vírgula 2 2 2 2 2 3 2 2 5" xfId="29446"/>
    <cellStyle name="Vírgula 2 2 2 2 2 3 2 3" xfId="18353"/>
    <cellStyle name="Vírgula 2 2 2 2 2 3 2 3 2" xfId="44842"/>
    <cellStyle name="Vírgula 2 2 2 2 2 3 2 4" xfId="12426"/>
    <cellStyle name="Vírgula 2 2 2 2 2 3 2 4 2" xfId="38934"/>
    <cellStyle name="Vírgula 2 2 2 2 2 3 2 5" xfId="32923"/>
    <cellStyle name="Vírgula 2 2 2 2 2 3 2 6" xfId="26389"/>
    <cellStyle name="Vírgula 2 2 2 2 2 3 3" xfId="7995"/>
    <cellStyle name="Vírgula 2 2 2 2 2 3 3 2" xfId="19849"/>
    <cellStyle name="Vírgula 2 2 2 2 2 3 3 2 2" xfId="46328"/>
    <cellStyle name="Vírgula 2 2 2 2 2 3 3 3" xfId="13922"/>
    <cellStyle name="Vírgula 2 2 2 2 2 3 3 3 2" xfId="40420"/>
    <cellStyle name="Vírgula 2 2 2 2 2 3 3 4" xfId="34512"/>
    <cellStyle name="Vírgula 2 2 2 2 2 3 3 5" xfId="27978"/>
    <cellStyle name="Vírgula 2 2 2 2 2 3 4" xfId="16885"/>
    <cellStyle name="Vírgula 2 2 2 2 2 3 4 2" xfId="43374"/>
    <cellStyle name="Vírgula 2 2 2 2 2 3 4 3" xfId="24617"/>
    <cellStyle name="Vírgula 2 2 2 2 2 3 5" xfId="10958"/>
    <cellStyle name="Vírgula 2 2 2 2 2 3 5 2" xfId="37466"/>
    <cellStyle name="Vírgula 2 2 2 2 2 3 6" xfId="31151"/>
    <cellStyle name="Vírgula 2 2 2 2 2 3 7" xfId="22845"/>
    <cellStyle name="Vírgula 2 2 2 2 2 4" xfId="4748"/>
    <cellStyle name="Vírgula 2 2 2 2 2 4 2" xfId="6520"/>
    <cellStyle name="Vírgula 2 2 2 2 2 4 2 2" xfId="9525"/>
    <cellStyle name="Vírgula 2 2 2 2 2 4 2 2 2" xfId="21379"/>
    <cellStyle name="Vírgula 2 2 2 2 2 4 2 2 2 2" xfId="47858"/>
    <cellStyle name="Vírgula 2 2 2 2 2 4 2 2 3" xfId="15452"/>
    <cellStyle name="Vírgula 2 2 2 2 2 4 2 2 3 2" xfId="41950"/>
    <cellStyle name="Vírgula 2 2 2 2 2 4 2 2 4" xfId="36042"/>
    <cellStyle name="Vírgula 2 2 2 2 2 4 2 2 5" xfId="29508"/>
    <cellStyle name="Vírgula 2 2 2 2 2 4 2 3" xfId="18415"/>
    <cellStyle name="Vírgula 2 2 2 2 2 4 2 3 2" xfId="44904"/>
    <cellStyle name="Vírgula 2 2 2 2 2 4 2 4" xfId="12488"/>
    <cellStyle name="Vírgula 2 2 2 2 2 4 2 4 2" xfId="38996"/>
    <cellStyle name="Vírgula 2 2 2 2 2 4 2 5" xfId="33047"/>
    <cellStyle name="Vírgula 2 2 2 2 2 4 2 6" xfId="26513"/>
    <cellStyle name="Vírgula 2 2 2 2 2 4 3" xfId="8057"/>
    <cellStyle name="Vírgula 2 2 2 2 2 4 3 2" xfId="19911"/>
    <cellStyle name="Vírgula 2 2 2 2 2 4 3 2 2" xfId="46390"/>
    <cellStyle name="Vírgula 2 2 2 2 2 4 3 3" xfId="13984"/>
    <cellStyle name="Vírgula 2 2 2 2 2 4 3 3 2" xfId="40482"/>
    <cellStyle name="Vírgula 2 2 2 2 2 4 3 4" xfId="34574"/>
    <cellStyle name="Vírgula 2 2 2 2 2 4 3 5" xfId="28040"/>
    <cellStyle name="Vírgula 2 2 2 2 2 4 4" xfId="16947"/>
    <cellStyle name="Vírgula 2 2 2 2 2 4 4 2" xfId="43436"/>
    <cellStyle name="Vírgula 2 2 2 2 2 4 4 3" xfId="24741"/>
    <cellStyle name="Vírgula 2 2 2 2 2 4 5" xfId="11020"/>
    <cellStyle name="Vírgula 2 2 2 2 2 4 5 2" xfId="37528"/>
    <cellStyle name="Vírgula 2 2 2 2 2 4 6" xfId="31275"/>
    <cellStyle name="Vírgula 2 2 2 2 2 4 7" xfId="22969"/>
    <cellStyle name="Vírgula 2 2 2 2 2 5" xfId="4414"/>
    <cellStyle name="Vírgula 2 2 2 2 2 5 2" xfId="6186"/>
    <cellStyle name="Vírgula 2 2 2 2 2 5 2 2" xfId="9358"/>
    <cellStyle name="Vírgula 2 2 2 2 2 5 2 2 2" xfId="21212"/>
    <cellStyle name="Vírgula 2 2 2 2 2 5 2 2 2 2" xfId="47691"/>
    <cellStyle name="Vírgula 2 2 2 2 2 5 2 2 3" xfId="15285"/>
    <cellStyle name="Vírgula 2 2 2 2 2 5 2 2 3 2" xfId="41783"/>
    <cellStyle name="Vírgula 2 2 2 2 2 5 2 2 4" xfId="35875"/>
    <cellStyle name="Vírgula 2 2 2 2 2 5 2 2 5" xfId="29341"/>
    <cellStyle name="Vírgula 2 2 2 2 2 5 2 3" xfId="18248"/>
    <cellStyle name="Vírgula 2 2 2 2 2 5 2 3 2" xfId="44737"/>
    <cellStyle name="Vírgula 2 2 2 2 2 5 2 4" xfId="12321"/>
    <cellStyle name="Vírgula 2 2 2 2 2 5 2 4 2" xfId="38829"/>
    <cellStyle name="Vírgula 2 2 2 2 2 5 2 5" xfId="32713"/>
    <cellStyle name="Vírgula 2 2 2 2 2 5 2 6" xfId="26179"/>
    <cellStyle name="Vírgula 2 2 2 2 2 5 3" xfId="7890"/>
    <cellStyle name="Vírgula 2 2 2 2 2 5 3 2" xfId="19744"/>
    <cellStyle name="Vírgula 2 2 2 2 2 5 3 2 2" xfId="46223"/>
    <cellStyle name="Vírgula 2 2 2 2 2 5 3 3" xfId="13817"/>
    <cellStyle name="Vírgula 2 2 2 2 2 5 3 3 2" xfId="40315"/>
    <cellStyle name="Vírgula 2 2 2 2 2 5 3 4" xfId="34407"/>
    <cellStyle name="Vírgula 2 2 2 2 2 5 3 5" xfId="27873"/>
    <cellStyle name="Vírgula 2 2 2 2 2 5 4" xfId="16780"/>
    <cellStyle name="Vírgula 2 2 2 2 2 5 4 2" xfId="43269"/>
    <cellStyle name="Vírgula 2 2 2 2 2 5 5" xfId="10853"/>
    <cellStyle name="Vírgula 2 2 2 2 2 5 5 2" xfId="37361"/>
    <cellStyle name="Vírgula 2 2 2 2 2 5 6" xfId="30941"/>
    <cellStyle name="Vírgula 2 2 2 2 2 5 7" xfId="24407"/>
    <cellStyle name="Vírgula 2 2 2 2 2 6" xfId="4872"/>
    <cellStyle name="Vírgula 2 2 2 2 2 6 2" xfId="8119"/>
    <cellStyle name="Vírgula 2 2 2 2 2 6 2 2" xfId="19973"/>
    <cellStyle name="Vírgula 2 2 2 2 2 6 2 2 2" xfId="46452"/>
    <cellStyle name="Vírgula 2 2 2 2 2 6 2 3" xfId="14046"/>
    <cellStyle name="Vírgula 2 2 2 2 2 6 2 3 2" xfId="40544"/>
    <cellStyle name="Vírgula 2 2 2 2 2 6 2 4" xfId="34636"/>
    <cellStyle name="Vírgula 2 2 2 2 2 6 2 5" xfId="28102"/>
    <cellStyle name="Vírgula 2 2 2 2 2 6 3" xfId="17009"/>
    <cellStyle name="Vírgula 2 2 2 2 2 6 3 2" xfId="43498"/>
    <cellStyle name="Vírgula 2 2 2 2 2 6 4" xfId="11082"/>
    <cellStyle name="Vírgula 2 2 2 2 2 6 4 2" xfId="37590"/>
    <cellStyle name="Vírgula 2 2 2 2 2 6 5" xfId="31399"/>
    <cellStyle name="Vírgula 2 2 2 2 2 6 6" xfId="24865"/>
    <cellStyle name="Vírgula 2 2 2 2 2 7" xfId="6643"/>
    <cellStyle name="Vírgula 2 2 2 2 2 7 2" xfId="18497"/>
    <cellStyle name="Vírgula 2 2 2 2 2 7 2 2" xfId="44984"/>
    <cellStyle name="Vírgula 2 2 2 2 2 7 3" xfId="12570"/>
    <cellStyle name="Vírgula 2 2 2 2 2 7 3 2" xfId="39076"/>
    <cellStyle name="Vírgula 2 2 2 2 2 7 4" xfId="33168"/>
    <cellStyle name="Vírgula 2 2 2 2 2 7 5" xfId="26634"/>
    <cellStyle name="Vírgula 2 2 2 2 2 8" xfId="15533"/>
    <cellStyle name="Vírgula 2 2 2 2 2 8 2" xfId="42030"/>
    <cellStyle name="Vírgula 2 2 2 2 2 8 3" xfId="23093"/>
    <cellStyle name="Vírgula 2 2 2 2 2 9" xfId="9606"/>
    <cellStyle name="Vírgula 2 2 2 2 2 9 2" xfId="36122"/>
    <cellStyle name="Vírgula 2 2 2 2 3" xfId="131"/>
    <cellStyle name="Vírgula 2 2 2 2 3 10" xfId="29665"/>
    <cellStyle name="Vírgula 2 2 2 2 3 11" xfId="22595"/>
    <cellStyle name="Vírgula 2 2 2 2 3 2" xfId="4538"/>
    <cellStyle name="Vírgula 2 2 2 2 3 2 2" xfId="6310"/>
    <cellStyle name="Vírgula 2 2 2 2 3 2 2 2" xfId="9420"/>
    <cellStyle name="Vírgula 2 2 2 2 3 2 2 2 2" xfId="21274"/>
    <cellStyle name="Vírgula 2 2 2 2 3 2 2 2 2 2" xfId="47753"/>
    <cellStyle name="Vírgula 2 2 2 2 3 2 2 2 3" xfId="15347"/>
    <cellStyle name="Vírgula 2 2 2 2 3 2 2 2 3 2" xfId="41845"/>
    <cellStyle name="Vírgula 2 2 2 2 3 2 2 2 4" xfId="35937"/>
    <cellStyle name="Vírgula 2 2 2 2 3 2 2 2 5" xfId="29403"/>
    <cellStyle name="Vírgula 2 2 2 2 3 2 2 3" xfId="18310"/>
    <cellStyle name="Vírgula 2 2 2 2 3 2 2 3 2" xfId="44799"/>
    <cellStyle name="Vírgula 2 2 2 2 3 2 2 4" xfId="12383"/>
    <cellStyle name="Vírgula 2 2 2 2 3 2 2 4 2" xfId="38891"/>
    <cellStyle name="Vírgula 2 2 2 2 3 2 2 5" xfId="32837"/>
    <cellStyle name="Vírgula 2 2 2 2 3 2 2 6" xfId="26303"/>
    <cellStyle name="Vírgula 2 2 2 2 3 2 3" xfId="7952"/>
    <cellStyle name="Vírgula 2 2 2 2 3 2 3 2" xfId="19806"/>
    <cellStyle name="Vírgula 2 2 2 2 3 2 3 2 2" xfId="46285"/>
    <cellStyle name="Vírgula 2 2 2 2 3 2 3 3" xfId="13879"/>
    <cellStyle name="Vírgula 2 2 2 2 3 2 3 3 2" xfId="40377"/>
    <cellStyle name="Vírgula 2 2 2 2 3 2 3 4" xfId="34469"/>
    <cellStyle name="Vírgula 2 2 2 2 3 2 3 5" xfId="27935"/>
    <cellStyle name="Vírgula 2 2 2 2 3 2 4" xfId="16842"/>
    <cellStyle name="Vírgula 2 2 2 2 3 2 4 2" xfId="43331"/>
    <cellStyle name="Vírgula 2 2 2 2 3 2 4 3" xfId="24531"/>
    <cellStyle name="Vírgula 2 2 2 2 3 2 5" xfId="10915"/>
    <cellStyle name="Vírgula 2 2 2 2 3 2 5 2" xfId="37423"/>
    <cellStyle name="Vírgula 2 2 2 2 3 2 6" xfId="31065"/>
    <cellStyle name="Vírgula 2 2 2 2 3 2 7" xfId="22759"/>
    <cellStyle name="Vírgula 2 2 2 2 3 3" xfId="4662"/>
    <cellStyle name="Vírgula 2 2 2 2 3 3 2" xfId="6434"/>
    <cellStyle name="Vírgula 2 2 2 2 3 3 2 2" xfId="9482"/>
    <cellStyle name="Vírgula 2 2 2 2 3 3 2 2 2" xfId="21336"/>
    <cellStyle name="Vírgula 2 2 2 2 3 3 2 2 2 2" xfId="47815"/>
    <cellStyle name="Vírgula 2 2 2 2 3 3 2 2 3" xfId="15409"/>
    <cellStyle name="Vírgula 2 2 2 2 3 3 2 2 3 2" xfId="41907"/>
    <cellStyle name="Vírgula 2 2 2 2 3 3 2 2 4" xfId="35999"/>
    <cellStyle name="Vírgula 2 2 2 2 3 3 2 2 5" xfId="29465"/>
    <cellStyle name="Vírgula 2 2 2 2 3 3 2 3" xfId="18372"/>
    <cellStyle name="Vírgula 2 2 2 2 3 3 2 3 2" xfId="44861"/>
    <cellStyle name="Vírgula 2 2 2 2 3 3 2 4" xfId="12445"/>
    <cellStyle name="Vírgula 2 2 2 2 3 3 2 4 2" xfId="38953"/>
    <cellStyle name="Vírgula 2 2 2 2 3 3 2 5" xfId="32961"/>
    <cellStyle name="Vírgula 2 2 2 2 3 3 2 6" xfId="26427"/>
    <cellStyle name="Vírgula 2 2 2 2 3 3 3" xfId="8014"/>
    <cellStyle name="Vírgula 2 2 2 2 3 3 3 2" xfId="19868"/>
    <cellStyle name="Vírgula 2 2 2 2 3 3 3 2 2" xfId="46347"/>
    <cellStyle name="Vírgula 2 2 2 2 3 3 3 3" xfId="13941"/>
    <cellStyle name="Vírgula 2 2 2 2 3 3 3 3 2" xfId="40439"/>
    <cellStyle name="Vírgula 2 2 2 2 3 3 3 4" xfId="34531"/>
    <cellStyle name="Vírgula 2 2 2 2 3 3 3 5" xfId="27997"/>
    <cellStyle name="Vírgula 2 2 2 2 3 3 4" xfId="16904"/>
    <cellStyle name="Vírgula 2 2 2 2 3 3 4 2" xfId="43393"/>
    <cellStyle name="Vírgula 2 2 2 2 3 3 4 3" xfId="24655"/>
    <cellStyle name="Vírgula 2 2 2 2 3 3 5" xfId="10977"/>
    <cellStyle name="Vírgula 2 2 2 2 3 3 5 2" xfId="37485"/>
    <cellStyle name="Vírgula 2 2 2 2 3 3 6" xfId="31189"/>
    <cellStyle name="Vírgula 2 2 2 2 3 3 7" xfId="22883"/>
    <cellStyle name="Vírgula 2 2 2 2 3 4" xfId="4786"/>
    <cellStyle name="Vírgula 2 2 2 2 3 4 2" xfId="6558"/>
    <cellStyle name="Vírgula 2 2 2 2 3 4 2 2" xfId="9544"/>
    <cellStyle name="Vírgula 2 2 2 2 3 4 2 2 2" xfId="21398"/>
    <cellStyle name="Vírgula 2 2 2 2 3 4 2 2 2 2" xfId="47877"/>
    <cellStyle name="Vírgula 2 2 2 2 3 4 2 2 3" xfId="15471"/>
    <cellStyle name="Vírgula 2 2 2 2 3 4 2 2 3 2" xfId="41969"/>
    <cellStyle name="Vírgula 2 2 2 2 3 4 2 2 4" xfId="36061"/>
    <cellStyle name="Vírgula 2 2 2 2 3 4 2 2 5" xfId="29527"/>
    <cellStyle name="Vírgula 2 2 2 2 3 4 2 3" xfId="18434"/>
    <cellStyle name="Vírgula 2 2 2 2 3 4 2 3 2" xfId="44923"/>
    <cellStyle name="Vírgula 2 2 2 2 3 4 2 4" xfId="12507"/>
    <cellStyle name="Vírgula 2 2 2 2 3 4 2 4 2" xfId="39015"/>
    <cellStyle name="Vírgula 2 2 2 2 3 4 2 5" xfId="33085"/>
    <cellStyle name="Vírgula 2 2 2 2 3 4 2 6" xfId="26551"/>
    <cellStyle name="Vírgula 2 2 2 2 3 4 3" xfId="8076"/>
    <cellStyle name="Vírgula 2 2 2 2 3 4 3 2" xfId="19930"/>
    <cellStyle name="Vírgula 2 2 2 2 3 4 3 2 2" xfId="46409"/>
    <cellStyle name="Vírgula 2 2 2 2 3 4 3 3" xfId="14003"/>
    <cellStyle name="Vírgula 2 2 2 2 3 4 3 3 2" xfId="40501"/>
    <cellStyle name="Vírgula 2 2 2 2 3 4 3 4" xfId="34593"/>
    <cellStyle name="Vírgula 2 2 2 2 3 4 3 5" xfId="28059"/>
    <cellStyle name="Vírgula 2 2 2 2 3 4 4" xfId="16966"/>
    <cellStyle name="Vírgula 2 2 2 2 3 4 4 2" xfId="43455"/>
    <cellStyle name="Vírgula 2 2 2 2 3 4 4 3" xfId="24779"/>
    <cellStyle name="Vírgula 2 2 2 2 3 4 5" xfId="11039"/>
    <cellStyle name="Vírgula 2 2 2 2 3 4 5 2" xfId="37547"/>
    <cellStyle name="Vírgula 2 2 2 2 3 4 6" xfId="31313"/>
    <cellStyle name="Vírgula 2 2 2 2 3 4 7" xfId="23007"/>
    <cellStyle name="Vírgula 2 2 2 2 3 5" xfId="4374"/>
    <cellStyle name="Vírgula 2 2 2 2 3 5 2" xfId="6146"/>
    <cellStyle name="Vírgula 2 2 2 2 3 5 2 2" xfId="9338"/>
    <cellStyle name="Vírgula 2 2 2 2 3 5 2 2 2" xfId="21192"/>
    <cellStyle name="Vírgula 2 2 2 2 3 5 2 2 2 2" xfId="47671"/>
    <cellStyle name="Vírgula 2 2 2 2 3 5 2 2 3" xfId="15265"/>
    <cellStyle name="Vírgula 2 2 2 2 3 5 2 2 3 2" xfId="41763"/>
    <cellStyle name="Vírgula 2 2 2 2 3 5 2 2 4" xfId="35855"/>
    <cellStyle name="Vírgula 2 2 2 2 3 5 2 2 5" xfId="29321"/>
    <cellStyle name="Vírgula 2 2 2 2 3 5 2 3" xfId="18228"/>
    <cellStyle name="Vírgula 2 2 2 2 3 5 2 3 2" xfId="44717"/>
    <cellStyle name="Vírgula 2 2 2 2 3 5 2 4" xfId="12301"/>
    <cellStyle name="Vírgula 2 2 2 2 3 5 2 4 2" xfId="38809"/>
    <cellStyle name="Vírgula 2 2 2 2 3 5 2 5" xfId="32673"/>
    <cellStyle name="Vírgula 2 2 2 2 3 5 2 6" xfId="26139"/>
    <cellStyle name="Vírgula 2 2 2 2 3 5 3" xfId="7870"/>
    <cellStyle name="Vírgula 2 2 2 2 3 5 3 2" xfId="19724"/>
    <cellStyle name="Vírgula 2 2 2 2 3 5 3 2 2" xfId="46203"/>
    <cellStyle name="Vírgula 2 2 2 2 3 5 3 3" xfId="13797"/>
    <cellStyle name="Vírgula 2 2 2 2 3 5 3 3 2" xfId="40295"/>
    <cellStyle name="Vírgula 2 2 2 2 3 5 3 4" xfId="34387"/>
    <cellStyle name="Vírgula 2 2 2 2 3 5 3 5" xfId="27853"/>
    <cellStyle name="Vírgula 2 2 2 2 3 5 4" xfId="16760"/>
    <cellStyle name="Vírgula 2 2 2 2 3 5 4 2" xfId="43249"/>
    <cellStyle name="Vírgula 2 2 2 2 3 5 5" xfId="10833"/>
    <cellStyle name="Vírgula 2 2 2 2 3 5 5 2" xfId="37341"/>
    <cellStyle name="Vírgula 2 2 2 2 3 5 6" xfId="30901"/>
    <cellStyle name="Vírgula 2 2 2 2 3 5 7" xfId="24367"/>
    <cellStyle name="Vírgula 2 2 2 2 3 6" xfId="4910"/>
    <cellStyle name="Vírgula 2 2 2 2 3 6 2" xfId="8138"/>
    <cellStyle name="Vírgula 2 2 2 2 3 6 2 2" xfId="19992"/>
    <cellStyle name="Vírgula 2 2 2 2 3 6 2 2 2" xfId="46471"/>
    <cellStyle name="Vírgula 2 2 2 2 3 6 2 3" xfId="14065"/>
    <cellStyle name="Vírgula 2 2 2 2 3 6 2 3 2" xfId="40563"/>
    <cellStyle name="Vírgula 2 2 2 2 3 6 2 4" xfId="34655"/>
    <cellStyle name="Vírgula 2 2 2 2 3 6 2 5" xfId="28121"/>
    <cellStyle name="Vírgula 2 2 2 2 3 6 3" xfId="17028"/>
    <cellStyle name="Vírgula 2 2 2 2 3 6 3 2" xfId="43517"/>
    <cellStyle name="Vírgula 2 2 2 2 3 6 4" xfId="11101"/>
    <cellStyle name="Vírgula 2 2 2 2 3 6 4 2" xfId="37609"/>
    <cellStyle name="Vírgula 2 2 2 2 3 6 5" xfId="31437"/>
    <cellStyle name="Vírgula 2 2 2 2 3 6 6" xfId="24903"/>
    <cellStyle name="Vírgula 2 2 2 2 3 7" xfId="6662"/>
    <cellStyle name="Vírgula 2 2 2 2 3 7 2" xfId="18516"/>
    <cellStyle name="Vírgula 2 2 2 2 3 7 2 2" xfId="45003"/>
    <cellStyle name="Vírgula 2 2 2 2 3 7 3" xfId="12589"/>
    <cellStyle name="Vírgula 2 2 2 2 3 7 3 2" xfId="39095"/>
    <cellStyle name="Vírgula 2 2 2 2 3 7 4" xfId="33187"/>
    <cellStyle name="Vírgula 2 2 2 2 3 7 5" xfId="26653"/>
    <cellStyle name="Vírgula 2 2 2 2 3 8" xfId="15552"/>
    <cellStyle name="Vírgula 2 2 2 2 3 8 2" xfId="42049"/>
    <cellStyle name="Vírgula 2 2 2 2 3 8 3" xfId="23131"/>
    <cellStyle name="Vírgula 2 2 2 2 3 9" xfId="9625"/>
    <cellStyle name="Vírgula 2 2 2 2 3 9 2" xfId="36141"/>
    <cellStyle name="Vírgula 2 2 2 2 4" xfId="4460"/>
    <cellStyle name="Vírgula 2 2 2 2 4 2" xfId="6232"/>
    <cellStyle name="Vírgula 2 2 2 2 4 2 2" xfId="9381"/>
    <cellStyle name="Vírgula 2 2 2 2 4 2 2 2" xfId="21235"/>
    <cellStyle name="Vírgula 2 2 2 2 4 2 2 2 2" xfId="47714"/>
    <cellStyle name="Vírgula 2 2 2 2 4 2 2 3" xfId="15308"/>
    <cellStyle name="Vírgula 2 2 2 2 4 2 2 3 2" xfId="41806"/>
    <cellStyle name="Vírgula 2 2 2 2 4 2 2 4" xfId="35898"/>
    <cellStyle name="Vírgula 2 2 2 2 4 2 2 5" xfId="29364"/>
    <cellStyle name="Vírgula 2 2 2 2 4 2 3" xfId="18271"/>
    <cellStyle name="Vírgula 2 2 2 2 4 2 3 2" xfId="44760"/>
    <cellStyle name="Vírgula 2 2 2 2 4 2 4" xfId="12344"/>
    <cellStyle name="Vírgula 2 2 2 2 4 2 4 2" xfId="38852"/>
    <cellStyle name="Vírgula 2 2 2 2 4 2 5" xfId="32759"/>
    <cellStyle name="Vírgula 2 2 2 2 4 2 6" xfId="26225"/>
    <cellStyle name="Vírgula 2 2 2 2 4 3" xfId="7913"/>
    <cellStyle name="Vírgula 2 2 2 2 4 3 2" xfId="19767"/>
    <cellStyle name="Vírgula 2 2 2 2 4 3 2 2" xfId="46246"/>
    <cellStyle name="Vírgula 2 2 2 2 4 3 3" xfId="13840"/>
    <cellStyle name="Vírgula 2 2 2 2 4 3 3 2" xfId="40338"/>
    <cellStyle name="Vírgula 2 2 2 2 4 3 4" xfId="34430"/>
    <cellStyle name="Vírgula 2 2 2 2 4 3 5" xfId="27896"/>
    <cellStyle name="Vírgula 2 2 2 2 4 4" xfId="16803"/>
    <cellStyle name="Vírgula 2 2 2 2 4 4 2" xfId="43292"/>
    <cellStyle name="Vírgula 2 2 2 2 4 4 3" xfId="24453"/>
    <cellStyle name="Vírgula 2 2 2 2 4 5" xfId="10876"/>
    <cellStyle name="Vírgula 2 2 2 2 4 5 2" xfId="37384"/>
    <cellStyle name="Vírgula 2 2 2 2 4 6" xfId="30987"/>
    <cellStyle name="Vírgula 2 2 2 2 4 7" xfId="22681"/>
    <cellStyle name="Vírgula 2 2 2 2 5" xfId="4584"/>
    <cellStyle name="Vírgula 2 2 2 2 5 2" xfId="6356"/>
    <cellStyle name="Vírgula 2 2 2 2 5 2 2" xfId="9443"/>
    <cellStyle name="Vírgula 2 2 2 2 5 2 2 2" xfId="21297"/>
    <cellStyle name="Vírgula 2 2 2 2 5 2 2 2 2" xfId="47776"/>
    <cellStyle name="Vírgula 2 2 2 2 5 2 2 3" xfId="15370"/>
    <cellStyle name="Vírgula 2 2 2 2 5 2 2 3 2" xfId="41868"/>
    <cellStyle name="Vírgula 2 2 2 2 5 2 2 4" xfId="35960"/>
    <cellStyle name="Vírgula 2 2 2 2 5 2 2 5" xfId="29426"/>
    <cellStyle name="Vírgula 2 2 2 2 5 2 3" xfId="18333"/>
    <cellStyle name="Vírgula 2 2 2 2 5 2 3 2" xfId="44822"/>
    <cellStyle name="Vírgula 2 2 2 2 5 2 4" xfId="12406"/>
    <cellStyle name="Vírgula 2 2 2 2 5 2 4 2" xfId="38914"/>
    <cellStyle name="Vírgula 2 2 2 2 5 2 5" xfId="32883"/>
    <cellStyle name="Vírgula 2 2 2 2 5 2 6" xfId="26349"/>
    <cellStyle name="Vírgula 2 2 2 2 5 3" xfId="7975"/>
    <cellStyle name="Vírgula 2 2 2 2 5 3 2" xfId="19829"/>
    <cellStyle name="Vírgula 2 2 2 2 5 3 2 2" xfId="46308"/>
    <cellStyle name="Vírgula 2 2 2 2 5 3 3" xfId="13902"/>
    <cellStyle name="Vírgula 2 2 2 2 5 3 3 2" xfId="40400"/>
    <cellStyle name="Vírgula 2 2 2 2 5 3 4" xfId="34492"/>
    <cellStyle name="Vírgula 2 2 2 2 5 3 5" xfId="27958"/>
    <cellStyle name="Vírgula 2 2 2 2 5 4" xfId="16865"/>
    <cellStyle name="Vírgula 2 2 2 2 5 4 2" xfId="43354"/>
    <cellStyle name="Vírgula 2 2 2 2 5 4 3" xfId="24577"/>
    <cellStyle name="Vírgula 2 2 2 2 5 5" xfId="10938"/>
    <cellStyle name="Vírgula 2 2 2 2 5 5 2" xfId="37446"/>
    <cellStyle name="Vírgula 2 2 2 2 5 6" xfId="31111"/>
    <cellStyle name="Vírgula 2 2 2 2 5 7" xfId="22805"/>
    <cellStyle name="Vírgula 2 2 2 2 6" xfId="4708"/>
    <cellStyle name="Vírgula 2 2 2 2 6 2" xfId="6480"/>
    <cellStyle name="Vírgula 2 2 2 2 6 2 2" xfId="9505"/>
    <cellStyle name="Vírgula 2 2 2 2 6 2 2 2" xfId="21359"/>
    <cellStyle name="Vírgula 2 2 2 2 6 2 2 2 2" xfId="47838"/>
    <cellStyle name="Vírgula 2 2 2 2 6 2 2 3" xfId="15432"/>
    <cellStyle name="Vírgula 2 2 2 2 6 2 2 3 2" xfId="41930"/>
    <cellStyle name="Vírgula 2 2 2 2 6 2 2 4" xfId="36022"/>
    <cellStyle name="Vírgula 2 2 2 2 6 2 2 5" xfId="29488"/>
    <cellStyle name="Vírgula 2 2 2 2 6 2 3" xfId="18395"/>
    <cellStyle name="Vírgula 2 2 2 2 6 2 3 2" xfId="44884"/>
    <cellStyle name="Vírgula 2 2 2 2 6 2 4" xfId="12468"/>
    <cellStyle name="Vírgula 2 2 2 2 6 2 4 2" xfId="38976"/>
    <cellStyle name="Vírgula 2 2 2 2 6 2 5" xfId="33007"/>
    <cellStyle name="Vírgula 2 2 2 2 6 2 6" xfId="26473"/>
    <cellStyle name="Vírgula 2 2 2 2 6 3" xfId="8037"/>
    <cellStyle name="Vírgula 2 2 2 2 6 3 2" xfId="19891"/>
    <cellStyle name="Vírgula 2 2 2 2 6 3 2 2" xfId="46370"/>
    <cellStyle name="Vírgula 2 2 2 2 6 3 3" xfId="13964"/>
    <cellStyle name="Vírgula 2 2 2 2 6 3 3 2" xfId="40462"/>
    <cellStyle name="Vírgula 2 2 2 2 6 3 4" xfId="34554"/>
    <cellStyle name="Vírgula 2 2 2 2 6 3 5" xfId="28020"/>
    <cellStyle name="Vírgula 2 2 2 2 6 4" xfId="16927"/>
    <cellStyle name="Vírgula 2 2 2 2 6 4 2" xfId="43416"/>
    <cellStyle name="Vírgula 2 2 2 2 6 4 3" xfId="24701"/>
    <cellStyle name="Vírgula 2 2 2 2 6 5" xfId="11000"/>
    <cellStyle name="Vírgula 2 2 2 2 6 5 2" xfId="37508"/>
    <cellStyle name="Vírgula 2 2 2 2 6 6" xfId="31235"/>
    <cellStyle name="Vírgula 2 2 2 2 6 7" xfId="22929"/>
    <cellStyle name="Vírgula 2 2 2 2 7" xfId="2130"/>
    <cellStyle name="Vírgula 2 2 2 2 7 2" xfId="5493"/>
    <cellStyle name="Vírgula 2 2 2 2 7 2 2" xfId="8707"/>
    <cellStyle name="Vírgula 2 2 2 2 7 2 2 2" xfId="20561"/>
    <cellStyle name="Vírgula 2 2 2 2 7 2 2 2 2" xfId="47040"/>
    <cellStyle name="Vírgula 2 2 2 2 7 2 2 3" xfId="14634"/>
    <cellStyle name="Vírgula 2 2 2 2 7 2 2 3 2" xfId="41132"/>
    <cellStyle name="Vírgula 2 2 2 2 7 2 2 4" xfId="35224"/>
    <cellStyle name="Vírgula 2 2 2 2 7 2 2 5" xfId="28690"/>
    <cellStyle name="Vírgula 2 2 2 2 7 2 3" xfId="17597"/>
    <cellStyle name="Vírgula 2 2 2 2 7 2 3 2" xfId="44086"/>
    <cellStyle name="Vírgula 2 2 2 2 7 2 4" xfId="11670"/>
    <cellStyle name="Vírgula 2 2 2 2 7 2 4 2" xfId="38178"/>
    <cellStyle name="Vírgula 2 2 2 2 7 2 5" xfId="32020"/>
    <cellStyle name="Vírgula 2 2 2 2 7 2 6" xfId="25486"/>
    <cellStyle name="Vírgula 2 2 2 2 7 3" xfId="7235"/>
    <cellStyle name="Vírgula 2 2 2 2 7 3 2" xfId="19089"/>
    <cellStyle name="Vírgula 2 2 2 2 7 3 2 2" xfId="45572"/>
    <cellStyle name="Vírgula 2 2 2 2 7 3 3" xfId="13162"/>
    <cellStyle name="Vírgula 2 2 2 2 7 3 3 2" xfId="39664"/>
    <cellStyle name="Vírgula 2 2 2 2 7 3 4" xfId="33756"/>
    <cellStyle name="Vírgula 2 2 2 2 7 3 5" xfId="27222"/>
    <cellStyle name="Vírgula 2 2 2 2 7 4" xfId="16125"/>
    <cellStyle name="Vírgula 2 2 2 2 7 4 2" xfId="42618"/>
    <cellStyle name="Vírgula 2 2 2 2 7 5" xfId="10198"/>
    <cellStyle name="Vírgula 2 2 2 2 7 5 2" xfId="36710"/>
    <cellStyle name="Vírgula 2 2 2 2 7 6" xfId="30248"/>
    <cellStyle name="Vírgula 2 2 2 2 7 7" xfId="23714"/>
    <cellStyle name="Vírgula 2 2 2 2 8" xfId="4832"/>
    <cellStyle name="Vírgula 2 2 2 2 8 2" xfId="8099"/>
    <cellStyle name="Vírgula 2 2 2 2 8 2 2" xfId="19953"/>
    <cellStyle name="Vírgula 2 2 2 2 8 2 2 2" xfId="46432"/>
    <cellStyle name="Vírgula 2 2 2 2 8 2 3" xfId="14026"/>
    <cellStyle name="Vírgula 2 2 2 2 8 2 3 2" xfId="40524"/>
    <cellStyle name="Vírgula 2 2 2 2 8 2 4" xfId="34616"/>
    <cellStyle name="Vírgula 2 2 2 2 8 2 5" xfId="28082"/>
    <cellStyle name="Vírgula 2 2 2 2 8 3" xfId="16989"/>
    <cellStyle name="Vírgula 2 2 2 2 8 3 2" xfId="43478"/>
    <cellStyle name="Vírgula 2 2 2 2 8 4" xfId="11062"/>
    <cellStyle name="Vírgula 2 2 2 2 8 4 2" xfId="37570"/>
    <cellStyle name="Vírgula 2 2 2 2 8 5" xfId="31359"/>
    <cellStyle name="Vírgula 2 2 2 2 8 6" xfId="24825"/>
    <cellStyle name="Vírgula 2 2 2 2 9" xfId="6596"/>
    <cellStyle name="Vírgula 2 2 2 2 9 2" xfId="9563"/>
    <cellStyle name="Vírgula 2 2 2 2 9 2 2" xfId="21417"/>
    <cellStyle name="Vírgula 2 2 2 2 9 2 2 2" xfId="47896"/>
    <cellStyle name="Vírgula 2 2 2 2 9 2 3" xfId="15490"/>
    <cellStyle name="Vírgula 2 2 2 2 9 2 3 2" xfId="41988"/>
    <cellStyle name="Vírgula 2 2 2 2 9 2 4" xfId="36080"/>
    <cellStyle name="Vírgula 2 2 2 2 9 2 5" xfId="29546"/>
    <cellStyle name="Vírgula 2 2 2 2 9 3" xfId="18453"/>
    <cellStyle name="Vírgula 2 2 2 2 9 3 2" xfId="44942"/>
    <cellStyle name="Vírgula 2 2 2 2 9 4" xfId="12526"/>
    <cellStyle name="Vírgula 2 2 2 2 9 4 2" xfId="39034"/>
    <cellStyle name="Vírgula 2 2 2 2 9 5" xfId="33123"/>
    <cellStyle name="Vírgula 2 2 2 2 9 6" xfId="26589"/>
    <cellStyle name="Vírgula 2 2 2 3" xfId="75"/>
    <cellStyle name="Vírgula 2 2 2 3 10" xfId="9597"/>
    <cellStyle name="Vírgula 2 2 2 3 10 2" xfId="36113"/>
    <cellStyle name="Vírgula 2 2 2 3 11" xfId="29609"/>
    <cellStyle name="Vírgula 2 2 2 3 12" xfId="22091"/>
    <cellStyle name="Vírgula 2 2 2 3 2" xfId="4396"/>
    <cellStyle name="Vírgula 2 2 2 3 2 2" xfId="6168"/>
    <cellStyle name="Vírgula 2 2 2 3 2 2 2" xfId="9349"/>
    <cellStyle name="Vírgula 2 2 2 3 2 2 2 2" xfId="21203"/>
    <cellStyle name="Vírgula 2 2 2 3 2 2 2 2 2" xfId="47682"/>
    <cellStyle name="Vírgula 2 2 2 3 2 2 2 3" xfId="15276"/>
    <cellStyle name="Vírgula 2 2 2 3 2 2 2 3 2" xfId="41774"/>
    <cellStyle name="Vírgula 2 2 2 3 2 2 2 4" xfId="35866"/>
    <cellStyle name="Vírgula 2 2 2 3 2 2 2 5" xfId="29332"/>
    <cellStyle name="Vírgula 2 2 2 3 2 2 3" xfId="18239"/>
    <cellStyle name="Vírgula 2 2 2 3 2 2 3 2" xfId="44728"/>
    <cellStyle name="Vírgula 2 2 2 3 2 2 4" xfId="12312"/>
    <cellStyle name="Vírgula 2 2 2 3 2 2 4 2" xfId="38820"/>
    <cellStyle name="Vírgula 2 2 2 3 2 2 5" xfId="32695"/>
    <cellStyle name="Vírgula 2 2 2 3 2 2 6" xfId="26161"/>
    <cellStyle name="Vírgula 2 2 2 3 2 3" xfId="7881"/>
    <cellStyle name="Vírgula 2 2 2 3 2 3 2" xfId="19735"/>
    <cellStyle name="Vírgula 2 2 2 3 2 3 2 2" xfId="46214"/>
    <cellStyle name="Vírgula 2 2 2 3 2 3 3" xfId="13808"/>
    <cellStyle name="Vírgula 2 2 2 3 2 3 3 2" xfId="40306"/>
    <cellStyle name="Vírgula 2 2 2 3 2 3 4" xfId="34398"/>
    <cellStyle name="Vírgula 2 2 2 3 2 3 5" xfId="27864"/>
    <cellStyle name="Vírgula 2 2 2 3 2 4" xfId="16771"/>
    <cellStyle name="Vírgula 2 2 2 3 2 4 2" xfId="43260"/>
    <cellStyle name="Vírgula 2 2 2 3 2 4 3" xfId="24389"/>
    <cellStyle name="Vírgula 2 2 2 3 2 5" xfId="10844"/>
    <cellStyle name="Vírgula 2 2 2 3 2 5 2" xfId="37352"/>
    <cellStyle name="Vírgula 2 2 2 3 2 6" xfId="30923"/>
    <cellStyle name="Vírgula 2 2 2 3 2 7" xfId="22617"/>
    <cellStyle name="Vírgula 2 2 2 3 3" xfId="4482"/>
    <cellStyle name="Vírgula 2 2 2 3 3 2" xfId="6254"/>
    <cellStyle name="Vírgula 2 2 2 3 3 2 2" xfId="9392"/>
    <cellStyle name="Vírgula 2 2 2 3 3 2 2 2" xfId="21246"/>
    <cellStyle name="Vírgula 2 2 2 3 3 2 2 2 2" xfId="47725"/>
    <cellStyle name="Vírgula 2 2 2 3 3 2 2 3" xfId="15319"/>
    <cellStyle name="Vírgula 2 2 2 3 3 2 2 3 2" xfId="41817"/>
    <cellStyle name="Vírgula 2 2 2 3 3 2 2 4" xfId="35909"/>
    <cellStyle name="Vírgula 2 2 2 3 3 2 2 5" xfId="29375"/>
    <cellStyle name="Vírgula 2 2 2 3 3 2 3" xfId="18282"/>
    <cellStyle name="Vírgula 2 2 2 3 3 2 3 2" xfId="44771"/>
    <cellStyle name="Vírgula 2 2 2 3 3 2 4" xfId="12355"/>
    <cellStyle name="Vírgula 2 2 2 3 3 2 4 2" xfId="38863"/>
    <cellStyle name="Vírgula 2 2 2 3 3 2 5" xfId="32781"/>
    <cellStyle name="Vírgula 2 2 2 3 3 2 6" xfId="26247"/>
    <cellStyle name="Vírgula 2 2 2 3 3 3" xfId="7924"/>
    <cellStyle name="Vírgula 2 2 2 3 3 3 2" xfId="19778"/>
    <cellStyle name="Vírgula 2 2 2 3 3 3 2 2" xfId="46257"/>
    <cellStyle name="Vírgula 2 2 2 3 3 3 3" xfId="13851"/>
    <cellStyle name="Vírgula 2 2 2 3 3 3 3 2" xfId="40349"/>
    <cellStyle name="Vírgula 2 2 2 3 3 3 4" xfId="34441"/>
    <cellStyle name="Vírgula 2 2 2 3 3 3 5" xfId="27907"/>
    <cellStyle name="Vírgula 2 2 2 3 3 4" xfId="16814"/>
    <cellStyle name="Vírgula 2 2 2 3 3 4 2" xfId="43303"/>
    <cellStyle name="Vírgula 2 2 2 3 3 4 3" xfId="24475"/>
    <cellStyle name="Vírgula 2 2 2 3 3 5" xfId="10887"/>
    <cellStyle name="Vírgula 2 2 2 3 3 5 2" xfId="37395"/>
    <cellStyle name="Vírgula 2 2 2 3 3 6" xfId="31009"/>
    <cellStyle name="Vírgula 2 2 2 3 3 7" xfId="22703"/>
    <cellStyle name="Vírgula 2 2 2 3 4" xfId="4606"/>
    <cellStyle name="Vírgula 2 2 2 3 4 2" xfId="6378"/>
    <cellStyle name="Vírgula 2 2 2 3 4 2 2" xfId="9454"/>
    <cellStyle name="Vírgula 2 2 2 3 4 2 2 2" xfId="21308"/>
    <cellStyle name="Vírgula 2 2 2 3 4 2 2 2 2" xfId="47787"/>
    <cellStyle name="Vírgula 2 2 2 3 4 2 2 3" xfId="15381"/>
    <cellStyle name="Vírgula 2 2 2 3 4 2 2 3 2" xfId="41879"/>
    <cellStyle name="Vírgula 2 2 2 3 4 2 2 4" xfId="35971"/>
    <cellStyle name="Vírgula 2 2 2 3 4 2 2 5" xfId="29437"/>
    <cellStyle name="Vírgula 2 2 2 3 4 2 3" xfId="18344"/>
    <cellStyle name="Vírgula 2 2 2 3 4 2 3 2" xfId="44833"/>
    <cellStyle name="Vírgula 2 2 2 3 4 2 4" xfId="12417"/>
    <cellStyle name="Vírgula 2 2 2 3 4 2 4 2" xfId="38925"/>
    <cellStyle name="Vírgula 2 2 2 3 4 2 5" xfId="32905"/>
    <cellStyle name="Vírgula 2 2 2 3 4 2 6" xfId="26371"/>
    <cellStyle name="Vírgula 2 2 2 3 4 3" xfId="7986"/>
    <cellStyle name="Vírgula 2 2 2 3 4 3 2" xfId="19840"/>
    <cellStyle name="Vírgula 2 2 2 3 4 3 2 2" xfId="46319"/>
    <cellStyle name="Vírgula 2 2 2 3 4 3 3" xfId="13913"/>
    <cellStyle name="Vírgula 2 2 2 3 4 3 3 2" xfId="40411"/>
    <cellStyle name="Vírgula 2 2 2 3 4 3 4" xfId="34503"/>
    <cellStyle name="Vírgula 2 2 2 3 4 3 5" xfId="27969"/>
    <cellStyle name="Vírgula 2 2 2 3 4 4" xfId="16876"/>
    <cellStyle name="Vírgula 2 2 2 3 4 4 2" xfId="43365"/>
    <cellStyle name="Vírgula 2 2 2 3 4 4 3" xfId="24599"/>
    <cellStyle name="Vírgula 2 2 2 3 4 5" xfId="10949"/>
    <cellStyle name="Vírgula 2 2 2 3 4 5 2" xfId="37457"/>
    <cellStyle name="Vírgula 2 2 2 3 4 6" xfId="31133"/>
    <cellStyle name="Vírgula 2 2 2 3 4 7" xfId="22827"/>
    <cellStyle name="Vírgula 2 2 2 3 5" xfId="4730"/>
    <cellStyle name="Vírgula 2 2 2 3 5 2" xfId="6502"/>
    <cellStyle name="Vírgula 2 2 2 3 5 2 2" xfId="9516"/>
    <cellStyle name="Vírgula 2 2 2 3 5 2 2 2" xfId="21370"/>
    <cellStyle name="Vírgula 2 2 2 3 5 2 2 2 2" xfId="47849"/>
    <cellStyle name="Vírgula 2 2 2 3 5 2 2 3" xfId="15443"/>
    <cellStyle name="Vírgula 2 2 2 3 5 2 2 3 2" xfId="41941"/>
    <cellStyle name="Vírgula 2 2 2 3 5 2 2 4" xfId="36033"/>
    <cellStyle name="Vírgula 2 2 2 3 5 2 2 5" xfId="29499"/>
    <cellStyle name="Vírgula 2 2 2 3 5 2 3" xfId="18406"/>
    <cellStyle name="Vírgula 2 2 2 3 5 2 3 2" xfId="44895"/>
    <cellStyle name="Vírgula 2 2 2 3 5 2 4" xfId="12479"/>
    <cellStyle name="Vírgula 2 2 2 3 5 2 4 2" xfId="38987"/>
    <cellStyle name="Vírgula 2 2 2 3 5 2 5" xfId="33029"/>
    <cellStyle name="Vírgula 2 2 2 3 5 2 6" xfId="26495"/>
    <cellStyle name="Vírgula 2 2 2 3 5 3" xfId="8048"/>
    <cellStyle name="Vírgula 2 2 2 3 5 3 2" xfId="19902"/>
    <cellStyle name="Vírgula 2 2 2 3 5 3 2 2" xfId="46381"/>
    <cellStyle name="Vírgula 2 2 2 3 5 3 3" xfId="13975"/>
    <cellStyle name="Vírgula 2 2 2 3 5 3 3 2" xfId="40473"/>
    <cellStyle name="Vírgula 2 2 2 3 5 3 4" xfId="34565"/>
    <cellStyle name="Vírgula 2 2 2 3 5 3 5" xfId="28031"/>
    <cellStyle name="Vírgula 2 2 2 3 5 4" xfId="16938"/>
    <cellStyle name="Vírgula 2 2 2 3 5 4 2" xfId="43427"/>
    <cellStyle name="Vírgula 2 2 2 3 5 4 3" xfId="24723"/>
    <cellStyle name="Vírgula 2 2 2 3 5 5" xfId="11011"/>
    <cellStyle name="Vírgula 2 2 2 3 5 5 2" xfId="37519"/>
    <cellStyle name="Vírgula 2 2 2 3 5 6" xfId="31257"/>
    <cellStyle name="Vírgula 2 2 2 3 5 7" xfId="22951"/>
    <cellStyle name="Vírgula 2 2 2 3 6" xfId="2662"/>
    <cellStyle name="Vírgula 2 2 2 3 6 2" xfId="5642"/>
    <cellStyle name="Vírgula 2 2 2 3 6 2 2" xfId="8854"/>
    <cellStyle name="Vírgula 2 2 2 3 6 2 2 2" xfId="20708"/>
    <cellStyle name="Vírgula 2 2 2 3 6 2 2 2 2" xfId="47187"/>
    <cellStyle name="Vírgula 2 2 2 3 6 2 2 3" xfId="14781"/>
    <cellStyle name="Vírgula 2 2 2 3 6 2 2 3 2" xfId="41279"/>
    <cellStyle name="Vírgula 2 2 2 3 6 2 2 4" xfId="35371"/>
    <cellStyle name="Vírgula 2 2 2 3 6 2 2 5" xfId="28837"/>
    <cellStyle name="Vírgula 2 2 2 3 6 2 3" xfId="17744"/>
    <cellStyle name="Vírgula 2 2 2 3 6 2 3 2" xfId="44233"/>
    <cellStyle name="Vírgula 2 2 2 3 6 2 4" xfId="11817"/>
    <cellStyle name="Vírgula 2 2 2 3 6 2 4 2" xfId="38325"/>
    <cellStyle name="Vírgula 2 2 2 3 6 2 5" xfId="32169"/>
    <cellStyle name="Vírgula 2 2 2 3 6 2 6" xfId="25635"/>
    <cellStyle name="Vírgula 2 2 2 3 6 3" xfId="7383"/>
    <cellStyle name="Vírgula 2 2 2 3 6 3 2" xfId="19237"/>
    <cellStyle name="Vírgula 2 2 2 3 6 3 2 2" xfId="45719"/>
    <cellStyle name="Vírgula 2 2 2 3 6 3 3" xfId="13310"/>
    <cellStyle name="Vírgula 2 2 2 3 6 3 3 2" xfId="39811"/>
    <cellStyle name="Vírgula 2 2 2 3 6 3 4" xfId="33903"/>
    <cellStyle name="Vírgula 2 2 2 3 6 3 5" xfId="27369"/>
    <cellStyle name="Vírgula 2 2 2 3 6 4" xfId="16273"/>
    <cellStyle name="Vírgula 2 2 2 3 6 4 2" xfId="42765"/>
    <cellStyle name="Vírgula 2 2 2 3 6 5" xfId="10346"/>
    <cellStyle name="Vírgula 2 2 2 3 6 5 2" xfId="36857"/>
    <cellStyle name="Vírgula 2 2 2 3 6 6" xfId="30397"/>
    <cellStyle name="Vírgula 2 2 2 3 6 7" xfId="23863"/>
    <cellStyle name="Vírgula 2 2 2 3 7" xfId="4854"/>
    <cellStyle name="Vírgula 2 2 2 3 7 2" xfId="8110"/>
    <cellStyle name="Vírgula 2 2 2 3 7 2 2" xfId="19964"/>
    <cellStyle name="Vírgula 2 2 2 3 7 2 2 2" xfId="46443"/>
    <cellStyle name="Vírgula 2 2 2 3 7 2 3" xfId="14037"/>
    <cellStyle name="Vírgula 2 2 2 3 7 2 3 2" xfId="40535"/>
    <cellStyle name="Vírgula 2 2 2 3 7 2 4" xfId="34627"/>
    <cellStyle name="Vírgula 2 2 2 3 7 2 5" xfId="28093"/>
    <cellStyle name="Vírgula 2 2 2 3 7 3" xfId="17000"/>
    <cellStyle name="Vírgula 2 2 2 3 7 3 2" xfId="43489"/>
    <cellStyle name="Vírgula 2 2 2 3 7 4" xfId="11073"/>
    <cellStyle name="Vírgula 2 2 2 3 7 4 2" xfId="37581"/>
    <cellStyle name="Vírgula 2 2 2 3 7 5" xfId="31381"/>
    <cellStyle name="Vírgula 2 2 2 3 7 6" xfId="24847"/>
    <cellStyle name="Vírgula 2 2 2 3 8" xfId="6634"/>
    <cellStyle name="Vírgula 2 2 2 3 8 2" xfId="18488"/>
    <cellStyle name="Vírgula 2 2 2 3 8 2 2" xfId="44975"/>
    <cellStyle name="Vírgula 2 2 2 3 8 3" xfId="12561"/>
    <cellStyle name="Vírgula 2 2 2 3 8 3 2" xfId="39067"/>
    <cellStyle name="Vírgula 2 2 2 3 8 4" xfId="33159"/>
    <cellStyle name="Vírgula 2 2 2 3 8 5" xfId="26625"/>
    <cellStyle name="Vírgula 2 2 2 3 9" xfId="15524"/>
    <cellStyle name="Vírgula 2 2 2 3 9 2" xfId="42021"/>
    <cellStyle name="Vírgula 2 2 2 3 9 3" xfId="23075"/>
    <cellStyle name="Vírgula 2 2 2 4" xfId="113"/>
    <cellStyle name="Vírgula 2 2 2 4 10" xfId="29647"/>
    <cellStyle name="Vírgula 2 2 2 4 11" xfId="22238"/>
    <cellStyle name="Vírgula 2 2 2 4 2" xfId="4520"/>
    <cellStyle name="Vírgula 2 2 2 4 2 2" xfId="6292"/>
    <cellStyle name="Vírgula 2 2 2 4 2 2 2" xfId="9411"/>
    <cellStyle name="Vírgula 2 2 2 4 2 2 2 2" xfId="21265"/>
    <cellStyle name="Vírgula 2 2 2 4 2 2 2 2 2" xfId="47744"/>
    <cellStyle name="Vírgula 2 2 2 4 2 2 2 3" xfId="15338"/>
    <cellStyle name="Vírgula 2 2 2 4 2 2 2 3 2" xfId="41836"/>
    <cellStyle name="Vírgula 2 2 2 4 2 2 2 4" xfId="35928"/>
    <cellStyle name="Vírgula 2 2 2 4 2 2 2 5" xfId="29394"/>
    <cellStyle name="Vírgula 2 2 2 4 2 2 3" xfId="18301"/>
    <cellStyle name="Vírgula 2 2 2 4 2 2 3 2" xfId="44790"/>
    <cellStyle name="Vírgula 2 2 2 4 2 2 4" xfId="12374"/>
    <cellStyle name="Vírgula 2 2 2 4 2 2 4 2" xfId="38882"/>
    <cellStyle name="Vírgula 2 2 2 4 2 2 5" xfId="32819"/>
    <cellStyle name="Vírgula 2 2 2 4 2 2 6" xfId="26285"/>
    <cellStyle name="Vírgula 2 2 2 4 2 3" xfId="7943"/>
    <cellStyle name="Vírgula 2 2 2 4 2 3 2" xfId="19797"/>
    <cellStyle name="Vírgula 2 2 2 4 2 3 2 2" xfId="46276"/>
    <cellStyle name="Vírgula 2 2 2 4 2 3 3" xfId="13870"/>
    <cellStyle name="Vírgula 2 2 2 4 2 3 3 2" xfId="40368"/>
    <cellStyle name="Vírgula 2 2 2 4 2 3 4" xfId="34460"/>
    <cellStyle name="Vírgula 2 2 2 4 2 3 5" xfId="27926"/>
    <cellStyle name="Vírgula 2 2 2 4 2 4" xfId="16833"/>
    <cellStyle name="Vírgula 2 2 2 4 2 4 2" xfId="43322"/>
    <cellStyle name="Vírgula 2 2 2 4 2 4 3" xfId="24513"/>
    <cellStyle name="Vírgula 2 2 2 4 2 5" xfId="10906"/>
    <cellStyle name="Vírgula 2 2 2 4 2 5 2" xfId="37414"/>
    <cellStyle name="Vírgula 2 2 2 4 2 6" xfId="31047"/>
    <cellStyle name="Vírgula 2 2 2 4 2 7" xfId="22741"/>
    <cellStyle name="Vírgula 2 2 2 4 3" xfId="4644"/>
    <cellStyle name="Vírgula 2 2 2 4 3 2" xfId="6416"/>
    <cellStyle name="Vírgula 2 2 2 4 3 2 2" xfId="9473"/>
    <cellStyle name="Vírgula 2 2 2 4 3 2 2 2" xfId="21327"/>
    <cellStyle name="Vírgula 2 2 2 4 3 2 2 2 2" xfId="47806"/>
    <cellStyle name="Vírgula 2 2 2 4 3 2 2 3" xfId="15400"/>
    <cellStyle name="Vírgula 2 2 2 4 3 2 2 3 2" xfId="41898"/>
    <cellStyle name="Vírgula 2 2 2 4 3 2 2 4" xfId="35990"/>
    <cellStyle name="Vírgula 2 2 2 4 3 2 2 5" xfId="29456"/>
    <cellStyle name="Vírgula 2 2 2 4 3 2 3" xfId="18363"/>
    <cellStyle name="Vírgula 2 2 2 4 3 2 3 2" xfId="44852"/>
    <cellStyle name="Vírgula 2 2 2 4 3 2 4" xfId="12436"/>
    <cellStyle name="Vírgula 2 2 2 4 3 2 4 2" xfId="38944"/>
    <cellStyle name="Vírgula 2 2 2 4 3 2 5" xfId="32943"/>
    <cellStyle name="Vírgula 2 2 2 4 3 2 6" xfId="26409"/>
    <cellStyle name="Vírgula 2 2 2 4 3 3" xfId="8005"/>
    <cellStyle name="Vírgula 2 2 2 4 3 3 2" xfId="19859"/>
    <cellStyle name="Vírgula 2 2 2 4 3 3 2 2" xfId="46338"/>
    <cellStyle name="Vírgula 2 2 2 4 3 3 3" xfId="13932"/>
    <cellStyle name="Vírgula 2 2 2 4 3 3 3 2" xfId="40430"/>
    <cellStyle name="Vírgula 2 2 2 4 3 3 4" xfId="34522"/>
    <cellStyle name="Vírgula 2 2 2 4 3 3 5" xfId="27988"/>
    <cellStyle name="Vírgula 2 2 2 4 3 4" xfId="16895"/>
    <cellStyle name="Vírgula 2 2 2 4 3 4 2" xfId="43384"/>
    <cellStyle name="Vírgula 2 2 2 4 3 4 3" xfId="24637"/>
    <cellStyle name="Vírgula 2 2 2 4 3 5" xfId="10968"/>
    <cellStyle name="Vírgula 2 2 2 4 3 5 2" xfId="37476"/>
    <cellStyle name="Vírgula 2 2 2 4 3 6" xfId="31171"/>
    <cellStyle name="Vírgula 2 2 2 4 3 7" xfId="22865"/>
    <cellStyle name="Vírgula 2 2 2 4 4" xfId="4768"/>
    <cellStyle name="Vírgula 2 2 2 4 4 2" xfId="6540"/>
    <cellStyle name="Vírgula 2 2 2 4 4 2 2" xfId="9535"/>
    <cellStyle name="Vírgula 2 2 2 4 4 2 2 2" xfId="21389"/>
    <cellStyle name="Vírgula 2 2 2 4 4 2 2 2 2" xfId="47868"/>
    <cellStyle name="Vírgula 2 2 2 4 4 2 2 3" xfId="15462"/>
    <cellStyle name="Vírgula 2 2 2 4 4 2 2 3 2" xfId="41960"/>
    <cellStyle name="Vírgula 2 2 2 4 4 2 2 4" xfId="36052"/>
    <cellStyle name="Vírgula 2 2 2 4 4 2 2 5" xfId="29518"/>
    <cellStyle name="Vírgula 2 2 2 4 4 2 3" xfId="18425"/>
    <cellStyle name="Vírgula 2 2 2 4 4 2 3 2" xfId="44914"/>
    <cellStyle name="Vírgula 2 2 2 4 4 2 4" xfId="12498"/>
    <cellStyle name="Vírgula 2 2 2 4 4 2 4 2" xfId="39006"/>
    <cellStyle name="Vírgula 2 2 2 4 4 2 5" xfId="33067"/>
    <cellStyle name="Vírgula 2 2 2 4 4 2 6" xfId="26533"/>
    <cellStyle name="Vírgula 2 2 2 4 4 3" xfId="8067"/>
    <cellStyle name="Vírgula 2 2 2 4 4 3 2" xfId="19921"/>
    <cellStyle name="Vírgula 2 2 2 4 4 3 2 2" xfId="46400"/>
    <cellStyle name="Vírgula 2 2 2 4 4 3 3" xfId="13994"/>
    <cellStyle name="Vírgula 2 2 2 4 4 3 3 2" xfId="40492"/>
    <cellStyle name="Vírgula 2 2 2 4 4 3 4" xfId="34584"/>
    <cellStyle name="Vírgula 2 2 2 4 4 3 5" xfId="28050"/>
    <cellStyle name="Vírgula 2 2 2 4 4 4" xfId="16957"/>
    <cellStyle name="Vírgula 2 2 2 4 4 4 2" xfId="43446"/>
    <cellStyle name="Vírgula 2 2 2 4 4 4 3" xfId="24761"/>
    <cellStyle name="Vírgula 2 2 2 4 4 5" xfId="11030"/>
    <cellStyle name="Vírgula 2 2 2 4 4 5 2" xfId="37538"/>
    <cellStyle name="Vírgula 2 2 2 4 4 6" xfId="31295"/>
    <cellStyle name="Vírgula 2 2 2 4 4 7" xfId="22989"/>
    <cellStyle name="Vírgula 2 2 2 4 5" xfId="3190"/>
    <cellStyle name="Vírgula 2 2 2 4 5 2" xfId="5789"/>
    <cellStyle name="Vírgula 2 2 2 4 5 2 2" xfId="9001"/>
    <cellStyle name="Vírgula 2 2 2 4 5 2 2 2" xfId="20855"/>
    <cellStyle name="Vírgula 2 2 2 4 5 2 2 2 2" xfId="47334"/>
    <cellStyle name="Vírgula 2 2 2 4 5 2 2 3" xfId="14928"/>
    <cellStyle name="Vírgula 2 2 2 4 5 2 2 3 2" xfId="41426"/>
    <cellStyle name="Vírgula 2 2 2 4 5 2 2 4" xfId="35518"/>
    <cellStyle name="Vírgula 2 2 2 4 5 2 2 5" xfId="28984"/>
    <cellStyle name="Vírgula 2 2 2 4 5 2 3" xfId="17891"/>
    <cellStyle name="Vírgula 2 2 2 4 5 2 3 2" xfId="44380"/>
    <cellStyle name="Vírgula 2 2 2 4 5 2 4" xfId="11964"/>
    <cellStyle name="Vírgula 2 2 2 4 5 2 4 2" xfId="38472"/>
    <cellStyle name="Vírgula 2 2 2 4 5 2 5" xfId="32316"/>
    <cellStyle name="Vírgula 2 2 2 4 5 2 6" xfId="25782"/>
    <cellStyle name="Vírgula 2 2 2 4 5 3" xfId="7531"/>
    <cellStyle name="Vírgula 2 2 2 4 5 3 2" xfId="19385"/>
    <cellStyle name="Vírgula 2 2 2 4 5 3 2 2" xfId="45866"/>
    <cellStyle name="Vírgula 2 2 2 4 5 3 3" xfId="13458"/>
    <cellStyle name="Vírgula 2 2 2 4 5 3 3 2" xfId="39958"/>
    <cellStyle name="Vírgula 2 2 2 4 5 3 4" xfId="34050"/>
    <cellStyle name="Vírgula 2 2 2 4 5 3 5" xfId="27516"/>
    <cellStyle name="Vírgula 2 2 2 4 5 4" xfId="16421"/>
    <cellStyle name="Vírgula 2 2 2 4 5 4 2" xfId="42912"/>
    <cellStyle name="Vírgula 2 2 2 4 5 5" xfId="10494"/>
    <cellStyle name="Vírgula 2 2 2 4 5 5 2" xfId="37004"/>
    <cellStyle name="Vírgula 2 2 2 4 5 6" xfId="30544"/>
    <cellStyle name="Vírgula 2 2 2 4 5 7" xfId="24010"/>
    <cellStyle name="Vírgula 2 2 2 4 6" xfId="4892"/>
    <cellStyle name="Vírgula 2 2 2 4 6 2" xfId="8129"/>
    <cellStyle name="Vírgula 2 2 2 4 6 2 2" xfId="19983"/>
    <cellStyle name="Vírgula 2 2 2 4 6 2 2 2" xfId="46462"/>
    <cellStyle name="Vírgula 2 2 2 4 6 2 3" xfId="14056"/>
    <cellStyle name="Vírgula 2 2 2 4 6 2 3 2" xfId="40554"/>
    <cellStyle name="Vírgula 2 2 2 4 6 2 4" xfId="34646"/>
    <cellStyle name="Vírgula 2 2 2 4 6 2 5" xfId="28112"/>
    <cellStyle name="Vírgula 2 2 2 4 6 3" xfId="17019"/>
    <cellStyle name="Vírgula 2 2 2 4 6 3 2" xfId="43508"/>
    <cellStyle name="Vírgula 2 2 2 4 6 4" xfId="11092"/>
    <cellStyle name="Vírgula 2 2 2 4 6 4 2" xfId="37600"/>
    <cellStyle name="Vírgula 2 2 2 4 6 5" xfId="31419"/>
    <cellStyle name="Vírgula 2 2 2 4 6 6" xfId="24885"/>
    <cellStyle name="Vírgula 2 2 2 4 7" xfId="6653"/>
    <cellStyle name="Vírgula 2 2 2 4 7 2" xfId="18507"/>
    <cellStyle name="Vírgula 2 2 2 4 7 2 2" xfId="44994"/>
    <cellStyle name="Vírgula 2 2 2 4 7 3" xfId="12580"/>
    <cellStyle name="Vírgula 2 2 2 4 7 3 2" xfId="39086"/>
    <cellStyle name="Vírgula 2 2 2 4 7 4" xfId="33178"/>
    <cellStyle name="Vírgula 2 2 2 4 7 5" xfId="26644"/>
    <cellStyle name="Vírgula 2 2 2 4 8" xfId="15543"/>
    <cellStyle name="Vírgula 2 2 2 4 8 2" xfId="42040"/>
    <cellStyle name="Vírgula 2 2 2 4 8 3" xfId="23113"/>
    <cellStyle name="Vírgula 2 2 2 4 9" xfId="9616"/>
    <cellStyle name="Vírgula 2 2 2 4 9 2" xfId="36132"/>
    <cellStyle name="Vírgula 2 2 2 5" xfId="3718"/>
    <cellStyle name="Vírgula 2 2 2 5 2" xfId="5936"/>
    <cellStyle name="Vírgula 2 2 2 5 2 2" xfId="9148"/>
    <cellStyle name="Vírgula 2 2 2 5 2 2 2" xfId="21002"/>
    <cellStyle name="Vírgula 2 2 2 5 2 2 2 2" xfId="47481"/>
    <cellStyle name="Vírgula 2 2 2 5 2 2 3" xfId="15075"/>
    <cellStyle name="Vírgula 2 2 2 5 2 2 3 2" xfId="41573"/>
    <cellStyle name="Vírgula 2 2 2 5 2 2 4" xfId="35665"/>
    <cellStyle name="Vírgula 2 2 2 5 2 2 5" xfId="29131"/>
    <cellStyle name="Vírgula 2 2 2 5 2 3" xfId="18038"/>
    <cellStyle name="Vírgula 2 2 2 5 2 3 2" xfId="44527"/>
    <cellStyle name="Vírgula 2 2 2 5 2 4" xfId="12111"/>
    <cellStyle name="Vírgula 2 2 2 5 2 4 2" xfId="38619"/>
    <cellStyle name="Vírgula 2 2 2 5 2 5" xfId="32463"/>
    <cellStyle name="Vírgula 2 2 2 5 2 6" xfId="25929"/>
    <cellStyle name="Vírgula 2 2 2 5 3" xfId="7679"/>
    <cellStyle name="Vírgula 2 2 2 5 3 2" xfId="19533"/>
    <cellStyle name="Vírgula 2 2 2 5 3 2 2" xfId="46013"/>
    <cellStyle name="Vírgula 2 2 2 5 3 3" xfId="13606"/>
    <cellStyle name="Vírgula 2 2 2 5 3 3 2" xfId="40105"/>
    <cellStyle name="Vírgula 2 2 2 5 3 4" xfId="34197"/>
    <cellStyle name="Vírgula 2 2 2 5 3 5" xfId="27663"/>
    <cellStyle name="Vírgula 2 2 2 5 4" xfId="16569"/>
    <cellStyle name="Vírgula 2 2 2 5 4 2" xfId="43059"/>
    <cellStyle name="Vírgula 2 2 2 5 4 3" xfId="24157"/>
    <cellStyle name="Vírgula 2 2 2 5 5" xfId="10642"/>
    <cellStyle name="Vírgula 2 2 2 5 5 2" xfId="37151"/>
    <cellStyle name="Vírgula 2 2 2 5 6" xfId="30691"/>
    <cellStyle name="Vírgula 2 2 2 5 7" xfId="22385"/>
    <cellStyle name="Vírgula 2 2 2 6" xfId="4246"/>
    <cellStyle name="Vírgula 2 2 2 6 2" xfId="6083"/>
    <cellStyle name="Vírgula 2 2 2 6 2 2" xfId="9295"/>
    <cellStyle name="Vírgula 2 2 2 6 2 2 2" xfId="21149"/>
    <cellStyle name="Vírgula 2 2 2 6 2 2 2 2" xfId="47628"/>
    <cellStyle name="Vírgula 2 2 2 6 2 2 3" xfId="15222"/>
    <cellStyle name="Vírgula 2 2 2 6 2 2 3 2" xfId="41720"/>
    <cellStyle name="Vírgula 2 2 2 6 2 2 4" xfId="35812"/>
    <cellStyle name="Vírgula 2 2 2 6 2 2 5" xfId="29278"/>
    <cellStyle name="Vírgula 2 2 2 6 2 3" xfId="18185"/>
    <cellStyle name="Vírgula 2 2 2 6 2 3 2" xfId="44674"/>
    <cellStyle name="Vírgula 2 2 2 6 2 4" xfId="12258"/>
    <cellStyle name="Vírgula 2 2 2 6 2 4 2" xfId="38766"/>
    <cellStyle name="Vírgula 2 2 2 6 2 5" xfId="32610"/>
    <cellStyle name="Vírgula 2 2 2 6 2 6" xfId="26076"/>
    <cellStyle name="Vírgula 2 2 2 6 3" xfId="7827"/>
    <cellStyle name="Vírgula 2 2 2 6 3 2" xfId="19681"/>
    <cellStyle name="Vírgula 2 2 2 6 3 2 2" xfId="46160"/>
    <cellStyle name="Vírgula 2 2 2 6 3 3" xfId="13754"/>
    <cellStyle name="Vírgula 2 2 2 6 3 3 2" xfId="40252"/>
    <cellStyle name="Vírgula 2 2 2 6 3 4" xfId="34344"/>
    <cellStyle name="Vírgula 2 2 2 6 3 5" xfId="27810"/>
    <cellStyle name="Vírgula 2 2 2 6 4" xfId="16717"/>
    <cellStyle name="Vírgula 2 2 2 6 4 2" xfId="43206"/>
    <cellStyle name="Vírgula 2 2 2 6 4 3" xfId="24304"/>
    <cellStyle name="Vírgula 2 2 2 6 5" xfId="10790"/>
    <cellStyle name="Vírgula 2 2 2 6 5 2" xfId="37298"/>
    <cellStyle name="Vírgula 2 2 2 6 6" xfId="30838"/>
    <cellStyle name="Vírgula 2 2 2 6 7" xfId="22532"/>
    <cellStyle name="Vírgula 2 2 2 7" xfId="4356"/>
    <cellStyle name="Vírgula 2 2 2 7 2" xfId="6128"/>
    <cellStyle name="Vírgula 2 2 2 7 2 2" xfId="9329"/>
    <cellStyle name="Vírgula 2 2 2 7 2 2 2" xfId="21183"/>
    <cellStyle name="Vírgula 2 2 2 7 2 2 2 2" xfId="47662"/>
    <cellStyle name="Vírgula 2 2 2 7 2 2 3" xfId="15256"/>
    <cellStyle name="Vírgula 2 2 2 7 2 2 3 2" xfId="41754"/>
    <cellStyle name="Vírgula 2 2 2 7 2 2 4" xfId="35846"/>
    <cellStyle name="Vírgula 2 2 2 7 2 2 5" xfId="29312"/>
    <cellStyle name="Vírgula 2 2 2 7 2 3" xfId="18219"/>
    <cellStyle name="Vírgula 2 2 2 7 2 3 2" xfId="44708"/>
    <cellStyle name="Vírgula 2 2 2 7 2 4" xfId="12292"/>
    <cellStyle name="Vírgula 2 2 2 7 2 4 2" xfId="38800"/>
    <cellStyle name="Vírgula 2 2 2 7 2 5" xfId="32655"/>
    <cellStyle name="Vírgula 2 2 2 7 2 6" xfId="26121"/>
    <cellStyle name="Vírgula 2 2 2 7 3" xfId="7861"/>
    <cellStyle name="Vírgula 2 2 2 7 3 2" xfId="19715"/>
    <cellStyle name="Vírgula 2 2 2 7 3 2 2" xfId="46194"/>
    <cellStyle name="Vírgula 2 2 2 7 3 3" xfId="13788"/>
    <cellStyle name="Vírgula 2 2 2 7 3 3 2" xfId="40286"/>
    <cellStyle name="Vírgula 2 2 2 7 3 4" xfId="34378"/>
    <cellStyle name="Vírgula 2 2 2 7 3 5" xfId="27844"/>
    <cellStyle name="Vírgula 2 2 2 7 4" xfId="16751"/>
    <cellStyle name="Vírgula 2 2 2 7 4 2" xfId="43240"/>
    <cellStyle name="Vírgula 2 2 2 7 4 3" xfId="24349"/>
    <cellStyle name="Vírgula 2 2 2 7 5" xfId="10824"/>
    <cellStyle name="Vírgula 2 2 2 7 5 2" xfId="37332"/>
    <cellStyle name="Vírgula 2 2 2 7 6" xfId="30883"/>
    <cellStyle name="Vírgula 2 2 2 7 7" xfId="22577"/>
    <cellStyle name="Vírgula 2 2 2 8" xfId="4442"/>
    <cellStyle name="Vírgula 2 2 2 8 2" xfId="6214"/>
    <cellStyle name="Vírgula 2 2 2 8 2 2" xfId="9372"/>
    <cellStyle name="Vírgula 2 2 2 8 2 2 2" xfId="21226"/>
    <cellStyle name="Vírgula 2 2 2 8 2 2 2 2" xfId="47705"/>
    <cellStyle name="Vírgula 2 2 2 8 2 2 3" xfId="15299"/>
    <cellStyle name="Vírgula 2 2 2 8 2 2 3 2" xfId="41797"/>
    <cellStyle name="Vírgula 2 2 2 8 2 2 4" xfId="35889"/>
    <cellStyle name="Vírgula 2 2 2 8 2 2 5" xfId="29355"/>
    <cellStyle name="Vírgula 2 2 2 8 2 3" xfId="18262"/>
    <cellStyle name="Vírgula 2 2 2 8 2 3 2" xfId="44751"/>
    <cellStyle name="Vírgula 2 2 2 8 2 4" xfId="12335"/>
    <cellStyle name="Vírgula 2 2 2 8 2 4 2" xfId="38843"/>
    <cellStyle name="Vírgula 2 2 2 8 2 5" xfId="32741"/>
    <cellStyle name="Vírgula 2 2 2 8 2 6" xfId="26207"/>
    <cellStyle name="Vírgula 2 2 2 8 3" xfId="7904"/>
    <cellStyle name="Vírgula 2 2 2 8 3 2" xfId="19758"/>
    <cellStyle name="Vírgula 2 2 2 8 3 2 2" xfId="46237"/>
    <cellStyle name="Vírgula 2 2 2 8 3 3" xfId="13831"/>
    <cellStyle name="Vírgula 2 2 2 8 3 3 2" xfId="40329"/>
    <cellStyle name="Vírgula 2 2 2 8 3 4" xfId="34421"/>
    <cellStyle name="Vírgula 2 2 2 8 3 5" xfId="27887"/>
    <cellStyle name="Vírgula 2 2 2 8 4" xfId="16794"/>
    <cellStyle name="Vírgula 2 2 2 8 4 2" xfId="43283"/>
    <cellStyle name="Vírgula 2 2 2 8 4 3" xfId="24435"/>
    <cellStyle name="Vírgula 2 2 2 8 5" xfId="10867"/>
    <cellStyle name="Vírgula 2 2 2 8 5 2" xfId="37375"/>
    <cellStyle name="Vírgula 2 2 2 8 6" xfId="30969"/>
    <cellStyle name="Vírgula 2 2 2 8 7" xfId="22663"/>
    <cellStyle name="Vírgula 2 2 2 9" xfId="4566"/>
    <cellStyle name="Vírgula 2 2 2 9 2" xfId="6338"/>
    <cellStyle name="Vírgula 2 2 2 9 2 2" xfId="9434"/>
    <cellStyle name="Vírgula 2 2 2 9 2 2 2" xfId="21288"/>
    <cellStyle name="Vírgula 2 2 2 9 2 2 2 2" xfId="47767"/>
    <cellStyle name="Vírgula 2 2 2 9 2 2 3" xfId="15361"/>
    <cellStyle name="Vírgula 2 2 2 9 2 2 3 2" xfId="41859"/>
    <cellStyle name="Vírgula 2 2 2 9 2 2 4" xfId="35951"/>
    <cellStyle name="Vírgula 2 2 2 9 2 2 5" xfId="29417"/>
    <cellStyle name="Vírgula 2 2 2 9 2 3" xfId="18324"/>
    <cellStyle name="Vírgula 2 2 2 9 2 3 2" xfId="44813"/>
    <cellStyle name="Vírgula 2 2 2 9 2 4" xfId="12397"/>
    <cellStyle name="Vírgula 2 2 2 9 2 4 2" xfId="38905"/>
    <cellStyle name="Vírgula 2 2 2 9 2 5" xfId="32865"/>
    <cellStyle name="Vírgula 2 2 2 9 2 6" xfId="26331"/>
    <cellStyle name="Vírgula 2 2 2 9 3" xfId="7966"/>
    <cellStyle name="Vírgula 2 2 2 9 3 2" xfId="19820"/>
    <cellStyle name="Vírgula 2 2 2 9 3 2 2" xfId="46299"/>
    <cellStyle name="Vírgula 2 2 2 9 3 3" xfId="13893"/>
    <cellStyle name="Vírgula 2 2 2 9 3 3 2" xfId="40391"/>
    <cellStyle name="Vírgula 2 2 2 9 3 4" xfId="34483"/>
    <cellStyle name="Vírgula 2 2 2 9 3 5" xfId="27949"/>
    <cellStyle name="Vírgula 2 2 2 9 4" xfId="16856"/>
    <cellStyle name="Vírgula 2 2 2 9 4 2" xfId="43345"/>
    <cellStyle name="Vírgula 2 2 2 9 4 3" xfId="24559"/>
    <cellStyle name="Vírgula 2 2 2 9 5" xfId="10929"/>
    <cellStyle name="Vírgula 2 2 2 9 5 2" xfId="37437"/>
    <cellStyle name="Vírgula 2 2 2 9 6" xfId="31093"/>
    <cellStyle name="Vírgula 2 2 2 9 7" xfId="22787"/>
    <cellStyle name="Vírgula 2 2 20" xfId="29563"/>
    <cellStyle name="Vírgula 2 2 21" xfId="21447"/>
    <cellStyle name="Vírgula 2 2 3" xfId="40"/>
    <cellStyle name="Vírgula 2 2 3 10" xfId="6584"/>
    <cellStyle name="Vírgula 2 2 3 10 2" xfId="9557"/>
    <cellStyle name="Vírgula 2 2 3 10 2 2" xfId="21411"/>
    <cellStyle name="Vírgula 2 2 3 10 2 2 2" xfId="47890"/>
    <cellStyle name="Vírgula 2 2 3 10 2 3" xfId="15484"/>
    <cellStyle name="Vírgula 2 2 3 10 2 3 2" xfId="41982"/>
    <cellStyle name="Vírgula 2 2 3 10 2 4" xfId="36074"/>
    <cellStyle name="Vírgula 2 2 3 10 2 5" xfId="29540"/>
    <cellStyle name="Vírgula 2 2 3 10 3" xfId="18447"/>
    <cellStyle name="Vírgula 2 2 3 10 3 2" xfId="44936"/>
    <cellStyle name="Vírgula 2 2 3 10 4" xfId="12520"/>
    <cellStyle name="Vírgula 2 2 3 10 4 2" xfId="39028"/>
    <cellStyle name="Vírgula 2 2 3 10 5" xfId="33111"/>
    <cellStyle name="Vírgula 2 2 3 10 6" xfId="26577"/>
    <cellStyle name="Vírgula 2 2 3 11" xfId="6617"/>
    <cellStyle name="Vírgula 2 2 3 11 2" xfId="18471"/>
    <cellStyle name="Vírgula 2 2 3 11 2 2" xfId="44958"/>
    <cellStyle name="Vírgula 2 2 3 11 3" xfId="12544"/>
    <cellStyle name="Vírgula 2 2 3 11 3 2" xfId="39050"/>
    <cellStyle name="Vírgula 2 2 3 11 4" xfId="33142"/>
    <cellStyle name="Vírgula 2 2 3 11 5" xfId="26608"/>
    <cellStyle name="Vírgula 2 2 3 12" xfId="15507"/>
    <cellStyle name="Vírgula 2 2 3 12 2" xfId="42004"/>
    <cellStyle name="Vírgula 2 2 3 12 3" xfId="23041"/>
    <cellStyle name="Vírgula 2 2 3 13" xfId="9580"/>
    <cellStyle name="Vírgula 2 2 3 13 2" xfId="36096"/>
    <cellStyle name="Vírgula 2 2 3 14" xfId="29575"/>
    <cellStyle name="Vírgula 2 2 3 15" xfId="21654"/>
    <cellStyle name="Vírgula 2 2 3 2" xfId="58"/>
    <cellStyle name="Vírgula 2 2 3 2 10" xfId="6626"/>
    <cellStyle name="Vírgula 2 2 3 2 10 2" xfId="18480"/>
    <cellStyle name="Vírgula 2 2 3 2 10 2 2" xfId="44967"/>
    <cellStyle name="Vírgula 2 2 3 2 10 3" xfId="12553"/>
    <cellStyle name="Vírgula 2 2 3 2 10 3 2" xfId="39059"/>
    <cellStyle name="Vírgula 2 2 3 2 10 4" xfId="33151"/>
    <cellStyle name="Vírgula 2 2 3 2 10 5" xfId="26617"/>
    <cellStyle name="Vírgula 2 2 3 2 11" xfId="15516"/>
    <cellStyle name="Vírgula 2 2 3 2 11 2" xfId="42013"/>
    <cellStyle name="Vírgula 2 2 3 2 11 3" xfId="23059"/>
    <cellStyle name="Vírgula 2 2 3 2 12" xfId="9589"/>
    <cellStyle name="Vírgula 2 2 3 2 12 2" xfId="36105"/>
    <cellStyle name="Vírgula 2 2 3 2 13" xfId="29593"/>
    <cellStyle name="Vírgula 2 2 3 2 14" xfId="22601"/>
    <cellStyle name="Vírgula 2 2 3 2 2" xfId="99"/>
    <cellStyle name="Vírgula 2 2 3 2 2 10" xfId="29633"/>
    <cellStyle name="Vírgula 2 2 3 2 2 11" xfId="22641"/>
    <cellStyle name="Vírgula 2 2 3 2 2 2" xfId="4506"/>
    <cellStyle name="Vírgula 2 2 3 2 2 2 2" xfId="6278"/>
    <cellStyle name="Vírgula 2 2 3 2 2 2 2 2" xfId="9404"/>
    <cellStyle name="Vírgula 2 2 3 2 2 2 2 2 2" xfId="21258"/>
    <cellStyle name="Vírgula 2 2 3 2 2 2 2 2 2 2" xfId="47737"/>
    <cellStyle name="Vírgula 2 2 3 2 2 2 2 2 3" xfId="15331"/>
    <cellStyle name="Vírgula 2 2 3 2 2 2 2 2 3 2" xfId="41829"/>
    <cellStyle name="Vírgula 2 2 3 2 2 2 2 2 4" xfId="35921"/>
    <cellStyle name="Vírgula 2 2 3 2 2 2 2 2 5" xfId="29387"/>
    <cellStyle name="Vírgula 2 2 3 2 2 2 2 3" xfId="18294"/>
    <cellStyle name="Vírgula 2 2 3 2 2 2 2 3 2" xfId="44783"/>
    <cellStyle name="Vírgula 2 2 3 2 2 2 2 4" xfId="12367"/>
    <cellStyle name="Vírgula 2 2 3 2 2 2 2 4 2" xfId="38875"/>
    <cellStyle name="Vírgula 2 2 3 2 2 2 2 5" xfId="32805"/>
    <cellStyle name="Vírgula 2 2 3 2 2 2 2 6" xfId="26271"/>
    <cellStyle name="Vírgula 2 2 3 2 2 2 3" xfId="7936"/>
    <cellStyle name="Vírgula 2 2 3 2 2 2 3 2" xfId="19790"/>
    <cellStyle name="Vírgula 2 2 3 2 2 2 3 2 2" xfId="46269"/>
    <cellStyle name="Vírgula 2 2 3 2 2 2 3 3" xfId="13863"/>
    <cellStyle name="Vírgula 2 2 3 2 2 2 3 3 2" xfId="40361"/>
    <cellStyle name="Vírgula 2 2 3 2 2 2 3 4" xfId="34453"/>
    <cellStyle name="Vírgula 2 2 3 2 2 2 3 5" xfId="27919"/>
    <cellStyle name="Vírgula 2 2 3 2 2 2 4" xfId="16826"/>
    <cellStyle name="Vírgula 2 2 3 2 2 2 4 2" xfId="43315"/>
    <cellStyle name="Vírgula 2 2 3 2 2 2 4 3" xfId="24499"/>
    <cellStyle name="Vírgula 2 2 3 2 2 2 5" xfId="10899"/>
    <cellStyle name="Vírgula 2 2 3 2 2 2 5 2" xfId="37407"/>
    <cellStyle name="Vírgula 2 2 3 2 2 2 6" xfId="31033"/>
    <cellStyle name="Vírgula 2 2 3 2 2 2 7" xfId="22727"/>
    <cellStyle name="Vírgula 2 2 3 2 2 3" xfId="4630"/>
    <cellStyle name="Vírgula 2 2 3 2 2 3 2" xfId="6402"/>
    <cellStyle name="Vírgula 2 2 3 2 2 3 2 2" xfId="9466"/>
    <cellStyle name="Vírgula 2 2 3 2 2 3 2 2 2" xfId="21320"/>
    <cellStyle name="Vírgula 2 2 3 2 2 3 2 2 2 2" xfId="47799"/>
    <cellStyle name="Vírgula 2 2 3 2 2 3 2 2 3" xfId="15393"/>
    <cellStyle name="Vírgula 2 2 3 2 2 3 2 2 3 2" xfId="41891"/>
    <cellStyle name="Vírgula 2 2 3 2 2 3 2 2 4" xfId="35983"/>
    <cellStyle name="Vírgula 2 2 3 2 2 3 2 2 5" xfId="29449"/>
    <cellStyle name="Vírgula 2 2 3 2 2 3 2 3" xfId="18356"/>
    <cellStyle name="Vírgula 2 2 3 2 2 3 2 3 2" xfId="44845"/>
    <cellStyle name="Vírgula 2 2 3 2 2 3 2 4" xfId="12429"/>
    <cellStyle name="Vírgula 2 2 3 2 2 3 2 4 2" xfId="38937"/>
    <cellStyle name="Vírgula 2 2 3 2 2 3 2 5" xfId="32929"/>
    <cellStyle name="Vírgula 2 2 3 2 2 3 2 6" xfId="26395"/>
    <cellStyle name="Vírgula 2 2 3 2 2 3 3" xfId="7998"/>
    <cellStyle name="Vírgula 2 2 3 2 2 3 3 2" xfId="19852"/>
    <cellStyle name="Vírgula 2 2 3 2 2 3 3 2 2" xfId="46331"/>
    <cellStyle name="Vírgula 2 2 3 2 2 3 3 3" xfId="13925"/>
    <cellStyle name="Vírgula 2 2 3 2 2 3 3 3 2" xfId="40423"/>
    <cellStyle name="Vírgula 2 2 3 2 2 3 3 4" xfId="34515"/>
    <cellStyle name="Vírgula 2 2 3 2 2 3 3 5" xfId="27981"/>
    <cellStyle name="Vírgula 2 2 3 2 2 3 4" xfId="16888"/>
    <cellStyle name="Vírgula 2 2 3 2 2 3 4 2" xfId="43377"/>
    <cellStyle name="Vírgula 2 2 3 2 2 3 4 3" xfId="24623"/>
    <cellStyle name="Vírgula 2 2 3 2 2 3 5" xfId="10961"/>
    <cellStyle name="Vírgula 2 2 3 2 2 3 5 2" xfId="37469"/>
    <cellStyle name="Vírgula 2 2 3 2 2 3 6" xfId="31157"/>
    <cellStyle name="Vírgula 2 2 3 2 2 3 7" xfId="22851"/>
    <cellStyle name="Vírgula 2 2 3 2 2 4" xfId="4754"/>
    <cellStyle name="Vírgula 2 2 3 2 2 4 2" xfId="6526"/>
    <cellStyle name="Vírgula 2 2 3 2 2 4 2 2" xfId="9528"/>
    <cellStyle name="Vírgula 2 2 3 2 2 4 2 2 2" xfId="21382"/>
    <cellStyle name="Vírgula 2 2 3 2 2 4 2 2 2 2" xfId="47861"/>
    <cellStyle name="Vírgula 2 2 3 2 2 4 2 2 3" xfId="15455"/>
    <cellStyle name="Vírgula 2 2 3 2 2 4 2 2 3 2" xfId="41953"/>
    <cellStyle name="Vírgula 2 2 3 2 2 4 2 2 4" xfId="36045"/>
    <cellStyle name="Vírgula 2 2 3 2 2 4 2 2 5" xfId="29511"/>
    <cellStyle name="Vírgula 2 2 3 2 2 4 2 3" xfId="18418"/>
    <cellStyle name="Vírgula 2 2 3 2 2 4 2 3 2" xfId="44907"/>
    <cellStyle name="Vírgula 2 2 3 2 2 4 2 4" xfId="12491"/>
    <cellStyle name="Vírgula 2 2 3 2 2 4 2 4 2" xfId="38999"/>
    <cellStyle name="Vírgula 2 2 3 2 2 4 2 5" xfId="33053"/>
    <cellStyle name="Vírgula 2 2 3 2 2 4 2 6" xfId="26519"/>
    <cellStyle name="Vírgula 2 2 3 2 2 4 3" xfId="8060"/>
    <cellStyle name="Vírgula 2 2 3 2 2 4 3 2" xfId="19914"/>
    <cellStyle name="Vírgula 2 2 3 2 2 4 3 2 2" xfId="46393"/>
    <cellStyle name="Vírgula 2 2 3 2 2 4 3 3" xfId="13987"/>
    <cellStyle name="Vírgula 2 2 3 2 2 4 3 3 2" xfId="40485"/>
    <cellStyle name="Vírgula 2 2 3 2 2 4 3 4" xfId="34577"/>
    <cellStyle name="Vírgula 2 2 3 2 2 4 3 5" xfId="28043"/>
    <cellStyle name="Vírgula 2 2 3 2 2 4 4" xfId="16950"/>
    <cellStyle name="Vírgula 2 2 3 2 2 4 4 2" xfId="43439"/>
    <cellStyle name="Vírgula 2 2 3 2 2 4 4 3" xfId="24747"/>
    <cellStyle name="Vírgula 2 2 3 2 2 4 5" xfId="11023"/>
    <cellStyle name="Vírgula 2 2 3 2 2 4 5 2" xfId="37531"/>
    <cellStyle name="Vírgula 2 2 3 2 2 4 6" xfId="31281"/>
    <cellStyle name="Vírgula 2 2 3 2 2 4 7" xfId="22975"/>
    <cellStyle name="Vírgula 2 2 3 2 2 5" xfId="4420"/>
    <cellStyle name="Vírgula 2 2 3 2 2 5 2" xfId="6192"/>
    <cellStyle name="Vírgula 2 2 3 2 2 5 2 2" xfId="9361"/>
    <cellStyle name="Vírgula 2 2 3 2 2 5 2 2 2" xfId="21215"/>
    <cellStyle name="Vírgula 2 2 3 2 2 5 2 2 2 2" xfId="47694"/>
    <cellStyle name="Vírgula 2 2 3 2 2 5 2 2 3" xfId="15288"/>
    <cellStyle name="Vírgula 2 2 3 2 2 5 2 2 3 2" xfId="41786"/>
    <cellStyle name="Vírgula 2 2 3 2 2 5 2 2 4" xfId="35878"/>
    <cellStyle name="Vírgula 2 2 3 2 2 5 2 2 5" xfId="29344"/>
    <cellStyle name="Vírgula 2 2 3 2 2 5 2 3" xfId="18251"/>
    <cellStyle name="Vírgula 2 2 3 2 2 5 2 3 2" xfId="44740"/>
    <cellStyle name="Vírgula 2 2 3 2 2 5 2 4" xfId="12324"/>
    <cellStyle name="Vírgula 2 2 3 2 2 5 2 4 2" xfId="38832"/>
    <cellStyle name="Vírgula 2 2 3 2 2 5 2 5" xfId="32719"/>
    <cellStyle name="Vírgula 2 2 3 2 2 5 2 6" xfId="26185"/>
    <cellStyle name="Vírgula 2 2 3 2 2 5 3" xfId="7893"/>
    <cellStyle name="Vírgula 2 2 3 2 2 5 3 2" xfId="19747"/>
    <cellStyle name="Vírgula 2 2 3 2 2 5 3 2 2" xfId="46226"/>
    <cellStyle name="Vírgula 2 2 3 2 2 5 3 3" xfId="13820"/>
    <cellStyle name="Vírgula 2 2 3 2 2 5 3 3 2" xfId="40318"/>
    <cellStyle name="Vírgula 2 2 3 2 2 5 3 4" xfId="34410"/>
    <cellStyle name="Vírgula 2 2 3 2 2 5 3 5" xfId="27876"/>
    <cellStyle name="Vírgula 2 2 3 2 2 5 4" xfId="16783"/>
    <cellStyle name="Vírgula 2 2 3 2 2 5 4 2" xfId="43272"/>
    <cellStyle name="Vírgula 2 2 3 2 2 5 5" xfId="10856"/>
    <cellStyle name="Vírgula 2 2 3 2 2 5 5 2" xfId="37364"/>
    <cellStyle name="Vírgula 2 2 3 2 2 5 6" xfId="30947"/>
    <cellStyle name="Vírgula 2 2 3 2 2 5 7" xfId="24413"/>
    <cellStyle name="Vírgula 2 2 3 2 2 6" xfId="4878"/>
    <cellStyle name="Vírgula 2 2 3 2 2 6 2" xfId="8122"/>
    <cellStyle name="Vírgula 2 2 3 2 2 6 2 2" xfId="19976"/>
    <cellStyle name="Vírgula 2 2 3 2 2 6 2 2 2" xfId="46455"/>
    <cellStyle name="Vírgula 2 2 3 2 2 6 2 3" xfId="14049"/>
    <cellStyle name="Vírgula 2 2 3 2 2 6 2 3 2" xfId="40547"/>
    <cellStyle name="Vírgula 2 2 3 2 2 6 2 4" xfId="34639"/>
    <cellStyle name="Vírgula 2 2 3 2 2 6 2 5" xfId="28105"/>
    <cellStyle name="Vírgula 2 2 3 2 2 6 3" xfId="17012"/>
    <cellStyle name="Vírgula 2 2 3 2 2 6 3 2" xfId="43501"/>
    <cellStyle name="Vírgula 2 2 3 2 2 6 4" xfId="11085"/>
    <cellStyle name="Vírgula 2 2 3 2 2 6 4 2" xfId="37593"/>
    <cellStyle name="Vírgula 2 2 3 2 2 6 5" xfId="31405"/>
    <cellStyle name="Vírgula 2 2 3 2 2 6 6" xfId="24871"/>
    <cellStyle name="Vírgula 2 2 3 2 2 7" xfId="6646"/>
    <cellStyle name="Vírgula 2 2 3 2 2 7 2" xfId="18500"/>
    <cellStyle name="Vírgula 2 2 3 2 2 7 2 2" xfId="44987"/>
    <cellStyle name="Vírgula 2 2 3 2 2 7 3" xfId="12573"/>
    <cellStyle name="Vírgula 2 2 3 2 2 7 3 2" xfId="39079"/>
    <cellStyle name="Vírgula 2 2 3 2 2 7 4" xfId="33171"/>
    <cellStyle name="Vírgula 2 2 3 2 2 7 5" xfId="26637"/>
    <cellStyle name="Vírgula 2 2 3 2 2 8" xfId="15536"/>
    <cellStyle name="Vírgula 2 2 3 2 2 8 2" xfId="42033"/>
    <cellStyle name="Vírgula 2 2 3 2 2 8 3" xfId="23099"/>
    <cellStyle name="Vírgula 2 2 3 2 2 9" xfId="9609"/>
    <cellStyle name="Vírgula 2 2 3 2 2 9 2" xfId="36125"/>
    <cellStyle name="Vírgula 2 2 3 2 3" xfId="137"/>
    <cellStyle name="Vírgula 2 2 3 2 3 10" xfId="22765"/>
    <cellStyle name="Vírgula 2 2 3 2 3 2" xfId="4668"/>
    <cellStyle name="Vírgula 2 2 3 2 3 2 2" xfId="6440"/>
    <cellStyle name="Vírgula 2 2 3 2 3 2 2 2" xfId="9485"/>
    <cellStyle name="Vírgula 2 2 3 2 3 2 2 2 2" xfId="21339"/>
    <cellStyle name="Vírgula 2 2 3 2 3 2 2 2 2 2" xfId="47818"/>
    <cellStyle name="Vírgula 2 2 3 2 3 2 2 2 3" xfId="15412"/>
    <cellStyle name="Vírgula 2 2 3 2 3 2 2 2 3 2" xfId="41910"/>
    <cellStyle name="Vírgula 2 2 3 2 3 2 2 2 4" xfId="36002"/>
    <cellStyle name="Vírgula 2 2 3 2 3 2 2 2 5" xfId="29468"/>
    <cellStyle name="Vírgula 2 2 3 2 3 2 2 3" xfId="18375"/>
    <cellStyle name="Vírgula 2 2 3 2 3 2 2 3 2" xfId="44864"/>
    <cellStyle name="Vírgula 2 2 3 2 3 2 2 4" xfId="12448"/>
    <cellStyle name="Vírgula 2 2 3 2 3 2 2 4 2" xfId="38956"/>
    <cellStyle name="Vírgula 2 2 3 2 3 2 2 5" xfId="32967"/>
    <cellStyle name="Vírgula 2 2 3 2 3 2 2 6" xfId="26433"/>
    <cellStyle name="Vírgula 2 2 3 2 3 2 3" xfId="8017"/>
    <cellStyle name="Vírgula 2 2 3 2 3 2 3 2" xfId="19871"/>
    <cellStyle name="Vírgula 2 2 3 2 3 2 3 2 2" xfId="46350"/>
    <cellStyle name="Vírgula 2 2 3 2 3 2 3 3" xfId="13944"/>
    <cellStyle name="Vírgula 2 2 3 2 3 2 3 3 2" xfId="40442"/>
    <cellStyle name="Vírgula 2 2 3 2 3 2 3 4" xfId="34534"/>
    <cellStyle name="Vírgula 2 2 3 2 3 2 3 5" xfId="28000"/>
    <cellStyle name="Vírgula 2 2 3 2 3 2 4" xfId="16907"/>
    <cellStyle name="Vírgula 2 2 3 2 3 2 4 2" xfId="43396"/>
    <cellStyle name="Vírgula 2 2 3 2 3 2 4 3" xfId="24661"/>
    <cellStyle name="Vírgula 2 2 3 2 3 2 5" xfId="10980"/>
    <cellStyle name="Vírgula 2 2 3 2 3 2 5 2" xfId="37488"/>
    <cellStyle name="Vírgula 2 2 3 2 3 2 6" xfId="31195"/>
    <cellStyle name="Vírgula 2 2 3 2 3 2 7" xfId="22889"/>
    <cellStyle name="Vírgula 2 2 3 2 3 3" xfId="4792"/>
    <cellStyle name="Vírgula 2 2 3 2 3 3 2" xfId="6564"/>
    <cellStyle name="Vírgula 2 2 3 2 3 3 2 2" xfId="9547"/>
    <cellStyle name="Vírgula 2 2 3 2 3 3 2 2 2" xfId="21401"/>
    <cellStyle name="Vírgula 2 2 3 2 3 3 2 2 2 2" xfId="47880"/>
    <cellStyle name="Vírgula 2 2 3 2 3 3 2 2 3" xfId="15474"/>
    <cellStyle name="Vírgula 2 2 3 2 3 3 2 2 3 2" xfId="41972"/>
    <cellStyle name="Vírgula 2 2 3 2 3 3 2 2 4" xfId="36064"/>
    <cellStyle name="Vírgula 2 2 3 2 3 3 2 2 5" xfId="29530"/>
    <cellStyle name="Vírgula 2 2 3 2 3 3 2 3" xfId="18437"/>
    <cellStyle name="Vírgula 2 2 3 2 3 3 2 3 2" xfId="44926"/>
    <cellStyle name="Vírgula 2 2 3 2 3 3 2 4" xfId="12510"/>
    <cellStyle name="Vírgula 2 2 3 2 3 3 2 4 2" xfId="39018"/>
    <cellStyle name="Vírgula 2 2 3 2 3 3 2 5" xfId="33091"/>
    <cellStyle name="Vírgula 2 2 3 2 3 3 2 6" xfId="26557"/>
    <cellStyle name="Vírgula 2 2 3 2 3 3 3" xfId="8079"/>
    <cellStyle name="Vírgula 2 2 3 2 3 3 3 2" xfId="19933"/>
    <cellStyle name="Vírgula 2 2 3 2 3 3 3 2 2" xfId="46412"/>
    <cellStyle name="Vírgula 2 2 3 2 3 3 3 3" xfId="14006"/>
    <cellStyle name="Vírgula 2 2 3 2 3 3 3 3 2" xfId="40504"/>
    <cellStyle name="Vírgula 2 2 3 2 3 3 3 4" xfId="34596"/>
    <cellStyle name="Vírgula 2 2 3 2 3 3 3 5" xfId="28062"/>
    <cellStyle name="Vírgula 2 2 3 2 3 3 4" xfId="16969"/>
    <cellStyle name="Vírgula 2 2 3 2 3 3 4 2" xfId="43458"/>
    <cellStyle name="Vírgula 2 2 3 2 3 3 4 3" xfId="24785"/>
    <cellStyle name="Vírgula 2 2 3 2 3 3 5" xfId="11042"/>
    <cellStyle name="Vírgula 2 2 3 2 3 3 5 2" xfId="37550"/>
    <cellStyle name="Vírgula 2 2 3 2 3 3 6" xfId="31319"/>
    <cellStyle name="Vírgula 2 2 3 2 3 3 7" xfId="23013"/>
    <cellStyle name="Vírgula 2 2 3 2 3 4" xfId="4544"/>
    <cellStyle name="Vírgula 2 2 3 2 3 4 2" xfId="6316"/>
    <cellStyle name="Vírgula 2 2 3 2 3 4 2 2" xfId="9423"/>
    <cellStyle name="Vírgula 2 2 3 2 3 4 2 2 2" xfId="21277"/>
    <cellStyle name="Vírgula 2 2 3 2 3 4 2 2 2 2" xfId="47756"/>
    <cellStyle name="Vírgula 2 2 3 2 3 4 2 2 3" xfId="15350"/>
    <cellStyle name="Vírgula 2 2 3 2 3 4 2 2 3 2" xfId="41848"/>
    <cellStyle name="Vírgula 2 2 3 2 3 4 2 2 4" xfId="35940"/>
    <cellStyle name="Vírgula 2 2 3 2 3 4 2 2 5" xfId="29406"/>
    <cellStyle name="Vírgula 2 2 3 2 3 4 2 3" xfId="18313"/>
    <cellStyle name="Vírgula 2 2 3 2 3 4 2 3 2" xfId="44802"/>
    <cellStyle name="Vírgula 2 2 3 2 3 4 2 4" xfId="12386"/>
    <cellStyle name="Vírgula 2 2 3 2 3 4 2 4 2" xfId="38894"/>
    <cellStyle name="Vírgula 2 2 3 2 3 4 2 5" xfId="32843"/>
    <cellStyle name="Vírgula 2 2 3 2 3 4 2 6" xfId="26309"/>
    <cellStyle name="Vírgula 2 2 3 2 3 4 3" xfId="7955"/>
    <cellStyle name="Vírgula 2 2 3 2 3 4 3 2" xfId="19809"/>
    <cellStyle name="Vírgula 2 2 3 2 3 4 3 2 2" xfId="46288"/>
    <cellStyle name="Vírgula 2 2 3 2 3 4 3 3" xfId="13882"/>
    <cellStyle name="Vírgula 2 2 3 2 3 4 3 3 2" xfId="40380"/>
    <cellStyle name="Vírgula 2 2 3 2 3 4 3 4" xfId="34472"/>
    <cellStyle name="Vírgula 2 2 3 2 3 4 3 5" xfId="27938"/>
    <cellStyle name="Vírgula 2 2 3 2 3 4 4" xfId="16845"/>
    <cellStyle name="Vírgula 2 2 3 2 3 4 4 2" xfId="43334"/>
    <cellStyle name="Vírgula 2 2 3 2 3 4 5" xfId="10918"/>
    <cellStyle name="Vírgula 2 2 3 2 3 4 5 2" xfId="37426"/>
    <cellStyle name="Vírgula 2 2 3 2 3 4 6" xfId="31071"/>
    <cellStyle name="Vírgula 2 2 3 2 3 4 7" xfId="24537"/>
    <cellStyle name="Vírgula 2 2 3 2 3 5" xfId="4916"/>
    <cellStyle name="Vírgula 2 2 3 2 3 5 2" xfId="8141"/>
    <cellStyle name="Vírgula 2 2 3 2 3 5 2 2" xfId="19995"/>
    <cellStyle name="Vírgula 2 2 3 2 3 5 2 2 2" xfId="46474"/>
    <cellStyle name="Vírgula 2 2 3 2 3 5 2 3" xfId="14068"/>
    <cellStyle name="Vírgula 2 2 3 2 3 5 2 3 2" xfId="40566"/>
    <cellStyle name="Vírgula 2 2 3 2 3 5 2 4" xfId="34658"/>
    <cellStyle name="Vírgula 2 2 3 2 3 5 2 5" xfId="28124"/>
    <cellStyle name="Vírgula 2 2 3 2 3 5 3" xfId="17031"/>
    <cellStyle name="Vírgula 2 2 3 2 3 5 3 2" xfId="43520"/>
    <cellStyle name="Vírgula 2 2 3 2 3 5 4" xfId="11104"/>
    <cellStyle name="Vírgula 2 2 3 2 3 5 4 2" xfId="37612"/>
    <cellStyle name="Vírgula 2 2 3 2 3 5 5" xfId="31443"/>
    <cellStyle name="Vírgula 2 2 3 2 3 5 6" xfId="24909"/>
    <cellStyle name="Vírgula 2 2 3 2 3 6" xfId="6665"/>
    <cellStyle name="Vírgula 2 2 3 2 3 6 2" xfId="18519"/>
    <cellStyle name="Vírgula 2 2 3 2 3 6 2 2" xfId="45006"/>
    <cellStyle name="Vírgula 2 2 3 2 3 6 3" xfId="12592"/>
    <cellStyle name="Vírgula 2 2 3 2 3 6 3 2" xfId="39098"/>
    <cellStyle name="Vírgula 2 2 3 2 3 6 4" xfId="33190"/>
    <cellStyle name="Vírgula 2 2 3 2 3 6 5" xfId="26656"/>
    <cellStyle name="Vírgula 2 2 3 2 3 7" xfId="15555"/>
    <cellStyle name="Vírgula 2 2 3 2 3 7 2" xfId="42052"/>
    <cellStyle name="Vírgula 2 2 3 2 3 7 3" xfId="23137"/>
    <cellStyle name="Vírgula 2 2 3 2 3 8" xfId="9628"/>
    <cellStyle name="Vírgula 2 2 3 2 3 8 2" xfId="36144"/>
    <cellStyle name="Vírgula 2 2 3 2 3 9" xfId="29671"/>
    <cellStyle name="Vírgula 2 2 3 2 4" xfId="4466"/>
    <cellStyle name="Vírgula 2 2 3 2 4 2" xfId="6238"/>
    <cellStyle name="Vírgula 2 2 3 2 4 2 2" xfId="9384"/>
    <cellStyle name="Vírgula 2 2 3 2 4 2 2 2" xfId="21238"/>
    <cellStyle name="Vírgula 2 2 3 2 4 2 2 2 2" xfId="47717"/>
    <cellStyle name="Vírgula 2 2 3 2 4 2 2 3" xfId="15311"/>
    <cellStyle name="Vírgula 2 2 3 2 4 2 2 3 2" xfId="41809"/>
    <cellStyle name="Vírgula 2 2 3 2 4 2 2 4" xfId="35901"/>
    <cellStyle name="Vírgula 2 2 3 2 4 2 2 5" xfId="29367"/>
    <cellStyle name="Vírgula 2 2 3 2 4 2 3" xfId="18274"/>
    <cellStyle name="Vírgula 2 2 3 2 4 2 3 2" xfId="44763"/>
    <cellStyle name="Vírgula 2 2 3 2 4 2 4" xfId="12347"/>
    <cellStyle name="Vírgula 2 2 3 2 4 2 4 2" xfId="38855"/>
    <cellStyle name="Vírgula 2 2 3 2 4 2 5" xfId="32765"/>
    <cellStyle name="Vírgula 2 2 3 2 4 2 6" xfId="26231"/>
    <cellStyle name="Vírgula 2 2 3 2 4 3" xfId="7916"/>
    <cellStyle name="Vírgula 2 2 3 2 4 3 2" xfId="19770"/>
    <cellStyle name="Vírgula 2 2 3 2 4 3 2 2" xfId="46249"/>
    <cellStyle name="Vírgula 2 2 3 2 4 3 3" xfId="13843"/>
    <cellStyle name="Vírgula 2 2 3 2 4 3 3 2" xfId="40341"/>
    <cellStyle name="Vírgula 2 2 3 2 4 3 4" xfId="34433"/>
    <cellStyle name="Vírgula 2 2 3 2 4 3 5" xfId="27899"/>
    <cellStyle name="Vírgula 2 2 3 2 4 4" xfId="16806"/>
    <cellStyle name="Vírgula 2 2 3 2 4 4 2" xfId="43295"/>
    <cellStyle name="Vírgula 2 2 3 2 4 4 3" xfId="24459"/>
    <cellStyle name="Vírgula 2 2 3 2 4 5" xfId="10879"/>
    <cellStyle name="Vírgula 2 2 3 2 4 5 2" xfId="37387"/>
    <cellStyle name="Vírgula 2 2 3 2 4 6" xfId="30993"/>
    <cellStyle name="Vírgula 2 2 3 2 4 7" xfId="22687"/>
    <cellStyle name="Vírgula 2 2 3 2 5" xfId="4590"/>
    <cellStyle name="Vírgula 2 2 3 2 5 2" xfId="6362"/>
    <cellStyle name="Vírgula 2 2 3 2 5 2 2" xfId="9446"/>
    <cellStyle name="Vírgula 2 2 3 2 5 2 2 2" xfId="21300"/>
    <cellStyle name="Vírgula 2 2 3 2 5 2 2 2 2" xfId="47779"/>
    <cellStyle name="Vírgula 2 2 3 2 5 2 2 3" xfId="15373"/>
    <cellStyle name="Vírgula 2 2 3 2 5 2 2 3 2" xfId="41871"/>
    <cellStyle name="Vírgula 2 2 3 2 5 2 2 4" xfId="35963"/>
    <cellStyle name="Vírgula 2 2 3 2 5 2 2 5" xfId="29429"/>
    <cellStyle name="Vírgula 2 2 3 2 5 2 3" xfId="18336"/>
    <cellStyle name="Vírgula 2 2 3 2 5 2 3 2" xfId="44825"/>
    <cellStyle name="Vírgula 2 2 3 2 5 2 4" xfId="12409"/>
    <cellStyle name="Vírgula 2 2 3 2 5 2 4 2" xfId="38917"/>
    <cellStyle name="Vírgula 2 2 3 2 5 2 5" xfId="32889"/>
    <cellStyle name="Vírgula 2 2 3 2 5 2 6" xfId="26355"/>
    <cellStyle name="Vírgula 2 2 3 2 5 3" xfId="7978"/>
    <cellStyle name="Vírgula 2 2 3 2 5 3 2" xfId="19832"/>
    <cellStyle name="Vírgula 2 2 3 2 5 3 2 2" xfId="46311"/>
    <cellStyle name="Vírgula 2 2 3 2 5 3 3" xfId="13905"/>
    <cellStyle name="Vírgula 2 2 3 2 5 3 3 2" xfId="40403"/>
    <cellStyle name="Vírgula 2 2 3 2 5 3 4" xfId="34495"/>
    <cellStyle name="Vírgula 2 2 3 2 5 3 5" xfId="27961"/>
    <cellStyle name="Vírgula 2 2 3 2 5 4" xfId="16868"/>
    <cellStyle name="Vírgula 2 2 3 2 5 4 2" xfId="43357"/>
    <cellStyle name="Vírgula 2 2 3 2 5 4 3" xfId="24583"/>
    <cellStyle name="Vírgula 2 2 3 2 5 5" xfId="10941"/>
    <cellStyle name="Vírgula 2 2 3 2 5 5 2" xfId="37449"/>
    <cellStyle name="Vírgula 2 2 3 2 5 6" xfId="31117"/>
    <cellStyle name="Vírgula 2 2 3 2 5 7" xfId="22811"/>
    <cellStyle name="Vírgula 2 2 3 2 6" xfId="4714"/>
    <cellStyle name="Vírgula 2 2 3 2 6 2" xfId="6486"/>
    <cellStyle name="Vírgula 2 2 3 2 6 2 2" xfId="9508"/>
    <cellStyle name="Vírgula 2 2 3 2 6 2 2 2" xfId="21362"/>
    <cellStyle name="Vírgula 2 2 3 2 6 2 2 2 2" xfId="47841"/>
    <cellStyle name="Vírgula 2 2 3 2 6 2 2 3" xfId="15435"/>
    <cellStyle name="Vírgula 2 2 3 2 6 2 2 3 2" xfId="41933"/>
    <cellStyle name="Vírgula 2 2 3 2 6 2 2 4" xfId="36025"/>
    <cellStyle name="Vírgula 2 2 3 2 6 2 2 5" xfId="29491"/>
    <cellStyle name="Vírgula 2 2 3 2 6 2 3" xfId="18398"/>
    <cellStyle name="Vírgula 2 2 3 2 6 2 3 2" xfId="44887"/>
    <cellStyle name="Vírgula 2 2 3 2 6 2 4" xfId="12471"/>
    <cellStyle name="Vírgula 2 2 3 2 6 2 4 2" xfId="38979"/>
    <cellStyle name="Vírgula 2 2 3 2 6 2 5" xfId="33013"/>
    <cellStyle name="Vírgula 2 2 3 2 6 2 6" xfId="26479"/>
    <cellStyle name="Vírgula 2 2 3 2 6 3" xfId="8040"/>
    <cellStyle name="Vírgula 2 2 3 2 6 3 2" xfId="19894"/>
    <cellStyle name="Vírgula 2 2 3 2 6 3 2 2" xfId="46373"/>
    <cellStyle name="Vírgula 2 2 3 2 6 3 3" xfId="13967"/>
    <cellStyle name="Vírgula 2 2 3 2 6 3 3 2" xfId="40465"/>
    <cellStyle name="Vírgula 2 2 3 2 6 3 4" xfId="34557"/>
    <cellStyle name="Vírgula 2 2 3 2 6 3 5" xfId="28023"/>
    <cellStyle name="Vírgula 2 2 3 2 6 4" xfId="16930"/>
    <cellStyle name="Vírgula 2 2 3 2 6 4 2" xfId="43419"/>
    <cellStyle name="Vírgula 2 2 3 2 6 4 3" xfId="24707"/>
    <cellStyle name="Vírgula 2 2 3 2 6 5" xfId="11003"/>
    <cellStyle name="Vírgula 2 2 3 2 6 5 2" xfId="37511"/>
    <cellStyle name="Vírgula 2 2 3 2 6 6" xfId="31241"/>
    <cellStyle name="Vírgula 2 2 3 2 6 7" xfId="22935"/>
    <cellStyle name="Vírgula 2 2 3 2 7" xfId="4380"/>
    <cellStyle name="Vírgula 2 2 3 2 7 2" xfId="6152"/>
    <cellStyle name="Vírgula 2 2 3 2 7 2 2" xfId="9341"/>
    <cellStyle name="Vírgula 2 2 3 2 7 2 2 2" xfId="21195"/>
    <cellStyle name="Vírgula 2 2 3 2 7 2 2 2 2" xfId="47674"/>
    <cellStyle name="Vírgula 2 2 3 2 7 2 2 3" xfId="15268"/>
    <cellStyle name="Vírgula 2 2 3 2 7 2 2 3 2" xfId="41766"/>
    <cellStyle name="Vírgula 2 2 3 2 7 2 2 4" xfId="35858"/>
    <cellStyle name="Vírgula 2 2 3 2 7 2 2 5" xfId="29324"/>
    <cellStyle name="Vírgula 2 2 3 2 7 2 3" xfId="18231"/>
    <cellStyle name="Vírgula 2 2 3 2 7 2 3 2" xfId="44720"/>
    <cellStyle name="Vírgula 2 2 3 2 7 2 4" xfId="12304"/>
    <cellStyle name="Vírgula 2 2 3 2 7 2 4 2" xfId="38812"/>
    <cellStyle name="Vírgula 2 2 3 2 7 2 5" xfId="32679"/>
    <cellStyle name="Vírgula 2 2 3 2 7 2 6" xfId="26145"/>
    <cellStyle name="Vírgula 2 2 3 2 7 3" xfId="7873"/>
    <cellStyle name="Vírgula 2 2 3 2 7 3 2" xfId="19727"/>
    <cellStyle name="Vírgula 2 2 3 2 7 3 2 2" xfId="46206"/>
    <cellStyle name="Vírgula 2 2 3 2 7 3 3" xfId="13800"/>
    <cellStyle name="Vírgula 2 2 3 2 7 3 3 2" xfId="40298"/>
    <cellStyle name="Vírgula 2 2 3 2 7 3 4" xfId="34390"/>
    <cellStyle name="Vírgula 2 2 3 2 7 3 5" xfId="27856"/>
    <cellStyle name="Vírgula 2 2 3 2 7 4" xfId="16763"/>
    <cellStyle name="Vírgula 2 2 3 2 7 4 2" xfId="43252"/>
    <cellStyle name="Vírgula 2 2 3 2 7 5" xfId="10836"/>
    <cellStyle name="Vírgula 2 2 3 2 7 5 2" xfId="37344"/>
    <cellStyle name="Vírgula 2 2 3 2 7 6" xfId="30907"/>
    <cellStyle name="Vírgula 2 2 3 2 7 7" xfId="24373"/>
    <cellStyle name="Vírgula 2 2 3 2 8" xfId="4838"/>
    <cellStyle name="Vírgula 2 2 3 2 8 2" xfId="8102"/>
    <cellStyle name="Vírgula 2 2 3 2 8 2 2" xfId="19956"/>
    <cellStyle name="Vírgula 2 2 3 2 8 2 2 2" xfId="46435"/>
    <cellStyle name="Vírgula 2 2 3 2 8 2 3" xfId="14029"/>
    <cellStyle name="Vírgula 2 2 3 2 8 2 3 2" xfId="40527"/>
    <cellStyle name="Vírgula 2 2 3 2 8 2 4" xfId="34619"/>
    <cellStyle name="Vírgula 2 2 3 2 8 2 5" xfId="28085"/>
    <cellStyle name="Vírgula 2 2 3 2 8 3" xfId="16992"/>
    <cellStyle name="Vírgula 2 2 3 2 8 3 2" xfId="43481"/>
    <cellStyle name="Vírgula 2 2 3 2 8 4" xfId="11065"/>
    <cellStyle name="Vírgula 2 2 3 2 8 4 2" xfId="37573"/>
    <cellStyle name="Vírgula 2 2 3 2 8 5" xfId="31365"/>
    <cellStyle name="Vírgula 2 2 3 2 8 6" xfId="24831"/>
    <cellStyle name="Vírgula 2 2 3 2 9" xfId="6602"/>
    <cellStyle name="Vírgula 2 2 3 2 9 2" xfId="9566"/>
    <cellStyle name="Vírgula 2 2 3 2 9 2 2" xfId="21420"/>
    <cellStyle name="Vírgula 2 2 3 2 9 2 2 2" xfId="47899"/>
    <cellStyle name="Vírgula 2 2 3 2 9 2 3" xfId="15493"/>
    <cellStyle name="Vírgula 2 2 3 2 9 2 3 2" xfId="41991"/>
    <cellStyle name="Vírgula 2 2 3 2 9 2 4" xfId="36083"/>
    <cellStyle name="Vírgula 2 2 3 2 9 2 5" xfId="29549"/>
    <cellStyle name="Vírgula 2 2 3 2 9 3" xfId="18456"/>
    <cellStyle name="Vírgula 2 2 3 2 9 3 2" xfId="44945"/>
    <cellStyle name="Vírgula 2 2 3 2 9 4" xfId="12529"/>
    <cellStyle name="Vírgula 2 2 3 2 9 4 2" xfId="39037"/>
    <cellStyle name="Vírgula 2 2 3 2 9 5" xfId="33129"/>
    <cellStyle name="Vírgula 2 2 3 2 9 6" xfId="26595"/>
    <cellStyle name="Vírgula 2 2 3 3" xfId="81"/>
    <cellStyle name="Vírgula 2 2 3 3 10" xfId="29615"/>
    <cellStyle name="Vírgula 2 2 3 3 11" xfId="22623"/>
    <cellStyle name="Vírgula 2 2 3 3 2" xfId="4488"/>
    <cellStyle name="Vírgula 2 2 3 3 2 2" xfId="6260"/>
    <cellStyle name="Vírgula 2 2 3 3 2 2 2" xfId="9395"/>
    <cellStyle name="Vírgula 2 2 3 3 2 2 2 2" xfId="21249"/>
    <cellStyle name="Vírgula 2 2 3 3 2 2 2 2 2" xfId="47728"/>
    <cellStyle name="Vírgula 2 2 3 3 2 2 2 3" xfId="15322"/>
    <cellStyle name="Vírgula 2 2 3 3 2 2 2 3 2" xfId="41820"/>
    <cellStyle name="Vírgula 2 2 3 3 2 2 2 4" xfId="35912"/>
    <cellStyle name="Vírgula 2 2 3 3 2 2 2 5" xfId="29378"/>
    <cellStyle name="Vírgula 2 2 3 3 2 2 3" xfId="18285"/>
    <cellStyle name="Vírgula 2 2 3 3 2 2 3 2" xfId="44774"/>
    <cellStyle name="Vírgula 2 2 3 3 2 2 4" xfId="12358"/>
    <cellStyle name="Vírgula 2 2 3 3 2 2 4 2" xfId="38866"/>
    <cellStyle name="Vírgula 2 2 3 3 2 2 5" xfId="32787"/>
    <cellStyle name="Vírgula 2 2 3 3 2 2 6" xfId="26253"/>
    <cellStyle name="Vírgula 2 2 3 3 2 3" xfId="7927"/>
    <cellStyle name="Vírgula 2 2 3 3 2 3 2" xfId="19781"/>
    <cellStyle name="Vírgula 2 2 3 3 2 3 2 2" xfId="46260"/>
    <cellStyle name="Vírgula 2 2 3 3 2 3 3" xfId="13854"/>
    <cellStyle name="Vírgula 2 2 3 3 2 3 3 2" xfId="40352"/>
    <cellStyle name="Vírgula 2 2 3 3 2 3 4" xfId="34444"/>
    <cellStyle name="Vírgula 2 2 3 3 2 3 5" xfId="27910"/>
    <cellStyle name="Vírgula 2 2 3 3 2 4" xfId="16817"/>
    <cellStyle name="Vírgula 2 2 3 3 2 4 2" xfId="43306"/>
    <cellStyle name="Vírgula 2 2 3 3 2 4 3" xfId="24481"/>
    <cellStyle name="Vírgula 2 2 3 3 2 5" xfId="10890"/>
    <cellStyle name="Vírgula 2 2 3 3 2 5 2" xfId="37398"/>
    <cellStyle name="Vírgula 2 2 3 3 2 6" xfId="31015"/>
    <cellStyle name="Vírgula 2 2 3 3 2 7" xfId="22709"/>
    <cellStyle name="Vírgula 2 2 3 3 3" xfId="4612"/>
    <cellStyle name="Vírgula 2 2 3 3 3 2" xfId="6384"/>
    <cellStyle name="Vírgula 2 2 3 3 3 2 2" xfId="9457"/>
    <cellStyle name="Vírgula 2 2 3 3 3 2 2 2" xfId="21311"/>
    <cellStyle name="Vírgula 2 2 3 3 3 2 2 2 2" xfId="47790"/>
    <cellStyle name="Vírgula 2 2 3 3 3 2 2 3" xfId="15384"/>
    <cellStyle name="Vírgula 2 2 3 3 3 2 2 3 2" xfId="41882"/>
    <cellStyle name="Vírgula 2 2 3 3 3 2 2 4" xfId="35974"/>
    <cellStyle name="Vírgula 2 2 3 3 3 2 2 5" xfId="29440"/>
    <cellStyle name="Vírgula 2 2 3 3 3 2 3" xfId="18347"/>
    <cellStyle name="Vírgula 2 2 3 3 3 2 3 2" xfId="44836"/>
    <cellStyle name="Vírgula 2 2 3 3 3 2 4" xfId="12420"/>
    <cellStyle name="Vírgula 2 2 3 3 3 2 4 2" xfId="38928"/>
    <cellStyle name="Vírgula 2 2 3 3 3 2 5" xfId="32911"/>
    <cellStyle name="Vírgula 2 2 3 3 3 2 6" xfId="26377"/>
    <cellStyle name="Vírgula 2 2 3 3 3 3" xfId="7989"/>
    <cellStyle name="Vírgula 2 2 3 3 3 3 2" xfId="19843"/>
    <cellStyle name="Vírgula 2 2 3 3 3 3 2 2" xfId="46322"/>
    <cellStyle name="Vírgula 2 2 3 3 3 3 3" xfId="13916"/>
    <cellStyle name="Vírgula 2 2 3 3 3 3 3 2" xfId="40414"/>
    <cellStyle name="Vírgula 2 2 3 3 3 3 4" xfId="34506"/>
    <cellStyle name="Vírgula 2 2 3 3 3 3 5" xfId="27972"/>
    <cellStyle name="Vírgula 2 2 3 3 3 4" xfId="16879"/>
    <cellStyle name="Vírgula 2 2 3 3 3 4 2" xfId="43368"/>
    <cellStyle name="Vírgula 2 2 3 3 3 4 3" xfId="24605"/>
    <cellStyle name="Vírgula 2 2 3 3 3 5" xfId="10952"/>
    <cellStyle name="Vírgula 2 2 3 3 3 5 2" xfId="37460"/>
    <cellStyle name="Vírgula 2 2 3 3 3 6" xfId="31139"/>
    <cellStyle name="Vírgula 2 2 3 3 3 7" xfId="22833"/>
    <cellStyle name="Vírgula 2 2 3 3 4" xfId="4736"/>
    <cellStyle name="Vírgula 2 2 3 3 4 2" xfId="6508"/>
    <cellStyle name="Vírgula 2 2 3 3 4 2 2" xfId="9519"/>
    <cellStyle name="Vírgula 2 2 3 3 4 2 2 2" xfId="21373"/>
    <cellStyle name="Vírgula 2 2 3 3 4 2 2 2 2" xfId="47852"/>
    <cellStyle name="Vírgula 2 2 3 3 4 2 2 3" xfId="15446"/>
    <cellStyle name="Vírgula 2 2 3 3 4 2 2 3 2" xfId="41944"/>
    <cellStyle name="Vírgula 2 2 3 3 4 2 2 4" xfId="36036"/>
    <cellStyle name="Vírgula 2 2 3 3 4 2 2 5" xfId="29502"/>
    <cellStyle name="Vírgula 2 2 3 3 4 2 3" xfId="18409"/>
    <cellStyle name="Vírgula 2 2 3 3 4 2 3 2" xfId="44898"/>
    <cellStyle name="Vírgula 2 2 3 3 4 2 4" xfId="12482"/>
    <cellStyle name="Vírgula 2 2 3 3 4 2 4 2" xfId="38990"/>
    <cellStyle name="Vírgula 2 2 3 3 4 2 5" xfId="33035"/>
    <cellStyle name="Vírgula 2 2 3 3 4 2 6" xfId="26501"/>
    <cellStyle name="Vírgula 2 2 3 3 4 3" xfId="8051"/>
    <cellStyle name="Vírgula 2 2 3 3 4 3 2" xfId="19905"/>
    <cellStyle name="Vírgula 2 2 3 3 4 3 2 2" xfId="46384"/>
    <cellStyle name="Vírgula 2 2 3 3 4 3 3" xfId="13978"/>
    <cellStyle name="Vírgula 2 2 3 3 4 3 3 2" xfId="40476"/>
    <cellStyle name="Vírgula 2 2 3 3 4 3 4" xfId="34568"/>
    <cellStyle name="Vírgula 2 2 3 3 4 3 5" xfId="28034"/>
    <cellStyle name="Vírgula 2 2 3 3 4 4" xfId="16941"/>
    <cellStyle name="Vírgula 2 2 3 3 4 4 2" xfId="43430"/>
    <cellStyle name="Vírgula 2 2 3 3 4 4 3" xfId="24729"/>
    <cellStyle name="Vírgula 2 2 3 3 4 5" xfId="11014"/>
    <cellStyle name="Vírgula 2 2 3 3 4 5 2" xfId="37522"/>
    <cellStyle name="Vírgula 2 2 3 3 4 6" xfId="31263"/>
    <cellStyle name="Vírgula 2 2 3 3 4 7" xfId="22957"/>
    <cellStyle name="Vírgula 2 2 3 3 5" xfId="4402"/>
    <cellStyle name="Vírgula 2 2 3 3 5 2" xfId="6174"/>
    <cellStyle name="Vírgula 2 2 3 3 5 2 2" xfId="9352"/>
    <cellStyle name="Vírgula 2 2 3 3 5 2 2 2" xfId="21206"/>
    <cellStyle name="Vírgula 2 2 3 3 5 2 2 2 2" xfId="47685"/>
    <cellStyle name="Vírgula 2 2 3 3 5 2 2 3" xfId="15279"/>
    <cellStyle name="Vírgula 2 2 3 3 5 2 2 3 2" xfId="41777"/>
    <cellStyle name="Vírgula 2 2 3 3 5 2 2 4" xfId="35869"/>
    <cellStyle name="Vírgula 2 2 3 3 5 2 2 5" xfId="29335"/>
    <cellStyle name="Vírgula 2 2 3 3 5 2 3" xfId="18242"/>
    <cellStyle name="Vírgula 2 2 3 3 5 2 3 2" xfId="44731"/>
    <cellStyle name="Vírgula 2 2 3 3 5 2 4" xfId="12315"/>
    <cellStyle name="Vírgula 2 2 3 3 5 2 4 2" xfId="38823"/>
    <cellStyle name="Vírgula 2 2 3 3 5 2 5" xfId="32701"/>
    <cellStyle name="Vírgula 2 2 3 3 5 2 6" xfId="26167"/>
    <cellStyle name="Vírgula 2 2 3 3 5 3" xfId="7884"/>
    <cellStyle name="Vírgula 2 2 3 3 5 3 2" xfId="19738"/>
    <cellStyle name="Vírgula 2 2 3 3 5 3 2 2" xfId="46217"/>
    <cellStyle name="Vírgula 2 2 3 3 5 3 3" xfId="13811"/>
    <cellStyle name="Vírgula 2 2 3 3 5 3 3 2" xfId="40309"/>
    <cellStyle name="Vírgula 2 2 3 3 5 3 4" xfId="34401"/>
    <cellStyle name="Vírgula 2 2 3 3 5 3 5" xfId="27867"/>
    <cellStyle name="Vírgula 2 2 3 3 5 4" xfId="16774"/>
    <cellStyle name="Vírgula 2 2 3 3 5 4 2" xfId="43263"/>
    <cellStyle name="Vírgula 2 2 3 3 5 5" xfId="10847"/>
    <cellStyle name="Vírgula 2 2 3 3 5 5 2" xfId="37355"/>
    <cellStyle name="Vírgula 2 2 3 3 5 6" xfId="30929"/>
    <cellStyle name="Vírgula 2 2 3 3 5 7" xfId="24395"/>
    <cellStyle name="Vírgula 2 2 3 3 6" xfId="4860"/>
    <cellStyle name="Vírgula 2 2 3 3 6 2" xfId="8113"/>
    <cellStyle name="Vírgula 2 2 3 3 6 2 2" xfId="19967"/>
    <cellStyle name="Vírgula 2 2 3 3 6 2 2 2" xfId="46446"/>
    <cellStyle name="Vírgula 2 2 3 3 6 2 3" xfId="14040"/>
    <cellStyle name="Vírgula 2 2 3 3 6 2 3 2" xfId="40538"/>
    <cellStyle name="Vírgula 2 2 3 3 6 2 4" xfId="34630"/>
    <cellStyle name="Vírgula 2 2 3 3 6 2 5" xfId="28096"/>
    <cellStyle name="Vírgula 2 2 3 3 6 3" xfId="17003"/>
    <cellStyle name="Vírgula 2 2 3 3 6 3 2" xfId="43492"/>
    <cellStyle name="Vírgula 2 2 3 3 6 4" xfId="11076"/>
    <cellStyle name="Vírgula 2 2 3 3 6 4 2" xfId="37584"/>
    <cellStyle name="Vírgula 2 2 3 3 6 5" xfId="31387"/>
    <cellStyle name="Vírgula 2 2 3 3 6 6" xfId="24853"/>
    <cellStyle name="Vírgula 2 2 3 3 7" xfId="6637"/>
    <cellStyle name="Vírgula 2 2 3 3 7 2" xfId="18491"/>
    <cellStyle name="Vírgula 2 2 3 3 7 2 2" xfId="44978"/>
    <cellStyle name="Vírgula 2 2 3 3 7 3" xfId="12564"/>
    <cellStyle name="Vírgula 2 2 3 3 7 3 2" xfId="39070"/>
    <cellStyle name="Vírgula 2 2 3 3 7 4" xfId="33162"/>
    <cellStyle name="Vírgula 2 2 3 3 7 5" xfId="26628"/>
    <cellStyle name="Vírgula 2 2 3 3 8" xfId="15527"/>
    <cellStyle name="Vírgula 2 2 3 3 8 2" xfId="42024"/>
    <cellStyle name="Vírgula 2 2 3 3 8 3" xfId="23081"/>
    <cellStyle name="Vírgula 2 2 3 3 9" xfId="9600"/>
    <cellStyle name="Vírgula 2 2 3 3 9 2" xfId="36116"/>
    <cellStyle name="Vírgula 2 2 3 4" xfId="119"/>
    <cellStyle name="Vírgula 2 2 3 4 10" xfId="29653"/>
    <cellStyle name="Vírgula 2 2 3 4 11" xfId="22583"/>
    <cellStyle name="Vírgula 2 2 3 4 2" xfId="4526"/>
    <cellStyle name="Vírgula 2 2 3 4 2 2" xfId="6298"/>
    <cellStyle name="Vírgula 2 2 3 4 2 2 2" xfId="9414"/>
    <cellStyle name="Vírgula 2 2 3 4 2 2 2 2" xfId="21268"/>
    <cellStyle name="Vírgula 2 2 3 4 2 2 2 2 2" xfId="47747"/>
    <cellStyle name="Vírgula 2 2 3 4 2 2 2 3" xfId="15341"/>
    <cellStyle name="Vírgula 2 2 3 4 2 2 2 3 2" xfId="41839"/>
    <cellStyle name="Vírgula 2 2 3 4 2 2 2 4" xfId="35931"/>
    <cellStyle name="Vírgula 2 2 3 4 2 2 2 5" xfId="29397"/>
    <cellStyle name="Vírgula 2 2 3 4 2 2 3" xfId="18304"/>
    <cellStyle name="Vírgula 2 2 3 4 2 2 3 2" xfId="44793"/>
    <cellStyle name="Vírgula 2 2 3 4 2 2 4" xfId="12377"/>
    <cellStyle name="Vírgula 2 2 3 4 2 2 4 2" xfId="38885"/>
    <cellStyle name="Vírgula 2 2 3 4 2 2 5" xfId="32825"/>
    <cellStyle name="Vírgula 2 2 3 4 2 2 6" xfId="26291"/>
    <cellStyle name="Vírgula 2 2 3 4 2 3" xfId="7946"/>
    <cellStyle name="Vírgula 2 2 3 4 2 3 2" xfId="19800"/>
    <cellStyle name="Vírgula 2 2 3 4 2 3 2 2" xfId="46279"/>
    <cellStyle name="Vírgula 2 2 3 4 2 3 3" xfId="13873"/>
    <cellStyle name="Vírgula 2 2 3 4 2 3 3 2" xfId="40371"/>
    <cellStyle name="Vírgula 2 2 3 4 2 3 4" xfId="34463"/>
    <cellStyle name="Vírgula 2 2 3 4 2 3 5" xfId="27929"/>
    <cellStyle name="Vírgula 2 2 3 4 2 4" xfId="16836"/>
    <cellStyle name="Vírgula 2 2 3 4 2 4 2" xfId="43325"/>
    <cellStyle name="Vírgula 2 2 3 4 2 4 3" xfId="24519"/>
    <cellStyle name="Vírgula 2 2 3 4 2 5" xfId="10909"/>
    <cellStyle name="Vírgula 2 2 3 4 2 5 2" xfId="37417"/>
    <cellStyle name="Vírgula 2 2 3 4 2 6" xfId="31053"/>
    <cellStyle name="Vírgula 2 2 3 4 2 7" xfId="22747"/>
    <cellStyle name="Vírgula 2 2 3 4 3" xfId="4650"/>
    <cellStyle name="Vírgula 2 2 3 4 3 2" xfId="6422"/>
    <cellStyle name="Vírgula 2 2 3 4 3 2 2" xfId="9476"/>
    <cellStyle name="Vírgula 2 2 3 4 3 2 2 2" xfId="21330"/>
    <cellStyle name="Vírgula 2 2 3 4 3 2 2 2 2" xfId="47809"/>
    <cellStyle name="Vírgula 2 2 3 4 3 2 2 3" xfId="15403"/>
    <cellStyle name="Vírgula 2 2 3 4 3 2 2 3 2" xfId="41901"/>
    <cellStyle name="Vírgula 2 2 3 4 3 2 2 4" xfId="35993"/>
    <cellStyle name="Vírgula 2 2 3 4 3 2 2 5" xfId="29459"/>
    <cellStyle name="Vírgula 2 2 3 4 3 2 3" xfId="18366"/>
    <cellStyle name="Vírgula 2 2 3 4 3 2 3 2" xfId="44855"/>
    <cellStyle name="Vírgula 2 2 3 4 3 2 4" xfId="12439"/>
    <cellStyle name="Vírgula 2 2 3 4 3 2 4 2" xfId="38947"/>
    <cellStyle name="Vírgula 2 2 3 4 3 2 5" xfId="32949"/>
    <cellStyle name="Vírgula 2 2 3 4 3 2 6" xfId="26415"/>
    <cellStyle name="Vírgula 2 2 3 4 3 3" xfId="8008"/>
    <cellStyle name="Vírgula 2 2 3 4 3 3 2" xfId="19862"/>
    <cellStyle name="Vírgula 2 2 3 4 3 3 2 2" xfId="46341"/>
    <cellStyle name="Vírgula 2 2 3 4 3 3 3" xfId="13935"/>
    <cellStyle name="Vírgula 2 2 3 4 3 3 3 2" xfId="40433"/>
    <cellStyle name="Vírgula 2 2 3 4 3 3 4" xfId="34525"/>
    <cellStyle name="Vírgula 2 2 3 4 3 3 5" xfId="27991"/>
    <cellStyle name="Vírgula 2 2 3 4 3 4" xfId="16898"/>
    <cellStyle name="Vírgula 2 2 3 4 3 4 2" xfId="43387"/>
    <cellStyle name="Vírgula 2 2 3 4 3 4 3" xfId="24643"/>
    <cellStyle name="Vírgula 2 2 3 4 3 5" xfId="10971"/>
    <cellStyle name="Vírgula 2 2 3 4 3 5 2" xfId="37479"/>
    <cellStyle name="Vírgula 2 2 3 4 3 6" xfId="31177"/>
    <cellStyle name="Vírgula 2 2 3 4 3 7" xfId="22871"/>
    <cellStyle name="Vírgula 2 2 3 4 4" xfId="4774"/>
    <cellStyle name="Vírgula 2 2 3 4 4 2" xfId="6546"/>
    <cellStyle name="Vírgula 2 2 3 4 4 2 2" xfId="9538"/>
    <cellStyle name="Vírgula 2 2 3 4 4 2 2 2" xfId="21392"/>
    <cellStyle name="Vírgula 2 2 3 4 4 2 2 2 2" xfId="47871"/>
    <cellStyle name="Vírgula 2 2 3 4 4 2 2 3" xfId="15465"/>
    <cellStyle name="Vírgula 2 2 3 4 4 2 2 3 2" xfId="41963"/>
    <cellStyle name="Vírgula 2 2 3 4 4 2 2 4" xfId="36055"/>
    <cellStyle name="Vírgula 2 2 3 4 4 2 2 5" xfId="29521"/>
    <cellStyle name="Vírgula 2 2 3 4 4 2 3" xfId="18428"/>
    <cellStyle name="Vírgula 2 2 3 4 4 2 3 2" xfId="44917"/>
    <cellStyle name="Vírgula 2 2 3 4 4 2 4" xfId="12501"/>
    <cellStyle name="Vírgula 2 2 3 4 4 2 4 2" xfId="39009"/>
    <cellStyle name="Vírgula 2 2 3 4 4 2 5" xfId="33073"/>
    <cellStyle name="Vírgula 2 2 3 4 4 2 6" xfId="26539"/>
    <cellStyle name="Vírgula 2 2 3 4 4 3" xfId="8070"/>
    <cellStyle name="Vírgula 2 2 3 4 4 3 2" xfId="19924"/>
    <cellStyle name="Vírgula 2 2 3 4 4 3 2 2" xfId="46403"/>
    <cellStyle name="Vírgula 2 2 3 4 4 3 3" xfId="13997"/>
    <cellStyle name="Vírgula 2 2 3 4 4 3 3 2" xfId="40495"/>
    <cellStyle name="Vírgula 2 2 3 4 4 3 4" xfId="34587"/>
    <cellStyle name="Vírgula 2 2 3 4 4 3 5" xfId="28053"/>
    <cellStyle name="Vírgula 2 2 3 4 4 4" xfId="16960"/>
    <cellStyle name="Vírgula 2 2 3 4 4 4 2" xfId="43449"/>
    <cellStyle name="Vírgula 2 2 3 4 4 4 3" xfId="24767"/>
    <cellStyle name="Vírgula 2 2 3 4 4 5" xfId="11033"/>
    <cellStyle name="Vírgula 2 2 3 4 4 5 2" xfId="37541"/>
    <cellStyle name="Vírgula 2 2 3 4 4 6" xfId="31301"/>
    <cellStyle name="Vírgula 2 2 3 4 4 7" xfId="22995"/>
    <cellStyle name="Vírgula 2 2 3 4 5" xfId="4362"/>
    <cellStyle name="Vírgula 2 2 3 4 5 2" xfId="6134"/>
    <cellStyle name="Vírgula 2 2 3 4 5 2 2" xfId="9332"/>
    <cellStyle name="Vírgula 2 2 3 4 5 2 2 2" xfId="21186"/>
    <cellStyle name="Vírgula 2 2 3 4 5 2 2 2 2" xfId="47665"/>
    <cellStyle name="Vírgula 2 2 3 4 5 2 2 3" xfId="15259"/>
    <cellStyle name="Vírgula 2 2 3 4 5 2 2 3 2" xfId="41757"/>
    <cellStyle name="Vírgula 2 2 3 4 5 2 2 4" xfId="35849"/>
    <cellStyle name="Vírgula 2 2 3 4 5 2 2 5" xfId="29315"/>
    <cellStyle name="Vírgula 2 2 3 4 5 2 3" xfId="18222"/>
    <cellStyle name="Vírgula 2 2 3 4 5 2 3 2" xfId="44711"/>
    <cellStyle name="Vírgula 2 2 3 4 5 2 4" xfId="12295"/>
    <cellStyle name="Vírgula 2 2 3 4 5 2 4 2" xfId="38803"/>
    <cellStyle name="Vírgula 2 2 3 4 5 2 5" xfId="32661"/>
    <cellStyle name="Vírgula 2 2 3 4 5 2 6" xfId="26127"/>
    <cellStyle name="Vírgula 2 2 3 4 5 3" xfId="7864"/>
    <cellStyle name="Vírgula 2 2 3 4 5 3 2" xfId="19718"/>
    <cellStyle name="Vírgula 2 2 3 4 5 3 2 2" xfId="46197"/>
    <cellStyle name="Vírgula 2 2 3 4 5 3 3" xfId="13791"/>
    <cellStyle name="Vírgula 2 2 3 4 5 3 3 2" xfId="40289"/>
    <cellStyle name="Vírgula 2 2 3 4 5 3 4" xfId="34381"/>
    <cellStyle name="Vírgula 2 2 3 4 5 3 5" xfId="27847"/>
    <cellStyle name="Vírgula 2 2 3 4 5 4" xfId="16754"/>
    <cellStyle name="Vírgula 2 2 3 4 5 4 2" xfId="43243"/>
    <cellStyle name="Vírgula 2 2 3 4 5 5" xfId="10827"/>
    <cellStyle name="Vírgula 2 2 3 4 5 5 2" xfId="37335"/>
    <cellStyle name="Vírgula 2 2 3 4 5 6" xfId="30889"/>
    <cellStyle name="Vírgula 2 2 3 4 5 7" xfId="24355"/>
    <cellStyle name="Vírgula 2 2 3 4 6" xfId="4898"/>
    <cellStyle name="Vírgula 2 2 3 4 6 2" xfId="8132"/>
    <cellStyle name="Vírgula 2 2 3 4 6 2 2" xfId="19986"/>
    <cellStyle name="Vírgula 2 2 3 4 6 2 2 2" xfId="46465"/>
    <cellStyle name="Vírgula 2 2 3 4 6 2 3" xfId="14059"/>
    <cellStyle name="Vírgula 2 2 3 4 6 2 3 2" xfId="40557"/>
    <cellStyle name="Vírgula 2 2 3 4 6 2 4" xfId="34649"/>
    <cellStyle name="Vírgula 2 2 3 4 6 2 5" xfId="28115"/>
    <cellStyle name="Vírgula 2 2 3 4 6 3" xfId="17022"/>
    <cellStyle name="Vírgula 2 2 3 4 6 3 2" xfId="43511"/>
    <cellStyle name="Vírgula 2 2 3 4 6 4" xfId="11095"/>
    <cellStyle name="Vírgula 2 2 3 4 6 4 2" xfId="37603"/>
    <cellStyle name="Vírgula 2 2 3 4 6 5" xfId="31425"/>
    <cellStyle name="Vírgula 2 2 3 4 6 6" xfId="24891"/>
    <cellStyle name="Vírgula 2 2 3 4 7" xfId="6656"/>
    <cellStyle name="Vírgula 2 2 3 4 7 2" xfId="18510"/>
    <cellStyle name="Vírgula 2 2 3 4 7 2 2" xfId="44997"/>
    <cellStyle name="Vírgula 2 2 3 4 7 3" xfId="12583"/>
    <cellStyle name="Vírgula 2 2 3 4 7 3 2" xfId="39089"/>
    <cellStyle name="Vírgula 2 2 3 4 7 4" xfId="33181"/>
    <cellStyle name="Vírgula 2 2 3 4 7 5" xfId="26647"/>
    <cellStyle name="Vírgula 2 2 3 4 8" xfId="15546"/>
    <cellStyle name="Vírgula 2 2 3 4 8 2" xfId="42043"/>
    <cellStyle name="Vírgula 2 2 3 4 8 3" xfId="23119"/>
    <cellStyle name="Vírgula 2 2 3 4 9" xfId="9619"/>
    <cellStyle name="Vírgula 2 2 3 4 9 2" xfId="36135"/>
    <cellStyle name="Vírgula 2 2 3 5" xfId="4448"/>
    <cellStyle name="Vírgula 2 2 3 5 2" xfId="6220"/>
    <cellStyle name="Vírgula 2 2 3 5 2 2" xfId="9375"/>
    <cellStyle name="Vírgula 2 2 3 5 2 2 2" xfId="21229"/>
    <cellStyle name="Vírgula 2 2 3 5 2 2 2 2" xfId="47708"/>
    <cellStyle name="Vírgula 2 2 3 5 2 2 3" xfId="15302"/>
    <cellStyle name="Vírgula 2 2 3 5 2 2 3 2" xfId="41800"/>
    <cellStyle name="Vírgula 2 2 3 5 2 2 4" xfId="35892"/>
    <cellStyle name="Vírgula 2 2 3 5 2 2 5" xfId="29358"/>
    <cellStyle name="Vírgula 2 2 3 5 2 3" xfId="18265"/>
    <cellStyle name="Vírgula 2 2 3 5 2 3 2" xfId="44754"/>
    <cellStyle name="Vírgula 2 2 3 5 2 4" xfId="12338"/>
    <cellStyle name="Vírgula 2 2 3 5 2 4 2" xfId="38846"/>
    <cellStyle name="Vírgula 2 2 3 5 2 5" xfId="32747"/>
    <cellStyle name="Vírgula 2 2 3 5 2 6" xfId="26213"/>
    <cellStyle name="Vírgula 2 2 3 5 3" xfId="7907"/>
    <cellStyle name="Vírgula 2 2 3 5 3 2" xfId="19761"/>
    <cellStyle name="Vírgula 2 2 3 5 3 2 2" xfId="46240"/>
    <cellStyle name="Vírgula 2 2 3 5 3 3" xfId="13834"/>
    <cellStyle name="Vírgula 2 2 3 5 3 3 2" xfId="40332"/>
    <cellStyle name="Vírgula 2 2 3 5 3 4" xfId="34424"/>
    <cellStyle name="Vírgula 2 2 3 5 3 5" xfId="27890"/>
    <cellStyle name="Vírgula 2 2 3 5 4" xfId="16797"/>
    <cellStyle name="Vírgula 2 2 3 5 4 2" xfId="43286"/>
    <cellStyle name="Vírgula 2 2 3 5 4 3" xfId="24441"/>
    <cellStyle name="Vírgula 2 2 3 5 5" xfId="10870"/>
    <cellStyle name="Vírgula 2 2 3 5 5 2" xfId="37378"/>
    <cellStyle name="Vírgula 2 2 3 5 6" xfId="30975"/>
    <cellStyle name="Vírgula 2 2 3 5 7" xfId="22669"/>
    <cellStyle name="Vírgula 2 2 3 6" xfId="4572"/>
    <cellStyle name="Vírgula 2 2 3 6 2" xfId="6344"/>
    <cellStyle name="Vírgula 2 2 3 6 2 2" xfId="9437"/>
    <cellStyle name="Vírgula 2 2 3 6 2 2 2" xfId="21291"/>
    <cellStyle name="Vírgula 2 2 3 6 2 2 2 2" xfId="47770"/>
    <cellStyle name="Vírgula 2 2 3 6 2 2 3" xfId="15364"/>
    <cellStyle name="Vírgula 2 2 3 6 2 2 3 2" xfId="41862"/>
    <cellStyle name="Vírgula 2 2 3 6 2 2 4" xfId="35954"/>
    <cellStyle name="Vírgula 2 2 3 6 2 2 5" xfId="29420"/>
    <cellStyle name="Vírgula 2 2 3 6 2 3" xfId="18327"/>
    <cellStyle name="Vírgula 2 2 3 6 2 3 2" xfId="44816"/>
    <cellStyle name="Vírgula 2 2 3 6 2 4" xfId="12400"/>
    <cellStyle name="Vírgula 2 2 3 6 2 4 2" xfId="38908"/>
    <cellStyle name="Vírgula 2 2 3 6 2 5" xfId="32871"/>
    <cellStyle name="Vírgula 2 2 3 6 2 6" xfId="26337"/>
    <cellStyle name="Vírgula 2 2 3 6 3" xfId="7969"/>
    <cellStyle name="Vírgula 2 2 3 6 3 2" xfId="19823"/>
    <cellStyle name="Vírgula 2 2 3 6 3 2 2" xfId="46302"/>
    <cellStyle name="Vírgula 2 2 3 6 3 3" xfId="13896"/>
    <cellStyle name="Vírgula 2 2 3 6 3 3 2" xfId="40394"/>
    <cellStyle name="Vírgula 2 2 3 6 3 4" xfId="34486"/>
    <cellStyle name="Vírgula 2 2 3 6 3 5" xfId="27952"/>
    <cellStyle name="Vírgula 2 2 3 6 4" xfId="16859"/>
    <cellStyle name="Vírgula 2 2 3 6 4 2" xfId="43348"/>
    <cellStyle name="Vírgula 2 2 3 6 4 3" xfId="24565"/>
    <cellStyle name="Vírgula 2 2 3 6 5" xfId="10932"/>
    <cellStyle name="Vírgula 2 2 3 6 5 2" xfId="37440"/>
    <cellStyle name="Vírgula 2 2 3 6 6" xfId="31099"/>
    <cellStyle name="Vírgula 2 2 3 6 7" xfId="22793"/>
    <cellStyle name="Vírgula 2 2 3 7" xfId="4696"/>
    <cellStyle name="Vírgula 2 2 3 7 2" xfId="6468"/>
    <cellStyle name="Vírgula 2 2 3 7 2 2" xfId="9499"/>
    <cellStyle name="Vírgula 2 2 3 7 2 2 2" xfId="21353"/>
    <cellStyle name="Vírgula 2 2 3 7 2 2 2 2" xfId="47832"/>
    <cellStyle name="Vírgula 2 2 3 7 2 2 3" xfId="15426"/>
    <cellStyle name="Vírgula 2 2 3 7 2 2 3 2" xfId="41924"/>
    <cellStyle name="Vírgula 2 2 3 7 2 2 4" xfId="36016"/>
    <cellStyle name="Vírgula 2 2 3 7 2 2 5" xfId="29482"/>
    <cellStyle name="Vírgula 2 2 3 7 2 3" xfId="18389"/>
    <cellStyle name="Vírgula 2 2 3 7 2 3 2" xfId="44878"/>
    <cellStyle name="Vírgula 2 2 3 7 2 4" xfId="12462"/>
    <cellStyle name="Vírgula 2 2 3 7 2 4 2" xfId="38970"/>
    <cellStyle name="Vírgula 2 2 3 7 2 5" xfId="32995"/>
    <cellStyle name="Vírgula 2 2 3 7 2 6" xfId="26461"/>
    <cellStyle name="Vírgula 2 2 3 7 3" xfId="8031"/>
    <cellStyle name="Vírgula 2 2 3 7 3 2" xfId="19885"/>
    <cellStyle name="Vírgula 2 2 3 7 3 2 2" xfId="46364"/>
    <cellStyle name="Vírgula 2 2 3 7 3 3" xfId="13958"/>
    <cellStyle name="Vírgula 2 2 3 7 3 3 2" xfId="40456"/>
    <cellStyle name="Vírgula 2 2 3 7 3 4" xfId="34548"/>
    <cellStyle name="Vírgula 2 2 3 7 3 5" xfId="28014"/>
    <cellStyle name="Vírgula 2 2 3 7 4" xfId="16921"/>
    <cellStyle name="Vírgula 2 2 3 7 4 2" xfId="43410"/>
    <cellStyle name="Vírgula 2 2 3 7 4 3" xfId="24689"/>
    <cellStyle name="Vírgula 2 2 3 7 5" xfId="10994"/>
    <cellStyle name="Vírgula 2 2 3 7 5 2" xfId="37502"/>
    <cellStyle name="Vírgula 2 2 3 7 6" xfId="31223"/>
    <cellStyle name="Vírgula 2 2 3 7 7" xfId="22917"/>
    <cellStyle name="Vírgula 2 2 3 8" xfId="1082"/>
    <cellStyle name="Vírgula 2 2 3 8 2" xfId="5205"/>
    <cellStyle name="Vírgula 2 2 3 8 2 2" xfId="8420"/>
    <cellStyle name="Vírgula 2 2 3 8 2 2 2" xfId="20274"/>
    <cellStyle name="Vírgula 2 2 3 8 2 2 2 2" xfId="46753"/>
    <cellStyle name="Vírgula 2 2 3 8 2 2 3" xfId="14347"/>
    <cellStyle name="Vírgula 2 2 3 8 2 2 3 2" xfId="40845"/>
    <cellStyle name="Vírgula 2 2 3 8 2 2 4" xfId="34937"/>
    <cellStyle name="Vírgula 2 2 3 8 2 2 5" xfId="28403"/>
    <cellStyle name="Vírgula 2 2 3 8 2 3" xfId="17310"/>
    <cellStyle name="Vírgula 2 2 3 8 2 3 2" xfId="43799"/>
    <cellStyle name="Vírgula 2 2 3 8 2 4" xfId="11383"/>
    <cellStyle name="Vírgula 2 2 3 8 2 4 2" xfId="37891"/>
    <cellStyle name="Vírgula 2 2 3 8 2 5" xfId="31732"/>
    <cellStyle name="Vírgula 2 2 3 8 2 6" xfId="25198"/>
    <cellStyle name="Vírgula 2 2 3 8 3" xfId="6947"/>
    <cellStyle name="Vírgula 2 2 3 8 3 2" xfId="18801"/>
    <cellStyle name="Vírgula 2 2 3 8 3 2 2" xfId="45285"/>
    <cellStyle name="Vírgula 2 2 3 8 3 3" xfId="12874"/>
    <cellStyle name="Vírgula 2 2 3 8 3 3 2" xfId="39377"/>
    <cellStyle name="Vírgula 2 2 3 8 3 4" xfId="33469"/>
    <cellStyle name="Vírgula 2 2 3 8 3 5" xfId="26935"/>
    <cellStyle name="Vírgula 2 2 3 8 4" xfId="15837"/>
    <cellStyle name="Vírgula 2 2 3 8 4 2" xfId="42331"/>
    <cellStyle name="Vírgula 2 2 3 8 5" xfId="9910"/>
    <cellStyle name="Vírgula 2 2 3 8 5 2" xfId="36423"/>
    <cellStyle name="Vírgula 2 2 3 8 6" xfId="29960"/>
    <cellStyle name="Vírgula 2 2 3 8 7" xfId="23426"/>
    <cellStyle name="Vírgula 2 2 3 9" xfId="4820"/>
    <cellStyle name="Vírgula 2 2 3 9 2" xfId="8093"/>
    <cellStyle name="Vírgula 2 2 3 9 2 2" xfId="19947"/>
    <cellStyle name="Vírgula 2 2 3 9 2 2 2" xfId="46426"/>
    <cellStyle name="Vírgula 2 2 3 9 2 3" xfId="14020"/>
    <cellStyle name="Vírgula 2 2 3 9 2 3 2" xfId="40518"/>
    <cellStyle name="Vírgula 2 2 3 9 2 4" xfId="34610"/>
    <cellStyle name="Vírgula 2 2 3 9 2 5" xfId="28076"/>
    <cellStyle name="Vírgula 2 2 3 9 3" xfId="16983"/>
    <cellStyle name="Vírgula 2 2 3 9 3 2" xfId="43472"/>
    <cellStyle name="Vírgula 2 2 3 9 4" xfId="11056"/>
    <cellStyle name="Vírgula 2 2 3 9 4 2" xfId="37564"/>
    <cellStyle name="Vírgula 2 2 3 9 5" xfId="31347"/>
    <cellStyle name="Vírgula 2 2 3 9 6" xfId="24813"/>
    <cellStyle name="Vírgula 2 2 4" xfId="46"/>
    <cellStyle name="Vírgula 2 2 4 10" xfId="6620"/>
    <cellStyle name="Vírgula 2 2 4 10 2" xfId="18474"/>
    <cellStyle name="Vírgula 2 2 4 10 2 2" xfId="44961"/>
    <cellStyle name="Vírgula 2 2 4 10 3" xfId="12547"/>
    <cellStyle name="Vírgula 2 2 4 10 3 2" xfId="39053"/>
    <cellStyle name="Vírgula 2 2 4 10 4" xfId="33145"/>
    <cellStyle name="Vírgula 2 2 4 10 5" xfId="26611"/>
    <cellStyle name="Vírgula 2 2 4 11" xfId="15510"/>
    <cellStyle name="Vírgula 2 2 4 11 2" xfId="42007"/>
    <cellStyle name="Vírgula 2 2 4 11 3" xfId="23047"/>
    <cellStyle name="Vírgula 2 2 4 12" xfId="9583"/>
    <cellStyle name="Vírgula 2 2 4 12 2" xfId="36099"/>
    <cellStyle name="Vírgula 2 2 4 13" xfId="29581"/>
    <cellStyle name="Vírgula 2 2 4 14" xfId="21752"/>
    <cellStyle name="Vírgula 2 2 4 2" xfId="87"/>
    <cellStyle name="Vírgula 2 2 4 2 10" xfId="29621"/>
    <cellStyle name="Vírgula 2 2 4 2 11" xfId="22629"/>
    <cellStyle name="Vírgula 2 2 4 2 2" xfId="4494"/>
    <cellStyle name="Vírgula 2 2 4 2 2 2" xfId="6266"/>
    <cellStyle name="Vírgula 2 2 4 2 2 2 2" xfId="9398"/>
    <cellStyle name="Vírgula 2 2 4 2 2 2 2 2" xfId="21252"/>
    <cellStyle name="Vírgula 2 2 4 2 2 2 2 2 2" xfId="47731"/>
    <cellStyle name="Vírgula 2 2 4 2 2 2 2 3" xfId="15325"/>
    <cellStyle name="Vírgula 2 2 4 2 2 2 2 3 2" xfId="41823"/>
    <cellStyle name="Vírgula 2 2 4 2 2 2 2 4" xfId="35915"/>
    <cellStyle name="Vírgula 2 2 4 2 2 2 2 5" xfId="29381"/>
    <cellStyle name="Vírgula 2 2 4 2 2 2 3" xfId="18288"/>
    <cellStyle name="Vírgula 2 2 4 2 2 2 3 2" xfId="44777"/>
    <cellStyle name="Vírgula 2 2 4 2 2 2 4" xfId="12361"/>
    <cellStyle name="Vírgula 2 2 4 2 2 2 4 2" xfId="38869"/>
    <cellStyle name="Vírgula 2 2 4 2 2 2 5" xfId="32793"/>
    <cellStyle name="Vírgula 2 2 4 2 2 2 6" xfId="26259"/>
    <cellStyle name="Vírgula 2 2 4 2 2 3" xfId="7930"/>
    <cellStyle name="Vírgula 2 2 4 2 2 3 2" xfId="19784"/>
    <cellStyle name="Vírgula 2 2 4 2 2 3 2 2" xfId="46263"/>
    <cellStyle name="Vírgula 2 2 4 2 2 3 3" xfId="13857"/>
    <cellStyle name="Vírgula 2 2 4 2 2 3 3 2" xfId="40355"/>
    <cellStyle name="Vírgula 2 2 4 2 2 3 4" xfId="34447"/>
    <cellStyle name="Vírgula 2 2 4 2 2 3 5" xfId="27913"/>
    <cellStyle name="Vírgula 2 2 4 2 2 4" xfId="16820"/>
    <cellStyle name="Vírgula 2 2 4 2 2 4 2" xfId="43309"/>
    <cellStyle name="Vírgula 2 2 4 2 2 4 3" xfId="24487"/>
    <cellStyle name="Vírgula 2 2 4 2 2 5" xfId="10893"/>
    <cellStyle name="Vírgula 2 2 4 2 2 5 2" xfId="37401"/>
    <cellStyle name="Vírgula 2 2 4 2 2 6" xfId="31021"/>
    <cellStyle name="Vírgula 2 2 4 2 2 7" xfId="22715"/>
    <cellStyle name="Vírgula 2 2 4 2 3" xfId="4618"/>
    <cellStyle name="Vírgula 2 2 4 2 3 2" xfId="6390"/>
    <cellStyle name="Vírgula 2 2 4 2 3 2 2" xfId="9460"/>
    <cellStyle name="Vírgula 2 2 4 2 3 2 2 2" xfId="21314"/>
    <cellStyle name="Vírgula 2 2 4 2 3 2 2 2 2" xfId="47793"/>
    <cellStyle name="Vírgula 2 2 4 2 3 2 2 3" xfId="15387"/>
    <cellStyle name="Vírgula 2 2 4 2 3 2 2 3 2" xfId="41885"/>
    <cellStyle name="Vírgula 2 2 4 2 3 2 2 4" xfId="35977"/>
    <cellStyle name="Vírgula 2 2 4 2 3 2 2 5" xfId="29443"/>
    <cellStyle name="Vírgula 2 2 4 2 3 2 3" xfId="18350"/>
    <cellStyle name="Vírgula 2 2 4 2 3 2 3 2" xfId="44839"/>
    <cellStyle name="Vírgula 2 2 4 2 3 2 4" xfId="12423"/>
    <cellStyle name="Vírgula 2 2 4 2 3 2 4 2" xfId="38931"/>
    <cellStyle name="Vírgula 2 2 4 2 3 2 5" xfId="32917"/>
    <cellStyle name="Vírgula 2 2 4 2 3 2 6" xfId="26383"/>
    <cellStyle name="Vírgula 2 2 4 2 3 3" xfId="7992"/>
    <cellStyle name="Vírgula 2 2 4 2 3 3 2" xfId="19846"/>
    <cellStyle name="Vírgula 2 2 4 2 3 3 2 2" xfId="46325"/>
    <cellStyle name="Vírgula 2 2 4 2 3 3 3" xfId="13919"/>
    <cellStyle name="Vírgula 2 2 4 2 3 3 3 2" xfId="40417"/>
    <cellStyle name="Vírgula 2 2 4 2 3 3 4" xfId="34509"/>
    <cellStyle name="Vírgula 2 2 4 2 3 3 5" xfId="27975"/>
    <cellStyle name="Vírgula 2 2 4 2 3 4" xfId="16882"/>
    <cellStyle name="Vírgula 2 2 4 2 3 4 2" xfId="43371"/>
    <cellStyle name="Vírgula 2 2 4 2 3 4 3" xfId="24611"/>
    <cellStyle name="Vírgula 2 2 4 2 3 5" xfId="10955"/>
    <cellStyle name="Vírgula 2 2 4 2 3 5 2" xfId="37463"/>
    <cellStyle name="Vírgula 2 2 4 2 3 6" xfId="31145"/>
    <cellStyle name="Vírgula 2 2 4 2 3 7" xfId="22839"/>
    <cellStyle name="Vírgula 2 2 4 2 4" xfId="4742"/>
    <cellStyle name="Vírgula 2 2 4 2 4 2" xfId="6514"/>
    <cellStyle name="Vírgula 2 2 4 2 4 2 2" xfId="9522"/>
    <cellStyle name="Vírgula 2 2 4 2 4 2 2 2" xfId="21376"/>
    <cellStyle name="Vírgula 2 2 4 2 4 2 2 2 2" xfId="47855"/>
    <cellStyle name="Vírgula 2 2 4 2 4 2 2 3" xfId="15449"/>
    <cellStyle name="Vírgula 2 2 4 2 4 2 2 3 2" xfId="41947"/>
    <cellStyle name="Vírgula 2 2 4 2 4 2 2 4" xfId="36039"/>
    <cellStyle name="Vírgula 2 2 4 2 4 2 2 5" xfId="29505"/>
    <cellStyle name="Vírgula 2 2 4 2 4 2 3" xfId="18412"/>
    <cellStyle name="Vírgula 2 2 4 2 4 2 3 2" xfId="44901"/>
    <cellStyle name="Vírgula 2 2 4 2 4 2 4" xfId="12485"/>
    <cellStyle name="Vírgula 2 2 4 2 4 2 4 2" xfId="38993"/>
    <cellStyle name="Vírgula 2 2 4 2 4 2 5" xfId="33041"/>
    <cellStyle name="Vírgula 2 2 4 2 4 2 6" xfId="26507"/>
    <cellStyle name="Vírgula 2 2 4 2 4 3" xfId="8054"/>
    <cellStyle name="Vírgula 2 2 4 2 4 3 2" xfId="19908"/>
    <cellStyle name="Vírgula 2 2 4 2 4 3 2 2" xfId="46387"/>
    <cellStyle name="Vírgula 2 2 4 2 4 3 3" xfId="13981"/>
    <cellStyle name="Vírgula 2 2 4 2 4 3 3 2" xfId="40479"/>
    <cellStyle name="Vírgula 2 2 4 2 4 3 4" xfId="34571"/>
    <cellStyle name="Vírgula 2 2 4 2 4 3 5" xfId="28037"/>
    <cellStyle name="Vírgula 2 2 4 2 4 4" xfId="16944"/>
    <cellStyle name="Vírgula 2 2 4 2 4 4 2" xfId="43433"/>
    <cellStyle name="Vírgula 2 2 4 2 4 4 3" xfId="24735"/>
    <cellStyle name="Vírgula 2 2 4 2 4 5" xfId="11017"/>
    <cellStyle name="Vírgula 2 2 4 2 4 5 2" xfId="37525"/>
    <cellStyle name="Vírgula 2 2 4 2 4 6" xfId="31269"/>
    <cellStyle name="Vírgula 2 2 4 2 4 7" xfId="22963"/>
    <cellStyle name="Vírgula 2 2 4 2 5" xfId="4408"/>
    <cellStyle name="Vírgula 2 2 4 2 5 2" xfId="6180"/>
    <cellStyle name="Vírgula 2 2 4 2 5 2 2" xfId="9355"/>
    <cellStyle name="Vírgula 2 2 4 2 5 2 2 2" xfId="21209"/>
    <cellStyle name="Vírgula 2 2 4 2 5 2 2 2 2" xfId="47688"/>
    <cellStyle name="Vírgula 2 2 4 2 5 2 2 3" xfId="15282"/>
    <cellStyle name="Vírgula 2 2 4 2 5 2 2 3 2" xfId="41780"/>
    <cellStyle name="Vírgula 2 2 4 2 5 2 2 4" xfId="35872"/>
    <cellStyle name="Vírgula 2 2 4 2 5 2 2 5" xfId="29338"/>
    <cellStyle name="Vírgula 2 2 4 2 5 2 3" xfId="18245"/>
    <cellStyle name="Vírgula 2 2 4 2 5 2 3 2" xfId="44734"/>
    <cellStyle name="Vírgula 2 2 4 2 5 2 4" xfId="12318"/>
    <cellStyle name="Vírgula 2 2 4 2 5 2 4 2" xfId="38826"/>
    <cellStyle name="Vírgula 2 2 4 2 5 2 5" xfId="32707"/>
    <cellStyle name="Vírgula 2 2 4 2 5 2 6" xfId="26173"/>
    <cellStyle name="Vírgula 2 2 4 2 5 3" xfId="7887"/>
    <cellStyle name="Vírgula 2 2 4 2 5 3 2" xfId="19741"/>
    <cellStyle name="Vírgula 2 2 4 2 5 3 2 2" xfId="46220"/>
    <cellStyle name="Vírgula 2 2 4 2 5 3 3" xfId="13814"/>
    <cellStyle name="Vírgula 2 2 4 2 5 3 3 2" xfId="40312"/>
    <cellStyle name="Vírgula 2 2 4 2 5 3 4" xfId="34404"/>
    <cellStyle name="Vírgula 2 2 4 2 5 3 5" xfId="27870"/>
    <cellStyle name="Vírgula 2 2 4 2 5 4" xfId="16777"/>
    <cellStyle name="Vírgula 2 2 4 2 5 4 2" xfId="43266"/>
    <cellStyle name="Vírgula 2 2 4 2 5 5" xfId="10850"/>
    <cellStyle name="Vírgula 2 2 4 2 5 5 2" xfId="37358"/>
    <cellStyle name="Vírgula 2 2 4 2 5 6" xfId="30935"/>
    <cellStyle name="Vírgula 2 2 4 2 5 7" xfId="24401"/>
    <cellStyle name="Vírgula 2 2 4 2 6" xfId="4866"/>
    <cellStyle name="Vírgula 2 2 4 2 6 2" xfId="8116"/>
    <cellStyle name="Vírgula 2 2 4 2 6 2 2" xfId="19970"/>
    <cellStyle name="Vírgula 2 2 4 2 6 2 2 2" xfId="46449"/>
    <cellStyle name="Vírgula 2 2 4 2 6 2 3" xfId="14043"/>
    <cellStyle name="Vírgula 2 2 4 2 6 2 3 2" xfId="40541"/>
    <cellStyle name="Vírgula 2 2 4 2 6 2 4" xfId="34633"/>
    <cellStyle name="Vírgula 2 2 4 2 6 2 5" xfId="28099"/>
    <cellStyle name="Vírgula 2 2 4 2 6 3" xfId="17006"/>
    <cellStyle name="Vírgula 2 2 4 2 6 3 2" xfId="43495"/>
    <cellStyle name="Vírgula 2 2 4 2 6 4" xfId="11079"/>
    <cellStyle name="Vírgula 2 2 4 2 6 4 2" xfId="37587"/>
    <cellStyle name="Vírgula 2 2 4 2 6 5" xfId="31393"/>
    <cellStyle name="Vírgula 2 2 4 2 6 6" xfId="24859"/>
    <cellStyle name="Vírgula 2 2 4 2 7" xfId="6640"/>
    <cellStyle name="Vírgula 2 2 4 2 7 2" xfId="18494"/>
    <cellStyle name="Vírgula 2 2 4 2 7 2 2" xfId="44981"/>
    <cellStyle name="Vírgula 2 2 4 2 7 3" xfId="12567"/>
    <cellStyle name="Vírgula 2 2 4 2 7 3 2" xfId="39073"/>
    <cellStyle name="Vírgula 2 2 4 2 7 4" xfId="33165"/>
    <cellStyle name="Vírgula 2 2 4 2 7 5" xfId="26631"/>
    <cellStyle name="Vírgula 2 2 4 2 8" xfId="15530"/>
    <cellStyle name="Vírgula 2 2 4 2 8 2" xfId="42027"/>
    <cellStyle name="Vírgula 2 2 4 2 8 3" xfId="23087"/>
    <cellStyle name="Vírgula 2 2 4 2 9" xfId="9603"/>
    <cellStyle name="Vírgula 2 2 4 2 9 2" xfId="36119"/>
    <cellStyle name="Vírgula 2 2 4 3" xfId="125"/>
    <cellStyle name="Vírgula 2 2 4 3 10" xfId="29659"/>
    <cellStyle name="Vírgula 2 2 4 3 11" xfId="22589"/>
    <cellStyle name="Vírgula 2 2 4 3 2" xfId="4532"/>
    <cellStyle name="Vírgula 2 2 4 3 2 2" xfId="6304"/>
    <cellStyle name="Vírgula 2 2 4 3 2 2 2" xfId="9417"/>
    <cellStyle name="Vírgula 2 2 4 3 2 2 2 2" xfId="21271"/>
    <cellStyle name="Vírgula 2 2 4 3 2 2 2 2 2" xfId="47750"/>
    <cellStyle name="Vírgula 2 2 4 3 2 2 2 3" xfId="15344"/>
    <cellStyle name="Vírgula 2 2 4 3 2 2 2 3 2" xfId="41842"/>
    <cellStyle name="Vírgula 2 2 4 3 2 2 2 4" xfId="35934"/>
    <cellStyle name="Vírgula 2 2 4 3 2 2 2 5" xfId="29400"/>
    <cellStyle name="Vírgula 2 2 4 3 2 2 3" xfId="18307"/>
    <cellStyle name="Vírgula 2 2 4 3 2 2 3 2" xfId="44796"/>
    <cellStyle name="Vírgula 2 2 4 3 2 2 4" xfId="12380"/>
    <cellStyle name="Vírgula 2 2 4 3 2 2 4 2" xfId="38888"/>
    <cellStyle name="Vírgula 2 2 4 3 2 2 5" xfId="32831"/>
    <cellStyle name="Vírgula 2 2 4 3 2 2 6" xfId="26297"/>
    <cellStyle name="Vírgula 2 2 4 3 2 3" xfId="7949"/>
    <cellStyle name="Vírgula 2 2 4 3 2 3 2" xfId="19803"/>
    <cellStyle name="Vírgula 2 2 4 3 2 3 2 2" xfId="46282"/>
    <cellStyle name="Vírgula 2 2 4 3 2 3 3" xfId="13876"/>
    <cellStyle name="Vírgula 2 2 4 3 2 3 3 2" xfId="40374"/>
    <cellStyle name="Vírgula 2 2 4 3 2 3 4" xfId="34466"/>
    <cellStyle name="Vírgula 2 2 4 3 2 3 5" xfId="27932"/>
    <cellStyle name="Vírgula 2 2 4 3 2 4" xfId="16839"/>
    <cellStyle name="Vírgula 2 2 4 3 2 4 2" xfId="43328"/>
    <cellStyle name="Vírgula 2 2 4 3 2 4 3" xfId="24525"/>
    <cellStyle name="Vírgula 2 2 4 3 2 5" xfId="10912"/>
    <cellStyle name="Vírgula 2 2 4 3 2 5 2" xfId="37420"/>
    <cellStyle name="Vírgula 2 2 4 3 2 6" xfId="31059"/>
    <cellStyle name="Vírgula 2 2 4 3 2 7" xfId="22753"/>
    <cellStyle name="Vírgula 2 2 4 3 3" xfId="4656"/>
    <cellStyle name="Vírgula 2 2 4 3 3 2" xfId="6428"/>
    <cellStyle name="Vírgula 2 2 4 3 3 2 2" xfId="9479"/>
    <cellStyle name="Vírgula 2 2 4 3 3 2 2 2" xfId="21333"/>
    <cellStyle name="Vírgula 2 2 4 3 3 2 2 2 2" xfId="47812"/>
    <cellStyle name="Vírgula 2 2 4 3 3 2 2 3" xfId="15406"/>
    <cellStyle name="Vírgula 2 2 4 3 3 2 2 3 2" xfId="41904"/>
    <cellStyle name="Vírgula 2 2 4 3 3 2 2 4" xfId="35996"/>
    <cellStyle name="Vírgula 2 2 4 3 3 2 2 5" xfId="29462"/>
    <cellStyle name="Vírgula 2 2 4 3 3 2 3" xfId="18369"/>
    <cellStyle name="Vírgula 2 2 4 3 3 2 3 2" xfId="44858"/>
    <cellStyle name="Vírgula 2 2 4 3 3 2 4" xfId="12442"/>
    <cellStyle name="Vírgula 2 2 4 3 3 2 4 2" xfId="38950"/>
    <cellStyle name="Vírgula 2 2 4 3 3 2 5" xfId="32955"/>
    <cellStyle name="Vírgula 2 2 4 3 3 2 6" xfId="26421"/>
    <cellStyle name="Vírgula 2 2 4 3 3 3" xfId="8011"/>
    <cellStyle name="Vírgula 2 2 4 3 3 3 2" xfId="19865"/>
    <cellStyle name="Vírgula 2 2 4 3 3 3 2 2" xfId="46344"/>
    <cellStyle name="Vírgula 2 2 4 3 3 3 3" xfId="13938"/>
    <cellStyle name="Vírgula 2 2 4 3 3 3 3 2" xfId="40436"/>
    <cellStyle name="Vírgula 2 2 4 3 3 3 4" xfId="34528"/>
    <cellStyle name="Vírgula 2 2 4 3 3 3 5" xfId="27994"/>
    <cellStyle name="Vírgula 2 2 4 3 3 4" xfId="16901"/>
    <cellStyle name="Vírgula 2 2 4 3 3 4 2" xfId="43390"/>
    <cellStyle name="Vírgula 2 2 4 3 3 4 3" xfId="24649"/>
    <cellStyle name="Vírgula 2 2 4 3 3 5" xfId="10974"/>
    <cellStyle name="Vírgula 2 2 4 3 3 5 2" xfId="37482"/>
    <cellStyle name="Vírgula 2 2 4 3 3 6" xfId="31183"/>
    <cellStyle name="Vírgula 2 2 4 3 3 7" xfId="22877"/>
    <cellStyle name="Vírgula 2 2 4 3 4" xfId="4780"/>
    <cellStyle name="Vírgula 2 2 4 3 4 2" xfId="6552"/>
    <cellStyle name="Vírgula 2 2 4 3 4 2 2" xfId="9541"/>
    <cellStyle name="Vírgula 2 2 4 3 4 2 2 2" xfId="21395"/>
    <cellStyle name="Vírgula 2 2 4 3 4 2 2 2 2" xfId="47874"/>
    <cellStyle name="Vírgula 2 2 4 3 4 2 2 3" xfId="15468"/>
    <cellStyle name="Vírgula 2 2 4 3 4 2 2 3 2" xfId="41966"/>
    <cellStyle name="Vírgula 2 2 4 3 4 2 2 4" xfId="36058"/>
    <cellStyle name="Vírgula 2 2 4 3 4 2 2 5" xfId="29524"/>
    <cellStyle name="Vírgula 2 2 4 3 4 2 3" xfId="18431"/>
    <cellStyle name="Vírgula 2 2 4 3 4 2 3 2" xfId="44920"/>
    <cellStyle name="Vírgula 2 2 4 3 4 2 4" xfId="12504"/>
    <cellStyle name="Vírgula 2 2 4 3 4 2 4 2" xfId="39012"/>
    <cellStyle name="Vírgula 2 2 4 3 4 2 5" xfId="33079"/>
    <cellStyle name="Vírgula 2 2 4 3 4 2 6" xfId="26545"/>
    <cellStyle name="Vírgula 2 2 4 3 4 3" xfId="8073"/>
    <cellStyle name="Vírgula 2 2 4 3 4 3 2" xfId="19927"/>
    <cellStyle name="Vírgula 2 2 4 3 4 3 2 2" xfId="46406"/>
    <cellStyle name="Vírgula 2 2 4 3 4 3 3" xfId="14000"/>
    <cellStyle name="Vírgula 2 2 4 3 4 3 3 2" xfId="40498"/>
    <cellStyle name="Vírgula 2 2 4 3 4 3 4" xfId="34590"/>
    <cellStyle name="Vírgula 2 2 4 3 4 3 5" xfId="28056"/>
    <cellStyle name="Vírgula 2 2 4 3 4 4" xfId="16963"/>
    <cellStyle name="Vírgula 2 2 4 3 4 4 2" xfId="43452"/>
    <cellStyle name="Vírgula 2 2 4 3 4 4 3" xfId="24773"/>
    <cellStyle name="Vírgula 2 2 4 3 4 5" xfId="11036"/>
    <cellStyle name="Vírgula 2 2 4 3 4 5 2" xfId="37544"/>
    <cellStyle name="Vírgula 2 2 4 3 4 6" xfId="31307"/>
    <cellStyle name="Vírgula 2 2 4 3 4 7" xfId="23001"/>
    <cellStyle name="Vírgula 2 2 4 3 5" xfId="4368"/>
    <cellStyle name="Vírgula 2 2 4 3 5 2" xfId="6140"/>
    <cellStyle name="Vírgula 2 2 4 3 5 2 2" xfId="9335"/>
    <cellStyle name="Vírgula 2 2 4 3 5 2 2 2" xfId="21189"/>
    <cellStyle name="Vírgula 2 2 4 3 5 2 2 2 2" xfId="47668"/>
    <cellStyle name="Vírgula 2 2 4 3 5 2 2 3" xfId="15262"/>
    <cellStyle name="Vírgula 2 2 4 3 5 2 2 3 2" xfId="41760"/>
    <cellStyle name="Vírgula 2 2 4 3 5 2 2 4" xfId="35852"/>
    <cellStyle name="Vírgula 2 2 4 3 5 2 2 5" xfId="29318"/>
    <cellStyle name="Vírgula 2 2 4 3 5 2 3" xfId="18225"/>
    <cellStyle name="Vírgula 2 2 4 3 5 2 3 2" xfId="44714"/>
    <cellStyle name="Vírgula 2 2 4 3 5 2 4" xfId="12298"/>
    <cellStyle name="Vírgula 2 2 4 3 5 2 4 2" xfId="38806"/>
    <cellStyle name="Vírgula 2 2 4 3 5 2 5" xfId="32667"/>
    <cellStyle name="Vírgula 2 2 4 3 5 2 6" xfId="26133"/>
    <cellStyle name="Vírgula 2 2 4 3 5 3" xfId="7867"/>
    <cellStyle name="Vírgula 2 2 4 3 5 3 2" xfId="19721"/>
    <cellStyle name="Vírgula 2 2 4 3 5 3 2 2" xfId="46200"/>
    <cellStyle name="Vírgula 2 2 4 3 5 3 3" xfId="13794"/>
    <cellStyle name="Vírgula 2 2 4 3 5 3 3 2" xfId="40292"/>
    <cellStyle name="Vírgula 2 2 4 3 5 3 4" xfId="34384"/>
    <cellStyle name="Vírgula 2 2 4 3 5 3 5" xfId="27850"/>
    <cellStyle name="Vírgula 2 2 4 3 5 4" xfId="16757"/>
    <cellStyle name="Vírgula 2 2 4 3 5 4 2" xfId="43246"/>
    <cellStyle name="Vírgula 2 2 4 3 5 5" xfId="10830"/>
    <cellStyle name="Vírgula 2 2 4 3 5 5 2" xfId="37338"/>
    <cellStyle name="Vírgula 2 2 4 3 5 6" xfId="30895"/>
    <cellStyle name="Vírgula 2 2 4 3 5 7" xfId="24361"/>
    <cellStyle name="Vírgula 2 2 4 3 6" xfId="4904"/>
    <cellStyle name="Vírgula 2 2 4 3 6 2" xfId="8135"/>
    <cellStyle name="Vírgula 2 2 4 3 6 2 2" xfId="19989"/>
    <cellStyle name="Vírgula 2 2 4 3 6 2 2 2" xfId="46468"/>
    <cellStyle name="Vírgula 2 2 4 3 6 2 3" xfId="14062"/>
    <cellStyle name="Vírgula 2 2 4 3 6 2 3 2" xfId="40560"/>
    <cellStyle name="Vírgula 2 2 4 3 6 2 4" xfId="34652"/>
    <cellStyle name="Vírgula 2 2 4 3 6 2 5" xfId="28118"/>
    <cellStyle name="Vírgula 2 2 4 3 6 3" xfId="17025"/>
    <cellStyle name="Vírgula 2 2 4 3 6 3 2" xfId="43514"/>
    <cellStyle name="Vírgula 2 2 4 3 6 4" xfId="11098"/>
    <cellStyle name="Vírgula 2 2 4 3 6 4 2" xfId="37606"/>
    <cellStyle name="Vírgula 2 2 4 3 6 5" xfId="31431"/>
    <cellStyle name="Vírgula 2 2 4 3 6 6" xfId="24897"/>
    <cellStyle name="Vírgula 2 2 4 3 7" xfId="6659"/>
    <cellStyle name="Vírgula 2 2 4 3 7 2" xfId="18513"/>
    <cellStyle name="Vírgula 2 2 4 3 7 2 2" xfId="45000"/>
    <cellStyle name="Vírgula 2 2 4 3 7 3" xfId="12586"/>
    <cellStyle name="Vírgula 2 2 4 3 7 3 2" xfId="39092"/>
    <cellStyle name="Vírgula 2 2 4 3 7 4" xfId="33184"/>
    <cellStyle name="Vírgula 2 2 4 3 7 5" xfId="26650"/>
    <cellStyle name="Vírgula 2 2 4 3 8" xfId="15549"/>
    <cellStyle name="Vírgula 2 2 4 3 8 2" xfId="42046"/>
    <cellStyle name="Vírgula 2 2 4 3 8 3" xfId="23125"/>
    <cellStyle name="Vírgula 2 2 4 3 9" xfId="9622"/>
    <cellStyle name="Vírgula 2 2 4 3 9 2" xfId="36138"/>
    <cellStyle name="Vírgula 2 2 4 4" xfId="4454"/>
    <cellStyle name="Vírgula 2 2 4 4 2" xfId="6226"/>
    <cellStyle name="Vírgula 2 2 4 4 2 2" xfId="9378"/>
    <cellStyle name="Vírgula 2 2 4 4 2 2 2" xfId="21232"/>
    <cellStyle name="Vírgula 2 2 4 4 2 2 2 2" xfId="47711"/>
    <cellStyle name="Vírgula 2 2 4 4 2 2 3" xfId="15305"/>
    <cellStyle name="Vírgula 2 2 4 4 2 2 3 2" xfId="41803"/>
    <cellStyle name="Vírgula 2 2 4 4 2 2 4" xfId="35895"/>
    <cellStyle name="Vírgula 2 2 4 4 2 2 5" xfId="29361"/>
    <cellStyle name="Vírgula 2 2 4 4 2 3" xfId="18268"/>
    <cellStyle name="Vírgula 2 2 4 4 2 3 2" xfId="44757"/>
    <cellStyle name="Vírgula 2 2 4 4 2 4" xfId="12341"/>
    <cellStyle name="Vírgula 2 2 4 4 2 4 2" xfId="38849"/>
    <cellStyle name="Vírgula 2 2 4 4 2 5" xfId="32753"/>
    <cellStyle name="Vírgula 2 2 4 4 2 6" xfId="26219"/>
    <cellStyle name="Vírgula 2 2 4 4 3" xfId="7910"/>
    <cellStyle name="Vírgula 2 2 4 4 3 2" xfId="19764"/>
    <cellStyle name="Vírgula 2 2 4 4 3 2 2" xfId="46243"/>
    <cellStyle name="Vírgula 2 2 4 4 3 3" xfId="13837"/>
    <cellStyle name="Vírgula 2 2 4 4 3 3 2" xfId="40335"/>
    <cellStyle name="Vírgula 2 2 4 4 3 4" xfId="34427"/>
    <cellStyle name="Vírgula 2 2 4 4 3 5" xfId="27893"/>
    <cellStyle name="Vírgula 2 2 4 4 4" xfId="16800"/>
    <cellStyle name="Vírgula 2 2 4 4 4 2" xfId="43289"/>
    <cellStyle name="Vírgula 2 2 4 4 4 3" xfId="24447"/>
    <cellStyle name="Vírgula 2 2 4 4 5" xfId="10873"/>
    <cellStyle name="Vírgula 2 2 4 4 5 2" xfId="37381"/>
    <cellStyle name="Vírgula 2 2 4 4 6" xfId="30981"/>
    <cellStyle name="Vírgula 2 2 4 4 7" xfId="22675"/>
    <cellStyle name="Vírgula 2 2 4 5" xfId="4578"/>
    <cellStyle name="Vírgula 2 2 4 5 2" xfId="6350"/>
    <cellStyle name="Vírgula 2 2 4 5 2 2" xfId="9440"/>
    <cellStyle name="Vírgula 2 2 4 5 2 2 2" xfId="21294"/>
    <cellStyle name="Vírgula 2 2 4 5 2 2 2 2" xfId="47773"/>
    <cellStyle name="Vírgula 2 2 4 5 2 2 3" xfId="15367"/>
    <cellStyle name="Vírgula 2 2 4 5 2 2 3 2" xfId="41865"/>
    <cellStyle name="Vírgula 2 2 4 5 2 2 4" xfId="35957"/>
    <cellStyle name="Vírgula 2 2 4 5 2 2 5" xfId="29423"/>
    <cellStyle name="Vírgula 2 2 4 5 2 3" xfId="18330"/>
    <cellStyle name="Vírgula 2 2 4 5 2 3 2" xfId="44819"/>
    <cellStyle name="Vírgula 2 2 4 5 2 4" xfId="12403"/>
    <cellStyle name="Vírgula 2 2 4 5 2 4 2" xfId="38911"/>
    <cellStyle name="Vírgula 2 2 4 5 2 5" xfId="32877"/>
    <cellStyle name="Vírgula 2 2 4 5 2 6" xfId="26343"/>
    <cellStyle name="Vírgula 2 2 4 5 3" xfId="7972"/>
    <cellStyle name="Vírgula 2 2 4 5 3 2" xfId="19826"/>
    <cellStyle name="Vírgula 2 2 4 5 3 2 2" xfId="46305"/>
    <cellStyle name="Vírgula 2 2 4 5 3 3" xfId="13899"/>
    <cellStyle name="Vírgula 2 2 4 5 3 3 2" xfId="40397"/>
    <cellStyle name="Vírgula 2 2 4 5 3 4" xfId="34489"/>
    <cellStyle name="Vírgula 2 2 4 5 3 5" xfId="27955"/>
    <cellStyle name="Vírgula 2 2 4 5 4" xfId="16862"/>
    <cellStyle name="Vírgula 2 2 4 5 4 2" xfId="43351"/>
    <cellStyle name="Vírgula 2 2 4 5 4 3" xfId="24571"/>
    <cellStyle name="Vírgula 2 2 4 5 5" xfId="10935"/>
    <cellStyle name="Vírgula 2 2 4 5 5 2" xfId="37443"/>
    <cellStyle name="Vírgula 2 2 4 5 6" xfId="31105"/>
    <cellStyle name="Vírgula 2 2 4 5 7" xfId="22799"/>
    <cellStyle name="Vírgula 2 2 4 6" xfId="4702"/>
    <cellStyle name="Vírgula 2 2 4 6 2" xfId="6474"/>
    <cellStyle name="Vírgula 2 2 4 6 2 2" xfId="9502"/>
    <cellStyle name="Vírgula 2 2 4 6 2 2 2" xfId="21356"/>
    <cellStyle name="Vírgula 2 2 4 6 2 2 2 2" xfId="47835"/>
    <cellStyle name="Vírgula 2 2 4 6 2 2 3" xfId="15429"/>
    <cellStyle name="Vírgula 2 2 4 6 2 2 3 2" xfId="41927"/>
    <cellStyle name="Vírgula 2 2 4 6 2 2 4" xfId="36019"/>
    <cellStyle name="Vírgula 2 2 4 6 2 2 5" xfId="29485"/>
    <cellStyle name="Vírgula 2 2 4 6 2 3" xfId="18392"/>
    <cellStyle name="Vírgula 2 2 4 6 2 3 2" xfId="44881"/>
    <cellStyle name="Vírgula 2 2 4 6 2 4" xfId="12465"/>
    <cellStyle name="Vírgula 2 2 4 6 2 4 2" xfId="38973"/>
    <cellStyle name="Vírgula 2 2 4 6 2 5" xfId="33001"/>
    <cellStyle name="Vírgula 2 2 4 6 2 6" xfId="26467"/>
    <cellStyle name="Vírgula 2 2 4 6 3" xfId="8034"/>
    <cellStyle name="Vírgula 2 2 4 6 3 2" xfId="19888"/>
    <cellStyle name="Vírgula 2 2 4 6 3 2 2" xfId="46367"/>
    <cellStyle name="Vírgula 2 2 4 6 3 3" xfId="13961"/>
    <cellStyle name="Vírgula 2 2 4 6 3 3 2" xfId="40459"/>
    <cellStyle name="Vírgula 2 2 4 6 3 4" xfId="34551"/>
    <cellStyle name="Vírgula 2 2 4 6 3 5" xfId="28017"/>
    <cellStyle name="Vírgula 2 2 4 6 4" xfId="16924"/>
    <cellStyle name="Vírgula 2 2 4 6 4 2" xfId="43413"/>
    <cellStyle name="Vírgula 2 2 4 6 4 3" xfId="24695"/>
    <cellStyle name="Vírgula 2 2 4 6 5" xfId="10997"/>
    <cellStyle name="Vírgula 2 2 4 6 5 2" xfId="37505"/>
    <cellStyle name="Vírgula 2 2 4 6 6" xfId="31229"/>
    <cellStyle name="Vírgula 2 2 4 6 7" xfId="22923"/>
    <cellStyle name="Vírgula 2 2 4 7" xfId="1433"/>
    <cellStyle name="Vírgula 2 2 4 7 2" xfId="5303"/>
    <cellStyle name="Vírgula 2 2 4 7 2 2" xfId="8518"/>
    <cellStyle name="Vírgula 2 2 4 7 2 2 2" xfId="20372"/>
    <cellStyle name="Vírgula 2 2 4 7 2 2 2 2" xfId="46851"/>
    <cellStyle name="Vírgula 2 2 4 7 2 2 3" xfId="14445"/>
    <cellStyle name="Vírgula 2 2 4 7 2 2 3 2" xfId="40943"/>
    <cellStyle name="Vírgula 2 2 4 7 2 2 4" xfId="35035"/>
    <cellStyle name="Vírgula 2 2 4 7 2 2 5" xfId="28501"/>
    <cellStyle name="Vírgula 2 2 4 7 2 3" xfId="17408"/>
    <cellStyle name="Vírgula 2 2 4 7 2 3 2" xfId="43897"/>
    <cellStyle name="Vírgula 2 2 4 7 2 4" xfId="11481"/>
    <cellStyle name="Vírgula 2 2 4 7 2 4 2" xfId="37989"/>
    <cellStyle name="Vírgula 2 2 4 7 2 5" xfId="31830"/>
    <cellStyle name="Vírgula 2 2 4 7 2 6" xfId="25296"/>
    <cellStyle name="Vírgula 2 2 4 7 3" xfId="7045"/>
    <cellStyle name="Vírgula 2 2 4 7 3 2" xfId="18899"/>
    <cellStyle name="Vírgula 2 2 4 7 3 2 2" xfId="45383"/>
    <cellStyle name="Vírgula 2 2 4 7 3 3" xfId="12972"/>
    <cellStyle name="Vírgula 2 2 4 7 3 3 2" xfId="39475"/>
    <cellStyle name="Vírgula 2 2 4 7 3 4" xfId="33567"/>
    <cellStyle name="Vírgula 2 2 4 7 3 5" xfId="27033"/>
    <cellStyle name="Vírgula 2 2 4 7 4" xfId="15935"/>
    <cellStyle name="Vírgula 2 2 4 7 4 2" xfId="42429"/>
    <cellStyle name="Vírgula 2 2 4 7 5" xfId="10008"/>
    <cellStyle name="Vírgula 2 2 4 7 5 2" xfId="36521"/>
    <cellStyle name="Vírgula 2 2 4 7 6" xfId="30058"/>
    <cellStyle name="Vírgula 2 2 4 7 7" xfId="23524"/>
    <cellStyle name="Vírgula 2 2 4 8" xfId="4826"/>
    <cellStyle name="Vírgula 2 2 4 8 2" xfId="8096"/>
    <cellStyle name="Vírgula 2 2 4 8 2 2" xfId="19950"/>
    <cellStyle name="Vírgula 2 2 4 8 2 2 2" xfId="46429"/>
    <cellStyle name="Vírgula 2 2 4 8 2 3" xfId="14023"/>
    <cellStyle name="Vírgula 2 2 4 8 2 3 2" xfId="40521"/>
    <cellStyle name="Vírgula 2 2 4 8 2 4" xfId="34613"/>
    <cellStyle name="Vírgula 2 2 4 8 2 5" xfId="28079"/>
    <cellStyle name="Vírgula 2 2 4 8 3" xfId="16986"/>
    <cellStyle name="Vírgula 2 2 4 8 3 2" xfId="43475"/>
    <cellStyle name="Vírgula 2 2 4 8 4" xfId="11059"/>
    <cellStyle name="Vírgula 2 2 4 8 4 2" xfId="37567"/>
    <cellStyle name="Vírgula 2 2 4 8 5" xfId="31353"/>
    <cellStyle name="Vírgula 2 2 4 8 6" xfId="24819"/>
    <cellStyle name="Vírgula 2 2 4 9" xfId="6590"/>
    <cellStyle name="Vírgula 2 2 4 9 2" xfId="9560"/>
    <cellStyle name="Vírgula 2 2 4 9 2 2" xfId="21414"/>
    <cellStyle name="Vírgula 2 2 4 9 2 2 2" xfId="47893"/>
    <cellStyle name="Vírgula 2 2 4 9 2 3" xfId="15487"/>
    <cellStyle name="Vírgula 2 2 4 9 2 3 2" xfId="41985"/>
    <cellStyle name="Vírgula 2 2 4 9 2 4" xfId="36077"/>
    <cellStyle name="Vírgula 2 2 4 9 2 5" xfId="29543"/>
    <cellStyle name="Vírgula 2 2 4 9 3" xfId="18450"/>
    <cellStyle name="Vírgula 2 2 4 9 3 2" xfId="44939"/>
    <cellStyle name="Vírgula 2 2 4 9 4" xfId="12523"/>
    <cellStyle name="Vírgula 2 2 4 9 4 2" xfId="39031"/>
    <cellStyle name="Vírgula 2 2 4 9 5" xfId="33117"/>
    <cellStyle name="Vírgula 2 2 4 9 6" xfId="26583"/>
    <cellStyle name="Vírgula 2 2 5" xfId="69"/>
    <cellStyle name="Vírgula 2 2 5 10" xfId="9594"/>
    <cellStyle name="Vírgula 2 2 5 10 2" xfId="36110"/>
    <cellStyle name="Vírgula 2 2 5 11" xfId="29603"/>
    <cellStyle name="Vírgula 2 2 5 12" xfId="21871"/>
    <cellStyle name="Vírgula 2 2 5 2" xfId="4390"/>
    <cellStyle name="Vírgula 2 2 5 2 2" xfId="6162"/>
    <cellStyle name="Vírgula 2 2 5 2 2 2" xfId="9346"/>
    <cellStyle name="Vírgula 2 2 5 2 2 2 2" xfId="21200"/>
    <cellStyle name="Vírgula 2 2 5 2 2 2 2 2" xfId="47679"/>
    <cellStyle name="Vírgula 2 2 5 2 2 2 3" xfId="15273"/>
    <cellStyle name="Vírgula 2 2 5 2 2 2 3 2" xfId="41771"/>
    <cellStyle name="Vírgula 2 2 5 2 2 2 4" xfId="35863"/>
    <cellStyle name="Vírgula 2 2 5 2 2 2 5" xfId="29329"/>
    <cellStyle name="Vírgula 2 2 5 2 2 3" xfId="18236"/>
    <cellStyle name="Vírgula 2 2 5 2 2 3 2" xfId="44725"/>
    <cellStyle name="Vírgula 2 2 5 2 2 4" xfId="12309"/>
    <cellStyle name="Vírgula 2 2 5 2 2 4 2" xfId="38817"/>
    <cellStyle name="Vírgula 2 2 5 2 2 5" xfId="32689"/>
    <cellStyle name="Vírgula 2 2 5 2 2 6" xfId="26155"/>
    <cellStyle name="Vírgula 2 2 5 2 3" xfId="7878"/>
    <cellStyle name="Vírgula 2 2 5 2 3 2" xfId="19732"/>
    <cellStyle name="Vírgula 2 2 5 2 3 2 2" xfId="46211"/>
    <cellStyle name="Vírgula 2 2 5 2 3 3" xfId="13805"/>
    <cellStyle name="Vírgula 2 2 5 2 3 3 2" xfId="40303"/>
    <cellStyle name="Vírgula 2 2 5 2 3 4" xfId="34395"/>
    <cellStyle name="Vírgula 2 2 5 2 3 5" xfId="27861"/>
    <cellStyle name="Vírgula 2 2 5 2 4" xfId="16768"/>
    <cellStyle name="Vírgula 2 2 5 2 4 2" xfId="43257"/>
    <cellStyle name="Vírgula 2 2 5 2 4 3" xfId="24383"/>
    <cellStyle name="Vírgula 2 2 5 2 5" xfId="10841"/>
    <cellStyle name="Vírgula 2 2 5 2 5 2" xfId="37349"/>
    <cellStyle name="Vírgula 2 2 5 2 6" xfId="30917"/>
    <cellStyle name="Vírgula 2 2 5 2 7" xfId="22611"/>
    <cellStyle name="Vírgula 2 2 5 3" xfId="4476"/>
    <cellStyle name="Vírgula 2 2 5 3 2" xfId="6248"/>
    <cellStyle name="Vírgula 2 2 5 3 2 2" xfId="9389"/>
    <cellStyle name="Vírgula 2 2 5 3 2 2 2" xfId="21243"/>
    <cellStyle name="Vírgula 2 2 5 3 2 2 2 2" xfId="47722"/>
    <cellStyle name="Vírgula 2 2 5 3 2 2 3" xfId="15316"/>
    <cellStyle name="Vírgula 2 2 5 3 2 2 3 2" xfId="41814"/>
    <cellStyle name="Vírgula 2 2 5 3 2 2 4" xfId="35906"/>
    <cellStyle name="Vírgula 2 2 5 3 2 2 5" xfId="29372"/>
    <cellStyle name="Vírgula 2 2 5 3 2 3" xfId="18279"/>
    <cellStyle name="Vírgula 2 2 5 3 2 3 2" xfId="44768"/>
    <cellStyle name="Vírgula 2 2 5 3 2 4" xfId="12352"/>
    <cellStyle name="Vírgula 2 2 5 3 2 4 2" xfId="38860"/>
    <cellStyle name="Vírgula 2 2 5 3 2 5" xfId="32775"/>
    <cellStyle name="Vírgula 2 2 5 3 2 6" xfId="26241"/>
    <cellStyle name="Vírgula 2 2 5 3 3" xfId="7921"/>
    <cellStyle name="Vírgula 2 2 5 3 3 2" xfId="19775"/>
    <cellStyle name="Vírgula 2 2 5 3 3 2 2" xfId="46254"/>
    <cellStyle name="Vírgula 2 2 5 3 3 3" xfId="13848"/>
    <cellStyle name="Vírgula 2 2 5 3 3 3 2" xfId="40346"/>
    <cellStyle name="Vírgula 2 2 5 3 3 4" xfId="34438"/>
    <cellStyle name="Vírgula 2 2 5 3 3 5" xfId="27904"/>
    <cellStyle name="Vírgula 2 2 5 3 4" xfId="16811"/>
    <cellStyle name="Vírgula 2 2 5 3 4 2" xfId="43300"/>
    <cellStyle name="Vírgula 2 2 5 3 4 3" xfId="24469"/>
    <cellStyle name="Vírgula 2 2 5 3 5" xfId="10884"/>
    <cellStyle name="Vírgula 2 2 5 3 5 2" xfId="37392"/>
    <cellStyle name="Vírgula 2 2 5 3 6" xfId="31003"/>
    <cellStyle name="Vírgula 2 2 5 3 7" xfId="22697"/>
    <cellStyle name="Vírgula 2 2 5 4" xfId="4600"/>
    <cellStyle name="Vírgula 2 2 5 4 2" xfId="6372"/>
    <cellStyle name="Vírgula 2 2 5 4 2 2" xfId="9451"/>
    <cellStyle name="Vírgula 2 2 5 4 2 2 2" xfId="21305"/>
    <cellStyle name="Vírgula 2 2 5 4 2 2 2 2" xfId="47784"/>
    <cellStyle name="Vírgula 2 2 5 4 2 2 3" xfId="15378"/>
    <cellStyle name="Vírgula 2 2 5 4 2 2 3 2" xfId="41876"/>
    <cellStyle name="Vírgula 2 2 5 4 2 2 4" xfId="35968"/>
    <cellStyle name="Vírgula 2 2 5 4 2 2 5" xfId="29434"/>
    <cellStyle name="Vírgula 2 2 5 4 2 3" xfId="18341"/>
    <cellStyle name="Vírgula 2 2 5 4 2 3 2" xfId="44830"/>
    <cellStyle name="Vírgula 2 2 5 4 2 4" xfId="12414"/>
    <cellStyle name="Vírgula 2 2 5 4 2 4 2" xfId="38922"/>
    <cellStyle name="Vírgula 2 2 5 4 2 5" xfId="32899"/>
    <cellStyle name="Vírgula 2 2 5 4 2 6" xfId="26365"/>
    <cellStyle name="Vírgula 2 2 5 4 3" xfId="7983"/>
    <cellStyle name="Vírgula 2 2 5 4 3 2" xfId="19837"/>
    <cellStyle name="Vírgula 2 2 5 4 3 2 2" xfId="46316"/>
    <cellStyle name="Vírgula 2 2 5 4 3 3" xfId="13910"/>
    <cellStyle name="Vírgula 2 2 5 4 3 3 2" xfId="40408"/>
    <cellStyle name="Vírgula 2 2 5 4 3 4" xfId="34500"/>
    <cellStyle name="Vírgula 2 2 5 4 3 5" xfId="27966"/>
    <cellStyle name="Vírgula 2 2 5 4 4" xfId="16873"/>
    <cellStyle name="Vírgula 2 2 5 4 4 2" xfId="43362"/>
    <cellStyle name="Vírgula 2 2 5 4 4 3" xfId="24593"/>
    <cellStyle name="Vírgula 2 2 5 4 5" xfId="10946"/>
    <cellStyle name="Vírgula 2 2 5 4 5 2" xfId="37454"/>
    <cellStyle name="Vírgula 2 2 5 4 6" xfId="31127"/>
    <cellStyle name="Vírgula 2 2 5 4 7" xfId="22821"/>
    <cellStyle name="Vírgula 2 2 5 5" xfId="4724"/>
    <cellStyle name="Vírgula 2 2 5 5 2" xfId="6496"/>
    <cellStyle name="Vírgula 2 2 5 5 2 2" xfId="9513"/>
    <cellStyle name="Vírgula 2 2 5 5 2 2 2" xfId="21367"/>
    <cellStyle name="Vírgula 2 2 5 5 2 2 2 2" xfId="47846"/>
    <cellStyle name="Vírgula 2 2 5 5 2 2 3" xfId="15440"/>
    <cellStyle name="Vírgula 2 2 5 5 2 2 3 2" xfId="41938"/>
    <cellStyle name="Vírgula 2 2 5 5 2 2 4" xfId="36030"/>
    <cellStyle name="Vírgula 2 2 5 5 2 2 5" xfId="29496"/>
    <cellStyle name="Vírgula 2 2 5 5 2 3" xfId="18403"/>
    <cellStyle name="Vírgula 2 2 5 5 2 3 2" xfId="44892"/>
    <cellStyle name="Vírgula 2 2 5 5 2 4" xfId="12476"/>
    <cellStyle name="Vírgula 2 2 5 5 2 4 2" xfId="38984"/>
    <cellStyle name="Vírgula 2 2 5 5 2 5" xfId="33023"/>
    <cellStyle name="Vírgula 2 2 5 5 2 6" xfId="26489"/>
    <cellStyle name="Vírgula 2 2 5 5 3" xfId="8045"/>
    <cellStyle name="Vírgula 2 2 5 5 3 2" xfId="19899"/>
    <cellStyle name="Vírgula 2 2 5 5 3 2 2" xfId="46378"/>
    <cellStyle name="Vírgula 2 2 5 5 3 3" xfId="13972"/>
    <cellStyle name="Vírgula 2 2 5 5 3 3 2" xfId="40470"/>
    <cellStyle name="Vírgula 2 2 5 5 3 4" xfId="34562"/>
    <cellStyle name="Vírgula 2 2 5 5 3 5" xfId="28028"/>
    <cellStyle name="Vírgula 2 2 5 5 4" xfId="16935"/>
    <cellStyle name="Vírgula 2 2 5 5 4 2" xfId="43424"/>
    <cellStyle name="Vírgula 2 2 5 5 4 3" xfId="24717"/>
    <cellStyle name="Vírgula 2 2 5 5 5" xfId="11008"/>
    <cellStyle name="Vírgula 2 2 5 5 5 2" xfId="37516"/>
    <cellStyle name="Vírgula 2 2 5 5 6" xfId="31251"/>
    <cellStyle name="Vírgula 2 2 5 5 7" xfId="22945"/>
    <cellStyle name="Vírgula 2 2 5 6" xfId="1868"/>
    <cellStyle name="Vírgula 2 2 5 6 2" xfId="5422"/>
    <cellStyle name="Vírgula 2 2 5 6 2 2" xfId="8637"/>
    <cellStyle name="Vírgula 2 2 5 6 2 2 2" xfId="20491"/>
    <cellStyle name="Vírgula 2 2 5 6 2 2 2 2" xfId="46970"/>
    <cellStyle name="Vírgula 2 2 5 6 2 2 3" xfId="14564"/>
    <cellStyle name="Vírgula 2 2 5 6 2 2 3 2" xfId="41062"/>
    <cellStyle name="Vírgula 2 2 5 6 2 2 4" xfId="35154"/>
    <cellStyle name="Vírgula 2 2 5 6 2 2 5" xfId="28620"/>
    <cellStyle name="Vírgula 2 2 5 6 2 3" xfId="17527"/>
    <cellStyle name="Vírgula 2 2 5 6 2 3 2" xfId="44016"/>
    <cellStyle name="Vírgula 2 2 5 6 2 4" xfId="11600"/>
    <cellStyle name="Vírgula 2 2 5 6 2 4 2" xfId="38108"/>
    <cellStyle name="Vírgula 2 2 5 6 2 5" xfId="31949"/>
    <cellStyle name="Vírgula 2 2 5 6 2 6" xfId="25415"/>
    <cellStyle name="Vírgula 2 2 5 6 3" xfId="7164"/>
    <cellStyle name="Vírgula 2 2 5 6 3 2" xfId="19018"/>
    <cellStyle name="Vírgula 2 2 5 6 3 2 2" xfId="45502"/>
    <cellStyle name="Vírgula 2 2 5 6 3 3" xfId="13091"/>
    <cellStyle name="Vírgula 2 2 5 6 3 3 2" xfId="39594"/>
    <cellStyle name="Vírgula 2 2 5 6 3 4" xfId="33686"/>
    <cellStyle name="Vírgula 2 2 5 6 3 5" xfId="27152"/>
    <cellStyle name="Vírgula 2 2 5 6 4" xfId="16054"/>
    <cellStyle name="Vírgula 2 2 5 6 4 2" xfId="42548"/>
    <cellStyle name="Vírgula 2 2 5 6 5" xfId="10127"/>
    <cellStyle name="Vírgula 2 2 5 6 5 2" xfId="36640"/>
    <cellStyle name="Vírgula 2 2 5 6 6" xfId="30177"/>
    <cellStyle name="Vírgula 2 2 5 6 7" xfId="23643"/>
    <cellStyle name="Vírgula 2 2 5 7" xfId="4848"/>
    <cellStyle name="Vírgula 2 2 5 7 2" xfId="8107"/>
    <cellStyle name="Vírgula 2 2 5 7 2 2" xfId="19961"/>
    <cellStyle name="Vírgula 2 2 5 7 2 2 2" xfId="46440"/>
    <cellStyle name="Vírgula 2 2 5 7 2 3" xfId="14034"/>
    <cellStyle name="Vírgula 2 2 5 7 2 3 2" xfId="40532"/>
    <cellStyle name="Vírgula 2 2 5 7 2 4" xfId="34624"/>
    <cellStyle name="Vírgula 2 2 5 7 2 5" xfId="28090"/>
    <cellStyle name="Vírgula 2 2 5 7 3" xfId="16997"/>
    <cellStyle name="Vírgula 2 2 5 7 3 2" xfId="43486"/>
    <cellStyle name="Vírgula 2 2 5 7 4" xfId="11070"/>
    <cellStyle name="Vírgula 2 2 5 7 4 2" xfId="37578"/>
    <cellStyle name="Vírgula 2 2 5 7 5" xfId="31375"/>
    <cellStyle name="Vírgula 2 2 5 7 6" xfId="24841"/>
    <cellStyle name="Vírgula 2 2 5 8" xfId="6631"/>
    <cellStyle name="Vírgula 2 2 5 8 2" xfId="18485"/>
    <cellStyle name="Vírgula 2 2 5 8 2 2" xfId="44972"/>
    <cellStyle name="Vírgula 2 2 5 8 3" xfId="12558"/>
    <cellStyle name="Vírgula 2 2 5 8 3 2" xfId="39064"/>
    <cellStyle name="Vírgula 2 2 5 8 4" xfId="33156"/>
    <cellStyle name="Vírgula 2 2 5 8 5" xfId="26622"/>
    <cellStyle name="Vírgula 2 2 5 9" xfId="15521"/>
    <cellStyle name="Vírgula 2 2 5 9 2" xfId="42018"/>
    <cellStyle name="Vírgula 2 2 5 9 3" xfId="23069"/>
    <cellStyle name="Vírgula 2 2 6" xfId="107"/>
    <cellStyle name="Vírgula 2 2 6 10" xfId="29641"/>
    <cellStyle name="Vírgula 2 2 6 11" xfId="22021"/>
    <cellStyle name="Vírgula 2 2 6 2" xfId="4514"/>
    <cellStyle name="Vírgula 2 2 6 2 2" xfId="6286"/>
    <cellStyle name="Vírgula 2 2 6 2 2 2" xfId="9408"/>
    <cellStyle name="Vírgula 2 2 6 2 2 2 2" xfId="21262"/>
    <cellStyle name="Vírgula 2 2 6 2 2 2 2 2" xfId="47741"/>
    <cellStyle name="Vírgula 2 2 6 2 2 2 3" xfId="15335"/>
    <cellStyle name="Vírgula 2 2 6 2 2 2 3 2" xfId="41833"/>
    <cellStyle name="Vírgula 2 2 6 2 2 2 4" xfId="35925"/>
    <cellStyle name="Vírgula 2 2 6 2 2 2 5" xfId="29391"/>
    <cellStyle name="Vírgula 2 2 6 2 2 3" xfId="18298"/>
    <cellStyle name="Vírgula 2 2 6 2 2 3 2" xfId="44787"/>
    <cellStyle name="Vírgula 2 2 6 2 2 4" xfId="12371"/>
    <cellStyle name="Vírgula 2 2 6 2 2 4 2" xfId="38879"/>
    <cellStyle name="Vírgula 2 2 6 2 2 5" xfId="32813"/>
    <cellStyle name="Vírgula 2 2 6 2 2 6" xfId="26279"/>
    <cellStyle name="Vírgula 2 2 6 2 3" xfId="7940"/>
    <cellStyle name="Vírgula 2 2 6 2 3 2" xfId="19794"/>
    <cellStyle name="Vírgula 2 2 6 2 3 2 2" xfId="46273"/>
    <cellStyle name="Vírgula 2 2 6 2 3 3" xfId="13867"/>
    <cellStyle name="Vírgula 2 2 6 2 3 3 2" xfId="40365"/>
    <cellStyle name="Vírgula 2 2 6 2 3 4" xfId="34457"/>
    <cellStyle name="Vírgula 2 2 6 2 3 5" xfId="27923"/>
    <cellStyle name="Vírgula 2 2 6 2 4" xfId="16830"/>
    <cellStyle name="Vírgula 2 2 6 2 4 2" xfId="43319"/>
    <cellStyle name="Vírgula 2 2 6 2 4 3" xfId="24507"/>
    <cellStyle name="Vírgula 2 2 6 2 5" xfId="10903"/>
    <cellStyle name="Vírgula 2 2 6 2 5 2" xfId="37411"/>
    <cellStyle name="Vírgula 2 2 6 2 6" xfId="31041"/>
    <cellStyle name="Vírgula 2 2 6 2 7" xfId="22735"/>
    <cellStyle name="Vírgula 2 2 6 3" xfId="4638"/>
    <cellStyle name="Vírgula 2 2 6 3 2" xfId="6410"/>
    <cellStyle name="Vírgula 2 2 6 3 2 2" xfId="9470"/>
    <cellStyle name="Vírgula 2 2 6 3 2 2 2" xfId="21324"/>
    <cellStyle name="Vírgula 2 2 6 3 2 2 2 2" xfId="47803"/>
    <cellStyle name="Vírgula 2 2 6 3 2 2 3" xfId="15397"/>
    <cellStyle name="Vírgula 2 2 6 3 2 2 3 2" xfId="41895"/>
    <cellStyle name="Vírgula 2 2 6 3 2 2 4" xfId="35987"/>
    <cellStyle name="Vírgula 2 2 6 3 2 2 5" xfId="29453"/>
    <cellStyle name="Vírgula 2 2 6 3 2 3" xfId="18360"/>
    <cellStyle name="Vírgula 2 2 6 3 2 3 2" xfId="44849"/>
    <cellStyle name="Vírgula 2 2 6 3 2 4" xfId="12433"/>
    <cellStyle name="Vírgula 2 2 6 3 2 4 2" xfId="38941"/>
    <cellStyle name="Vírgula 2 2 6 3 2 5" xfId="32937"/>
    <cellStyle name="Vírgula 2 2 6 3 2 6" xfId="26403"/>
    <cellStyle name="Vírgula 2 2 6 3 3" xfId="8002"/>
    <cellStyle name="Vírgula 2 2 6 3 3 2" xfId="19856"/>
    <cellStyle name="Vírgula 2 2 6 3 3 2 2" xfId="46335"/>
    <cellStyle name="Vírgula 2 2 6 3 3 3" xfId="13929"/>
    <cellStyle name="Vírgula 2 2 6 3 3 3 2" xfId="40427"/>
    <cellStyle name="Vírgula 2 2 6 3 3 4" xfId="34519"/>
    <cellStyle name="Vírgula 2 2 6 3 3 5" xfId="27985"/>
    <cellStyle name="Vírgula 2 2 6 3 4" xfId="16892"/>
    <cellStyle name="Vírgula 2 2 6 3 4 2" xfId="43381"/>
    <cellStyle name="Vírgula 2 2 6 3 4 3" xfId="24631"/>
    <cellStyle name="Vírgula 2 2 6 3 5" xfId="10965"/>
    <cellStyle name="Vírgula 2 2 6 3 5 2" xfId="37473"/>
    <cellStyle name="Vírgula 2 2 6 3 6" xfId="31165"/>
    <cellStyle name="Vírgula 2 2 6 3 7" xfId="22859"/>
    <cellStyle name="Vírgula 2 2 6 4" xfId="4762"/>
    <cellStyle name="Vírgula 2 2 6 4 2" xfId="6534"/>
    <cellStyle name="Vírgula 2 2 6 4 2 2" xfId="9532"/>
    <cellStyle name="Vírgula 2 2 6 4 2 2 2" xfId="21386"/>
    <cellStyle name="Vírgula 2 2 6 4 2 2 2 2" xfId="47865"/>
    <cellStyle name="Vírgula 2 2 6 4 2 2 3" xfId="15459"/>
    <cellStyle name="Vírgula 2 2 6 4 2 2 3 2" xfId="41957"/>
    <cellStyle name="Vírgula 2 2 6 4 2 2 4" xfId="36049"/>
    <cellStyle name="Vírgula 2 2 6 4 2 2 5" xfId="29515"/>
    <cellStyle name="Vírgula 2 2 6 4 2 3" xfId="18422"/>
    <cellStyle name="Vírgula 2 2 6 4 2 3 2" xfId="44911"/>
    <cellStyle name="Vírgula 2 2 6 4 2 4" xfId="12495"/>
    <cellStyle name="Vírgula 2 2 6 4 2 4 2" xfId="39003"/>
    <cellStyle name="Vírgula 2 2 6 4 2 5" xfId="33061"/>
    <cellStyle name="Vírgula 2 2 6 4 2 6" xfId="26527"/>
    <cellStyle name="Vírgula 2 2 6 4 3" xfId="8064"/>
    <cellStyle name="Vírgula 2 2 6 4 3 2" xfId="19918"/>
    <cellStyle name="Vírgula 2 2 6 4 3 2 2" xfId="46397"/>
    <cellStyle name="Vírgula 2 2 6 4 3 3" xfId="13991"/>
    <cellStyle name="Vírgula 2 2 6 4 3 3 2" xfId="40489"/>
    <cellStyle name="Vírgula 2 2 6 4 3 4" xfId="34581"/>
    <cellStyle name="Vírgula 2 2 6 4 3 5" xfId="28047"/>
    <cellStyle name="Vírgula 2 2 6 4 4" xfId="16954"/>
    <cellStyle name="Vírgula 2 2 6 4 4 2" xfId="43443"/>
    <cellStyle name="Vírgula 2 2 6 4 4 3" xfId="24755"/>
    <cellStyle name="Vírgula 2 2 6 4 5" xfId="11027"/>
    <cellStyle name="Vírgula 2 2 6 4 5 2" xfId="37535"/>
    <cellStyle name="Vírgula 2 2 6 4 6" xfId="31289"/>
    <cellStyle name="Vírgula 2 2 6 4 7" xfId="22983"/>
    <cellStyle name="Vírgula 2 2 6 5" xfId="2401"/>
    <cellStyle name="Vírgula 2 2 6 5 2" xfId="5572"/>
    <cellStyle name="Vírgula 2 2 6 5 2 2" xfId="8784"/>
    <cellStyle name="Vírgula 2 2 6 5 2 2 2" xfId="20638"/>
    <cellStyle name="Vírgula 2 2 6 5 2 2 2 2" xfId="47117"/>
    <cellStyle name="Vírgula 2 2 6 5 2 2 3" xfId="14711"/>
    <cellStyle name="Vírgula 2 2 6 5 2 2 3 2" xfId="41209"/>
    <cellStyle name="Vírgula 2 2 6 5 2 2 4" xfId="35301"/>
    <cellStyle name="Vírgula 2 2 6 5 2 2 5" xfId="28767"/>
    <cellStyle name="Vírgula 2 2 6 5 2 3" xfId="17674"/>
    <cellStyle name="Vírgula 2 2 6 5 2 3 2" xfId="44163"/>
    <cellStyle name="Vírgula 2 2 6 5 2 4" xfId="11747"/>
    <cellStyle name="Vírgula 2 2 6 5 2 4 2" xfId="38255"/>
    <cellStyle name="Vírgula 2 2 6 5 2 5" xfId="32099"/>
    <cellStyle name="Vírgula 2 2 6 5 2 6" xfId="25565"/>
    <cellStyle name="Vírgula 2 2 6 5 3" xfId="7312"/>
    <cellStyle name="Vírgula 2 2 6 5 3 2" xfId="19166"/>
    <cellStyle name="Vírgula 2 2 6 5 3 2 2" xfId="45649"/>
    <cellStyle name="Vírgula 2 2 6 5 3 3" xfId="13239"/>
    <cellStyle name="Vírgula 2 2 6 5 3 3 2" xfId="39741"/>
    <cellStyle name="Vírgula 2 2 6 5 3 4" xfId="33833"/>
    <cellStyle name="Vírgula 2 2 6 5 3 5" xfId="27299"/>
    <cellStyle name="Vírgula 2 2 6 5 4" xfId="16202"/>
    <cellStyle name="Vírgula 2 2 6 5 4 2" xfId="42695"/>
    <cellStyle name="Vírgula 2 2 6 5 5" xfId="10275"/>
    <cellStyle name="Vírgula 2 2 6 5 5 2" xfId="36787"/>
    <cellStyle name="Vírgula 2 2 6 5 6" xfId="30327"/>
    <cellStyle name="Vírgula 2 2 6 5 7" xfId="23793"/>
    <cellStyle name="Vírgula 2 2 6 6" xfId="4886"/>
    <cellStyle name="Vírgula 2 2 6 6 2" xfId="8126"/>
    <cellStyle name="Vírgula 2 2 6 6 2 2" xfId="19980"/>
    <cellStyle name="Vírgula 2 2 6 6 2 2 2" xfId="46459"/>
    <cellStyle name="Vírgula 2 2 6 6 2 3" xfId="14053"/>
    <cellStyle name="Vírgula 2 2 6 6 2 3 2" xfId="40551"/>
    <cellStyle name="Vírgula 2 2 6 6 2 4" xfId="34643"/>
    <cellStyle name="Vírgula 2 2 6 6 2 5" xfId="28109"/>
    <cellStyle name="Vírgula 2 2 6 6 3" xfId="17016"/>
    <cellStyle name="Vírgula 2 2 6 6 3 2" xfId="43505"/>
    <cellStyle name="Vírgula 2 2 6 6 4" xfId="11089"/>
    <cellStyle name="Vírgula 2 2 6 6 4 2" xfId="37597"/>
    <cellStyle name="Vírgula 2 2 6 6 5" xfId="31413"/>
    <cellStyle name="Vírgula 2 2 6 6 6" xfId="24879"/>
    <cellStyle name="Vírgula 2 2 6 7" xfId="6650"/>
    <cellStyle name="Vírgula 2 2 6 7 2" xfId="18504"/>
    <cellStyle name="Vírgula 2 2 6 7 2 2" xfId="44991"/>
    <cellStyle name="Vírgula 2 2 6 7 3" xfId="12577"/>
    <cellStyle name="Vírgula 2 2 6 7 3 2" xfId="39083"/>
    <cellStyle name="Vírgula 2 2 6 7 4" xfId="33175"/>
    <cellStyle name="Vírgula 2 2 6 7 5" xfId="26641"/>
    <cellStyle name="Vírgula 2 2 6 8" xfId="15540"/>
    <cellStyle name="Vírgula 2 2 6 8 2" xfId="42037"/>
    <cellStyle name="Vírgula 2 2 6 8 3" xfId="23107"/>
    <cellStyle name="Vírgula 2 2 6 9" xfId="9613"/>
    <cellStyle name="Vírgula 2 2 6 9 2" xfId="36129"/>
    <cellStyle name="Vírgula 2 2 7" xfId="2929"/>
    <cellStyle name="Vírgula 2 2 7 2" xfId="5719"/>
    <cellStyle name="Vírgula 2 2 7 2 2" xfId="8931"/>
    <cellStyle name="Vírgula 2 2 7 2 2 2" xfId="20785"/>
    <cellStyle name="Vírgula 2 2 7 2 2 2 2" xfId="47264"/>
    <cellStyle name="Vírgula 2 2 7 2 2 3" xfId="14858"/>
    <cellStyle name="Vírgula 2 2 7 2 2 3 2" xfId="41356"/>
    <cellStyle name="Vírgula 2 2 7 2 2 4" xfId="35448"/>
    <cellStyle name="Vírgula 2 2 7 2 2 5" xfId="28914"/>
    <cellStyle name="Vírgula 2 2 7 2 3" xfId="17821"/>
    <cellStyle name="Vírgula 2 2 7 2 3 2" xfId="44310"/>
    <cellStyle name="Vírgula 2 2 7 2 4" xfId="11894"/>
    <cellStyle name="Vírgula 2 2 7 2 4 2" xfId="38402"/>
    <cellStyle name="Vírgula 2 2 7 2 5" xfId="32246"/>
    <cellStyle name="Vírgula 2 2 7 2 6" xfId="25712"/>
    <cellStyle name="Vírgula 2 2 7 3" xfId="7460"/>
    <cellStyle name="Vírgula 2 2 7 3 2" xfId="19314"/>
    <cellStyle name="Vírgula 2 2 7 3 2 2" xfId="45796"/>
    <cellStyle name="Vírgula 2 2 7 3 3" xfId="13387"/>
    <cellStyle name="Vírgula 2 2 7 3 3 2" xfId="39888"/>
    <cellStyle name="Vírgula 2 2 7 3 4" xfId="33980"/>
    <cellStyle name="Vírgula 2 2 7 3 5" xfId="27446"/>
    <cellStyle name="Vírgula 2 2 7 4" xfId="16350"/>
    <cellStyle name="Vírgula 2 2 7 4 2" xfId="42842"/>
    <cellStyle name="Vírgula 2 2 7 4 3" xfId="23940"/>
    <cellStyle name="Vírgula 2 2 7 5" xfId="10423"/>
    <cellStyle name="Vírgula 2 2 7 5 2" xfId="36934"/>
    <cellStyle name="Vírgula 2 2 7 6" xfId="30474"/>
    <cellStyle name="Vírgula 2 2 7 7" xfId="22168"/>
    <cellStyle name="Vírgula 2 2 8" xfId="3457"/>
    <cellStyle name="Vírgula 2 2 8 2" xfId="5866"/>
    <cellStyle name="Vírgula 2 2 8 2 2" xfId="9078"/>
    <cellStyle name="Vírgula 2 2 8 2 2 2" xfId="20932"/>
    <cellStyle name="Vírgula 2 2 8 2 2 2 2" xfId="47411"/>
    <cellStyle name="Vírgula 2 2 8 2 2 3" xfId="15005"/>
    <cellStyle name="Vírgula 2 2 8 2 2 3 2" xfId="41503"/>
    <cellStyle name="Vírgula 2 2 8 2 2 4" xfId="35595"/>
    <cellStyle name="Vírgula 2 2 8 2 2 5" xfId="29061"/>
    <cellStyle name="Vírgula 2 2 8 2 3" xfId="17968"/>
    <cellStyle name="Vírgula 2 2 8 2 3 2" xfId="44457"/>
    <cellStyle name="Vírgula 2 2 8 2 4" xfId="12041"/>
    <cellStyle name="Vírgula 2 2 8 2 4 2" xfId="38549"/>
    <cellStyle name="Vírgula 2 2 8 2 5" xfId="32393"/>
    <cellStyle name="Vírgula 2 2 8 2 6" xfId="25859"/>
    <cellStyle name="Vírgula 2 2 8 3" xfId="7608"/>
    <cellStyle name="Vírgula 2 2 8 3 2" xfId="19462"/>
    <cellStyle name="Vírgula 2 2 8 3 2 2" xfId="45943"/>
    <cellStyle name="Vírgula 2 2 8 3 3" xfId="13535"/>
    <cellStyle name="Vírgula 2 2 8 3 3 2" xfId="40035"/>
    <cellStyle name="Vírgula 2 2 8 3 4" xfId="34127"/>
    <cellStyle name="Vírgula 2 2 8 3 5" xfId="27593"/>
    <cellStyle name="Vírgula 2 2 8 4" xfId="16498"/>
    <cellStyle name="Vírgula 2 2 8 4 2" xfId="42989"/>
    <cellStyle name="Vírgula 2 2 8 4 3" xfId="24087"/>
    <cellStyle name="Vírgula 2 2 8 5" xfId="10571"/>
    <cellStyle name="Vírgula 2 2 8 5 2" xfId="37081"/>
    <cellStyle name="Vírgula 2 2 8 6" xfId="30621"/>
    <cellStyle name="Vírgula 2 2 8 7" xfId="22315"/>
    <cellStyle name="Vírgula 2 2 9" xfId="3985"/>
    <cellStyle name="Vírgula 2 2 9 2" xfId="6013"/>
    <cellStyle name="Vírgula 2 2 9 2 2" xfId="9225"/>
    <cellStyle name="Vírgula 2 2 9 2 2 2" xfId="21079"/>
    <cellStyle name="Vírgula 2 2 9 2 2 2 2" xfId="47558"/>
    <cellStyle name="Vírgula 2 2 9 2 2 3" xfId="15152"/>
    <cellStyle name="Vírgula 2 2 9 2 2 3 2" xfId="41650"/>
    <cellStyle name="Vírgula 2 2 9 2 2 4" xfId="35742"/>
    <cellStyle name="Vírgula 2 2 9 2 2 5" xfId="29208"/>
    <cellStyle name="Vírgula 2 2 9 2 3" xfId="18115"/>
    <cellStyle name="Vírgula 2 2 9 2 3 2" xfId="44604"/>
    <cellStyle name="Vírgula 2 2 9 2 4" xfId="12188"/>
    <cellStyle name="Vírgula 2 2 9 2 4 2" xfId="38696"/>
    <cellStyle name="Vírgula 2 2 9 2 5" xfId="32540"/>
    <cellStyle name="Vírgula 2 2 9 2 6" xfId="26006"/>
    <cellStyle name="Vírgula 2 2 9 3" xfId="7756"/>
    <cellStyle name="Vírgula 2 2 9 3 2" xfId="19610"/>
    <cellStyle name="Vírgula 2 2 9 3 2 2" xfId="46090"/>
    <cellStyle name="Vírgula 2 2 9 3 3" xfId="13683"/>
    <cellStyle name="Vírgula 2 2 9 3 3 2" xfId="40182"/>
    <cellStyle name="Vírgula 2 2 9 3 4" xfId="34274"/>
    <cellStyle name="Vírgula 2 2 9 3 5" xfId="27740"/>
    <cellStyle name="Vírgula 2 2 9 4" xfId="16646"/>
    <cellStyle name="Vírgula 2 2 9 4 2" xfId="43136"/>
    <cellStyle name="Vírgula 2 2 9 4 3" xfId="24234"/>
    <cellStyle name="Vírgula 2 2 9 5" xfId="10719"/>
    <cellStyle name="Vírgula 2 2 9 5 2" xfId="37228"/>
    <cellStyle name="Vírgula 2 2 9 6" xfId="30768"/>
    <cellStyle name="Vírgula 2 2 9 7" xfId="22462"/>
    <cellStyle name="Vírgula 2 3" xfId="24"/>
    <cellStyle name="Vírgula 2 3 10" xfId="4346"/>
    <cellStyle name="Vírgula 2 3 10 2" xfId="6118"/>
    <cellStyle name="Vírgula 2 3 10 2 2" xfId="9324"/>
    <cellStyle name="Vírgula 2 3 10 2 2 2" xfId="21178"/>
    <cellStyle name="Vírgula 2 3 10 2 2 2 2" xfId="47657"/>
    <cellStyle name="Vírgula 2 3 10 2 2 3" xfId="15251"/>
    <cellStyle name="Vírgula 2 3 10 2 2 3 2" xfId="41749"/>
    <cellStyle name="Vírgula 2 3 10 2 2 4" xfId="35841"/>
    <cellStyle name="Vírgula 2 3 10 2 2 5" xfId="29307"/>
    <cellStyle name="Vírgula 2 3 10 2 3" xfId="18214"/>
    <cellStyle name="Vírgula 2 3 10 2 3 2" xfId="44703"/>
    <cellStyle name="Vírgula 2 3 10 2 4" xfId="12287"/>
    <cellStyle name="Vírgula 2 3 10 2 4 2" xfId="38795"/>
    <cellStyle name="Vírgula 2 3 10 2 5" xfId="32645"/>
    <cellStyle name="Vírgula 2 3 10 2 6" xfId="26111"/>
    <cellStyle name="Vírgula 2 3 10 3" xfId="7856"/>
    <cellStyle name="Vírgula 2 3 10 3 2" xfId="19710"/>
    <cellStyle name="Vírgula 2 3 10 3 2 2" xfId="46189"/>
    <cellStyle name="Vírgula 2 3 10 3 3" xfId="13783"/>
    <cellStyle name="Vírgula 2 3 10 3 3 2" xfId="40281"/>
    <cellStyle name="Vírgula 2 3 10 3 4" xfId="34373"/>
    <cellStyle name="Vírgula 2 3 10 3 5" xfId="27839"/>
    <cellStyle name="Vírgula 2 3 10 4" xfId="16746"/>
    <cellStyle name="Vírgula 2 3 10 4 2" xfId="43235"/>
    <cellStyle name="Vírgula 2 3 10 4 3" xfId="24339"/>
    <cellStyle name="Vírgula 2 3 10 5" xfId="10819"/>
    <cellStyle name="Vírgula 2 3 10 5 2" xfId="37327"/>
    <cellStyle name="Vírgula 2 3 10 6" xfId="30873"/>
    <cellStyle name="Vírgula 2 3 10 7" xfId="22567"/>
    <cellStyle name="Vírgula 2 3 11" xfId="4432"/>
    <cellStyle name="Vírgula 2 3 11 2" xfId="6204"/>
    <cellStyle name="Vírgula 2 3 11 2 2" xfId="9367"/>
    <cellStyle name="Vírgula 2 3 11 2 2 2" xfId="21221"/>
    <cellStyle name="Vírgula 2 3 11 2 2 2 2" xfId="47700"/>
    <cellStyle name="Vírgula 2 3 11 2 2 3" xfId="15294"/>
    <cellStyle name="Vírgula 2 3 11 2 2 3 2" xfId="41792"/>
    <cellStyle name="Vírgula 2 3 11 2 2 4" xfId="35884"/>
    <cellStyle name="Vírgula 2 3 11 2 2 5" xfId="29350"/>
    <cellStyle name="Vírgula 2 3 11 2 3" xfId="18257"/>
    <cellStyle name="Vírgula 2 3 11 2 3 2" xfId="44746"/>
    <cellStyle name="Vírgula 2 3 11 2 4" xfId="12330"/>
    <cellStyle name="Vírgula 2 3 11 2 4 2" xfId="38838"/>
    <cellStyle name="Vírgula 2 3 11 2 5" xfId="32731"/>
    <cellStyle name="Vírgula 2 3 11 2 6" xfId="26197"/>
    <cellStyle name="Vírgula 2 3 11 3" xfId="7899"/>
    <cellStyle name="Vírgula 2 3 11 3 2" xfId="19753"/>
    <cellStyle name="Vírgula 2 3 11 3 2 2" xfId="46232"/>
    <cellStyle name="Vírgula 2 3 11 3 3" xfId="13826"/>
    <cellStyle name="Vírgula 2 3 11 3 3 2" xfId="40324"/>
    <cellStyle name="Vírgula 2 3 11 3 4" xfId="34416"/>
    <cellStyle name="Vírgula 2 3 11 3 5" xfId="27882"/>
    <cellStyle name="Vírgula 2 3 11 4" xfId="16789"/>
    <cellStyle name="Vírgula 2 3 11 4 2" xfId="43278"/>
    <cellStyle name="Vírgula 2 3 11 4 3" xfId="24425"/>
    <cellStyle name="Vírgula 2 3 11 5" xfId="10862"/>
    <cellStyle name="Vírgula 2 3 11 5 2" xfId="37370"/>
    <cellStyle name="Vírgula 2 3 11 6" xfId="30959"/>
    <cellStyle name="Vírgula 2 3 11 7" xfId="22653"/>
    <cellStyle name="Vírgula 2 3 12" xfId="4556"/>
    <cellStyle name="Vírgula 2 3 12 2" xfId="6328"/>
    <cellStyle name="Vírgula 2 3 12 2 2" xfId="9429"/>
    <cellStyle name="Vírgula 2 3 12 2 2 2" xfId="21283"/>
    <cellStyle name="Vírgula 2 3 12 2 2 2 2" xfId="47762"/>
    <cellStyle name="Vírgula 2 3 12 2 2 3" xfId="15356"/>
    <cellStyle name="Vírgula 2 3 12 2 2 3 2" xfId="41854"/>
    <cellStyle name="Vírgula 2 3 12 2 2 4" xfId="35946"/>
    <cellStyle name="Vírgula 2 3 12 2 2 5" xfId="29412"/>
    <cellStyle name="Vírgula 2 3 12 2 3" xfId="18319"/>
    <cellStyle name="Vírgula 2 3 12 2 3 2" xfId="44808"/>
    <cellStyle name="Vírgula 2 3 12 2 4" xfId="12392"/>
    <cellStyle name="Vírgula 2 3 12 2 4 2" xfId="38900"/>
    <cellStyle name="Vírgula 2 3 12 2 5" xfId="32855"/>
    <cellStyle name="Vírgula 2 3 12 2 6" xfId="26321"/>
    <cellStyle name="Vírgula 2 3 12 3" xfId="7961"/>
    <cellStyle name="Vírgula 2 3 12 3 2" xfId="19815"/>
    <cellStyle name="Vírgula 2 3 12 3 2 2" xfId="46294"/>
    <cellStyle name="Vírgula 2 3 12 3 3" xfId="13888"/>
    <cellStyle name="Vírgula 2 3 12 3 3 2" xfId="40386"/>
    <cellStyle name="Vírgula 2 3 12 3 4" xfId="34478"/>
    <cellStyle name="Vírgula 2 3 12 3 5" xfId="27944"/>
    <cellStyle name="Vírgula 2 3 12 4" xfId="16851"/>
    <cellStyle name="Vírgula 2 3 12 4 2" xfId="43340"/>
    <cellStyle name="Vírgula 2 3 12 4 3" xfId="24549"/>
    <cellStyle name="Vírgula 2 3 12 5" xfId="10924"/>
    <cellStyle name="Vírgula 2 3 12 5 2" xfId="37432"/>
    <cellStyle name="Vírgula 2 3 12 6" xfId="31083"/>
    <cellStyle name="Vírgula 2 3 12 7" xfId="22777"/>
    <cellStyle name="Vírgula 2 3 13" xfId="4680"/>
    <cellStyle name="Vírgula 2 3 13 2" xfId="6452"/>
    <cellStyle name="Vírgula 2 3 13 2 2" xfId="9491"/>
    <cellStyle name="Vírgula 2 3 13 2 2 2" xfId="21345"/>
    <cellStyle name="Vírgula 2 3 13 2 2 2 2" xfId="47824"/>
    <cellStyle name="Vírgula 2 3 13 2 2 3" xfId="15418"/>
    <cellStyle name="Vírgula 2 3 13 2 2 3 2" xfId="41916"/>
    <cellStyle name="Vírgula 2 3 13 2 2 4" xfId="36008"/>
    <cellStyle name="Vírgula 2 3 13 2 2 5" xfId="29474"/>
    <cellStyle name="Vírgula 2 3 13 2 3" xfId="18381"/>
    <cellStyle name="Vírgula 2 3 13 2 3 2" xfId="44870"/>
    <cellStyle name="Vírgula 2 3 13 2 4" xfId="12454"/>
    <cellStyle name="Vírgula 2 3 13 2 4 2" xfId="38962"/>
    <cellStyle name="Vírgula 2 3 13 2 5" xfId="32979"/>
    <cellStyle name="Vírgula 2 3 13 2 6" xfId="26445"/>
    <cellStyle name="Vírgula 2 3 13 3" xfId="8023"/>
    <cellStyle name="Vírgula 2 3 13 3 2" xfId="19877"/>
    <cellStyle name="Vírgula 2 3 13 3 2 2" xfId="46356"/>
    <cellStyle name="Vírgula 2 3 13 3 3" xfId="13950"/>
    <cellStyle name="Vírgula 2 3 13 3 3 2" xfId="40448"/>
    <cellStyle name="Vírgula 2 3 13 3 4" xfId="34540"/>
    <cellStyle name="Vírgula 2 3 13 3 5" xfId="28006"/>
    <cellStyle name="Vírgula 2 3 13 4" xfId="16913"/>
    <cellStyle name="Vírgula 2 3 13 4 2" xfId="43402"/>
    <cellStyle name="Vírgula 2 3 13 4 3" xfId="24673"/>
    <cellStyle name="Vírgula 2 3 13 5" xfId="10986"/>
    <cellStyle name="Vírgula 2 3 13 5 2" xfId="37494"/>
    <cellStyle name="Vírgula 2 3 13 6" xfId="31207"/>
    <cellStyle name="Vírgula 2 3 13 7" xfId="22901"/>
    <cellStyle name="Vírgula 2 3 14" xfId="431"/>
    <cellStyle name="Vírgula 2 3 14 2" xfId="5005"/>
    <cellStyle name="Vírgula 2 3 14 2 2" xfId="8223"/>
    <cellStyle name="Vírgula 2 3 14 2 2 2" xfId="20077"/>
    <cellStyle name="Vírgula 2 3 14 2 2 2 2" xfId="46556"/>
    <cellStyle name="Vírgula 2 3 14 2 2 3" xfId="14150"/>
    <cellStyle name="Vírgula 2 3 14 2 2 3 2" xfId="40648"/>
    <cellStyle name="Vírgula 2 3 14 2 2 4" xfId="34740"/>
    <cellStyle name="Vírgula 2 3 14 2 2 5" xfId="28206"/>
    <cellStyle name="Vírgula 2 3 14 2 3" xfId="17113"/>
    <cellStyle name="Vírgula 2 3 14 2 3 2" xfId="43602"/>
    <cellStyle name="Vírgula 2 3 14 2 4" xfId="11186"/>
    <cellStyle name="Vírgula 2 3 14 2 4 2" xfId="37694"/>
    <cellStyle name="Vírgula 2 3 14 2 5" xfId="31532"/>
    <cellStyle name="Vírgula 2 3 14 2 6" xfId="24998"/>
    <cellStyle name="Vírgula 2 3 14 3" xfId="6747"/>
    <cellStyle name="Vírgula 2 3 14 3 2" xfId="18601"/>
    <cellStyle name="Vírgula 2 3 14 3 2 2" xfId="45088"/>
    <cellStyle name="Vírgula 2 3 14 3 3" xfId="12674"/>
    <cellStyle name="Vírgula 2 3 14 3 3 2" xfId="39180"/>
    <cellStyle name="Vírgula 2 3 14 3 4" xfId="33272"/>
    <cellStyle name="Vírgula 2 3 14 3 5" xfId="26738"/>
    <cellStyle name="Vírgula 2 3 14 4" xfId="15637"/>
    <cellStyle name="Vírgula 2 3 14 4 2" xfId="42134"/>
    <cellStyle name="Vírgula 2 3 14 5" xfId="9710"/>
    <cellStyle name="Vírgula 2 3 14 5 2" xfId="36226"/>
    <cellStyle name="Vírgula 2 3 14 6" xfId="29760"/>
    <cellStyle name="Vírgula 2 3 14 7" xfId="23226"/>
    <cellStyle name="Vírgula 2 3 15" xfId="4804"/>
    <cellStyle name="Vírgula 2 3 15 2" xfId="8085"/>
    <cellStyle name="Vírgula 2 3 15 2 2" xfId="19939"/>
    <cellStyle name="Vírgula 2 3 15 2 2 2" xfId="46418"/>
    <cellStyle name="Vírgula 2 3 15 2 3" xfId="14012"/>
    <cellStyle name="Vírgula 2 3 15 2 3 2" xfId="40510"/>
    <cellStyle name="Vírgula 2 3 15 2 4" xfId="34602"/>
    <cellStyle name="Vírgula 2 3 15 2 5" xfId="28068"/>
    <cellStyle name="Vírgula 2 3 15 3" xfId="16975"/>
    <cellStyle name="Vírgula 2 3 15 3 2" xfId="43464"/>
    <cellStyle name="Vírgula 2 3 15 4" xfId="11048"/>
    <cellStyle name="Vírgula 2 3 15 4 2" xfId="37556"/>
    <cellStyle name="Vírgula 2 3 15 5" xfId="31331"/>
    <cellStyle name="Vírgula 2 3 15 6" xfId="24797"/>
    <cellStyle name="Vírgula 2 3 16" xfId="6609"/>
    <cellStyle name="Vírgula 2 3 16 2" xfId="18463"/>
    <cellStyle name="Vírgula 2 3 16 2 2" xfId="44950"/>
    <cellStyle name="Vírgula 2 3 16 3" xfId="12536"/>
    <cellStyle name="Vírgula 2 3 16 3 2" xfId="39042"/>
    <cellStyle name="Vírgula 2 3 16 4" xfId="33134"/>
    <cellStyle name="Vírgula 2 3 16 5" xfId="26600"/>
    <cellStyle name="Vírgula 2 3 17" xfId="15499"/>
    <cellStyle name="Vírgula 2 3 17 2" xfId="41996"/>
    <cellStyle name="Vírgula 2 3 17 3" xfId="23025"/>
    <cellStyle name="Vírgula 2 3 18" xfId="9572"/>
    <cellStyle name="Vírgula 2 3 18 2" xfId="36088"/>
    <cellStyle name="Vírgula 2 3 19" xfId="29559"/>
    <cellStyle name="Vírgula 2 3 2" xfId="787"/>
    <cellStyle name="Vírgula 2 3 2 2" xfId="5100"/>
    <cellStyle name="Vírgula 2 3 2 2 2" xfId="8315"/>
    <cellStyle name="Vírgula 2 3 2 2 2 2" xfId="20169"/>
    <cellStyle name="Vírgula 2 3 2 2 2 2 2" xfId="46648"/>
    <cellStyle name="Vírgula 2 3 2 2 2 3" xfId="14242"/>
    <cellStyle name="Vírgula 2 3 2 2 2 3 2" xfId="40740"/>
    <cellStyle name="Vírgula 2 3 2 2 2 4" xfId="34832"/>
    <cellStyle name="Vírgula 2 3 2 2 2 5" xfId="28298"/>
    <cellStyle name="Vírgula 2 3 2 2 3" xfId="17205"/>
    <cellStyle name="Vírgula 2 3 2 2 3 2" xfId="43694"/>
    <cellStyle name="Vírgula 2 3 2 2 4" xfId="11278"/>
    <cellStyle name="Vírgula 2 3 2 2 4 2" xfId="37786"/>
    <cellStyle name="Vírgula 2 3 2 2 5" xfId="31627"/>
    <cellStyle name="Vírgula 2 3 2 2 6" xfId="25093"/>
    <cellStyle name="Vírgula 2 3 2 3" xfId="6842"/>
    <cellStyle name="Vírgula 2 3 2 3 2" xfId="18696"/>
    <cellStyle name="Vírgula 2 3 2 3 2 2" xfId="45180"/>
    <cellStyle name="Vírgula 2 3 2 3 3" xfId="12769"/>
    <cellStyle name="Vírgula 2 3 2 3 3 2" xfId="39272"/>
    <cellStyle name="Vírgula 2 3 2 3 4" xfId="33364"/>
    <cellStyle name="Vírgula 2 3 2 3 5" xfId="26830"/>
    <cellStyle name="Vírgula 2 3 2 4" xfId="15732"/>
    <cellStyle name="Vírgula 2 3 2 4 2" xfId="42226"/>
    <cellStyle name="Vírgula 2 3 2 4 3" xfId="23321"/>
    <cellStyle name="Vírgula 2 3 2 5" xfId="9805"/>
    <cellStyle name="Vírgula 2 3 2 5 2" xfId="36318"/>
    <cellStyle name="Vírgula 2 3 2 6" xfId="29855"/>
    <cellStyle name="Vírgula 2 3 2 7" xfId="21549"/>
    <cellStyle name="Vírgula 2 3 20" xfId="21478"/>
    <cellStyle name="Vírgula 2 3 3" xfId="991"/>
    <cellStyle name="Vírgula 2 3 3 2" xfId="5177"/>
    <cellStyle name="Vírgula 2 3 3 2 2" xfId="8392"/>
    <cellStyle name="Vírgula 2 3 3 2 2 2" xfId="20246"/>
    <cellStyle name="Vírgula 2 3 3 2 2 2 2" xfId="46725"/>
    <cellStyle name="Vírgula 2 3 3 2 2 3" xfId="14319"/>
    <cellStyle name="Vírgula 2 3 3 2 2 3 2" xfId="40817"/>
    <cellStyle name="Vírgula 2 3 3 2 2 4" xfId="34909"/>
    <cellStyle name="Vírgula 2 3 3 2 2 5" xfId="28375"/>
    <cellStyle name="Vírgula 2 3 3 2 3" xfId="17282"/>
    <cellStyle name="Vírgula 2 3 3 2 3 2" xfId="43771"/>
    <cellStyle name="Vírgula 2 3 3 2 4" xfId="11355"/>
    <cellStyle name="Vírgula 2 3 3 2 4 2" xfId="37863"/>
    <cellStyle name="Vírgula 2 3 3 2 5" xfId="31704"/>
    <cellStyle name="Vírgula 2 3 3 2 6" xfId="25170"/>
    <cellStyle name="Vírgula 2 3 3 3" xfId="6919"/>
    <cellStyle name="Vírgula 2 3 3 3 2" xfId="18773"/>
    <cellStyle name="Vírgula 2 3 3 3 2 2" xfId="45257"/>
    <cellStyle name="Vírgula 2 3 3 3 3" xfId="12846"/>
    <cellStyle name="Vírgula 2 3 3 3 3 2" xfId="39349"/>
    <cellStyle name="Vírgula 2 3 3 3 4" xfId="33441"/>
    <cellStyle name="Vírgula 2 3 3 3 5" xfId="26907"/>
    <cellStyle name="Vírgula 2 3 3 4" xfId="15809"/>
    <cellStyle name="Vírgula 2 3 3 4 2" xfId="42303"/>
    <cellStyle name="Vírgula 2 3 3 4 3" xfId="23398"/>
    <cellStyle name="Vírgula 2 3 3 5" xfId="9882"/>
    <cellStyle name="Vírgula 2 3 3 5 2" xfId="36395"/>
    <cellStyle name="Vírgula 2 3 3 6" xfId="29932"/>
    <cellStyle name="Vírgula 2 3 3 7" xfId="21626"/>
    <cellStyle name="Vírgula 2 3 4" xfId="1342"/>
    <cellStyle name="Vírgula 2 3 4 2" xfId="5275"/>
    <cellStyle name="Vírgula 2 3 4 2 2" xfId="8490"/>
    <cellStyle name="Vírgula 2 3 4 2 2 2" xfId="20344"/>
    <cellStyle name="Vírgula 2 3 4 2 2 2 2" xfId="46823"/>
    <cellStyle name="Vírgula 2 3 4 2 2 3" xfId="14417"/>
    <cellStyle name="Vírgula 2 3 4 2 2 3 2" xfId="40915"/>
    <cellStyle name="Vírgula 2 3 4 2 2 4" xfId="35007"/>
    <cellStyle name="Vírgula 2 3 4 2 2 5" xfId="28473"/>
    <cellStyle name="Vírgula 2 3 4 2 3" xfId="17380"/>
    <cellStyle name="Vírgula 2 3 4 2 3 2" xfId="43869"/>
    <cellStyle name="Vírgula 2 3 4 2 4" xfId="11453"/>
    <cellStyle name="Vírgula 2 3 4 2 4 2" xfId="37961"/>
    <cellStyle name="Vírgula 2 3 4 2 5" xfId="31802"/>
    <cellStyle name="Vírgula 2 3 4 2 6" xfId="25268"/>
    <cellStyle name="Vírgula 2 3 4 3" xfId="7017"/>
    <cellStyle name="Vírgula 2 3 4 3 2" xfId="18871"/>
    <cellStyle name="Vírgula 2 3 4 3 2 2" xfId="45355"/>
    <cellStyle name="Vírgula 2 3 4 3 3" xfId="12944"/>
    <cellStyle name="Vírgula 2 3 4 3 3 2" xfId="39447"/>
    <cellStyle name="Vírgula 2 3 4 3 4" xfId="33539"/>
    <cellStyle name="Vírgula 2 3 4 3 5" xfId="27005"/>
    <cellStyle name="Vírgula 2 3 4 4" xfId="15907"/>
    <cellStyle name="Vírgula 2 3 4 4 2" xfId="42401"/>
    <cellStyle name="Vírgula 2 3 4 4 3" xfId="23496"/>
    <cellStyle name="Vírgula 2 3 4 5" xfId="9980"/>
    <cellStyle name="Vírgula 2 3 4 5 2" xfId="36493"/>
    <cellStyle name="Vírgula 2 3 4 6" xfId="30030"/>
    <cellStyle name="Vírgula 2 3 4 7" xfId="21724"/>
    <cellStyle name="Vírgula 2 3 5" xfId="1777"/>
    <cellStyle name="Vírgula 2 3 5 2" xfId="5394"/>
    <cellStyle name="Vírgula 2 3 5 2 2" xfId="8609"/>
    <cellStyle name="Vírgula 2 3 5 2 2 2" xfId="20463"/>
    <cellStyle name="Vírgula 2 3 5 2 2 2 2" xfId="46942"/>
    <cellStyle name="Vírgula 2 3 5 2 2 3" xfId="14536"/>
    <cellStyle name="Vírgula 2 3 5 2 2 3 2" xfId="41034"/>
    <cellStyle name="Vírgula 2 3 5 2 2 4" xfId="35126"/>
    <cellStyle name="Vírgula 2 3 5 2 2 5" xfId="28592"/>
    <cellStyle name="Vírgula 2 3 5 2 3" xfId="17499"/>
    <cellStyle name="Vírgula 2 3 5 2 3 2" xfId="43988"/>
    <cellStyle name="Vírgula 2 3 5 2 4" xfId="11572"/>
    <cellStyle name="Vírgula 2 3 5 2 4 2" xfId="38080"/>
    <cellStyle name="Vírgula 2 3 5 2 5" xfId="31921"/>
    <cellStyle name="Vírgula 2 3 5 2 6" xfId="25387"/>
    <cellStyle name="Vírgula 2 3 5 3" xfId="7136"/>
    <cellStyle name="Vírgula 2 3 5 3 2" xfId="18990"/>
    <cellStyle name="Vírgula 2 3 5 3 2 2" xfId="45474"/>
    <cellStyle name="Vírgula 2 3 5 3 3" xfId="13063"/>
    <cellStyle name="Vírgula 2 3 5 3 3 2" xfId="39566"/>
    <cellStyle name="Vírgula 2 3 5 3 4" xfId="33658"/>
    <cellStyle name="Vírgula 2 3 5 3 5" xfId="27124"/>
    <cellStyle name="Vírgula 2 3 5 4" xfId="16026"/>
    <cellStyle name="Vírgula 2 3 5 4 2" xfId="42520"/>
    <cellStyle name="Vírgula 2 3 5 4 3" xfId="23615"/>
    <cellStyle name="Vírgula 2 3 5 5" xfId="10099"/>
    <cellStyle name="Vírgula 2 3 5 5 2" xfId="36612"/>
    <cellStyle name="Vírgula 2 3 5 6" xfId="30149"/>
    <cellStyle name="Vírgula 2 3 5 7" xfId="21843"/>
    <cellStyle name="Vírgula 2 3 6" xfId="2310"/>
    <cellStyle name="Vírgula 2 3 6 2" xfId="5544"/>
    <cellStyle name="Vírgula 2 3 6 2 2" xfId="8756"/>
    <cellStyle name="Vírgula 2 3 6 2 2 2" xfId="20610"/>
    <cellStyle name="Vírgula 2 3 6 2 2 2 2" xfId="47089"/>
    <cellStyle name="Vírgula 2 3 6 2 2 3" xfId="14683"/>
    <cellStyle name="Vírgula 2 3 6 2 2 3 2" xfId="41181"/>
    <cellStyle name="Vírgula 2 3 6 2 2 4" xfId="35273"/>
    <cellStyle name="Vírgula 2 3 6 2 2 5" xfId="28739"/>
    <cellStyle name="Vírgula 2 3 6 2 3" xfId="17646"/>
    <cellStyle name="Vírgula 2 3 6 2 3 2" xfId="44135"/>
    <cellStyle name="Vírgula 2 3 6 2 4" xfId="11719"/>
    <cellStyle name="Vírgula 2 3 6 2 4 2" xfId="38227"/>
    <cellStyle name="Vírgula 2 3 6 2 5" xfId="32071"/>
    <cellStyle name="Vírgula 2 3 6 2 6" xfId="25537"/>
    <cellStyle name="Vírgula 2 3 6 3" xfId="7284"/>
    <cellStyle name="Vírgula 2 3 6 3 2" xfId="19138"/>
    <cellStyle name="Vírgula 2 3 6 3 2 2" xfId="45621"/>
    <cellStyle name="Vírgula 2 3 6 3 3" xfId="13211"/>
    <cellStyle name="Vírgula 2 3 6 3 3 2" xfId="39713"/>
    <cellStyle name="Vírgula 2 3 6 3 4" xfId="33805"/>
    <cellStyle name="Vírgula 2 3 6 3 5" xfId="27271"/>
    <cellStyle name="Vírgula 2 3 6 4" xfId="16174"/>
    <cellStyle name="Vírgula 2 3 6 4 2" xfId="42667"/>
    <cellStyle name="Vírgula 2 3 6 4 3" xfId="23765"/>
    <cellStyle name="Vírgula 2 3 6 5" xfId="10247"/>
    <cellStyle name="Vírgula 2 3 6 5 2" xfId="36759"/>
    <cellStyle name="Vírgula 2 3 6 6" xfId="30299"/>
    <cellStyle name="Vírgula 2 3 6 7" xfId="21993"/>
    <cellStyle name="Vírgula 2 3 7" xfId="2838"/>
    <cellStyle name="Vírgula 2 3 7 2" xfId="5691"/>
    <cellStyle name="Vírgula 2 3 7 2 2" xfId="8903"/>
    <cellStyle name="Vírgula 2 3 7 2 2 2" xfId="20757"/>
    <cellStyle name="Vírgula 2 3 7 2 2 2 2" xfId="47236"/>
    <cellStyle name="Vírgula 2 3 7 2 2 3" xfId="14830"/>
    <cellStyle name="Vírgula 2 3 7 2 2 3 2" xfId="41328"/>
    <cellStyle name="Vírgula 2 3 7 2 2 4" xfId="35420"/>
    <cellStyle name="Vírgula 2 3 7 2 2 5" xfId="28886"/>
    <cellStyle name="Vírgula 2 3 7 2 3" xfId="17793"/>
    <cellStyle name="Vírgula 2 3 7 2 3 2" xfId="44282"/>
    <cellStyle name="Vírgula 2 3 7 2 4" xfId="11866"/>
    <cellStyle name="Vírgula 2 3 7 2 4 2" xfId="38374"/>
    <cellStyle name="Vírgula 2 3 7 2 5" xfId="32218"/>
    <cellStyle name="Vírgula 2 3 7 2 6" xfId="25684"/>
    <cellStyle name="Vírgula 2 3 7 3" xfId="7432"/>
    <cellStyle name="Vírgula 2 3 7 3 2" xfId="19286"/>
    <cellStyle name="Vírgula 2 3 7 3 2 2" xfId="45768"/>
    <cellStyle name="Vírgula 2 3 7 3 3" xfId="13359"/>
    <cellStyle name="Vírgula 2 3 7 3 3 2" xfId="39860"/>
    <cellStyle name="Vírgula 2 3 7 3 4" xfId="33952"/>
    <cellStyle name="Vírgula 2 3 7 3 5" xfId="27418"/>
    <cellStyle name="Vírgula 2 3 7 4" xfId="16322"/>
    <cellStyle name="Vírgula 2 3 7 4 2" xfId="42814"/>
    <cellStyle name="Vírgula 2 3 7 4 3" xfId="23912"/>
    <cellStyle name="Vírgula 2 3 7 5" xfId="10395"/>
    <cellStyle name="Vírgula 2 3 7 5 2" xfId="36906"/>
    <cellStyle name="Vírgula 2 3 7 6" xfId="30446"/>
    <cellStyle name="Vírgula 2 3 7 7" xfId="22140"/>
    <cellStyle name="Vírgula 2 3 8" xfId="3366"/>
    <cellStyle name="Vírgula 2 3 8 2" xfId="5838"/>
    <cellStyle name="Vírgula 2 3 8 2 2" xfId="9050"/>
    <cellStyle name="Vírgula 2 3 8 2 2 2" xfId="20904"/>
    <cellStyle name="Vírgula 2 3 8 2 2 2 2" xfId="47383"/>
    <cellStyle name="Vírgula 2 3 8 2 2 3" xfId="14977"/>
    <cellStyle name="Vírgula 2 3 8 2 2 3 2" xfId="41475"/>
    <cellStyle name="Vírgula 2 3 8 2 2 4" xfId="35567"/>
    <cellStyle name="Vírgula 2 3 8 2 2 5" xfId="29033"/>
    <cellStyle name="Vírgula 2 3 8 2 3" xfId="17940"/>
    <cellStyle name="Vírgula 2 3 8 2 3 2" xfId="44429"/>
    <cellStyle name="Vírgula 2 3 8 2 4" xfId="12013"/>
    <cellStyle name="Vírgula 2 3 8 2 4 2" xfId="38521"/>
    <cellStyle name="Vírgula 2 3 8 2 5" xfId="32365"/>
    <cellStyle name="Vírgula 2 3 8 2 6" xfId="25831"/>
    <cellStyle name="Vírgula 2 3 8 3" xfId="7580"/>
    <cellStyle name="Vírgula 2 3 8 3 2" xfId="19434"/>
    <cellStyle name="Vírgula 2 3 8 3 2 2" xfId="45915"/>
    <cellStyle name="Vírgula 2 3 8 3 3" xfId="13507"/>
    <cellStyle name="Vírgula 2 3 8 3 3 2" xfId="40007"/>
    <cellStyle name="Vírgula 2 3 8 3 4" xfId="34099"/>
    <cellStyle name="Vírgula 2 3 8 3 5" xfId="27565"/>
    <cellStyle name="Vírgula 2 3 8 4" xfId="16470"/>
    <cellStyle name="Vírgula 2 3 8 4 2" xfId="42961"/>
    <cellStyle name="Vírgula 2 3 8 4 3" xfId="24059"/>
    <cellStyle name="Vírgula 2 3 8 5" xfId="10543"/>
    <cellStyle name="Vírgula 2 3 8 5 2" xfId="37053"/>
    <cellStyle name="Vírgula 2 3 8 6" xfId="30593"/>
    <cellStyle name="Vírgula 2 3 8 7" xfId="22287"/>
    <cellStyle name="Vírgula 2 3 9" xfId="3894"/>
    <cellStyle name="Vírgula 2 3 9 2" xfId="5985"/>
    <cellStyle name="Vírgula 2 3 9 2 2" xfId="9197"/>
    <cellStyle name="Vírgula 2 3 9 2 2 2" xfId="21051"/>
    <cellStyle name="Vírgula 2 3 9 2 2 2 2" xfId="47530"/>
    <cellStyle name="Vírgula 2 3 9 2 2 3" xfId="15124"/>
    <cellStyle name="Vírgula 2 3 9 2 2 3 2" xfId="41622"/>
    <cellStyle name="Vírgula 2 3 9 2 2 4" xfId="35714"/>
    <cellStyle name="Vírgula 2 3 9 2 2 5" xfId="29180"/>
    <cellStyle name="Vírgula 2 3 9 2 3" xfId="18087"/>
    <cellStyle name="Vírgula 2 3 9 2 3 2" xfId="44576"/>
    <cellStyle name="Vírgula 2 3 9 2 4" xfId="12160"/>
    <cellStyle name="Vírgula 2 3 9 2 4 2" xfId="38668"/>
    <cellStyle name="Vírgula 2 3 9 2 5" xfId="32512"/>
    <cellStyle name="Vírgula 2 3 9 2 6" xfId="25978"/>
    <cellStyle name="Vírgula 2 3 9 3" xfId="7728"/>
    <cellStyle name="Vírgula 2 3 9 3 2" xfId="19582"/>
    <cellStyle name="Vírgula 2 3 9 3 2 2" xfId="46062"/>
    <cellStyle name="Vírgula 2 3 9 3 3" xfId="13655"/>
    <cellStyle name="Vírgula 2 3 9 3 3 2" xfId="40154"/>
    <cellStyle name="Vírgula 2 3 9 3 4" xfId="34246"/>
    <cellStyle name="Vírgula 2 3 9 3 5" xfId="27712"/>
    <cellStyle name="Vírgula 2 3 9 4" xfId="16618"/>
    <cellStyle name="Vírgula 2 3 9 4 2" xfId="43108"/>
    <cellStyle name="Vírgula 2 3 9 4 3" xfId="24206"/>
    <cellStyle name="Vírgula 2 3 9 5" xfId="10691"/>
    <cellStyle name="Vírgula 2 3 9 5 2" xfId="37200"/>
    <cellStyle name="Vírgula 2 3 9 6" xfId="30740"/>
    <cellStyle name="Vírgula 2 3 9 7" xfId="22434"/>
    <cellStyle name="Vírgula 2 4" xfId="60"/>
    <cellStyle name="Vírgula 2 4 10" xfId="29594"/>
    <cellStyle name="Vírgula 2 4 11" xfId="22602"/>
    <cellStyle name="Vírgula 2 4 2" xfId="4467"/>
    <cellStyle name="Vírgula 2 4 2 2" xfId="6239"/>
    <cellStyle name="Vírgula 2 4 2 2 2" xfId="9385"/>
    <cellStyle name="Vírgula 2 4 2 2 2 2" xfId="21239"/>
    <cellStyle name="Vírgula 2 4 2 2 2 2 2" xfId="47718"/>
    <cellStyle name="Vírgula 2 4 2 2 2 3" xfId="15312"/>
    <cellStyle name="Vírgula 2 4 2 2 2 3 2" xfId="41810"/>
    <cellStyle name="Vírgula 2 4 2 2 2 4" xfId="35902"/>
    <cellStyle name="Vírgula 2 4 2 2 2 5" xfId="29368"/>
    <cellStyle name="Vírgula 2 4 2 2 3" xfId="18275"/>
    <cellStyle name="Vírgula 2 4 2 2 3 2" xfId="44764"/>
    <cellStyle name="Vírgula 2 4 2 2 4" xfId="12348"/>
    <cellStyle name="Vírgula 2 4 2 2 4 2" xfId="38856"/>
    <cellStyle name="Vírgula 2 4 2 2 5" xfId="32766"/>
    <cellStyle name="Vírgula 2 4 2 2 6" xfId="26232"/>
    <cellStyle name="Vírgula 2 4 2 3" xfId="7917"/>
    <cellStyle name="Vírgula 2 4 2 3 2" xfId="19771"/>
    <cellStyle name="Vírgula 2 4 2 3 2 2" xfId="46250"/>
    <cellStyle name="Vírgula 2 4 2 3 3" xfId="13844"/>
    <cellStyle name="Vírgula 2 4 2 3 3 2" xfId="40342"/>
    <cellStyle name="Vírgula 2 4 2 3 4" xfId="34434"/>
    <cellStyle name="Vírgula 2 4 2 3 5" xfId="27900"/>
    <cellStyle name="Vírgula 2 4 2 4" xfId="16807"/>
    <cellStyle name="Vírgula 2 4 2 4 2" xfId="43296"/>
    <cellStyle name="Vírgula 2 4 2 4 3" xfId="24460"/>
    <cellStyle name="Vírgula 2 4 2 5" xfId="10880"/>
    <cellStyle name="Vírgula 2 4 2 5 2" xfId="37388"/>
    <cellStyle name="Vírgula 2 4 2 6" xfId="30994"/>
    <cellStyle name="Vírgula 2 4 2 7" xfId="22688"/>
    <cellStyle name="Vírgula 2 4 3" xfId="4591"/>
    <cellStyle name="Vírgula 2 4 3 2" xfId="6363"/>
    <cellStyle name="Vírgula 2 4 3 2 2" xfId="9447"/>
    <cellStyle name="Vírgula 2 4 3 2 2 2" xfId="21301"/>
    <cellStyle name="Vírgula 2 4 3 2 2 2 2" xfId="47780"/>
    <cellStyle name="Vírgula 2 4 3 2 2 3" xfId="15374"/>
    <cellStyle name="Vírgula 2 4 3 2 2 3 2" xfId="41872"/>
    <cellStyle name="Vírgula 2 4 3 2 2 4" xfId="35964"/>
    <cellStyle name="Vírgula 2 4 3 2 2 5" xfId="29430"/>
    <cellStyle name="Vírgula 2 4 3 2 3" xfId="18337"/>
    <cellStyle name="Vírgula 2 4 3 2 3 2" xfId="44826"/>
    <cellStyle name="Vírgula 2 4 3 2 4" xfId="12410"/>
    <cellStyle name="Vírgula 2 4 3 2 4 2" xfId="38918"/>
    <cellStyle name="Vírgula 2 4 3 2 5" xfId="32890"/>
    <cellStyle name="Vírgula 2 4 3 2 6" xfId="26356"/>
    <cellStyle name="Vírgula 2 4 3 3" xfId="7979"/>
    <cellStyle name="Vírgula 2 4 3 3 2" xfId="19833"/>
    <cellStyle name="Vírgula 2 4 3 3 2 2" xfId="46312"/>
    <cellStyle name="Vírgula 2 4 3 3 3" xfId="13906"/>
    <cellStyle name="Vírgula 2 4 3 3 3 2" xfId="40404"/>
    <cellStyle name="Vírgula 2 4 3 3 4" xfId="34496"/>
    <cellStyle name="Vírgula 2 4 3 3 5" xfId="27962"/>
    <cellStyle name="Vírgula 2 4 3 4" xfId="16869"/>
    <cellStyle name="Vírgula 2 4 3 4 2" xfId="43358"/>
    <cellStyle name="Vírgula 2 4 3 4 3" xfId="24584"/>
    <cellStyle name="Vírgula 2 4 3 5" xfId="10942"/>
    <cellStyle name="Vírgula 2 4 3 5 2" xfId="37450"/>
    <cellStyle name="Vírgula 2 4 3 6" xfId="31118"/>
    <cellStyle name="Vírgula 2 4 3 7" xfId="22812"/>
    <cellStyle name="Vírgula 2 4 4" xfId="4715"/>
    <cellStyle name="Vírgula 2 4 4 2" xfId="6487"/>
    <cellStyle name="Vírgula 2 4 4 2 2" xfId="9509"/>
    <cellStyle name="Vírgula 2 4 4 2 2 2" xfId="21363"/>
    <cellStyle name="Vírgula 2 4 4 2 2 2 2" xfId="47842"/>
    <cellStyle name="Vírgula 2 4 4 2 2 3" xfId="15436"/>
    <cellStyle name="Vírgula 2 4 4 2 2 3 2" xfId="41934"/>
    <cellStyle name="Vírgula 2 4 4 2 2 4" xfId="36026"/>
    <cellStyle name="Vírgula 2 4 4 2 2 5" xfId="29492"/>
    <cellStyle name="Vírgula 2 4 4 2 3" xfId="18399"/>
    <cellStyle name="Vírgula 2 4 4 2 3 2" xfId="44888"/>
    <cellStyle name="Vírgula 2 4 4 2 4" xfId="12472"/>
    <cellStyle name="Vírgula 2 4 4 2 4 2" xfId="38980"/>
    <cellStyle name="Vírgula 2 4 4 2 5" xfId="33014"/>
    <cellStyle name="Vírgula 2 4 4 2 6" xfId="26480"/>
    <cellStyle name="Vírgula 2 4 4 3" xfId="8041"/>
    <cellStyle name="Vírgula 2 4 4 3 2" xfId="19895"/>
    <cellStyle name="Vírgula 2 4 4 3 2 2" xfId="46374"/>
    <cellStyle name="Vírgula 2 4 4 3 3" xfId="13968"/>
    <cellStyle name="Vírgula 2 4 4 3 3 2" xfId="40466"/>
    <cellStyle name="Vírgula 2 4 4 3 4" xfId="34558"/>
    <cellStyle name="Vírgula 2 4 4 3 5" xfId="28024"/>
    <cellStyle name="Vírgula 2 4 4 4" xfId="16931"/>
    <cellStyle name="Vírgula 2 4 4 4 2" xfId="43420"/>
    <cellStyle name="Vírgula 2 4 4 4 3" xfId="24708"/>
    <cellStyle name="Vírgula 2 4 4 5" xfId="11004"/>
    <cellStyle name="Vírgula 2 4 4 5 2" xfId="37512"/>
    <cellStyle name="Vírgula 2 4 4 6" xfId="31242"/>
    <cellStyle name="Vírgula 2 4 4 7" xfId="22936"/>
    <cellStyle name="Vírgula 2 4 5" xfId="4381"/>
    <cellStyle name="Vírgula 2 4 5 2" xfId="6153"/>
    <cellStyle name="Vírgula 2 4 5 2 2" xfId="9342"/>
    <cellStyle name="Vírgula 2 4 5 2 2 2" xfId="21196"/>
    <cellStyle name="Vírgula 2 4 5 2 2 2 2" xfId="47675"/>
    <cellStyle name="Vírgula 2 4 5 2 2 3" xfId="15269"/>
    <cellStyle name="Vírgula 2 4 5 2 2 3 2" xfId="41767"/>
    <cellStyle name="Vírgula 2 4 5 2 2 4" xfId="35859"/>
    <cellStyle name="Vírgula 2 4 5 2 2 5" xfId="29325"/>
    <cellStyle name="Vírgula 2 4 5 2 3" xfId="18232"/>
    <cellStyle name="Vírgula 2 4 5 2 3 2" xfId="44721"/>
    <cellStyle name="Vírgula 2 4 5 2 4" xfId="12305"/>
    <cellStyle name="Vírgula 2 4 5 2 4 2" xfId="38813"/>
    <cellStyle name="Vírgula 2 4 5 2 5" xfId="32680"/>
    <cellStyle name="Vírgula 2 4 5 2 6" xfId="26146"/>
    <cellStyle name="Vírgula 2 4 5 3" xfId="7874"/>
    <cellStyle name="Vírgula 2 4 5 3 2" xfId="19728"/>
    <cellStyle name="Vírgula 2 4 5 3 2 2" xfId="46207"/>
    <cellStyle name="Vírgula 2 4 5 3 3" xfId="13801"/>
    <cellStyle name="Vírgula 2 4 5 3 3 2" xfId="40299"/>
    <cellStyle name="Vírgula 2 4 5 3 4" xfId="34391"/>
    <cellStyle name="Vírgula 2 4 5 3 5" xfId="27857"/>
    <cellStyle name="Vírgula 2 4 5 4" xfId="16764"/>
    <cellStyle name="Vírgula 2 4 5 4 2" xfId="43253"/>
    <cellStyle name="Vírgula 2 4 5 5" xfId="10837"/>
    <cellStyle name="Vírgula 2 4 5 5 2" xfId="37345"/>
    <cellStyle name="Vírgula 2 4 5 6" xfId="30908"/>
    <cellStyle name="Vírgula 2 4 5 7" xfId="24374"/>
    <cellStyle name="Vírgula 2 4 6" xfId="4839"/>
    <cellStyle name="Vírgula 2 4 6 2" xfId="8103"/>
    <cellStyle name="Vírgula 2 4 6 2 2" xfId="19957"/>
    <cellStyle name="Vírgula 2 4 6 2 2 2" xfId="46436"/>
    <cellStyle name="Vírgula 2 4 6 2 3" xfId="14030"/>
    <cellStyle name="Vírgula 2 4 6 2 3 2" xfId="40528"/>
    <cellStyle name="Vírgula 2 4 6 2 4" xfId="34620"/>
    <cellStyle name="Vírgula 2 4 6 2 5" xfId="28086"/>
    <cellStyle name="Vírgula 2 4 6 3" xfId="16993"/>
    <cellStyle name="Vírgula 2 4 6 3 2" xfId="43482"/>
    <cellStyle name="Vírgula 2 4 6 4" xfId="11066"/>
    <cellStyle name="Vírgula 2 4 6 4 2" xfId="37574"/>
    <cellStyle name="Vírgula 2 4 6 5" xfId="31366"/>
    <cellStyle name="Vírgula 2 4 6 6" xfId="24832"/>
    <cellStyle name="Vírgula 2 4 7" xfId="6627"/>
    <cellStyle name="Vírgula 2 4 7 2" xfId="18481"/>
    <cellStyle name="Vírgula 2 4 7 2 2" xfId="44968"/>
    <cellStyle name="Vírgula 2 4 7 3" xfId="12554"/>
    <cellStyle name="Vírgula 2 4 7 3 2" xfId="39060"/>
    <cellStyle name="Vírgula 2 4 7 4" xfId="33152"/>
    <cellStyle name="Vírgula 2 4 7 5" xfId="26618"/>
    <cellStyle name="Vírgula 2 4 8" xfId="15517"/>
    <cellStyle name="Vírgula 2 4 8 2" xfId="42014"/>
    <cellStyle name="Vírgula 2 4 8 3" xfId="23060"/>
    <cellStyle name="Vírgula 2 4 9" xfId="9590"/>
    <cellStyle name="Vírgula 2 4 9 2" xfId="36106"/>
    <cellStyle name="Vírgula 2 5" xfId="18"/>
    <cellStyle name="Vírgula 2 5 10" xfId="29553"/>
    <cellStyle name="Vírgula 2 5 11" xfId="22561"/>
    <cellStyle name="Vírgula 2 5 2" xfId="4426"/>
    <cellStyle name="Vírgula 2 5 2 2" xfId="6198"/>
    <cellStyle name="Vírgula 2 5 2 2 2" xfId="9364"/>
    <cellStyle name="Vírgula 2 5 2 2 2 2" xfId="21218"/>
    <cellStyle name="Vírgula 2 5 2 2 2 2 2" xfId="47697"/>
    <cellStyle name="Vírgula 2 5 2 2 2 3" xfId="15291"/>
    <cellStyle name="Vírgula 2 5 2 2 2 3 2" xfId="41789"/>
    <cellStyle name="Vírgula 2 5 2 2 2 4" xfId="35881"/>
    <cellStyle name="Vírgula 2 5 2 2 2 5" xfId="29347"/>
    <cellStyle name="Vírgula 2 5 2 2 3" xfId="18254"/>
    <cellStyle name="Vírgula 2 5 2 2 3 2" xfId="44743"/>
    <cellStyle name="Vírgula 2 5 2 2 4" xfId="12327"/>
    <cellStyle name="Vírgula 2 5 2 2 4 2" xfId="38835"/>
    <cellStyle name="Vírgula 2 5 2 2 5" xfId="32725"/>
    <cellStyle name="Vírgula 2 5 2 2 6" xfId="26191"/>
    <cellStyle name="Vírgula 2 5 2 3" xfId="7896"/>
    <cellStyle name="Vírgula 2 5 2 3 2" xfId="19750"/>
    <cellStyle name="Vírgula 2 5 2 3 2 2" xfId="46229"/>
    <cellStyle name="Vírgula 2 5 2 3 3" xfId="13823"/>
    <cellStyle name="Vírgula 2 5 2 3 3 2" xfId="40321"/>
    <cellStyle name="Vírgula 2 5 2 3 4" xfId="34413"/>
    <cellStyle name="Vírgula 2 5 2 3 5" xfId="27879"/>
    <cellStyle name="Vírgula 2 5 2 4" xfId="16786"/>
    <cellStyle name="Vírgula 2 5 2 4 2" xfId="43275"/>
    <cellStyle name="Vírgula 2 5 2 4 3" xfId="24419"/>
    <cellStyle name="Vírgula 2 5 2 5" xfId="10859"/>
    <cellStyle name="Vírgula 2 5 2 5 2" xfId="37367"/>
    <cellStyle name="Vírgula 2 5 2 6" xfId="30953"/>
    <cellStyle name="Vírgula 2 5 2 7" xfId="22647"/>
    <cellStyle name="Vírgula 2 5 3" xfId="4550"/>
    <cellStyle name="Vírgula 2 5 3 2" xfId="6322"/>
    <cellStyle name="Vírgula 2 5 3 2 2" xfId="9426"/>
    <cellStyle name="Vírgula 2 5 3 2 2 2" xfId="21280"/>
    <cellStyle name="Vírgula 2 5 3 2 2 2 2" xfId="47759"/>
    <cellStyle name="Vírgula 2 5 3 2 2 3" xfId="15353"/>
    <cellStyle name="Vírgula 2 5 3 2 2 3 2" xfId="41851"/>
    <cellStyle name="Vírgula 2 5 3 2 2 4" xfId="35943"/>
    <cellStyle name="Vírgula 2 5 3 2 2 5" xfId="29409"/>
    <cellStyle name="Vírgula 2 5 3 2 3" xfId="18316"/>
    <cellStyle name="Vírgula 2 5 3 2 3 2" xfId="44805"/>
    <cellStyle name="Vírgula 2 5 3 2 4" xfId="12389"/>
    <cellStyle name="Vírgula 2 5 3 2 4 2" xfId="38897"/>
    <cellStyle name="Vírgula 2 5 3 2 5" xfId="32849"/>
    <cellStyle name="Vírgula 2 5 3 2 6" xfId="26315"/>
    <cellStyle name="Vírgula 2 5 3 3" xfId="7958"/>
    <cellStyle name="Vírgula 2 5 3 3 2" xfId="19812"/>
    <cellStyle name="Vírgula 2 5 3 3 2 2" xfId="46291"/>
    <cellStyle name="Vírgula 2 5 3 3 3" xfId="13885"/>
    <cellStyle name="Vírgula 2 5 3 3 3 2" xfId="40383"/>
    <cellStyle name="Vírgula 2 5 3 3 4" xfId="34475"/>
    <cellStyle name="Vírgula 2 5 3 3 5" xfId="27941"/>
    <cellStyle name="Vírgula 2 5 3 4" xfId="16848"/>
    <cellStyle name="Vírgula 2 5 3 4 2" xfId="43337"/>
    <cellStyle name="Vírgula 2 5 3 4 3" xfId="24543"/>
    <cellStyle name="Vírgula 2 5 3 5" xfId="10921"/>
    <cellStyle name="Vírgula 2 5 3 5 2" xfId="37429"/>
    <cellStyle name="Vírgula 2 5 3 6" xfId="31077"/>
    <cellStyle name="Vírgula 2 5 3 7" xfId="22771"/>
    <cellStyle name="Vírgula 2 5 4" xfId="4674"/>
    <cellStyle name="Vírgula 2 5 4 2" xfId="6446"/>
    <cellStyle name="Vírgula 2 5 4 2 2" xfId="9488"/>
    <cellStyle name="Vírgula 2 5 4 2 2 2" xfId="21342"/>
    <cellStyle name="Vírgula 2 5 4 2 2 2 2" xfId="47821"/>
    <cellStyle name="Vírgula 2 5 4 2 2 3" xfId="15415"/>
    <cellStyle name="Vírgula 2 5 4 2 2 3 2" xfId="41913"/>
    <cellStyle name="Vírgula 2 5 4 2 2 4" xfId="36005"/>
    <cellStyle name="Vírgula 2 5 4 2 2 5" xfId="29471"/>
    <cellStyle name="Vírgula 2 5 4 2 3" xfId="18378"/>
    <cellStyle name="Vírgula 2 5 4 2 3 2" xfId="44867"/>
    <cellStyle name="Vírgula 2 5 4 2 4" xfId="12451"/>
    <cellStyle name="Vírgula 2 5 4 2 4 2" xfId="38959"/>
    <cellStyle name="Vírgula 2 5 4 2 5" xfId="32973"/>
    <cellStyle name="Vírgula 2 5 4 2 6" xfId="26439"/>
    <cellStyle name="Vírgula 2 5 4 3" xfId="8020"/>
    <cellStyle name="Vírgula 2 5 4 3 2" xfId="19874"/>
    <cellStyle name="Vírgula 2 5 4 3 2 2" xfId="46353"/>
    <cellStyle name="Vírgula 2 5 4 3 3" xfId="13947"/>
    <cellStyle name="Vírgula 2 5 4 3 3 2" xfId="40445"/>
    <cellStyle name="Vírgula 2 5 4 3 4" xfId="34537"/>
    <cellStyle name="Vírgula 2 5 4 3 5" xfId="28003"/>
    <cellStyle name="Vírgula 2 5 4 4" xfId="16910"/>
    <cellStyle name="Vírgula 2 5 4 4 2" xfId="43399"/>
    <cellStyle name="Vírgula 2 5 4 4 3" xfId="24667"/>
    <cellStyle name="Vírgula 2 5 4 5" xfId="10983"/>
    <cellStyle name="Vírgula 2 5 4 5 2" xfId="37491"/>
    <cellStyle name="Vírgula 2 5 4 6" xfId="31201"/>
    <cellStyle name="Vírgula 2 5 4 7" xfId="22895"/>
    <cellStyle name="Vírgula 2 5 5" xfId="4340"/>
    <cellStyle name="Vírgula 2 5 5 2" xfId="6112"/>
    <cellStyle name="Vírgula 2 5 5 2 2" xfId="9321"/>
    <cellStyle name="Vírgula 2 5 5 2 2 2" xfId="21175"/>
    <cellStyle name="Vírgula 2 5 5 2 2 2 2" xfId="47654"/>
    <cellStyle name="Vírgula 2 5 5 2 2 3" xfId="15248"/>
    <cellStyle name="Vírgula 2 5 5 2 2 3 2" xfId="41746"/>
    <cellStyle name="Vírgula 2 5 5 2 2 4" xfId="35838"/>
    <cellStyle name="Vírgula 2 5 5 2 2 5" xfId="29304"/>
    <cellStyle name="Vírgula 2 5 5 2 3" xfId="18211"/>
    <cellStyle name="Vírgula 2 5 5 2 3 2" xfId="44700"/>
    <cellStyle name="Vírgula 2 5 5 2 4" xfId="12284"/>
    <cellStyle name="Vírgula 2 5 5 2 4 2" xfId="38792"/>
    <cellStyle name="Vírgula 2 5 5 2 5" xfId="32639"/>
    <cellStyle name="Vírgula 2 5 5 2 6" xfId="26105"/>
    <cellStyle name="Vírgula 2 5 5 3" xfId="7853"/>
    <cellStyle name="Vírgula 2 5 5 3 2" xfId="19707"/>
    <cellStyle name="Vírgula 2 5 5 3 2 2" xfId="46186"/>
    <cellStyle name="Vírgula 2 5 5 3 3" xfId="13780"/>
    <cellStyle name="Vírgula 2 5 5 3 3 2" xfId="40278"/>
    <cellStyle name="Vírgula 2 5 5 3 4" xfId="34370"/>
    <cellStyle name="Vírgula 2 5 5 3 5" xfId="27836"/>
    <cellStyle name="Vírgula 2 5 5 4" xfId="16743"/>
    <cellStyle name="Vírgula 2 5 5 4 2" xfId="43232"/>
    <cellStyle name="Vírgula 2 5 5 5" xfId="10816"/>
    <cellStyle name="Vírgula 2 5 5 5 2" xfId="37324"/>
    <cellStyle name="Vírgula 2 5 5 6" xfId="30867"/>
    <cellStyle name="Vírgula 2 5 5 7" xfId="24333"/>
    <cellStyle name="Vírgula 2 5 6" xfId="4798"/>
    <cellStyle name="Vírgula 2 5 6 2" xfId="8082"/>
    <cellStyle name="Vírgula 2 5 6 2 2" xfId="19936"/>
    <cellStyle name="Vírgula 2 5 6 2 2 2" xfId="46415"/>
    <cellStyle name="Vírgula 2 5 6 2 3" xfId="14009"/>
    <cellStyle name="Vírgula 2 5 6 2 3 2" xfId="40507"/>
    <cellStyle name="Vírgula 2 5 6 2 4" xfId="34599"/>
    <cellStyle name="Vírgula 2 5 6 2 5" xfId="28065"/>
    <cellStyle name="Vírgula 2 5 6 3" xfId="16972"/>
    <cellStyle name="Vírgula 2 5 6 3 2" xfId="43461"/>
    <cellStyle name="Vírgula 2 5 6 4" xfId="11045"/>
    <cellStyle name="Vírgula 2 5 6 4 2" xfId="37553"/>
    <cellStyle name="Vírgula 2 5 6 5" xfId="31325"/>
    <cellStyle name="Vírgula 2 5 6 6" xfId="24791"/>
    <cellStyle name="Vírgula 2 5 7" xfId="6606"/>
    <cellStyle name="Vírgula 2 5 7 2" xfId="18460"/>
    <cellStyle name="Vírgula 2 5 7 2 2" xfId="44947"/>
    <cellStyle name="Vírgula 2 5 7 3" xfId="12533"/>
    <cellStyle name="Vírgula 2 5 7 3 2" xfId="39039"/>
    <cellStyle name="Vírgula 2 5 7 4" xfId="33131"/>
    <cellStyle name="Vírgula 2 5 7 5" xfId="26597"/>
    <cellStyle name="Vírgula 2 5 8" xfId="15496"/>
    <cellStyle name="Vírgula 2 5 8 2" xfId="41993"/>
    <cellStyle name="Vírgula 2 5 8 3" xfId="23019"/>
    <cellStyle name="Vírgula 2 5 9" xfId="9569"/>
    <cellStyle name="Vírgula 2 5 9 2" xfId="36085"/>
    <cellStyle name="Vírgula 2 6" xfId="4334"/>
    <cellStyle name="Vírgula 2 6 2" xfId="6108"/>
    <cellStyle name="Vírgula 2 6 2 2" xfId="9319"/>
    <cellStyle name="Vírgula 2 6 2 2 2" xfId="21173"/>
    <cellStyle name="Vírgula 2 6 2 2 2 2" xfId="47652"/>
    <cellStyle name="Vírgula 2 6 2 2 3" xfId="15246"/>
    <cellStyle name="Vírgula 2 6 2 2 3 2" xfId="41744"/>
    <cellStyle name="Vírgula 2 6 2 2 4" xfId="35836"/>
    <cellStyle name="Vírgula 2 6 2 2 5" xfId="29302"/>
    <cellStyle name="Vírgula 2 6 2 3" xfId="18209"/>
    <cellStyle name="Vírgula 2 6 2 3 2" xfId="44698"/>
    <cellStyle name="Vírgula 2 6 2 4" xfId="12282"/>
    <cellStyle name="Vírgula 2 6 2 4 2" xfId="38790"/>
    <cellStyle name="Vírgula 2 6 2 5" xfId="32635"/>
    <cellStyle name="Vírgula 2 6 2 6" xfId="26101"/>
    <cellStyle name="Vírgula 2 6 3" xfId="7851"/>
    <cellStyle name="Vírgula 2 6 3 2" xfId="19705"/>
    <cellStyle name="Vírgula 2 6 3 2 2" xfId="46184"/>
    <cellStyle name="Vírgula 2 6 3 3" xfId="13778"/>
    <cellStyle name="Vírgula 2 6 3 3 2" xfId="40276"/>
    <cellStyle name="Vírgula 2 6 3 4" xfId="34368"/>
    <cellStyle name="Vírgula 2 6 3 5" xfId="27834"/>
    <cellStyle name="Vírgula 2 6 4" xfId="16741"/>
    <cellStyle name="Vírgula 2 6 4 2" xfId="43230"/>
    <cellStyle name="Vírgula 2 6 4 3" xfId="24329"/>
    <cellStyle name="Vírgula 2 6 5" xfId="10814"/>
    <cellStyle name="Vírgula 2 6 5 2" xfId="37322"/>
    <cellStyle name="Vírgula 2 6 6" xfId="30863"/>
    <cellStyle name="Vírgula 2 6 7" xfId="22557"/>
    <cellStyle name="Vírgula 2 7" xfId="11"/>
    <cellStyle name="Vírgula 3" xfId="13"/>
    <cellStyle name="Vírgula 3 10" xfId="4335"/>
    <cellStyle name="Vírgula 3 10 2" xfId="6109"/>
    <cellStyle name="Vírgula 3 10 2 2" xfId="9320"/>
    <cellStyle name="Vírgula 3 10 2 2 2" xfId="21174"/>
    <cellStyle name="Vírgula 3 10 2 2 2 2" xfId="47653"/>
    <cellStyle name="Vírgula 3 10 2 2 3" xfId="15247"/>
    <cellStyle name="Vírgula 3 10 2 2 3 2" xfId="41745"/>
    <cellStyle name="Vírgula 3 10 2 2 4" xfId="35837"/>
    <cellStyle name="Vírgula 3 10 2 2 5" xfId="29303"/>
    <cellStyle name="Vírgula 3 10 2 3" xfId="18210"/>
    <cellStyle name="Vírgula 3 10 2 3 2" xfId="44699"/>
    <cellStyle name="Vírgula 3 10 2 4" xfId="12283"/>
    <cellStyle name="Vírgula 3 10 2 4 2" xfId="38791"/>
    <cellStyle name="Vírgula 3 10 2 5" xfId="32636"/>
    <cellStyle name="Vírgula 3 10 2 6" xfId="26102"/>
    <cellStyle name="Vírgula 3 10 3" xfId="7852"/>
    <cellStyle name="Vírgula 3 10 3 2" xfId="19706"/>
    <cellStyle name="Vírgula 3 10 3 2 2" xfId="46185"/>
    <cellStyle name="Vírgula 3 10 3 3" xfId="13779"/>
    <cellStyle name="Vírgula 3 10 3 3 2" xfId="40277"/>
    <cellStyle name="Vírgula 3 10 3 4" xfId="34369"/>
    <cellStyle name="Vírgula 3 10 3 5" xfId="27835"/>
    <cellStyle name="Vírgula 3 10 4" xfId="16742"/>
    <cellStyle name="Vírgula 3 10 4 2" xfId="43231"/>
    <cellStyle name="Vírgula 3 10 4 3" xfId="24330"/>
    <cellStyle name="Vírgula 3 10 5" xfId="10815"/>
    <cellStyle name="Vírgula 3 10 5 2" xfId="37323"/>
    <cellStyle name="Vírgula 3 10 6" xfId="30864"/>
    <cellStyle name="Vírgula 3 10 7" xfId="22558"/>
    <cellStyle name="Vírgula 3 11" xfId="4423"/>
    <cellStyle name="Vírgula 3 11 2" xfId="6195"/>
    <cellStyle name="Vírgula 3 11 2 2" xfId="9363"/>
    <cellStyle name="Vírgula 3 11 2 2 2" xfId="21217"/>
    <cellStyle name="Vírgula 3 11 2 2 2 2" xfId="47696"/>
    <cellStyle name="Vírgula 3 11 2 2 3" xfId="15290"/>
    <cellStyle name="Vírgula 3 11 2 2 3 2" xfId="41788"/>
    <cellStyle name="Vírgula 3 11 2 2 4" xfId="35880"/>
    <cellStyle name="Vírgula 3 11 2 2 5" xfId="29346"/>
    <cellStyle name="Vírgula 3 11 2 3" xfId="18253"/>
    <cellStyle name="Vírgula 3 11 2 3 2" xfId="44742"/>
    <cellStyle name="Vírgula 3 11 2 4" xfId="12326"/>
    <cellStyle name="Vírgula 3 11 2 4 2" xfId="38834"/>
    <cellStyle name="Vírgula 3 11 2 5" xfId="32722"/>
    <cellStyle name="Vírgula 3 11 2 6" xfId="26188"/>
    <cellStyle name="Vírgula 3 11 3" xfId="7895"/>
    <cellStyle name="Vírgula 3 11 3 2" xfId="19749"/>
    <cellStyle name="Vírgula 3 11 3 2 2" xfId="46228"/>
    <cellStyle name="Vírgula 3 11 3 3" xfId="13822"/>
    <cellStyle name="Vírgula 3 11 3 3 2" xfId="40320"/>
    <cellStyle name="Vírgula 3 11 3 4" xfId="34412"/>
    <cellStyle name="Vírgula 3 11 3 5" xfId="27878"/>
    <cellStyle name="Vírgula 3 11 4" xfId="16785"/>
    <cellStyle name="Vírgula 3 11 4 2" xfId="43274"/>
    <cellStyle name="Vírgula 3 11 4 3" xfId="24416"/>
    <cellStyle name="Vírgula 3 11 5" xfId="10858"/>
    <cellStyle name="Vírgula 3 11 5 2" xfId="37366"/>
    <cellStyle name="Vírgula 3 11 6" xfId="30950"/>
    <cellStyle name="Vírgula 3 11 7" xfId="22644"/>
    <cellStyle name="Vírgula 3 12" xfId="4547"/>
    <cellStyle name="Vírgula 3 12 2" xfId="6319"/>
    <cellStyle name="Vírgula 3 12 2 2" xfId="9425"/>
    <cellStyle name="Vírgula 3 12 2 2 2" xfId="21279"/>
    <cellStyle name="Vírgula 3 12 2 2 2 2" xfId="47758"/>
    <cellStyle name="Vírgula 3 12 2 2 3" xfId="15352"/>
    <cellStyle name="Vírgula 3 12 2 2 3 2" xfId="41850"/>
    <cellStyle name="Vírgula 3 12 2 2 4" xfId="35942"/>
    <cellStyle name="Vírgula 3 12 2 2 5" xfId="29408"/>
    <cellStyle name="Vírgula 3 12 2 3" xfId="18315"/>
    <cellStyle name="Vírgula 3 12 2 3 2" xfId="44804"/>
    <cellStyle name="Vírgula 3 12 2 4" xfId="12388"/>
    <cellStyle name="Vírgula 3 12 2 4 2" xfId="38896"/>
    <cellStyle name="Vírgula 3 12 2 5" xfId="32846"/>
    <cellStyle name="Vírgula 3 12 2 6" xfId="26312"/>
    <cellStyle name="Vírgula 3 12 3" xfId="7957"/>
    <cellStyle name="Vírgula 3 12 3 2" xfId="19811"/>
    <cellStyle name="Vírgula 3 12 3 2 2" xfId="46290"/>
    <cellStyle name="Vírgula 3 12 3 3" xfId="13884"/>
    <cellStyle name="Vírgula 3 12 3 3 2" xfId="40382"/>
    <cellStyle name="Vírgula 3 12 3 4" xfId="34474"/>
    <cellStyle name="Vírgula 3 12 3 5" xfId="27940"/>
    <cellStyle name="Vírgula 3 12 4" xfId="16847"/>
    <cellStyle name="Vírgula 3 12 4 2" xfId="43336"/>
    <cellStyle name="Vírgula 3 12 4 3" xfId="24540"/>
    <cellStyle name="Vírgula 3 12 5" xfId="10920"/>
    <cellStyle name="Vírgula 3 12 5 2" xfId="37428"/>
    <cellStyle name="Vírgula 3 12 6" xfId="31074"/>
    <cellStyle name="Vírgula 3 12 7" xfId="22768"/>
    <cellStyle name="Vírgula 3 13" xfId="4671"/>
    <cellStyle name="Vírgula 3 13 2" xfId="6443"/>
    <cellStyle name="Vírgula 3 13 2 2" xfId="9487"/>
    <cellStyle name="Vírgula 3 13 2 2 2" xfId="21341"/>
    <cellStyle name="Vírgula 3 13 2 2 2 2" xfId="47820"/>
    <cellStyle name="Vírgula 3 13 2 2 3" xfId="15414"/>
    <cellStyle name="Vírgula 3 13 2 2 3 2" xfId="41912"/>
    <cellStyle name="Vírgula 3 13 2 2 4" xfId="36004"/>
    <cellStyle name="Vírgula 3 13 2 2 5" xfId="29470"/>
    <cellStyle name="Vírgula 3 13 2 3" xfId="18377"/>
    <cellStyle name="Vírgula 3 13 2 3 2" xfId="44866"/>
    <cellStyle name="Vírgula 3 13 2 4" xfId="12450"/>
    <cellStyle name="Vírgula 3 13 2 4 2" xfId="38958"/>
    <cellStyle name="Vírgula 3 13 2 5" xfId="32970"/>
    <cellStyle name="Vírgula 3 13 2 6" xfId="26436"/>
    <cellStyle name="Vírgula 3 13 3" xfId="8019"/>
    <cellStyle name="Vírgula 3 13 3 2" xfId="19873"/>
    <cellStyle name="Vírgula 3 13 3 2 2" xfId="46352"/>
    <cellStyle name="Vírgula 3 13 3 3" xfId="13946"/>
    <cellStyle name="Vírgula 3 13 3 3 2" xfId="40444"/>
    <cellStyle name="Vírgula 3 13 3 4" xfId="34536"/>
    <cellStyle name="Vírgula 3 13 3 5" xfId="28002"/>
    <cellStyle name="Vírgula 3 13 4" xfId="16909"/>
    <cellStyle name="Vírgula 3 13 4 2" xfId="43398"/>
    <cellStyle name="Vírgula 3 13 4 3" xfId="24664"/>
    <cellStyle name="Vírgula 3 13 5" xfId="10982"/>
    <cellStyle name="Vírgula 3 13 5 2" xfId="37490"/>
    <cellStyle name="Vírgula 3 13 6" xfId="31198"/>
    <cellStyle name="Vírgula 3 13 7" xfId="22892"/>
    <cellStyle name="Vírgula 3 14" xfId="245"/>
    <cellStyle name="Vírgula 3 14 2" xfId="4948"/>
    <cellStyle name="Vírgula 3 14 2 2" xfId="8170"/>
    <cellStyle name="Vírgula 3 14 2 2 2" xfId="20024"/>
    <cellStyle name="Vírgula 3 14 2 2 2 2" xfId="46503"/>
    <cellStyle name="Vírgula 3 14 2 2 3" xfId="14097"/>
    <cellStyle name="Vírgula 3 14 2 2 3 2" xfId="40595"/>
    <cellStyle name="Vírgula 3 14 2 2 4" xfId="34687"/>
    <cellStyle name="Vírgula 3 14 2 2 5" xfId="28153"/>
    <cellStyle name="Vírgula 3 14 2 3" xfId="17060"/>
    <cellStyle name="Vírgula 3 14 2 3 2" xfId="43549"/>
    <cellStyle name="Vírgula 3 14 2 4" xfId="11133"/>
    <cellStyle name="Vírgula 3 14 2 4 2" xfId="37641"/>
    <cellStyle name="Vírgula 3 14 2 5" xfId="31475"/>
    <cellStyle name="Vírgula 3 14 2 6" xfId="24941"/>
    <cellStyle name="Vírgula 3 14 3" xfId="6694"/>
    <cellStyle name="Vírgula 3 14 3 2" xfId="18548"/>
    <cellStyle name="Vírgula 3 14 3 2 2" xfId="45035"/>
    <cellStyle name="Vírgula 3 14 3 3" xfId="12621"/>
    <cellStyle name="Vírgula 3 14 3 3 2" xfId="39127"/>
    <cellStyle name="Vírgula 3 14 3 4" xfId="33219"/>
    <cellStyle name="Vírgula 3 14 3 5" xfId="26685"/>
    <cellStyle name="Vírgula 3 14 4" xfId="15584"/>
    <cellStyle name="Vírgula 3 14 4 2" xfId="42081"/>
    <cellStyle name="Vírgula 3 14 5" xfId="9657"/>
    <cellStyle name="Vírgula 3 14 5 2" xfId="36173"/>
    <cellStyle name="Vírgula 3 14 6" xfId="29703"/>
    <cellStyle name="Vírgula 3 14 7" xfId="23169"/>
    <cellStyle name="Vírgula 3 15" xfId="4795"/>
    <cellStyle name="Vírgula 3 15 2" xfId="8081"/>
    <cellStyle name="Vírgula 3 15 2 2" xfId="19935"/>
    <cellStyle name="Vírgula 3 15 2 2 2" xfId="46414"/>
    <cellStyle name="Vírgula 3 15 2 3" xfId="14008"/>
    <cellStyle name="Vírgula 3 15 2 3 2" xfId="40506"/>
    <cellStyle name="Vírgula 3 15 2 4" xfId="34598"/>
    <cellStyle name="Vírgula 3 15 2 5" xfId="28064"/>
    <cellStyle name="Vírgula 3 15 3" xfId="16971"/>
    <cellStyle name="Vírgula 3 15 3 2" xfId="43460"/>
    <cellStyle name="Vírgula 3 15 4" xfId="11044"/>
    <cellStyle name="Vírgula 3 15 4 2" xfId="37552"/>
    <cellStyle name="Vírgula 3 15 5" xfId="31322"/>
    <cellStyle name="Vírgula 3 15 6" xfId="24788"/>
    <cellStyle name="Vírgula 3 16" xfId="6569"/>
    <cellStyle name="Vírgula 3 16 2" xfId="9550"/>
    <cellStyle name="Vírgula 3 16 2 2" xfId="21404"/>
    <cellStyle name="Vírgula 3 16 2 2 2" xfId="47883"/>
    <cellStyle name="Vírgula 3 16 2 3" xfId="15477"/>
    <cellStyle name="Vírgula 3 16 2 3 2" xfId="41975"/>
    <cellStyle name="Vírgula 3 16 2 4" xfId="36067"/>
    <cellStyle name="Vírgula 3 16 2 5" xfId="29533"/>
    <cellStyle name="Vírgula 3 16 3" xfId="18440"/>
    <cellStyle name="Vírgula 3 16 3 2" xfId="44929"/>
    <cellStyle name="Vírgula 3 16 4" xfId="12513"/>
    <cellStyle name="Vírgula 3 16 4 2" xfId="39021"/>
    <cellStyle name="Vírgula 3 16 5" xfId="33096"/>
    <cellStyle name="Vírgula 3 16 6" xfId="26562"/>
    <cellStyle name="Vírgula 3 17" xfId="6605"/>
    <cellStyle name="Vírgula 3 17 2" xfId="18459"/>
    <cellStyle name="Vírgula 3 17 2 2" xfId="44946"/>
    <cellStyle name="Vírgula 3 17 3" xfId="12532"/>
    <cellStyle name="Vírgula 3 17 3 2" xfId="39038"/>
    <cellStyle name="Vírgula 3 17 4" xfId="33130"/>
    <cellStyle name="Vírgula 3 17 5" xfId="26596"/>
    <cellStyle name="Vírgula 3 18" xfId="15495"/>
    <cellStyle name="Vírgula 3 18 2" xfId="41992"/>
    <cellStyle name="Vírgula 3 18 3" xfId="23016"/>
    <cellStyle name="Vírgula 3 19" xfId="9568"/>
    <cellStyle name="Vírgula 3 19 2" xfId="36084"/>
    <cellStyle name="Vírgula 3 2" xfId="31"/>
    <cellStyle name="Vírgula 3 2 10" xfId="4687"/>
    <cellStyle name="Vírgula 3 2 10 2" xfId="6459"/>
    <cellStyle name="Vírgula 3 2 10 2 2" xfId="9495"/>
    <cellStyle name="Vírgula 3 2 10 2 2 2" xfId="21349"/>
    <cellStyle name="Vírgula 3 2 10 2 2 2 2" xfId="47828"/>
    <cellStyle name="Vírgula 3 2 10 2 2 3" xfId="15422"/>
    <cellStyle name="Vírgula 3 2 10 2 2 3 2" xfId="41920"/>
    <cellStyle name="Vírgula 3 2 10 2 2 4" xfId="36012"/>
    <cellStyle name="Vírgula 3 2 10 2 2 5" xfId="29478"/>
    <cellStyle name="Vírgula 3 2 10 2 3" xfId="18385"/>
    <cellStyle name="Vírgula 3 2 10 2 3 2" xfId="44874"/>
    <cellStyle name="Vírgula 3 2 10 2 4" xfId="12458"/>
    <cellStyle name="Vírgula 3 2 10 2 4 2" xfId="38966"/>
    <cellStyle name="Vírgula 3 2 10 2 5" xfId="32986"/>
    <cellStyle name="Vírgula 3 2 10 2 6" xfId="26452"/>
    <cellStyle name="Vírgula 3 2 10 3" xfId="8027"/>
    <cellStyle name="Vírgula 3 2 10 3 2" xfId="19881"/>
    <cellStyle name="Vírgula 3 2 10 3 2 2" xfId="46360"/>
    <cellStyle name="Vírgula 3 2 10 3 3" xfId="13954"/>
    <cellStyle name="Vírgula 3 2 10 3 3 2" xfId="40452"/>
    <cellStyle name="Vírgula 3 2 10 3 4" xfId="34544"/>
    <cellStyle name="Vírgula 3 2 10 3 5" xfId="28010"/>
    <cellStyle name="Vírgula 3 2 10 4" xfId="16917"/>
    <cellStyle name="Vírgula 3 2 10 4 2" xfId="43406"/>
    <cellStyle name="Vírgula 3 2 10 4 3" xfId="24680"/>
    <cellStyle name="Vírgula 3 2 10 5" xfId="10990"/>
    <cellStyle name="Vírgula 3 2 10 5 2" xfId="37498"/>
    <cellStyle name="Vírgula 3 2 10 6" xfId="31214"/>
    <cellStyle name="Vírgula 3 2 10 7" xfId="22908"/>
    <cellStyle name="Vírgula 3 2 11" xfId="790"/>
    <cellStyle name="Vírgula 3 2 11 2" xfId="5103"/>
    <cellStyle name="Vírgula 3 2 11 2 2" xfId="8318"/>
    <cellStyle name="Vírgula 3 2 11 2 2 2" xfId="20172"/>
    <cellStyle name="Vírgula 3 2 11 2 2 2 2" xfId="46651"/>
    <cellStyle name="Vírgula 3 2 11 2 2 3" xfId="14245"/>
    <cellStyle name="Vírgula 3 2 11 2 2 3 2" xfId="40743"/>
    <cellStyle name="Vírgula 3 2 11 2 2 4" xfId="34835"/>
    <cellStyle name="Vírgula 3 2 11 2 2 5" xfId="28301"/>
    <cellStyle name="Vírgula 3 2 11 2 3" xfId="17208"/>
    <cellStyle name="Vírgula 3 2 11 2 3 2" xfId="43697"/>
    <cellStyle name="Vírgula 3 2 11 2 4" xfId="11281"/>
    <cellStyle name="Vírgula 3 2 11 2 4 2" xfId="37789"/>
    <cellStyle name="Vírgula 3 2 11 2 5" xfId="31630"/>
    <cellStyle name="Vírgula 3 2 11 2 6" xfId="25096"/>
    <cellStyle name="Vírgula 3 2 11 3" xfId="6845"/>
    <cellStyle name="Vírgula 3 2 11 3 2" xfId="18699"/>
    <cellStyle name="Vírgula 3 2 11 3 2 2" xfId="45183"/>
    <cellStyle name="Vírgula 3 2 11 3 3" xfId="12772"/>
    <cellStyle name="Vírgula 3 2 11 3 3 2" xfId="39275"/>
    <cellStyle name="Vírgula 3 2 11 3 4" xfId="33367"/>
    <cellStyle name="Vírgula 3 2 11 3 5" xfId="26833"/>
    <cellStyle name="Vírgula 3 2 11 4" xfId="15735"/>
    <cellStyle name="Vírgula 3 2 11 4 2" xfId="42229"/>
    <cellStyle name="Vírgula 3 2 11 5" xfId="9808"/>
    <cellStyle name="Vírgula 3 2 11 5 2" xfId="36321"/>
    <cellStyle name="Vírgula 3 2 11 6" xfId="29858"/>
    <cellStyle name="Vírgula 3 2 11 7" xfId="23324"/>
    <cellStyle name="Vírgula 3 2 12" xfId="4811"/>
    <cellStyle name="Vírgula 3 2 12 2" xfId="8089"/>
    <cellStyle name="Vírgula 3 2 12 2 2" xfId="19943"/>
    <cellStyle name="Vírgula 3 2 12 2 2 2" xfId="46422"/>
    <cellStyle name="Vírgula 3 2 12 2 3" xfId="14016"/>
    <cellStyle name="Vírgula 3 2 12 2 3 2" xfId="40514"/>
    <cellStyle name="Vírgula 3 2 12 2 4" xfId="34606"/>
    <cellStyle name="Vírgula 3 2 12 2 5" xfId="28072"/>
    <cellStyle name="Vírgula 3 2 12 3" xfId="16979"/>
    <cellStyle name="Vírgula 3 2 12 3 2" xfId="43468"/>
    <cellStyle name="Vírgula 3 2 12 4" xfId="11052"/>
    <cellStyle name="Vírgula 3 2 12 4 2" xfId="37560"/>
    <cellStyle name="Vírgula 3 2 12 5" xfId="31338"/>
    <cellStyle name="Vírgula 3 2 12 6" xfId="24804"/>
    <cellStyle name="Vírgula 3 2 13" xfId="6575"/>
    <cellStyle name="Vírgula 3 2 13 2" xfId="9553"/>
    <cellStyle name="Vírgula 3 2 13 2 2" xfId="21407"/>
    <cellStyle name="Vírgula 3 2 13 2 2 2" xfId="47886"/>
    <cellStyle name="Vírgula 3 2 13 2 3" xfId="15480"/>
    <cellStyle name="Vírgula 3 2 13 2 3 2" xfId="41978"/>
    <cellStyle name="Vírgula 3 2 13 2 4" xfId="36070"/>
    <cellStyle name="Vírgula 3 2 13 2 5" xfId="29536"/>
    <cellStyle name="Vírgula 3 2 13 3" xfId="18443"/>
    <cellStyle name="Vírgula 3 2 13 3 2" xfId="44932"/>
    <cellStyle name="Vírgula 3 2 13 4" xfId="12516"/>
    <cellStyle name="Vírgula 3 2 13 4 2" xfId="39024"/>
    <cellStyle name="Vírgula 3 2 13 5" xfId="33102"/>
    <cellStyle name="Vírgula 3 2 13 6" xfId="26568"/>
    <cellStyle name="Vírgula 3 2 14" xfId="6613"/>
    <cellStyle name="Vírgula 3 2 14 2" xfId="18467"/>
    <cellStyle name="Vírgula 3 2 14 2 2" xfId="44954"/>
    <cellStyle name="Vírgula 3 2 14 3" xfId="12540"/>
    <cellStyle name="Vírgula 3 2 14 3 2" xfId="39046"/>
    <cellStyle name="Vírgula 3 2 14 4" xfId="33138"/>
    <cellStyle name="Vírgula 3 2 14 5" xfId="26604"/>
    <cellStyle name="Vírgula 3 2 15" xfId="15503"/>
    <cellStyle name="Vírgula 3 2 15 2" xfId="42000"/>
    <cellStyle name="Vírgula 3 2 15 3" xfId="23032"/>
    <cellStyle name="Vírgula 3 2 16" xfId="9576"/>
    <cellStyle name="Vírgula 3 2 16 2" xfId="36092"/>
    <cellStyle name="Vírgula 3 2 17" xfId="29566"/>
    <cellStyle name="Vírgula 3 2 18" xfId="21552"/>
    <cellStyle name="Vírgula 3 2 2" xfId="49"/>
    <cellStyle name="Vírgula 3 2 2 10" xfId="6622"/>
    <cellStyle name="Vírgula 3 2 2 10 2" xfId="18476"/>
    <cellStyle name="Vírgula 3 2 2 10 2 2" xfId="44963"/>
    <cellStyle name="Vírgula 3 2 2 10 3" xfId="12549"/>
    <cellStyle name="Vírgula 3 2 2 10 3 2" xfId="39055"/>
    <cellStyle name="Vírgula 3 2 2 10 4" xfId="33147"/>
    <cellStyle name="Vírgula 3 2 2 10 5" xfId="26613"/>
    <cellStyle name="Vírgula 3 2 2 11" xfId="15512"/>
    <cellStyle name="Vírgula 3 2 2 11 2" xfId="42009"/>
    <cellStyle name="Vírgula 3 2 2 11 3" xfId="23050"/>
    <cellStyle name="Vírgula 3 2 2 12" xfId="9585"/>
    <cellStyle name="Vírgula 3 2 2 12 2" xfId="36101"/>
    <cellStyle name="Vírgula 3 2 2 13" xfId="29584"/>
    <cellStyle name="Vírgula 3 2 2 14" xfId="21916"/>
    <cellStyle name="Vírgula 3 2 2 2" xfId="90"/>
    <cellStyle name="Vírgula 3 2 2 2 10" xfId="29624"/>
    <cellStyle name="Vírgula 3 2 2 2 11" xfId="22632"/>
    <cellStyle name="Vírgula 3 2 2 2 2" xfId="4497"/>
    <cellStyle name="Vírgula 3 2 2 2 2 2" xfId="6269"/>
    <cellStyle name="Vírgula 3 2 2 2 2 2 2" xfId="9400"/>
    <cellStyle name="Vírgula 3 2 2 2 2 2 2 2" xfId="21254"/>
    <cellStyle name="Vírgula 3 2 2 2 2 2 2 2 2" xfId="47733"/>
    <cellStyle name="Vírgula 3 2 2 2 2 2 2 3" xfId="15327"/>
    <cellStyle name="Vírgula 3 2 2 2 2 2 2 3 2" xfId="41825"/>
    <cellStyle name="Vírgula 3 2 2 2 2 2 2 4" xfId="35917"/>
    <cellStyle name="Vírgula 3 2 2 2 2 2 2 5" xfId="29383"/>
    <cellStyle name="Vírgula 3 2 2 2 2 2 3" xfId="18290"/>
    <cellStyle name="Vírgula 3 2 2 2 2 2 3 2" xfId="44779"/>
    <cellStyle name="Vírgula 3 2 2 2 2 2 4" xfId="12363"/>
    <cellStyle name="Vírgula 3 2 2 2 2 2 4 2" xfId="38871"/>
    <cellStyle name="Vírgula 3 2 2 2 2 2 5" xfId="32796"/>
    <cellStyle name="Vírgula 3 2 2 2 2 2 6" xfId="26262"/>
    <cellStyle name="Vírgula 3 2 2 2 2 3" xfId="7932"/>
    <cellStyle name="Vírgula 3 2 2 2 2 3 2" xfId="19786"/>
    <cellStyle name="Vírgula 3 2 2 2 2 3 2 2" xfId="46265"/>
    <cellStyle name="Vírgula 3 2 2 2 2 3 3" xfId="13859"/>
    <cellStyle name="Vírgula 3 2 2 2 2 3 3 2" xfId="40357"/>
    <cellStyle name="Vírgula 3 2 2 2 2 3 4" xfId="34449"/>
    <cellStyle name="Vírgula 3 2 2 2 2 3 5" xfId="27915"/>
    <cellStyle name="Vírgula 3 2 2 2 2 4" xfId="16822"/>
    <cellStyle name="Vírgula 3 2 2 2 2 4 2" xfId="43311"/>
    <cellStyle name="Vírgula 3 2 2 2 2 4 3" xfId="24490"/>
    <cellStyle name="Vírgula 3 2 2 2 2 5" xfId="10895"/>
    <cellStyle name="Vírgula 3 2 2 2 2 5 2" xfId="37403"/>
    <cellStyle name="Vírgula 3 2 2 2 2 6" xfId="31024"/>
    <cellStyle name="Vírgula 3 2 2 2 2 7" xfId="22718"/>
    <cellStyle name="Vírgula 3 2 2 2 3" xfId="4621"/>
    <cellStyle name="Vírgula 3 2 2 2 3 2" xfId="6393"/>
    <cellStyle name="Vírgula 3 2 2 2 3 2 2" xfId="9462"/>
    <cellStyle name="Vírgula 3 2 2 2 3 2 2 2" xfId="21316"/>
    <cellStyle name="Vírgula 3 2 2 2 3 2 2 2 2" xfId="47795"/>
    <cellStyle name="Vírgula 3 2 2 2 3 2 2 3" xfId="15389"/>
    <cellStyle name="Vírgula 3 2 2 2 3 2 2 3 2" xfId="41887"/>
    <cellStyle name="Vírgula 3 2 2 2 3 2 2 4" xfId="35979"/>
    <cellStyle name="Vírgula 3 2 2 2 3 2 2 5" xfId="29445"/>
    <cellStyle name="Vírgula 3 2 2 2 3 2 3" xfId="18352"/>
    <cellStyle name="Vírgula 3 2 2 2 3 2 3 2" xfId="44841"/>
    <cellStyle name="Vírgula 3 2 2 2 3 2 4" xfId="12425"/>
    <cellStyle name="Vírgula 3 2 2 2 3 2 4 2" xfId="38933"/>
    <cellStyle name="Vírgula 3 2 2 2 3 2 5" xfId="32920"/>
    <cellStyle name="Vírgula 3 2 2 2 3 2 6" xfId="26386"/>
    <cellStyle name="Vírgula 3 2 2 2 3 3" xfId="7994"/>
    <cellStyle name="Vírgula 3 2 2 2 3 3 2" xfId="19848"/>
    <cellStyle name="Vírgula 3 2 2 2 3 3 2 2" xfId="46327"/>
    <cellStyle name="Vírgula 3 2 2 2 3 3 3" xfId="13921"/>
    <cellStyle name="Vírgula 3 2 2 2 3 3 3 2" xfId="40419"/>
    <cellStyle name="Vírgula 3 2 2 2 3 3 4" xfId="34511"/>
    <cellStyle name="Vírgula 3 2 2 2 3 3 5" xfId="27977"/>
    <cellStyle name="Vírgula 3 2 2 2 3 4" xfId="16884"/>
    <cellStyle name="Vírgula 3 2 2 2 3 4 2" xfId="43373"/>
    <cellStyle name="Vírgula 3 2 2 2 3 4 3" xfId="24614"/>
    <cellStyle name="Vírgula 3 2 2 2 3 5" xfId="10957"/>
    <cellStyle name="Vírgula 3 2 2 2 3 5 2" xfId="37465"/>
    <cellStyle name="Vírgula 3 2 2 2 3 6" xfId="31148"/>
    <cellStyle name="Vírgula 3 2 2 2 3 7" xfId="22842"/>
    <cellStyle name="Vírgula 3 2 2 2 4" xfId="4745"/>
    <cellStyle name="Vírgula 3 2 2 2 4 2" xfId="6517"/>
    <cellStyle name="Vírgula 3 2 2 2 4 2 2" xfId="9524"/>
    <cellStyle name="Vírgula 3 2 2 2 4 2 2 2" xfId="21378"/>
    <cellStyle name="Vírgula 3 2 2 2 4 2 2 2 2" xfId="47857"/>
    <cellStyle name="Vírgula 3 2 2 2 4 2 2 3" xfId="15451"/>
    <cellStyle name="Vírgula 3 2 2 2 4 2 2 3 2" xfId="41949"/>
    <cellStyle name="Vírgula 3 2 2 2 4 2 2 4" xfId="36041"/>
    <cellStyle name="Vírgula 3 2 2 2 4 2 2 5" xfId="29507"/>
    <cellStyle name="Vírgula 3 2 2 2 4 2 3" xfId="18414"/>
    <cellStyle name="Vírgula 3 2 2 2 4 2 3 2" xfId="44903"/>
    <cellStyle name="Vírgula 3 2 2 2 4 2 4" xfId="12487"/>
    <cellStyle name="Vírgula 3 2 2 2 4 2 4 2" xfId="38995"/>
    <cellStyle name="Vírgula 3 2 2 2 4 2 5" xfId="33044"/>
    <cellStyle name="Vírgula 3 2 2 2 4 2 6" xfId="26510"/>
    <cellStyle name="Vírgula 3 2 2 2 4 3" xfId="8056"/>
    <cellStyle name="Vírgula 3 2 2 2 4 3 2" xfId="19910"/>
    <cellStyle name="Vírgula 3 2 2 2 4 3 2 2" xfId="46389"/>
    <cellStyle name="Vírgula 3 2 2 2 4 3 3" xfId="13983"/>
    <cellStyle name="Vírgula 3 2 2 2 4 3 3 2" xfId="40481"/>
    <cellStyle name="Vírgula 3 2 2 2 4 3 4" xfId="34573"/>
    <cellStyle name="Vírgula 3 2 2 2 4 3 5" xfId="28039"/>
    <cellStyle name="Vírgula 3 2 2 2 4 4" xfId="16946"/>
    <cellStyle name="Vírgula 3 2 2 2 4 4 2" xfId="43435"/>
    <cellStyle name="Vírgula 3 2 2 2 4 4 3" xfId="24738"/>
    <cellStyle name="Vírgula 3 2 2 2 4 5" xfId="11019"/>
    <cellStyle name="Vírgula 3 2 2 2 4 5 2" xfId="37527"/>
    <cellStyle name="Vírgula 3 2 2 2 4 6" xfId="31272"/>
    <cellStyle name="Vírgula 3 2 2 2 4 7" xfId="22966"/>
    <cellStyle name="Vírgula 3 2 2 2 5" xfId="4411"/>
    <cellStyle name="Vírgula 3 2 2 2 5 2" xfId="6183"/>
    <cellStyle name="Vírgula 3 2 2 2 5 2 2" xfId="9357"/>
    <cellStyle name="Vírgula 3 2 2 2 5 2 2 2" xfId="21211"/>
    <cellStyle name="Vírgula 3 2 2 2 5 2 2 2 2" xfId="47690"/>
    <cellStyle name="Vírgula 3 2 2 2 5 2 2 3" xfId="15284"/>
    <cellStyle name="Vírgula 3 2 2 2 5 2 2 3 2" xfId="41782"/>
    <cellStyle name="Vírgula 3 2 2 2 5 2 2 4" xfId="35874"/>
    <cellStyle name="Vírgula 3 2 2 2 5 2 2 5" xfId="29340"/>
    <cellStyle name="Vírgula 3 2 2 2 5 2 3" xfId="18247"/>
    <cellStyle name="Vírgula 3 2 2 2 5 2 3 2" xfId="44736"/>
    <cellStyle name="Vírgula 3 2 2 2 5 2 4" xfId="12320"/>
    <cellStyle name="Vírgula 3 2 2 2 5 2 4 2" xfId="38828"/>
    <cellStyle name="Vírgula 3 2 2 2 5 2 5" xfId="32710"/>
    <cellStyle name="Vírgula 3 2 2 2 5 2 6" xfId="26176"/>
    <cellStyle name="Vírgula 3 2 2 2 5 3" xfId="7889"/>
    <cellStyle name="Vírgula 3 2 2 2 5 3 2" xfId="19743"/>
    <cellStyle name="Vírgula 3 2 2 2 5 3 2 2" xfId="46222"/>
    <cellStyle name="Vírgula 3 2 2 2 5 3 3" xfId="13816"/>
    <cellStyle name="Vírgula 3 2 2 2 5 3 3 2" xfId="40314"/>
    <cellStyle name="Vírgula 3 2 2 2 5 3 4" xfId="34406"/>
    <cellStyle name="Vírgula 3 2 2 2 5 3 5" xfId="27872"/>
    <cellStyle name="Vírgula 3 2 2 2 5 4" xfId="16779"/>
    <cellStyle name="Vírgula 3 2 2 2 5 4 2" xfId="43268"/>
    <cellStyle name="Vírgula 3 2 2 2 5 5" xfId="10852"/>
    <cellStyle name="Vírgula 3 2 2 2 5 5 2" xfId="37360"/>
    <cellStyle name="Vírgula 3 2 2 2 5 6" xfId="30938"/>
    <cellStyle name="Vírgula 3 2 2 2 5 7" xfId="24404"/>
    <cellStyle name="Vírgula 3 2 2 2 6" xfId="4869"/>
    <cellStyle name="Vírgula 3 2 2 2 6 2" xfId="8118"/>
    <cellStyle name="Vírgula 3 2 2 2 6 2 2" xfId="19972"/>
    <cellStyle name="Vírgula 3 2 2 2 6 2 2 2" xfId="46451"/>
    <cellStyle name="Vírgula 3 2 2 2 6 2 3" xfId="14045"/>
    <cellStyle name="Vírgula 3 2 2 2 6 2 3 2" xfId="40543"/>
    <cellStyle name="Vírgula 3 2 2 2 6 2 4" xfId="34635"/>
    <cellStyle name="Vírgula 3 2 2 2 6 2 5" xfId="28101"/>
    <cellStyle name="Vírgula 3 2 2 2 6 3" xfId="17008"/>
    <cellStyle name="Vírgula 3 2 2 2 6 3 2" xfId="43497"/>
    <cellStyle name="Vírgula 3 2 2 2 6 4" xfId="11081"/>
    <cellStyle name="Vírgula 3 2 2 2 6 4 2" xfId="37589"/>
    <cellStyle name="Vírgula 3 2 2 2 6 5" xfId="31396"/>
    <cellStyle name="Vírgula 3 2 2 2 6 6" xfId="24862"/>
    <cellStyle name="Vírgula 3 2 2 2 7" xfId="6642"/>
    <cellStyle name="Vírgula 3 2 2 2 7 2" xfId="18496"/>
    <cellStyle name="Vírgula 3 2 2 2 7 2 2" xfId="44983"/>
    <cellStyle name="Vírgula 3 2 2 2 7 3" xfId="12569"/>
    <cellStyle name="Vírgula 3 2 2 2 7 3 2" xfId="39075"/>
    <cellStyle name="Vírgula 3 2 2 2 7 4" xfId="33167"/>
    <cellStyle name="Vírgula 3 2 2 2 7 5" xfId="26633"/>
    <cellStyle name="Vírgula 3 2 2 2 8" xfId="15532"/>
    <cellStyle name="Vírgula 3 2 2 2 8 2" xfId="42029"/>
    <cellStyle name="Vírgula 3 2 2 2 8 3" xfId="23090"/>
    <cellStyle name="Vírgula 3 2 2 2 9" xfId="9605"/>
    <cellStyle name="Vírgula 3 2 2 2 9 2" xfId="36121"/>
    <cellStyle name="Vírgula 3 2 2 3" xfId="128"/>
    <cellStyle name="Vírgula 3 2 2 3 10" xfId="29662"/>
    <cellStyle name="Vírgula 3 2 2 3 11" xfId="22592"/>
    <cellStyle name="Vírgula 3 2 2 3 2" xfId="4535"/>
    <cellStyle name="Vírgula 3 2 2 3 2 2" xfId="6307"/>
    <cellStyle name="Vírgula 3 2 2 3 2 2 2" xfId="9419"/>
    <cellStyle name="Vírgula 3 2 2 3 2 2 2 2" xfId="21273"/>
    <cellStyle name="Vírgula 3 2 2 3 2 2 2 2 2" xfId="47752"/>
    <cellStyle name="Vírgula 3 2 2 3 2 2 2 3" xfId="15346"/>
    <cellStyle name="Vírgula 3 2 2 3 2 2 2 3 2" xfId="41844"/>
    <cellStyle name="Vírgula 3 2 2 3 2 2 2 4" xfId="35936"/>
    <cellStyle name="Vírgula 3 2 2 3 2 2 2 5" xfId="29402"/>
    <cellStyle name="Vírgula 3 2 2 3 2 2 3" xfId="18309"/>
    <cellStyle name="Vírgula 3 2 2 3 2 2 3 2" xfId="44798"/>
    <cellStyle name="Vírgula 3 2 2 3 2 2 4" xfId="12382"/>
    <cellStyle name="Vírgula 3 2 2 3 2 2 4 2" xfId="38890"/>
    <cellStyle name="Vírgula 3 2 2 3 2 2 5" xfId="32834"/>
    <cellStyle name="Vírgula 3 2 2 3 2 2 6" xfId="26300"/>
    <cellStyle name="Vírgula 3 2 2 3 2 3" xfId="7951"/>
    <cellStyle name="Vírgula 3 2 2 3 2 3 2" xfId="19805"/>
    <cellStyle name="Vírgula 3 2 2 3 2 3 2 2" xfId="46284"/>
    <cellStyle name="Vírgula 3 2 2 3 2 3 3" xfId="13878"/>
    <cellStyle name="Vírgula 3 2 2 3 2 3 3 2" xfId="40376"/>
    <cellStyle name="Vírgula 3 2 2 3 2 3 4" xfId="34468"/>
    <cellStyle name="Vírgula 3 2 2 3 2 3 5" xfId="27934"/>
    <cellStyle name="Vírgula 3 2 2 3 2 4" xfId="16841"/>
    <cellStyle name="Vírgula 3 2 2 3 2 4 2" xfId="43330"/>
    <cellStyle name="Vírgula 3 2 2 3 2 4 3" xfId="24528"/>
    <cellStyle name="Vírgula 3 2 2 3 2 5" xfId="10914"/>
    <cellStyle name="Vírgula 3 2 2 3 2 5 2" xfId="37422"/>
    <cellStyle name="Vírgula 3 2 2 3 2 6" xfId="31062"/>
    <cellStyle name="Vírgula 3 2 2 3 2 7" xfId="22756"/>
    <cellStyle name="Vírgula 3 2 2 3 3" xfId="4659"/>
    <cellStyle name="Vírgula 3 2 2 3 3 2" xfId="6431"/>
    <cellStyle name="Vírgula 3 2 2 3 3 2 2" xfId="9481"/>
    <cellStyle name="Vírgula 3 2 2 3 3 2 2 2" xfId="21335"/>
    <cellStyle name="Vírgula 3 2 2 3 3 2 2 2 2" xfId="47814"/>
    <cellStyle name="Vírgula 3 2 2 3 3 2 2 3" xfId="15408"/>
    <cellStyle name="Vírgula 3 2 2 3 3 2 2 3 2" xfId="41906"/>
    <cellStyle name="Vírgula 3 2 2 3 3 2 2 4" xfId="35998"/>
    <cellStyle name="Vírgula 3 2 2 3 3 2 2 5" xfId="29464"/>
    <cellStyle name="Vírgula 3 2 2 3 3 2 3" xfId="18371"/>
    <cellStyle name="Vírgula 3 2 2 3 3 2 3 2" xfId="44860"/>
    <cellStyle name="Vírgula 3 2 2 3 3 2 4" xfId="12444"/>
    <cellStyle name="Vírgula 3 2 2 3 3 2 4 2" xfId="38952"/>
    <cellStyle name="Vírgula 3 2 2 3 3 2 5" xfId="32958"/>
    <cellStyle name="Vírgula 3 2 2 3 3 2 6" xfId="26424"/>
    <cellStyle name="Vírgula 3 2 2 3 3 3" xfId="8013"/>
    <cellStyle name="Vírgula 3 2 2 3 3 3 2" xfId="19867"/>
    <cellStyle name="Vírgula 3 2 2 3 3 3 2 2" xfId="46346"/>
    <cellStyle name="Vírgula 3 2 2 3 3 3 3" xfId="13940"/>
    <cellStyle name="Vírgula 3 2 2 3 3 3 3 2" xfId="40438"/>
    <cellStyle name="Vírgula 3 2 2 3 3 3 4" xfId="34530"/>
    <cellStyle name="Vírgula 3 2 2 3 3 3 5" xfId="27996"/>
    <cellStyle name="Vírgula 3 2 2 3 3 4" xfId="16903"/>
    <cellStyle name="Vírgula 3 2 2 3 3 4 2" xfId="43392"/>
    <cellStyle name="Vírgula 3 2 2 3 3 4 3" xfId="24652"/>
    <cellStyle name="Vírgula 3 2 2 3 3 5" xfId="10976"/>
    <cellStyle name="Vírgula 3 2 2 3 3 5 2" xfId="37484"/>
    <cellStyle name="Vírgula 3 2 2 3 3 6" xfId="31186"/>
    <cellStyle name="Vírgula 3 2 2 3 3 7" xfId="22880"/>
    <cellStyle name="Vírgula 3 2 2 3 4" xfId="4783"/>
    <cellStyle name="Vírgula 3 2 2 3 4 2" xfId="6555"/>
    <cellStyle name="Vírgula 3 2 2 3 4 2 2" xfId="9543"/>
    <cellStyle name="Vírgula 3 2 2 3 4 2 2 2" xfId="21397"/>
    <cellStyle name="Vírgula 3 2 2 3 4 2 2 2 2" xfId="47876"/>
    <cellStyle name="Vírgula 3 2 2 3 4 2 2 3" xfId="15470"/>
    <cellStyle name="Vírgula 3 2 2 3 4 2 2 3 2" xfId="41968"/>
    <cellStyle name="Vírgula 3 2 2 3 4 2 2 4" xfId="36060"/>
    <cellStyle name="Vírgula 3 2 2 3 4 2 2 5" xfId="29526"/>
    <cellStyle name="Vírgula 3 2 2 3 4 2 3" xfId="18433"/>
    <cellStyle name="Vírgula 3 2 2 3 4 2 3 2" xfId="44922"/>
    <cellStyle name="Vírgula 3 2 2 3 4 2 4" xfId="12506"/>
    <cellStyle name="Vírgula 3 2 2 3 4 2 4 2" xfId="39014"/>
    <cellStyle name="Vírgula 3 2 2 3 4 2 5" xfId="33082"/>
    <cellStyle name="Vírgula 3 2 2 3 4 2 6" xfId="26548"/>
    <cellStyle name="Vírgula 3 2 2 3 4 3" xfId="8075"/>
    <cellStyle name="Vírgula 3 2 2 3 4 3 2" xfId="19929"/>
    <cellStyle name="Vírgula 3 2 2 3 4 3 2 2" xfId="46408"/>
    <cellStyle name="Vírgula 3 2 2 3 4 3 3" xfId="14002"/>
    <cellStyle name="Vírgula 3 2 2 3 4 3 3 2" xfId="40500"/>
    <cellStyle name="Vírgula 3 2 2 3 4 3 4" xfId="34592"/>
    <cellStyle name="Vírgula 3 2 2 3 4 3 5" xfId="28058"/>
    <cellStyle name="Vírgula 3 2 2 3 4 4" xfId="16965"/>
    <cellStyle name="Vírgula 3 2 2 3 4 4 2" xfId="43454"/>
    <cellStyle name="Vírgula 3 2 2 3 4 4 3" xfId="24776"/>
    <cellStyle name="Vírgula 3 2 2 3 4 5" xfId="11038"/>
    <cellStyle name="Vírgula 3 2 2 3 4 5 2" xfId="37546"/>
    <cellStyle name="Vírgula 3 2 2 3 4 6" xfId="31310"/>
    <cellStyle name="Vírgula 3 2 2 3 4 7" xfId="23004"/>
    <cellStyle name="Vírgula 3 2 2 3 5" xfId="4371"/>
    <cellStyle name="Vírgula 3 2 2 3 5 2" xfId="6143"/>
    <cellStyle name="Vírgula 3 2 2 3 5 2 2" xfId="9337"/>
    <cellStyle name="Vírgula 3 2 2 3 5 2 2 2" xfId="21191"/>
    <cellStyle name="Vírgula 3 2 2 3 5 2 2 2 2" xfId="47670"/>
    <cellStyle name="Vírgula 3 2 2 3 5 2 2 3" xfId="15264"/>
    <cellStyle name="Vírgula 3 2 2 3 5 2 2 3 2" xfId="41762"/>
    <cellStyle name="Vírgula 3 2 2 3 5 2 2 4" xfId="35854"/>
    <cellStyle name="Vírgula 3 2 2 3 5 2 2 5" xfId="29320"/>
    <cellStyle name="Vírgula 3 2 2 3 5 2 3" xfId="18227"/>
    <cellStyle name="Vírgula 3 2 2 3 5 2 3 2" xfId="44716"/>
    <cellStyle name="Vírgula 3 2 2 3 5 2 4" xfId="12300"/>
    <cellStyle name="Vírgula 3 2 2 3 5 2 4 2" xfId="38808"/>
    <cellStyle name="Vírgula 3 2 2 3 5 2 5" xfId="32670"/>
    <cellStyle name="Vírgula 3 2 2 3 5 2 6" xfId="26136"/>
    <cellStyle name="Vírgula 3 2 2 3 5 3" xfId="7869"/>
    <cellStyle name="Vírgula 3 2 2 3 5 3 2" xfId="19723"/>
    <cellStyle name="Vírgula 3 2 2 3 5 3 2 2" xfId="46202"/>
    <cellStyle name="Vírgula 3 2 2 3 5 3 3" xfId="13796"/>
    <cellStyle name="Vírgula 3 2 2 3 5 3 3 2" xfId="40294"/>
    <cellStyle name="Vírgula 3 2 2 3 5 3 4" xfId="34386"/>
    <cellStyle name="Vírgula 3 2 2 3 5 3 5" xfId="27852"/>
    <cellStyle name="Vírgula 3 2 2 3 5 4" xfId="16759"/>
    <cellStyle name="Vírgula 3 2 2 3 5 4 2" xfId="43248"/>
    <cellStyle name="Vírgula 3 2 2 3 5 5" xfId="10832"/>
    <cellStyle name="Vírgula 3 2 2 3 5 5 2" xfId="37340"/>
    <cellStyle name="Vírgula 3 2 2 3 5 6" xfId="30898"/>
    <cellStyle name="Vírgula 3 2 2 3 5 7" xfId="24364"/>
    <cellStyle name="Vírgula 3 2 2 3 6" xfId="4907"/>
    <cellStyle name="Vírgula 3 2 2 3 6 2" xfId="8137"/>
    <cellStyle name="Vírgula 3 2 2 3 6 2 2" xfId="19991"/>
    <cellStyle name="Vírgula 3 2 2 3 6 2 2 2" xfId="46470"/>
    <cellStyle name="Vírgula 3 2 2 3 6 2 3" xfId="14064"/>
    <cellStyle name="Vírgula 3 2 2 3 6 2 3 2" xfId="40562"/>
    <cellStyle name="Vírgula 3 2 2 3 6 2 4" xfId="34654"/>
    <cellStyle name="Vírgula 3 2 2 3 6 2 5" xfId="28120"/>
    <cellStyle name="Vírgula 3 2 2 3 6 3" xfId="17027"/>
    <cellStyle name="Vírgula 3 2 2 3 6 3 2" xfId="43516"/>
    <cellStyle name="Vírgula 3 2 2 3 6 4" xfId="11100"/>
    <cellStyle name="Vírgula 3 2 2 3 6 4 2" xfId="37608"/>
    <cellStyle name="Vírgula 3 2 2 3 6 5" xfId="31434"/>
    <cellStyle name="Vírgula 3 2 2 3 6 6" xfId="24900"/>
    <cellStyle name="Vírgula 3 2 2 3 7" xfId="6661"/>
    <cellStyle name="Vírgula 3 2 2 3 7 2" xfId="18515"/>
    <cellStyle name="Vírgula 3 2 2 3 7 2 2" xfId="45002"/>
    <cellStyle name="Vírgula 3 2 2 3 7 3" xfId="12588"/>
    <cellStyle name="Vírgula 3 2 2 3 7 3 2" xfId="39094"/>
    <cellStyle name="Vírgula 3 2 2 3 7 4" xfId="33186"/>
    <cellStyle name="Vírgula 3 2 2 3 7 5" xfId="26652"/>
    <cellStyle name="Vírgula 3 2 2 3 8" xfId="15551"/>
    <cellStyle name="Vírgula 3 2 2 3 8 2" xfId="42048"/>
    <cellStyle name="Vírgula 3 2 2 3 8 3" xfId="23128"/>
    <cellStyle name="Vírgula 3 2 2 3 9" xfId="9624"/>
    <cellStyle name="Vírgula 3 2 2 3 9 2" xfId="36140"/>
    <cellStyle name="Vírgula 3 2 2 4" xfId="4457"/>
    <cellStyle name="Vírgula 3 2 2 4 2" xfId="6229"/>
    <cellStyle name="Vírgula 3 2 2 4 2 2" xfId="9380"/>
    <cellStyle name="Vírgula 3 2 2 4 2 2 2" xfId="21234"/>
    <cellStyle name="Vírgula 3 2 2 4 2 2 2 2" xfId="47713"/>
    <cellStyle name="Vírgula 3 2 2 4 2 2 3" xfId="15307"/>
    <cellStyle name="Vírgula 3 2 2 4 2 2 3 2" xfId="41805"/>
    <cellStyle name="Vírgula 3 2 2 4 2 2 4" xfId="35897"/>
    <cellStyle name="Vírgula 3 2 2 4 2 2 5" xfId="29363"/>
    <cellStyle name="Vírgula 3 2 2 4 2 3" xfId="18270"/>
    <cellStyle name="Vírgula 3 2 2 4 2 3 2" xfId="44759"/>
    <cellStyle name="Vírgula 3 2 2 4 2 4" xfId="12343"/>
    <cellStyle name="Vírgula 3 2 2 4 2 4 2" xfId="38851"/>
    <cellStyle name="Vírgula 3 2 2 4 2 5" xfId="32756"/>
    <cellStyle name="Vírgula 3 2 2 4 2 6" xfId="26222"/>
    <cellStyle name="Vírgula 3 2 2 4 3" xfId="7912"/>
    <cellStyle name="Vírgula 3 2 2 4 3 2" xfId="19766"/>
    <cellStyle name="Vírgula 3 2 2 4 3 2 2" xfId="46245"/>
    <cellStyle name="Vírgula 3 2 2 4 3 3" xfId="13839"/>
    <cellStyle name="Vírgula 3 2 2 4 3 3 2" xfId="40337"/>
    <cellStyle name="Vírgula 3 2 2 4 3 4" xfId="34429"/>
    <cellStyle name="Vírgula 3 2 2 4 3 5" xfId="27895"/>
    <cellStyle name="Vírgula 3 2 2 4 4" xfId="16802"/>
    <cellStyle name="Vírgula 3 2 2 4 4 2" xfId="43291"/>
    <cellStyle name="Vírgula 3 2 2 4 4 3" xfId="24450"/>
    <cellStyle name="Vírgula 3 2 2 4 5" xfId="10875"/>
    <cellStyle name="Vírgula 3 2 2 4 5 2" xfId="37383"/>
    <cellStyle name="Vírgula 3 2 2 4 6" xfId="30984"/>
    <cellStyle name="Vírgula 3 2 2 4 7" xfId="22678"/>
    <cellStyle name="Vírgula 3 2 2 5" xfId="4581"/>
    <cellStyle name="Vírgula 3 2 2 5 2" xfId="6353"/>
    <cellStyle name="Vírgula 3 2 2 5 2 2" xfId="9442"/>
    <cellStyle name="Vírgula 3 2 2 5 2 2 2" xfId="21296"/>
    <cellStyle name="Vírgula 3 2 2 5 2 2 2 2" xfId="47775"/>
    <cellStyle name="Vírgula 3 2 2 5 2 2 3" xfId="15369"/>
    <cellStyle name="Vírgula 3 2 2 5 2 2 3 2" xfId="41867"/>
    <cellStyle name="Vírgula 3 2 2 5 2 2 4" xfId="35959"/>
    <cellStyle name="Vírgula 3 2 2 5 2 2 5" xfId="29425"/>
    <cellStyle name="Vírgula 3 2 2 5 2 3" xfId="18332"/>
    <cellStyle name="Vírgula 3 2 2 5 2 3 2" xfId="44821"/>
    <cellStyle name="Vírgula 3 2 2 5 2 4" xfId="12405"/>
    <cellStyle name="Vírgula 3 2 2 5 2 4 2" xfId="38913"/>
    <cellStyle name="Vírgula 3 2 2 5 2 5" xfId="32880"/>
    <cellStyle name="Vírgula 3 2 2 5 2 6" xfId="26346"/>
    <cellStyle name="Vírgula 3 2 2 5 3" xfId="7974"/>
    <cellStyle name="Vírgula 3 2 2 5 3 2" xfId="19828"/>
    <cellStyle name="Vírgula 3 2 2 5 3 2 2" xfId="46307"/>
    <cellStyle name="Vírgula 3 2 2 5 3 3" xfId="13901"/>
    <cellStyle name="Vírgula 3 2 2 5 3 3 2" xfId="40399"/>
    <cellStyle name="Vírgula 3 2 2 5 3 4" xfId="34491"/>
    <cellStyle name="Vírgula 3 2 2 5 3 5" xfId="27957"/>
    <cellStyle name="Vírgula 3 2 2 5 4" xfId="16864"/>
    <cellStyle name="Vírgula 3 2 2 5 4 2" xfId="43353"/>
    <cellStyle name="Vírgula 3 2 2 5 4 3" xfId="24574"/>
    <cellStyle name="Vírgula 3 2 2 5 5" xfId="10937"/>
    <cellStyle name="Vírgula 3 2 2 5 5 2" xfId="37445"/>
    <cellStyle name="Vírgula 3 2 2 5 6" xfId="31108"/>
    <cellStyle name="Vírgula 3 2 2 5 7" xfId="22802"/>
    <cellStyle name="Vírgula 3 2 2 6" xfId="4705"/>
    <cellStyle name="Vírgula 3 2 2 6 2" xfId="6477"/>
    <cellStyle name="Vírgula 3 2 2 6 2 2" xfId="9504"/>
    <cellStyle name="Vírgula 3 2 2 6 2 2 2" xfId="21358"/>
    <cellStyle name="Vírgula 3 2 2 6 2 2 2 2" xfId="47837"/>
    <cellStyle name="Vírgula 3 2 2 6 2 2 3" xfId="15431"/>
    <cellStyle name="Vírgula 3 2 2 6 2 2 3 2" xfId="41929"/>
    <cellStyle name="Vírgula 3 2 2 6 2 2 4" xfId="36021"/>
    <cellStyle name="Vírgula 3 2 2 6 2 2 5" xfId="29487"/>
    <cellStyle name="Vírgula 3 2 2 6 2 3" xfId="18394"/>
    <cellStyle name="Vírgula 3 2 2 6 2 3 2" xfId="44883"/>
    <cellStyle name="Vírgula 3 2 2 6 2 4" xfId="12467"/>
    <cellStyle name="Vírgula 3 2 2 6 2 4 2" xfId="38975"/>
    <cellStyle name="Vírgula 3 2 2 6 2 5" xfId="33004"/>
    <cellStyle name="Vírgula 3 2 2 6 2 6" xfId="26470"/>
    <cellStyle name="Vírgula 3 2 2 6 3" xfId="8036"/>
    <cellStyle name="Vírgula 3 2 2 6 3 2" xfId="19890"/>
    <cellStyle name="Vírgula 3 2 2 6 3 2 2" xfId="46369"/>
    <cellStyle name="Vírgula 3 2 2 6 3 3" xfId="13963"/>
    <cellStyle name="Vírgula 3 2 2 6 3 3 2" xfId="40461"/>
    <cellStyle name="Vírgula 3 2 2 6 3 4" xfId="34553"/>
    <cellStyle name="Vírgula 3 2 2 6 3 5" xfId="28019"/>
    <cellStyle name="Vírgula 3 2 2 6 4" xfId="16926"/>
    <cellStyle name="Vírgula 3 2 2 6 4 2" xfId="43415"/>
    <cellStyle name="Vírgula 3 2 2 6 4 3" xfId="24698"/>
    <cellStyle name="Vírgula 3 2 2 6 5" xfId="10999"/>
    <cellStyle name="Vírgula 3 2 2 6 5 2" xfId="37507"/>
    <cellStyle name="Vírgula 3 2 2 6 6" xfId="31232"/>
    <cellStyle name="Vírgula 3 2 2 6 7" xfId="22926"/>
    <cellStyle name="Vírgula 3 2 2 7" xfId="2041"/>
    <cellStyle name="Vírgula 3 2 2 7 2" xfId="5467"/>
    <cellStyle name="Vírgula 3 2 2 7 2 2" xfId="8682"/>
    <cellStyle name="Vírgula 3 2 2 7 2 2 2" xfId="20536"/>
    <cellStyle name="Vírgula 3 2 2 7 2 2 2 2" xfId="47015"/>
    <cellStyle name="Vírgula 3 2 2 7 2 2 3" xfId="14609"/>
    <cellStyle name="Vírgula 3 2 2 7 2 2 3 2" xfId="41107"/>
    <cellStyle name="Vírgula 3 2 2 7 2 2 4" xfId="35199"/>
    <cellStyle name="Vírgula 3 2 2 7 2 2 5" xfId="28665"/>
    <cellStyle name="Vírgula 3 2 2 7 2 3" xfId="17572"/>
    <cellStyle name="Vírgula 3 2 2 7 2 3 2" xfId="44061"/>
    <cellStyle name="Vírgula 3 2 2 7 2 4" xfId="11645"/>
    <cellStyle name="Vírgula 3 2 2 7 2 4 2" xfId="38153"/>
    <cellStyle name="Vírgula 3 2 2 7 2 5" xfId="31994"/>
    <cellStyle name="Vírgula 3 2 2 7 2 6" xfId="25460"/>
    <cellStyle name="Vírgula 3 2 2 7 3" xfId="7210"/>
    <cellStyle name="Vírgula 3 2 2 7 3 2" xfId="19064"/>
    <cellStyle name="Vírgula 3 2 2 7 3 2 2" xfId="45547"/>
    <cellStyle name="Vírgula 3 2 2 7 3 3" xfId="13137"/>
    <cellStyle name="Vírgula 3 2 2 7 3 3 2" xfId="39639"/>
    <cellStyle name="Vírgula 3 2 2 7 3 4" xfId="33731"/>
    <cellStyle name="Vírgula 3 2 2 7 3 5" xfId="27197"/>
    <cellStyle name="Vírgula 3 2 2 7 4" xfId="16100"/>
    <cellStyle name="Vírgula 3 2 2 7 4 2" xfId="42593"/>
    <cellStyle name="Vírgula 3 2 2 7 5" xfId="10173"/>
    <cellStyle name="Vírgula 3 2 2 7 5 2" xfId="36685"/>
    <cellStyle name="Vírgula 3 2 2 7 6" xfId="30222"/>
    <cellStyle name="Vírgula 3 2 2 7 7" xfId="23688"/>
    <cellStyle name="Vírgula 3 2 2 8" xfId="4829"/>
    <cellStyle name="Vírgula 3 2 2 8 2" xfId="8098"/>
    <cellStyle name="Vírgula 3 2 2 8 2 2" xfId="19952"/>
    <cellStyle name="Vírgula 3 2 2 8 2 2 2" xfId="46431"/>
    <cellStyle name="Vírgula 3 2 2 8 2 3" xfId="14025"/>
    <cellStyle name="Vírgula 3 2 2 8 2 3 2" xfId="40523"/>
    <cellStyle name="Vírgula 3 2 2 8 2 4" xfId="34615"/>
    <cellStyle name="Vírgula 3 2 2 8 2 5" xfId="28081"/>
    <cellStyle name="Vírgula 3 2 2 8 3" xfId="16988"/>
    <cellStyle name="Vírgula 3 2 2 8 3 2" xfId="43477"/>
    <cellStyle name="Vírgula 3 2 2 8 4" xfId="11061"/>
    <cellStyle name="Vírgula 3 2 2 8 4 2" xfId="37569"/>
    <cellStyle name="Vírgula 3 2 2 8 5" xfId="31356"/>
    <cellStyle name="Vírgula 3 2 2 8 6" xfId="24822"/>
    <cellStyle name="Vírgula 3 2 2 9" xfId="6593"/>
    <cellStyle name="Vírgula 3 2 2 9 2" xfId="9562"/>
    <cellStyle name="Vírgula 3 2 2 9 2 2" xfId="21416"/>
    <cellStyle name="Vírgula 3 2 2 9 2 2 2" xfId="47895"/>
    <cellStyle name="Vírgula 3 2 2 9 2 3" xfId="15489"/>
    <cellStyle name="Vírgula 3 2 2 9 2 3 2" xfId="41987"/>
    <cellStyle name="Vírgula 3 2 2 9 2 4" xfId="36079"/>
    <cellStyle name="Vírgula 3 2 2 9 2 5" xfId="29545"/>
    <cellStyle name="Vírgula 3 2 2 9 3" xfId="18452"/>
    <cellStyle name="Vírgula 3 2 2 9 3 2" xfId="44941"/>
    <cellStyle name="Vírgula 3 2 2 9 4" xfId="12525"/>
    <cellStyle name="Vírgula 3 2 2 9 4 2" xfId="39033"/>
    <cellStyle name="Vírgula 3 2 2 9 5" xfId="33120"/>
    <cellStyle name="Vírgula 3 2 2 9 6" xfId="26586"/>
    <cellStyle name="Vírgula 3 2 3" xfId="72"/>
    <cellStyle name="Vírgula 3 2 3 10" xfId="9596"/>
    <cellStyle name="Vírgula 3 2 3 10 2" xfId="36112"/>
    <cellStyle name="Vírgula 3 2 3 11" xfId="29606"/>
    <cellStyle name="Vírgula 3 2 3 12" xfId="22066"/>
    <cellStyle name="Vírgula 3 2 3 2" xfId="4393"/>
    <cellStyle name="Vírgula 3 2 3 2 2" xfId="6165"/>
    <cellStyle name="Vírgula 3 2 3 2 2 2" xfId="9348"/>
    <cellStyle name="Vírgula 3 2 3 2 2 2 2" xfId="21202"/>
    <cellStyle name="Vírgula 3 2 3 2 2 2 2 2" xfId="47681"/>
    <cellStyle name="Vírgula 3 2 3 2 2 2 3" xfId="15275"/>
    <cellStyle name="Vírgula 3 2 3 2 2 2 3 2" xfId="41773"/>
    <cellStyle name="Vírgula 3 2 3 2 2 2 4" xfId="35865"/>
    <cellStyle name="Vírgula 3 2 3 2 2 2 5" xfId="29331"/>
    <cellStyle name="Vírgula 3 2 3 2 2 3" xfId="18238"/>
    <cellStyle name="Vírgula 3 2 3 2 2 3 2" xfId="44727"/>
    <cellStyle name="Vírgula 3 2 3 2 2 4" xfId="12311"/>
    <cellStyle name="Vírgula 3 2 3 2 2 4 2" xfId="38819"/>
    <cellStyle name="Vírgula 3 2 3 2 2 5" xfId="32692"/>
    <cellStyle name="Vírgula 3 2 3 2 2 6" xfId="26158"/>
    <cellStyle name="Vírgula 3 2 3 2 3" xfId="7880"/>
    <cellStyle name="Vírgula 3 2 3 2 3 2" xfId="19734"/>
    <cellStyle name="Vírgula 3 2 3 2 3 2 2" xfId="46213"/>
    <cellStyle name="Vírgula 3 2 3 2 3 3" xfId="13807"/>
    <cellStyle name="Vírgula 3 2 3 2 3 3 2" xfId="40305"/>
    <cellStyle name="Vírgula 3 2 3 2 3 4" xfId="34397"/>
    <cellStyle name="Vírgula 3 2 3 2 3 5" xfId="27863"/>
    <cellStyle name="Vírgula 3 2 3 2 4" xfId="16770"/>
    <cellStyle name="Vírgula 3 2 3 2 4 2" xfId="43259"/>
    <cellStyle name="Vírgula 3 2 3 2 4 3" xfId="24386"/>
    <cellStyle name="Vírgula 3 2 3 2 5" xfId="10843"/>
    <cellStyle name="Vírgula 3 2 3 2 5 2" xfId="37351"/>
    <cellStyle name="Vírgula 3 2 3 2 6" xfId="30920"/>
    <cellStyle name="Vírgula 3 2 3 2 7" xfId="22614"/>
    <cellStyle name="Vírgula 3 2 3 3" xfId="4479"/>
    <cellStyle name="Vírgula 3 2 3 3 2" xfId="6251"/>
    <cellStyle name="Vírgula 3 2 3 3 2 2" xfId="9391"/>
    <cellStyle name="Vírgula 3 2 3 3 2 2 2" xfId="21245"/>
    <cellStyle name="Vírgula 3 2 3 3 2 2 2 2" xfId="47724"/>
    <cellStyle name="Vírgula 3 2 3 3 2 2 3" xfId="15318"/>
    <cellStyle name="Vírgula 3 2 3 3 2 2 3 2" xfId="41816"/>
    <cellStyle name="Vírgula 3 2 3 3 2 2 4" xfId="35908"/>
    <cellStyle name="Vírgula 3 2 3 3 2 2 5" xfId="29374"/>
    <cellStyle name="Vírgula 3 2 3 3 2 3" xfId="18281"/>
    <cellStyle name="Vírgula 3 2 3 3 2 3 2" xfId="44770"/>
    <cellStyle name="Vírgula 3 2 3 3 2 4" xfId="12354"/>
    <cellStyle name="Vírgula 3 2 3 3 2 4 2" xfId="38862"/>
    <cellStyle name="Vírgula 3 2 3 3 2 5" xfId="32778"/>
    <cellStyle name="Vírgula 3 2 3 3 2 6" xfId="26244"/>
    <cellStyle name="Vírgula 3 2 3 3 3" xfId="7923"/>
    <cellStyle name="Vírgula 3 2 3 3 3 2" xfId="19777"/>
    <cellStyle name="Vírgula 3 2 3 3 3 2 2" xfId="46256"/>
    <cellStyle name="Vírgula 3 2 3 3 3 3" xfId="13850"/>
    <cellStyle name="Vírgula 3 2 3 3 3 3 2" xfId="40348"/>
    <cellStyle name="Vírgula 3 2 3 3 3 4" xfId="34440"/>
    <cellStyle name="Vírgula 3 2 3 3 3 5" xfId="27906"/>
    <cellStyle name="Vírgula 3 2 3 3 4" xfId="16813"/>
    <cellStyle name="Vírgula 3 2 3 3 4 2" xfId="43302"/>
    <cellStyle name="Vírgula 3 2 3 3 4 3" xfId="24472"/>
    <cellStyle name="Vírgula 3 2 3 3 5" xfId="10886"/>
    <cellStyle name="Vírgula 3 2 3 3 5 2" xfId="37394"/>
    <cellStyle name="Vírgula 3 2 3 3 6" xfId="31006"/>
    <cellStyle name="Vírgula 3 2 3 3 7" xfId="22700"/>
    <cellStyle name="Vírgula 3 2 3 4" xfId="4603"/>
    <cellStyle name="Vírgula 3 2 3 4 2" xfId="6375"/>
    <cellStyle name="Vírgula 3 2 3 4 2 2" xfId="9453"/>
    <cellStyle name="Vírgula 3 2 3 4 2 2 2" xfId="21307"/>
    <cellStyle name="Vírgula 3 2 3 4 2 2 2 2" xfId="47786"/>
    <cellStyle name="Vírgula 3 2 3 4 2 2 3" xfId="15380"/>
    <cellStyle name="Vírgula 3 2 3 4 2 2 3 2" xfId="41878"/>
    <cellStyle name="Vírgula 3 2 3 4 2 2 4" xfId="35970"/>
    <cellStyle name="Vírgula 3 2 3 4 2 2 5" xfId="29436"/>
    <cellStyle name="Vírgula 3 2 3 4 2 3" xfId="18343"/>
    <cellStyle name="Vírgula 3 2 3 4 2 3 2" xfId="44832"/>
    <cellStyle name="Vírgula 3 2 3 4 2 4" xfId="12416"/>
    <cellStyle name="Vírgula 3 2 3 4 2 4 2" xfId="38924"/>
    <cellStyle name="Vírgula 3 2 3 4 2 5" xfId="32902"/>
    <cellStyle name="Vírgula 3 2 3 4 2 6" xfId="26368"/>
    <cellStyle name="Vírgula 3 2 3 4 3" xfId="7985"/>
    <cellStyle name="Vírgula 3 2 3 4 3 2" xfId="19839"/>
    <cellStyle name="Vírgula 3 2 3 4 3 2 2" xfId="46318"/>
    <cellStyle name="Vírgula 3 2 3 4 3 3" xfId="13912"/>
    <cellStyle name="Vírgula 3 2 3 4 3 3 2" xfId="40410"/>
    <cellStyle name="Vírgula 3 2 3 4 3 4" xfId="34502"/>
    <cellStyle name="Vírgula 3 2 3 4 3 5" xfId="27968"/>
    <cellStyle name="Vírgula 3 2 3 4 4" xfId="16875"/>
    <cellStyle name="Vírgula 3 2 3 4 4 2" xfId="43364"/>
    <cellStyle name="Vírgula 3 2 3 4 4 3" xfId="24596"/>
    <cellStyle name="Vírgula 3 2 3 4 5" xfId="10948"/>
    <cellStyle name="Vírgula 3 2 3 4 5 2" xfId="37456"/>
    <cellStyle name="Vírgula 3 2 3 4 6" xfId="31130"/>
    <cellStyle name="Vírgula 3 2 3 4 7" xfId="22824"/>
    <cellStyle name="Vírgula 3 2 3 5" xfId="4727"/>
    <cellStyle name="Vírgula 3 2 3 5 2" xfId="6499"/>
    <cellStyle name="Vírgula 3 2 3 5 2 2" xfId="9515"/>
    <cellStyle name="Vírgula 3 2 3 5 2 2 2" xfId="21369"/>
    <cellStyle name="Vírgula 3 2 3 5 2 2 2 2" xfId="47848"/>
    <cellStyle name="Vírgula 3 2 3 5 2 2 3" xfId="15442"/>
    <cellStyle name="Vírgula 3 2 3 5 2 2 3 2" xfId="41940"/>
    <cellStyle name="Vírgula 3 2 3 5 2 2 4" xfId="36032"/>
    <cellStyle name="Vírgula 3 2 3 5 2 2 5" xfId="29498"/>
    <cellStyle name="Vírgula 3 2 3 5 2 3" xfId="18405"/>
    <cellStyle name="Vírgula 3 2 3 5 2 3 2" xfId="44894"/>
    <cellStyle name="Vírgula 3 2 3 5 2 4" xfId="12478"/>
    <cellStyle name="Vírgula 3 2 3 5 2 4 2" xfId="38986"/>
    <cellStyle name="Vírgula 3 2 3 5 2 5" xfId="33026"/>
    <cellStyle name="Vírgula 3 2 3 5 2 6" xfId="26492"/>
    <cellStyle name="Vírgula 3 2 3 5 3" xfId="8047"/>
    <cellStyle name="Vírgula 3 2 3 5 3 2" xfId="19901"/>
    <cellStyle name="Vírgula 3 2 3 5 3 2 2" xfId="46380"/>
    <cellStyle name="Vírgula 3 2 3 5 3 3" xfId="13974"/>
    <cellStyle name="Vírgula 3 2 3 5 3 3 2" xfId="40472"/>
    <cellStyle name="Vírgula 3 2 3 5 3 4" xfId="34564"/>
    <cellStyle name="Vírgula 3 2 3 5 3 5" xfId="28030"/>
    <cellStyle name="Vírgula 3 2 3 5 4" xfId="16937"/>
    <cellStyle name="Vírgula 3 2 3 5 4 2" xfId="43426"/>
    <cellStyle name="Vírgula 3 2 3 5 4 3" xfId="24720"/>
    <cellStyle name="Vírgula 3 2 3 5 5" xfId="11010"/>
    <cellStyle name="Vírgula 3 2 3 5 5 2" xfId="37518"/>
    <cellStyle name="Vírgula 3 2 3 5 6" xfId="31254"/>
    <cellStyle name="Vírgula 3 2 3 5 7" xfId="22948"/>
    <cellStyle name="Vírgula 3 2 3 6" xfId="2574"/>
    <cellStyle name="Vírgula 3 2 3 6 2" xfId="5617"/>
    <cellStyle name="Vírgula 3 2 3 6 2 2" xfId="8829"/>
    <cellStyle name="Vírgula 3 2 3 6 2 2 2" xfId="20683"/>
    <cellStyle name="Vírgula 3 2 3 6 2 2 2 2" xfId="47162"/>
    <cellStyle name="Vírgula 3 2 3 6 2 2 3" xfId="14756"/>
    <cellStyle name="Vírgula 3 2 3 6 2 2 3 2" xfId="41254"/>
    <cellStyle name="Vírgula 3 2 3 6 2 2 4" xfId="35346"/>
    <cellStyle name="Vírgula 3 2 3 6 2 2 5" xfId="28812"/>
    <cellStyle name="Vírgula 3 2 3 6 2 3" xfId="17719"/>
    <cellStyle name="Vírgula 3 2 3 6 2 3 2" xfId="44208"/>
    <cellStyle name="Vírgula 3 2 3 6 2 4" xfId="11792"/>
    <cellStyle name="Vírgula 3 2 3 6 2 4 2" xfId="38300"/>
    <cellStyle name="Vírgula 3 2 3 6 2 5" xfId="32144"/>
    <cellStyle name="Vírgula 3 2 3 6 2 6" xfId="25610"/>
    <cellStyle name="Vírgula 3 2 3 6 3" xfId="7358"/>
    <cellStyle name="Vírgula 3 2 3 6 3 2" xfId="19212"/>
    <cellStyle name="Vírgula 3 2 3 6 3 2 2" xfId="45694"/>
    <cellStyle name="Vírgula 3 2 3 6 3 3" xfId="13285"/>
    <cellStyle name="Vírgula 3 2 3 6 3 3 2" xfId="39786"/>
    <cellStyle name="Vírgula 3 2 3 6 3 4" xfId="33878"/>
    <cellStyle name="Vírgula 3 2 3 6 3 5" xfId="27344"/>
    <cellStyle name="Vírgula 3 2 3 6 4" xfId="16248"/>
    <cellStyle name="Vírgula 3 2 3 6 4 2" xfId="42740"/>
    <cellStyle name="Vírgula 3 2 3 6 5" xfId="10321"/>
    <cellStyle name="Vírgula 3 2 3 6 5 2" xfId="36832"/>
    <cellStyle name="Vírgula 3 2 3 6 6" xfId="30372"/>
    <cellStyle name="Vírgula 3 2 3 6 7" xfId="23838"/>
    <cellStyle name="Vírgula 3 2 3 7" xfId="4851"/>
    <cellStyle name="Vírgula 3 2 3 7 2" xfId="8109"/>
    <cellStyle name="Vírgula 3 2 3 7 2 2" xfId="19963"/>
    <cellStyle name="Vírgula 3 2 3 7 2 2 2" xfId="46442"/>
    <cellStyle name="Vírgula 3 2 3 7 2 3" xfId="14036"/>
    <cellStyle name="Vírgula 3 2 3 7 2 3 2" xfId="40534"/>
    <cellStyle name="Vírgula 3 2 3 7 2 4" xfId="34626"/>
    <cellStyle name="Vírgula 3 2 3 7 2 5" xfId="28092"/>
    <cellStyle name="Vírgula 3 2 3 7 3" xfId="16999"/>
    <cellStyle name="Vírgula 3 2 3 7 3 2" xfId="43488"/>
    <cellStyle name="Vírgula 3 2 3 7 4" xfId="11072"/>
    <cellStyle name="Vírgula 3 2 3 7 4 2" xfId="37580"/>
    <cellStyle name="Vírgula 3 2 3 7 5" xfId="31378"/>
    <cellStyle name="Vírgula 3 2 3 7 6" xfId="24844"/>
    <cellStyle name="Vírgula 3 2 3 8" xfId="6633"/>
    <cellStyle name="Vírgula 3 2 3 8 2" xfId="18487"/>
    <cellStyle name="Vírgula 3 2 3 8 2 2" xfId="44974"/>
    <cellStyle name="Vírgula 3 2 3 8 3" xfId="12560"/>
    <cellStyle name="Vírgula 3 2 3 8 3 2" xfId="39066"/>
    <cellStyle name="Vírgula 3 2 3 8 4" xfId="33158"/>
    <cellStyle name="Vírgula 3 2 3 8 5" xfId="26624"/>
    <cellStyle name="Vírgula 3 2 3 9" xfId="15523"/>
    <cellStyle name="Vírgula 3 2 3 9 2" xfId="42020"/>
    <cellStyle name="Vírgula 3 2 3 9 3" xfId="23072"/>
    <cellStyle name="Vírgula 3 2 4" xfId="110"/>
    <cellStyle name="Vírgula 3 2 4 10" xfId="29644"/>
    <cellStyle name="Vírgula 3 2 4 11" xfId="22213"/>
    <cellStyle name="Vírgula 3 2 4 2" xfId="4517"/>
    <cellStyle name="Vírgula 3 2 4 2 2" xfId="6289"/>
    <cellStyle name="Vírgula 3 2 4 2 2 2" xfId="9410"/>
    <cellStyle name="Vírgula 3 2 4 2 2 2 2" xfId="21264"/>
    <cellStyle name="Vírgula 3 2 4 2 2 2 2 2" xfId="47743"/>
    <cellStyle name="Vírgula 3 2 4 2 2 2 3" xfId="15337"/>
    <cellStyle name="Vírgula 3 2 4 2 2 2 3 2" xfId="41835"/>
    <cellStyle name="Vírgula 3 2 4 2 2 2 4" xfId="35927"/>
    <cellStyle name="Vírgula 3 2 4 2 2 2 5" xfId="29393"/>
    <cellStyle name="Vírgula 3 2 4 2 2 3" xfId="18300"/>
    <cellStyle name="Vírgula 3 2 4 2 2 3 2" xfId="44789"/>
    <cellStyle name="Vírgula 3 2 4 2 2 4" xfId="12373"/>
    <cellStyle name="Vírgula 3 2 4 2 2 4 2" xfId="38881"/>
    <cellStyle name="Vírgula 3 2 4 2 2 5" xfId="32816"/>
    <cellStyle name="Vírgula 3 2 4 2 2 6" xfId="26282"/>
    <cellStyle name="Vírgula 3 2 4 2 3" xfId="7942"/>
    <cellStyle name="Vírgula 3 2 4 2 3 2" xfId="19796"/>
    <cellStyle name="Vírgula 3 2 4 2 3 2 2" xfId="46275"/>
    <cellStyle name="Vírgula 3 2 4 2 3 3" xfId="13869"/>
    <cellStyle name="Vírgula 3 2 4 2 3 3 2" xfId="40367"/>
    <cellStyle name="Vírgula 3 2 4 2 3 4" xfId="34459"/>
    <cellStyle name="Vírgula 3 2 4 2 3 5" xfId="27925"/>
    <cellStyle name="Vírgula 3 2 4 2 4" xfId="16832"/>
    <cellStyle name="Vírgula 3 2 4 2 4 2" xfId="43321"/>
    <cellStyle name="Vírgula 3 2 4 2 4 3" xfId="24510"/>
    <cellStyle name="Vírgula 3 2 4 2 5" xfId="10905"/>
    <cellStyle name="Vírgula 3 2 4 2 5 2" xfId="37413"/>
    <cellStyle name="Vírgula 3 2 4 2 6" xfId="31044"/>
    <cellStyle name="Vírgula 3 2 4 2 7" xfId="22738"/>
    <cellStyle name="Vírgula 3 2 4 3" xfId="4641"/>
    <cellStyle name="Vírgula 3 2 4 3 2" xfId="6413"/>
    <cellStyle name="Vírgula 3 2 4 3 2 2" xfId="9472"/>
    <cellStyle name="Vírgula 3 2 4 3 2 2 2" xfId="21326"/>
    <cellStyle name="Vírgula 3 2 4 3 2 2 2 2" xfId="47805"/>
    <cellStyle name="Vírgula 3 2 4 3 2 2 3" xfId="15399"/>
    <cellStyle name="Vírgula 3 2 4 3 2 2 3 2" xfId="41897"/>
    <cellStyle name="Vírgula 3 2 4 3 2 2 4" xfId="35989"/>
    <cellStyle name="Vírgula 3 2 4 3 2 2 5" xfId="29455"/>
    <cellStyle name="Vírgula 3 2 4 3 2 3" xfId="18362"/>
    <cellStyle name="Vírgula 3 2 4 3 2 3 2" xfId="44851"/>
    <cellStyle name="Vírgula 3 2 4 3 2 4" xfId="12435"/>
    <cellStyle name="Vírgula 3 2 4 3 2 4 2" xfId="38943"/>
    <cellStyle name="Vírgula 3 2 4 3 2 5" xfId="32940"/>
    <cellStyle name="Vírgula 3 2 4 3 2 6" xfId="26406"/>
    <cellStyle name="Vírgula 3 2 4 3 3" xfId="8004"/>
    <cellStyle name="Vírgula 3 2 4 3 3 2" xfId="19858"/>
    <cellStyle name="Vírgula 3 2 4 3 3 2 2" xfId="46337"/>
    <cellStyle name="Vírgula 3 2 4 3 3 3" xfId="13931"/>
    <cellStyle name="Vírgula 3 2 4 3 3 3 2" xfId="40429"/>
    <cellStyle name="Vírgula 3 2 4 3 3 4" xfId="34521"/>
    <cellStyle name="Vírgula 3 2 4 3 3 5" xfId="27987"/>
    <cellStyle name="Vírgula 3 2 4 3 4" xfId="16894"/>
    <cellStyle name="Vírgula 3 2 4 3 4 2" xfId="43383"/>
    <cellStyle name="Vírgula 3 2 4 3 4 3" xfId="24634"/>
    <cellStyle name="Vírgula 3 2 4 3 5" xfId="10967"/>
    <cellStyle name="Vírgula 3 2 4 3 5 2" xfId="37475"/>
    <cellStyle name="Vírgula 3 2 4 3 6" xfId="31168"/>
    <cellStyle name="Vírgula 3 2 4 3 7" xfId="22862"/>
    <cellStyle name="Vírgula 3 2 4 4" xfId="4765"/>
    <cellStyle name="Vírgula 3 2 4 4 2" xfId="6537"/>
    <cellStyle name="Vírgula 3 2 4 4 2 2" xfId="9534"/>
    <cellStyle name="Vírgula 3 2 4 4 2 2 2" xfId="21388"/>
    <cellStyle name="Vírgula 3 2 4 4 2 2 2 2" xfId="47867"/>
    <cellStyle name="Vírgula 3 2 4 4 2 2 3" xfId="15461"/>
    <cellStyle name="Vírgula 3 2 4 4 2 2 3 2" xfId="41959"/>
    <cellStyle name="Vírgula 3 2 4 4 2 2 4" xfId="36051"/>
    <cellStyle name="Vírgula 3 2 4 4 2 2 5" xfId="29517"/>
    <cellStyle name="Vírgula 3 2 4 4 2 3" xfId="18424"/>
    <cellStyle name="Vírgula 3 2 4 4 2 3 2" xfId="44913"/>
    <cellStyle name="Vírgula 3 2 4 4 2 4" xfId="12497"/>
    <cellStyle name="Vírgula 3 2 4 4 2 4 2" xfId="39005"/>
    <cellStyle name="Vírgula 3 2 4 4 2 5" xfId="33064"/>
    <cellStyle name="Vírgula 3 2 4 4 2 6" xfId="26530"/>
    <cellStyle name="Vírgula 3 2 4 4 3" xfId="8066"/>
    <cellStyle name="Vírgula 3 2 4 4 3 2" xfId="19920"/>
    <cellStyle name="Vírgula 3 2 4 4 3 2 2" xfId="46399"/>
    <cellStyle name="Vírgula 3 2 4 4 3 3" xfId="13993"/>
    <cellStyle name="Vírgula 3 2 4 4 3 3 2" xfId="40491"/>
    <cellStyle name="Vírgula 3 2 4 4 3 4" xfId="34583"/>
    <cellStyle name="Vírgula 3 2 4 4 3 5" xfId="28049"/>
    <cellStyle name="Vírgula 3 2 4 4 4" xfId="16956"/>
    <cellStyle name="Vírgula 3 2 4 4 4 2" xfId="43445"/>
    <cellStyle name="Vírgula 3 2 4 4 4 3" xfId="24758"/>
    <cellStyle name="Vírgula 3 2 4 4 5" xfId="11029"/>
    <cellStyle name="Vírgula 3 2 4 4 5 2" xfId="37537"/>
    <cellStyle name="Vírgula 3 2 4 4 6" xfId="31292"/>
    <cellStyle name="Vírgula 3 2 4 4 7" xfId="22986"/>
    <cellStyle name="Vírgula 3 2 4 5" xfId="3102"/>
    <cellStyle name="Vírgula 3 2 4 5 2" xfId="5764"/>
    <cellStyle name="Vírgula 3 2 4 5 2 2" xfId="8976"/>
    <cellStyle name="Vírgula 3 2 4 5 2 2 2" xfId="20830"/>
    <cellStyle name="Vírgula 3 2 4 5 2 2 2 2" xfId="47309"/>
    <cellStyle name="Vírgula 3 2 4 5 2 2 3" xfId="14903"/>
    <cellStyle name="Vírgula 3 2 4 5 2 2 3 2" xfId="41401"/>
    <cellStyle name="Vírgula 3 2 4 5 2 2 4" xfId="35493"/>
    <cellStyle name="Vírgula 3 2 4 5 2 2 5" xfId="28959"/>
    <cellStyle name="Vírgula 3 2 4 5 2 3" xfId="17866"/>
    <cellStyle name="Vírgula 3 2 4 5 2 3 2" xfId="44355"/>
    <cellStyle name="Vírgula 3 2 4 5 2 4" xfId="11939"/>
    <cellStyle name="Vírgula 3 2 4 5 2 4 2" xfId="38447"/>
    <cellStyle name="Vírgula 3 2 4 5 2 5" xfId="32291"/>
    <cellStyle name="Vírgula 3 2 4 5 2 6" xfId="25757"/>
    <cellStyle name="Vírgula 3 2 4 5 3" xfId="7506"/>
    <cellStyle name="Vírgula 3 2 4 5 3 2" xfId="19360"/>
    <cellStyle name="Vírgula 3 2 4 5 3 2 2" xfId="45841"/>
    <cellStyle name="Vírgula 3 2 4 5 3 3" xfId="13433"/>
    <cellStyle name="Vírgula 3 2 4 5 3 3 2" xfId="39933"/>
    <cellStyle name="Vírgula 3 2 4 5 3 4" xfId="34025"/>
    <cellStyle name="Vírgula 3 2 4 5 3 5" xfId="27491"/>
    <cellStyle name="Vírgula 3 2 4 5 4" xfId="16396"/>
    <cellStyle name="Vírgula 3 2 4 5 4 2" xfId="42887"/>
    <cellStyle name="Vírgula 3 2 4 5 5" xfId="10469"/>
    <cellStyle name="Vírgula 3 2 4 5 5 2" xfId="36979"/>
    <cellStyle name="Vírgula 3 2 4 5 6" xfId="30519"/>
    <cellStyle name="Vírgula 3 2 4 5 7" xfId="23985"/>
    <cellStyle name="Vírgula 3 2 4 6" xfId="4889"/>
    <cellStyle name="Vírgula 3 2 4 6 2" xfId="8128"/>
    <cellStyle name="Vírgula 3 2 4 6 2 2" xfId="19982"/>
    <cellStyle name="Vírgula 3 2 4 6 2 2 2" xfId="46461"/>
    <cellStyle name="Vírgula 3 2 4 6 2 3" xfId="14055"/>
    <cellStyle name="Vírgula 3 2 4 6 2 3 2" xfId="40553"/>
    <cellStyle name="Vírgula 3 2 4 6 2 4" xfId="34645"/>
    <cellStyle name="Vírgula 3 2 4 6 2 5" xfId="28111"/>
    <cellStyle name="Vírgula 3 2 4 6 3" xfId="17018"/>
    <cellStyle name="Vírgula 3 2 4 6 3 2" xfId="43507"/>
    <cellStyle name="Vírgula 3 2 4 6 4" xfId="11091"/>
    <cellStyle name="Vírgula 3 2 4 6 4 2" xfId="37599"/>
    <cellStyle name="Vírgula 3 2 4 6 5" xfId="31416"/>
    <cellStyle name="Vírgula 3 2 4 6 6" xfId="24882"/>
    <cellStyle name="Vírgula 3 2 4 7" xfId="6652"/>
    <cellStyle name="Vírgula 3 2 4 7 2" xfId="18506"/>
    <cellStyle name="Vírgula 3 2 4 7 2 2" xfId="44993"/>
    <cellStyle name="Vírgula 3 2 4 7 3" xfId="12579"/>
    <cellStyle name="Vírgula 3 2 4 7 3 2" xfId="39085"/>
    <cellStyle name="Vírgula 3 2 4 7 4" xfId="33177"/>
    <cellStyle name="Vírgula 3 2 4 7 5" xfId="26643"/>
    <cellStyle name="Vírgula 3 2 4 8" xfId="15542"/>
    <cellStyle name="Vírgula 3 2 4 8 2" xfId="42039"/>
    <cellStyle name="Vírgula 3 2 4 8 3" xfId="23110"/>
    <cellStyle name="Vírgula 3 2 4 9" xfId="9615"/>
    <cellStyle name="Vírgula 3 2 4 9 2" xfId="36131"/>
    <cellStyle name="Vírgula 3 2 5" xfId="3630"/>
    <cellStyle name="Vírgula 3 2 5 2" xfId="5911"/>
    <cellStyle name="Vírgula 3 2 5 2 2" xfId="9123"/>
    <cellStyle name="Vírgula 3 2 5 2 2 2" xfId="20977"/>
    <cellStyle name="Vírgula 3 2 5 2 2 2 2" xfId="47456"/>
    <cellStyle name="Vírgula 3 2 5 2 2 3" xfId="15050"/>
    <cellStyle name="Vírgula 3 2 5 2 2 3 2" xfId="41548"/>
    <cellStyle name="Vírgula 3 2 5 2 2 4" xfId="35640"/>
    <cellStyle name="Vírgula 3 2 5 2 2 5" xfId="29106"/>
    <cellStyle name="Vírgula 3 2 5 2 3" xfId="18013"/>
    <cellStyle name="Vírgula 3 2 5 2 3 2" xfId="44502"/>
    <cellStyle name="Vírgula 3 2 5 2 4" xfId="12086"/>
    <cellStyle name="Vírgula 3 2 5 2 4 2" xfId="38594"/>
    <cellStyle name="Vírgula 3 2 5 2 5" xfId="32438"/>
    <cellStyle name="Vírgula 3 2 5 2 6" xfId="25904"/>
    <cellStyle name="Vírgula 3 2 5 3" xfId="7654"/>
    <cellStyle name="Vírgula 3 2 5 3 2" xfId="19508"/>
    <cellStyle name="Vírgula 3 2 5 3 2 2" xfId="45988"/>
    <cellStyle name="Vírgula 3 2 5 3 3" xfId="13581"/>
    <cellStyle name="Vírgula 3 2 5 3 3 2" xfId="40080"/>
    <cellStyle name="Vírgula 3 2 5 3 4" xfId="34172"/>
    <cellStyle name="Vírgula 3 2 5 3 5" xfId="27638"/>
    <cellStyle name="Vírgula 3 2 5 4" xfId="16544"/>
    <cellStyle name="Vírgula 3 2 5 4 2" xfId="43034"/>
    <cellStyle name="Vírgula 3 2 5 4 3" xfId="24132"/>
    <cellStyle name="Vírgula 3 2 5 5" xfId="10617"/>
    <cellStyle name="Vírgula 3 2 5 5 2" xfId="37126"/>
    <cellStyle name="Vírgula 3 2 5 6" xfId="30666"/>
    <cellStyle name="Vírgula 3 2 5 7" xfId="22360"/>
    <cellStyle name="Vírgula 3 2 6" xfId="4158"/>
    <cellStyle name="Vírgula 3 2 6 2" xfId="6058"/>
    <cellStyle name="Vírgula 3 2 6 2 2" xfId="9270"/>
    <cellStyle name="Vírgula 3 2 6 2 2 2" xfId="21124"/>
    <cellStyle name="Vírgula 3 2 6 2 2 2 2" xfId="47603"/>
    <cellStyle name="Vírgula 3 2 6 2 2 3" xfId="15197"/>
    <cellStyle name="Vírgula 3 2 6 2 2 3 2" xfId="41695"/>
    <cellStyle name="Vírgula 3 2 6 2 2 4" xfId="35787"/>
    <cellStyle name="Vírgula 3 2 6 2 2 5" xfId="29253"/>
    <cellStyle name="Vírgula 3 2 6 2 3" xfId="18160"/>
    <cellStyle name="Vírgula 3 2 6 2 3 2" xfId="44649"/>
    <cellStyle name="Vírgula 3 2 6 2 4" xfId="12233"/>
    <cellStyle name="Vírgula 3 2 6 2 4 2" xfId="38741"/>
    <cellStyle name="Vírgula 3 2 6 2 5" xfId="32585"/>
    <cellStyle name="Vírgula 3 2 6 2 6" xfId="26051"/>
    <cellStyle name="Vírgula 3 2 6 3" xfId="7802"/>
    <cellStyle name="Vírgula 3 2 6 3 2" xfId="19656"/>
    <cellStyle name="Vírgula 3 2 6 3 2 2" xfId="46135"/>
    <cellStyle name="Vírgula 3 2 6 3 3" xfId="13729"/>
    <cellStyle name="Vírgula 3 2 6 3 3 2" xfId="40227"/>
    <cellStyle name="Vírgula 3 2 6 3 4" xfId="34319"/>
    <cellStyle name="Vírgula 3 2 6 3 5" xfId="27785"/>
    <cellStyle name="Vírgula 3 2 6 4" xfId="16692"/>
    <cellStyle name="Vírgula 3 2 6 4 2" xfId="43181"/>
    <cellStyle name="Vírgula 3 2 6 4 3" xfId="24279"/>
    <cellStyle name="Vírgula 3 2 6 5" xfId="10765"/>
    <cellStyle name="Vírgula 3 2 6 5 2" xfId="37273"/>
    <cellStyle name="Vírgula 3 2 6 6" xfId="30813"/>
    <cellStyle name="Vírgula 3 2 6 7" xfId="22507"/>
    <cellStyle name="Vírgula 3 2 7" xfId="4353"/>
    <cellStyle name="Vírgula 3 2 7 2" xfId="6125"/>
    <cellStyle name="Vírgula 3 2 7 2 2" xfId="9328"/>
    <cellStyle name="Vírgula 3 2 7 2 2 2" xfId="21182"/>
    <cellStyle name="Vírgula 3 2 7 2 2 2 2" xfId="47661"/>
    <cellStyle name="Vírgula 3 2 7 2 2 3" xfId="15255"/>
    <cellStyle name="Vírgula 3 2 7 2 2 3 2" xfId="41753"/>
    <cellStyle name="Vírgula 3 2 7 2 2 4" xfId="35845"/>
    <cellStyle name="Vírgula 3 2 7 2 2 5" xfId="29311"/>
    <cellStyle name="Vírgula 3 2 7 2 3" xfId="18218"/>
    <cellStyle name="Vírgula 3 2 7 2 3 2" xfId="44707"/>
    <cellStyle name="Vírgula 3 2 7 2 4" xfId="12291"/>
    <cellStyle name="Vírgula 3 2 7 2 4 2" xfId="38799"/>
    <cellStyle name="Vírgula 3 2 7 2 5" xfId="32652"/>
    <cellStyle name="Vírgula 3 2 7 2 6" xfId="26118"/>
    <cellStyle name="Vírgula 3 2 7 3" xfId="7860"/>
    <cellStyle name="Vírgula 3 2 7 3 2" xfId="19714"/>
    <cellStyle name="Vírgula 3 2 7 3 2 2" xfId="46193"/>
    <cellStyle name="Vírgula 3 2 7 3 3" xfId="13787"/>
    <cellStyle name="Vírgula 3 2 7 3 3 2" xfId="40285"/>
    <cellStyle name="Vírgula 3 2 7 3 4" xfId="34377"/>
    <cellStyle name="Vírgula 3 2 7 3 5" xfId="27843"/>
    <cellStyle name="Vírgula 3 2 7 4" xfId="16750"/>
    <cellStyle name="Vírgula 3 2 7 4 2" xfId="43239"/>
    <cellStyle name="Vírgula 3 2 7 4 3" xfId="24346"/>
    <cellStyle name="Vírgula 3 2 7 5" xfId="10823"/>
    <cellStyle name="Vírgula 3 2 7 5 2" xfId="37331"/>
    <cellStyle name="Vírgula 3 2 7 6" xfId="30880"/>
    <cellStyle name="Vírgula 3 2 7 7" xfId="22574"/>
    <cellStyle name="Vírgula 3 2 8" xfId="4439"/>
    <cellStyle name="Vírgula 3 2 8 2" xfId="6211"/>
    <cellStyle name="Vírgula 3 2 8 2 2" xfId="9371"/>
    <cellStyle name="Vírgula 3 2 8 2 2 2" xfId="21225"/>
    <cellStyle name="Vírgula 3 2 8 2 2 2 2" xfId="47704"/>
    <cellStyle name="Vírgula 3 2 8 2 2 3" xfId="15298"/>
    <cellStyle name="Vírgula 3 2 8 2 2 3 2" xfId="41796"/>
    <cellStyle name="Vírgula 3 2 8 2 2 4" xfId="35888"/>
    <cellStyle name="Vírgula 3 2 8 2 2 5" xfId="29354"/>
    <cellStyle name="Vírgula 3 2 8 2 3" xfId="18261"/>
    <cellStyle name="Vírgula 3 2 8 2 3 2" xfId="44750"/>
    <cellStyle name="Vírgula 3 2 8 2 4" xfId="12334"/>
    <cellStyle name="Vírgula 3 2 8 2 4 2" xfId="38842"/>
    <cellStyle name="Vírgula 3 2 8 2 5" xfId="32738"/>
    <cellStyle name="Vírgula 3 2 8 2 6" xfId="26204"/>
    <cellStyle name="Vírgula 3 2 8 3" xfId="7903"/>
    <cellStyle name="Vírgula 3 2 8 3 2" xfId="19757"/>
    <cellStyle name="Vírgula 3 2 8 3 2 2" xfId="46236"/>
    <cellStyle name="Vírgula 3 2 8 3 3" xfId="13830"/>
    <cellStyle name="Vírgula 3 2 8 3 3 2" xfId="40328"/>
    <cellStyle name="Vírgula 3 2 8 3 4" xfId="34420"/>
    <cellStyle name="Vírgula 3 2 8 3 5" xfId="27886"/>
    <cellStyle name="Vírgula 3 2 8 4" xfId="16793"/>
    <cellStyle name="Vírgula 3 2 8 4 2" xfId="43282"/>
    <cellStyle name="Vírgula 3 2 8 4 3" xfId="24432"/>
    <cellStyle name="Vírgula 3 2 8 5" xfId="10866"/>
    <cellStyle name="Vírgula 3 2 8 5 2" xfId="37374"/>
    <cellStyle name="Vírgula 3 2 8 6" xfId="30966"/>
    <cellStyle name="Vírgula 3 2 8 7" xfId="22660"/>
    <cellStyle name="Vírgula 3 2 9" xfId="4563"/>
    <cellStyle name="Vírgula 3 2 9 2" xfId="6335"/>
    <cellStyle name="Vírgula 3 2 9 2 2" xfId="9433"/>
    <cellStyle name="Vírgula 3 2 9 2 2 2" xfId="21287"/>
    <cellStyle name="Vírgula 3 2 9 2 2 2 2" xfId="47766"/>
    <cellStyle name="Vírgula 3 2 9 2 2 3" xfId="15360"/>
    <cellStyle name="Vírgula 3 2 9 2 2 3 2" xfId="41858"/>
    <cellStyle name="Vírgula 3 2 9 2 2 4" xfId="35950"/>
    <cellStyle name="Vírgula 3 2 9 2 2 5" xfId="29416"/>
    <cellStyle name="Vírgula 3 2 9 2 3" xfId="18323"/>
    <cellStyle name="Vírgula 3 2 9 2 3 2" xfId="44812"/>
    <cellStyle name="Vírgula 3 2 9 2 4" xfId="12396"/>
    <cellStyle name="Vírgula 3 2 9 2 4 2" xfId="38904"/>
    <cellStyle name="Vírgula 3 2 9 2 5" xfId="32862"/>
    <cellStyle name="Vírgula 3 2 9 2 6" xfId="26328"/>
    <cellStyle name="Vírgula 3 2 9 3" xfId="7965"/>
    <cellStyle name="Vírgula 3 2 9 3 2" xfId="19819"/>
    <cellStyle name="Vírgula 3 2 9 3 2 2" xfId="46298"/>
    <cellStyle name="Vírgula 3 2 9 3 3" xfId="13892"/>
    <cellStyle name="Vírgula 3 2 9 3 3 2" xfId="40390"/>
    <cellStyle name="Vírgula 3 2 9 3 4" xfId="34482"/>
    <cellStyle name="Vírgula 3 2 9 3 5" xfId="27948"/>
    <cellStyle name="Vírgula 3 2 9 4" xfId="16855"/>
    <cellStyle name="Vírgula 3 2 9 4 2" xfId="43344"/>
    <cellStyle name="Vírgula 3 2 9 4 3" xfId="24556"/>
    <cellStyle name="Vírgula 3 2 9 5" xfId="10928"/>
    <cellStyle name="Vírgula 3 2 9 5 2" xfId="37436"/>
    <cellStyle name="Vírgula 3 2 9 6" xfId="31090"/>
    <cellStyle name="Vírgula 3 2 9 7" xfId="22784"/>
    <cellStyle name="Vírgula 3 20" xfId="29550"/>
    <cellStyle name="Vírgula 3 21" xfId="21421"/>
    <cellStyle name="Vírgula 3 3" xfId="37"/>
    <cellStyle name="Vírgula 3 3 10" xfId="6581"/>
    <cellStyle name="Vírgula 3 3 10 2" xfId="9556"/>
    <cellStyle name="Vírgula 3 3 10 2 2" xfId="21410"/>
    <cellStyle name="Vírgula 3 3 10 2 2 2" xfId="47889"/>
    <cellStyle name="Vírgula 3 3 10 2 3" xfId="15483"/>
    <cellStyle name="Vírgula 3 3 10 2 3 2" xfId="41981"/>
    <cellStyle name="Vírgula 3 3 10 2 4" xfId="36073"/>
    <cellStyle name="Vírgula 3 3 10 2 5" xfId="29539"/>
    <cellStyle name="Vírgula 3 3 10 3" xfId="18446"/>
    <cellStyle name="Vírgula 3 3 10 3 2" xfId="44935"/>
    <cellStyle name="Vírgula 3 3 10 4" xfId="12519"/>
    <cellStyle name="Vírgula 3 3 10 4 2" xfId="39027"/>
    <cellStyle name="Vírgula 3 3 10 5" xfId="33108"/>
    <cellStyle name="Vírgula 3 3 10 6" xfId="26574"/>
    <cellStyle name="Vírgula 3 3 11" xfId="6616"/>
    <cellStyle name="Vírgula 3 3 11 2" xfId="18470"/>
    <cellStyle name="Vírgula 3 3 11 2 2" xfId="44957"/>
    <cellStyle name="Vírgula 3 3 11 3" xfId="12543"/>
    <cellStyle name="Vírgula 3 3 11 3 2" xfId="39049"/>
    <cellStyle name="Vírgula 3 3 11 4" xfId="33141"/>
    <cellStyle name="Vírgula 3 3 11 5" xfId="26607"/>
    <cellStyle name="Vírgula 3 3 12" xfId="15506"/>
    <cellStyle name="Vírgula 3 3 12 2" xfId="42003"/>
    <cellStyle name="Vírgula 3 3 12 3" xfId="23038"/>
    <cellStyle name="Vírgula 3 3 13" xfId="9579"/>
    <cellStyle name="Vírgula 3 3 13 2" xfId="36095"/>
    <cellStyle name="Vírgula 3 3 14" xfId="29572"/>
    <cellStyle name="Vírgula 3 3 15" xfId="21629"/>
    <cellStyle name="Vírgula 3 3 2" xfId="55"/>
    <cellStyle name="Vírgula 3 3 2 10" xfId="6625"/>
    <cellStyle name="Vírgula 3 3 2 10 2" xfId="18479"/>
    <cellStyle name="Vírgula 3 3 2 10 2 2" xfId="44966"/>
    <cellStyle name="Vírgula 3 3 2 10 3" xfId="12552"/>
    <cellStyle name="Vírgula 3 3 2 10 3 2" xfId="39058"/>
    <cellStyle name="Vírgula 3 3 2 10 4" xfId="33150"/>
    <cellStyle name="Vírgula 3 3 2 10 5" xfId="26616"/>
    <cellStyle name="Vírgula 3 3 2 11" xfId="15515"/>
    <cellStyle name="Vírgula 3 3 2 11 2" xfId="42012"/>
    <cellStyle name="Vírgula 3 3 2 11 3" xfId="23056"/>
    <cellStyle name="Vírgula 3 3 2 12" xfId="9588"/>
    <cellStyle name="Vírgula 3 3 2 12 2" xfId="36104"/>
    <cellStyle name="Vírgula 3 3 2 13" xfId="29590"/>
    <cellStyle name="Vírgula 3 3 2 14" xfId="22598"/>
    <cellStyle name="Vírgula 3 3 2 2" xfId="96"/>
    <cellStyle name="Vírgula 3 3 2 2 10" xfId="29630"/>
    <cellStyle name="Vírgula 3 3 2 2 11" xfId="22638"/>
    <cellStyle name="Vírgula 3 3 2 2 2" xfId="4503"/>
    <cellStyle name="Vírgula 3 3 2 2 2 2" xfId="6275"/>
    <cellStyle name="Vírgula 3 3 2 2 2 2 2" xfId="9403"/>
    <cellStyle name="Vírgula 3 3 2 2 2 2 2 2" xfId="21257"/>
    <cellStyle name="Vírgula 3 3 2 2 2 2 2 2 2" xfId="47736"/>
    <cellStyle name="Vírgula 3 3 2 2 2 2 2 3" xfId="15330"/>
    <cellStyle name="Vírgula 3 3 2 2 2 2 2 3 2" xfId="41828"/>
    <cellStyle name="Vírgula 3 3 2 2 2 2 2 4" xfId="35920"/>
    <cellStyle name="Vírgula 3 3 2 2 2 2 2 5" xfId="29386"/>
    <cellStyle name="Vírgula 3 3 2 2 2 2 3" xfId="18293"/>
    <cellStyle name="Vírgula 3 3 2 2 2 2 3 2" xfId="44782"/>
    <cellStyle name="Vírgula 3 3 2 2 2 2 4" xfId="12366"/>
    <cellStyle name="Vírgula 3 3 2 2 2 2 4 2" xfId="38874"/>
    <cellStyle name="Vírgula 3 3 2 2 2 2 5" xfId="32802"/>
    <cellStyle name="Vírgula 3 3 2 2 2 2 6" xfId="26268"/>
    <cellStyle name="Vírgula 3 3 2 2 2 3" xfId="7935"/>
    <cellStyle name="Vírgula 3 3 2 2 2 3 2" xfId="19789"/>
    <cellStyle name="Vírgula 3 3 2 2 2 3 2 2" xfId="46268"/>
    <cellStyle name="Vírgula 3 3 2 2 2 3 3" xfId="13862"/>
    <cellStyle name="Vírgula 3 3 2 2 2 3 3 2" xfId="40360"/>
    <cellStyle name="Vírgula 3 3 2 2 2 3 4" xfId="34452"/>
    <cellStyle name="Vírgula 3 3 2 2 2 3 5" xfId="27918"/>
    <cellStyle name="Vírgula 3 3 2 2 2 4" xfId="16825"/>
    <cellStyle name="Vírgula 3 3 2 2 2 4 2" xfId="43314"/>
    <cellStyle name="Vírgula 3 3 2 2 2 4 3" xfId="24496"/>
    <cellStyle name="Vírgula 3 3 2 2 2 5" xfId="10898"/>
    <cellStyle name="Vírgula 3 3 2 2 2 5 2" xfId="37406"/>
    <cellStyle name="Vírgula 3 3 2 2 2 6" xfId="31030"/>
    <cellStyle name="Vírgula 3 3 2 2 2 7" xfId="22724"/>
    <cellStyle name="Vírgula 3 3 2 2 3" xfId="4627"/>
    <cellStyle name="Vírgula 3 3 2 2 3 2" xfId="6399"/>
    <cellStyle name="Vírgula 3 3 2 2 3 2 2" xfId="9465"/>
    <cellStyle name="Vírgula 3 3 2 2 3 2 2 2" xfId="21319"/>
    <cellStyle name="Vírgula 3 3 2 2 3 2 2 2 2" xfId="47798"/>
    <cellStyle name="Vírgula 3 3 2 2 3 2 2 3" xfId="15392"/>
    <cellStyle name="Vírgula 3 3 2 2 3 2 2 3 2" xfId="41890"/>
    <cellStyle name="Vírgula 3 3 2 2 3 2 2 4" xfId="35982"/>
    <cellStyle name="Vírgula 3 3 2 2 3 2 2 5" xfId="29448"/>
    <cellStyle name="Vírgula 3 3 2 2 3 2 3" xfId="18355"/>
    <cellStyle name="Vírgula 3 3 2 2 3 2 3 2" xfId="44844"/>
    <cellStyle name="Vírgula 3 3 2 2 3 2 4" xfId="12428"/>
    <cellStyle name="Vírgula 3 3 2 2 3 2 4 2" xfId="38936"/>
    <cellStyle name="Vírgula 3 3 2 2 3 2 5" xfId="32926"/>
    <cellStyle name="Vírgula 3 3 2 2 3 2 6" xfId="26392"/>
    <cellStyle name="Vírgula 3 3 2 2 3 3" xfId="7997"/>
    <cellStyle name="Vírgula 3 3 2 2 3 3 2" xfId="19851"/>
    <cellStyle name="Vírgula 3 3 2 2 3 3 2 2" xfId="46330"/>
    <cellStyle name="Vírgula 3 3 2 2 3 3 3" xfId="13924"/>
    <cellStyle name="Vírgula 3 3 2 2 3 3 3 2" xfId="40422"/>
    <cellStyle name="Vírgula 3 3 2 2 3 3 4" xfId="34514"/>
    <cellStyle name="Vírgula 3 3 2 2 3 3 5" xfId="27980"/>
    <cellStyle name="Vírgula 3 3 2 2 3 4" xfId="16887"/>
    <cellStyle name="Vírgula 3 3 2 2 3 4 2" xfId="43376"/>
    <cellStyle name="Vírgula 3 3 2 2 3 4 3" xfId="24620"/>
    <cellStyle name="Vírgula 3 3 2 2 3 5" xfId="10960"/>
    <cellStyle name="Vírgula 3 3 2 2 3 5 2" xfId="37468"/>
    <cellStyle name="Vírgula 3 3 2 2 3 6" xfId="31154"/>
    <cellStyle name="Vírgula 3 3 2 2 3 7" xfId="22848"/>
    <cellStyle name="Vírgula 3 3 2 2 4" xfId="4751"/>
    <cellStyle name="Vírgula 3 3 2 2 4 2" xfId="6523"/>
    <cellStyle name="Vírgula 3 3 2 2 4 2 2" xfId="9527"/>
    <cellStyle name="Vírgula 3 3 2 2 4 2 2 2" xfId="21381"/>
    <cellStyle name="Vírgula 3 3 2 2 4 2 2 2 2" xfId="47860"/>
    <cellStyle name="Vírgula 3 3 2 2 4 2 2 3" xfId="15454"/>
    <cellStyle name="Vírgula 3 3 2 2 4 2 2 3 2" xfId="41952"/>
    <cellStyle name="Vírgula 3 3 2 2 4 2 2 4" xfId="36044"/>
    <cellStyle name="Vírgula 3 3 2 2 4 2 2 5" xfId="29510"/>
    <cellStyle name="Vírgula 3 3 2 2 4 2 3" xfId="18417"/>
    <cellStyle name="Vírgula 3 3 2 2 4 2 3 2" xfId="44906"/>
    <cellStyle name="Vírgula 3 3 2 2 4 2 4" xfId="12490"/>
    <cellStyle name="Vírgula 3 3 2 2 4 2 4 2" xfId="38998"/>
    <cellStyle name="Vírgula 3 3 2 2 4 2 5" xfId="33050"/>
    <cellStyle name="Vírgula 3 3 2 2 4 2 6" xfId="26516"/>
    <cellStyle name="Vírgula 3 3 2 2 4 3" xfId="8059"/>
    <cellStyle name="Vírgula 3 3 2 2 4 3 2" xfId="19913"/>
    <cellStyle name="Vírgula 3 3 2 2 4 3 2 2" xfId="46392"/>
    <cellStyle name="Vírgula 3 3 2 2 4 3 3" xfId="13986"/>
    <cellStyle name="Vírgula 3 3 2 2 4 3 3 2" xfId="40484"/>
    <cellStyle name="Vírgula 3 3 2 2 4 3 4" xfId="34576"/>
    <cellStyle name="Vírgula 3 3 2 2 4 3 5" xfId="28042"/>
    <cellStyle name="Vírgula 3 3 2 2 4 4" xfId="16949"/>
    <cellStyle name="Vírgula 3 3 2 2 4 4 2" xfId="43438"/>
    <cellStyle name="Vírgula 3 3 2 2 4 4 3" xfId="24744"/>
    <cellStyle name="Vírgula 3 3 2 2 4 5" xfId="11022"/>
    <cellStyle name="Vírgula 3 3 2 2 4 5 2" xfId="37530"/>
    <cellStyle name="Vírgula 3 3 2 2 4 6" xfId="31278"/>
    <cellStyle name="Vírgula 3 3 2 2 4 7" xfId="22972"/>
    <cellStyle name="Vírgula 3 3 2 2 5" xfId="4417"/>
    <cellStyle name="Vírgula 3 3 2 2 5 2" xfId="6189"/>
    <cellStyle name="Vírgula 3 3 2 2 5 2 2" xfId="9360"/>
    <cellStyle name="Vírgula 3 3 2 2 5 2 2 2" xfId="21214"/>
    <cellStyle name="Vírgula 3 3 2 2 5 2 2 2 2" xfId="47693"/>
    <cellStyle name="Vírgula 3 3 2 2 5 2 2 3" xfId="15287"/>
    <cellStyle name="Vírgula 3 3 2 2 5 2 2 3 2" xfId="41785"/>
    <cellStyle name="Vírgula 3 3 2 2 5 2 2 4" xfId="35877"/>
    <cellStyle name="Vírgula 3 3 2 2 5 2 2 5" xfId="29343"/>
    <cellStyle name="Vírgula 3 3 2 2 5 2 3" xfId="18250"/>
    <cellStyle name="Vírgula 3 3 2 2 5 2 3 2" xfId="44739"/>
    <cellStyle name="Vírgula 3 3 2 2 5 2 4" xfId="12323"/>
    <cellStyle name="Vírgula 3 3 2 2 5 2 4 2" xfId="38831"/>
    <cellStyle name="Vírgula 3 3 2 2 5 2 5" xfId="32716"/>
    <cellStyle name="Vírgula 3 3 2 2 5 2 6" xfId="26182"/>
    <cellStyle name="Vírgula 3 3 2 2 5 3" xfId="7892"/>
    <cellStyle name="Vírgula 3 3 2 2 5 3 2" xfId="19746"/>
    <cellStyle name="Vírgula 3 3 2 2 5 3 2 2" xfId="46225"/>
    <cellStyle name="Vírgula 3 3 2 2 5 3 3" xfId="13819"/>
    <cellStyle name="Vírgula 3 3 2 2 5 3 3 2" xfId="40317"/>
    <cellStyle name="Vírgula 3 3 2 2 5 3 4" xfId="34409"/>
    <cellStyle name="Vírgula 3 3 2 2 5 3 5" xfId="27875"/>
    <cellStyle name="Vírgula 3 3 2 2 5 4" xfId="16782"/>
    <cellStyle name="Vírgula 3 3 2 2 5 4 2" xfId="43271"/>
    <cellStyle name="Vírgula 3 3 2 2 5 5" xfId="10855"/>
    <cellStyle name="Vírgula 3 3 2 2 5 5 2" xfId="37363"/>
    <cellStyle name="Vírgula 3 3 2 2 5 6" xfId="30944"/>
    <cellStyle name="Vírgula 3 3 2 2 5 7" xfId="24410"/>
    <cellStyle name="Vírgula 3 3 2 2 6" xfId="4875"/>
    <cellStyle name="Vírgula 3 3 2 2 6 2" xfId="8121"/>
    <cellStyle name="Vírgula 3 3 2 2 6 2 2" xfId="19975"/>
    <cellStyle name="Vírgula 3 3 2 2 6 2 2 2" xfId="46454"/>
    <cellStyle name="Vírgula 3 3 2 2 6 2 3" xfId="14048"/>
    <cellStyle name="Vírgula 3 3 2 2 6 2 3 2" xfId="40546"/>
    <cellStyle name="Vírgula 3 3 2 2 6 2 4" xfId="34638"/>
    <cellStyle name="Vírgula 3 3 2 2 6 2 5" xfId="28104"/>
    <cellStyle name="Vírgula 3 3 2 2 6 3" xfId="17011"/>
    <cellStyle name="Vírgula 3 3 2 2 6 3 2" xfId="43500"/>
    <cellStyle name="Vírgula 3 3 2 2 6 4" xfId="11084"/>
    <cellStyle name="Vírgula 3 3 2 2 6 4 2" xfId="37592"/>
    <cellStyle name="Vírgula 3 3 2 2 6 5" xfId="31402"/>
    <cellStyle name="Vírgula 3 3 2 2 6 6" xfId="24868"/>
    <cellStyle name="Vírgula 3 3 2 2 7" xfId="6645"/>
    <cellStyle name="Vírgula 3 3 2 2 7 2" xfId="18499"/>
    <cellStyle name="Vírgula 3 3 2 2 7 2 2" xfId="44986"/>
    <cellStyle name="Vírgula 3 3 2 2 7 3" xfId="12572"/>
    <cellStyle name="Vírgula 3 3 2 2 7 3 2" xfId="39078"/>
    <cellStyle name="Vírgula 3 3 2 2 7 4" xfId="33170"/>
    <cellStyle name="Vírgula 3 3 2 2 7 5" xfId="26636"/>
    <cellStyle name="Vírgula 3 3 2 2 8" xfId="15535"/>
    <cellStyle name="Vírgula 3 3 2 2 8 2" xfId="42032"/>
    <cellStyle name="Vírgula 3 3 2 2 8 3" xfId="23096"/>
    <cellStyle name="Vírgula 3 3 2 2 9" xfId="9608"/>
    <cellStyle name="Vírgula 3 3 2 2 9 2" xfId="36124"/>
    <cellStyle name="Vírgula 3 3 2 3" xfId="134"/>
    <cellStyle name="Vírgula 3 3 2 3 10" xfId="22762"/>
    <cellStyle name="Vírgula 3 3 2 3 2" xfId="4665"/>
    <cellStyle name="Vírgula 3 3 2 3 2 2" xfId="6437"/>
    <cellStyle name="Vírgula 3 3 2 3 2 2 2" xfId="9484"/>
    <cellStyle name="Vírgula 3 3 2 3 2 2 2 2" xfId="21338"/>
    <cellStyle name="Vírgula 3 3 2 3 2 2 2 2 2" xfId="47817"/>
    <cellStyle name="Vírgula 3 3 2 3 2 2 2 3" xfId="15411"/>
    <cellStyle name="Vírgula 3 3 2 3 2 2 2 3 2" xfId="41909"/>
    <cellStyle name="Vírgula 3 3 2 3 2 2 2 4" xfId="36001"/>
    <cellStyle name="Vírgula 3 3 2 3 2 2 2 5" xfId="29467"/>
    <cellStyle name="Vírgula 3 3 2 3 2 2 3" xfId="18374"/>
    <cellStyle name="Vírgula 3 3 2 3 2 2 3 2" xfId="44863"/>
    <cellStyle name="Vírgula 3 3 2 3 2 2 4" xfId="12447"/>
    <cellStyle name="Vírgula 3 3 2 3 2 2 4 2" xfId="38955"/>
    <cellStyle name="Vírgula 3 3 2 3 2 2 5" xfId="32964"/>
    <cellStyle name="Vírgula 3 3 2 3 2 2 6" xfId="26430"/>
    <cellStyle name="Vírgula 3 3 2 3 2 3" xfId="8016"/>
    <cellStyle name="Vírgula 3 3 2 3 2 3 2" xfId="19870"/>
    <cellStyle name="Vírgula 3 3 2 3 2 3 2 2" xfId="46349"/>
    <cellStyle name="Vírgula 3 3 2 3 2 3 3" xfId="13943"/>
    <cellStyle name="Vírgula 3 3 2 3 2 3 3 2" xfId="40441"/>
    <cellStyle name="Vírgula 3 3 2 3 2 3 4" xfId="34533"/>
    <cellStyle name="Vírgula 3 3 2 3 2 3 5" xfId="27999"/>
    <cellStyle name="Vírgula 3 3 2 3 2 4" xfId="16906"/>
    <cellStyle name="Vírgula 3 3 2 3 2 4 2" xfId="43395"/>
    <cellStyle name="Vírgula 3 3 2 3 2 4 3" xfId="24658"/>
    <cellStyle name="Vírgula 3 3 2 3 2 5" xfId="10979"/>
    <cellStyle name="Vírgula 3 3 2 3 2 5 2" xfId="37487"/>
    <cellStyle name="Vírgula 3 3 2 3 2 6" xfId="31192"/>
    <cellStyle name="Vírgula 3 3 2 3 2 7" xfId="22886"/>
    <cellStyle name="Vírgula 3 3 2 3 3" xfId="4789"/>
    <cellStyle name="Vírgula 3 3 2 3 3 2" xfId="6561"/>
    <cellStyle name="Vírgula 3 3 2 3 3 2 2" xfId="9546"/>
    <cellStyle name="Vírgula 3 3 2 3 3 2 2 2" xfId="21400"/>
    <cellStyle name="Vírgula 3 3 2 3 3 2 2 2 2" xfId="47879"/>
    <cellStyle name="Vírgula 3 3 2 3 3 2 2 3" xfId="15473"/>
    <cellStyle name="Vírgula 3 3 2 3 3 2 2 3 2" xfId="41971"/>
    <cellStyle name="Vírgula 3 3 2 3 3 2 2 4" xfId="36063"/>
    <cellStyle name="Vírgula 3 3 2 3 3 2 2 5" xfId="29529"/>
    <cellStyle name="Vírgula 3 3 2 3 3 2 3" xfId="18436"/>
    <cellStyle name="Vírgula 3 3 2 3 3 2 3 2" xfId="44925"/>
    <cellStyle name="Vírgula 3 3 2 3 3 2 4" xfId="12509"/>
    <cellStyle name="Vírgula 3 3 2 3 3 2 4 2" xfId="39017"/>
    <cellStyle name="Vírgula 3 3 2 3 3 2 5" xfId="33088"/>
    <cellStyle name="Vírgula 3 3 2 3 3 2 6" xfId="26554"/>
    <cellStyle name="Vírgula 3 3 2 3 3 3" xfId="8078"/>
    <cellStyle name="Vírgula 3 3 2 3 3 3 2" xfId="19932"/>
    <cellStyle name="Vírgula 3 3 2 3 3 3 2 2" xfId="46411"/>
    <cellStyle name="Vírgula 3 3 2 3 3 3 3" xfId="14005"/>
    <cellStyle name="Vírgula 3 3 2 3 3 3 3 2" xfId="40503"/>
    <cellStyle name="Vírgula 3 3 2 3 3 3 4" xfId="34595"/>
    <cellStyle name="Vírgula 3 3 2 3 3 3 5" xfId="28061"/>
    <cellStyle name="Vírgula 3 3 2 3 3 4" xfId="16968"/>
    <cellStyle name="Vírgula 3 3 2 3 3 4 2" xfId="43457"/>
    <cellStyle name="Vírgula 3 3 2 3 3 4 3" xfId="24782"/>
    <cellStyle name="Vírgula 3 3 2 3 3 5" xfId="11041"/>
    <cellStyle name="Vírgula 3 3 2 3 3 5 2" xfId="37549"/>
    <cellStyle name="Vírgula 3 3 2 3 3 6" xfId="31316"/>
    <cellStyle name="Vírgula 3 3 2 3 3 7" xfId="23010"/>
    <cellStyle name="Vírgula 3 3 2 3 4" xfId="4541"/>
    <cellStyle name="Vírgula 3 3 2 3 4 2" xfId="6313"/>
    <cellStyle name="Vírgula 3 3 2 3 4 2 2" xfId="9422"/>
    <cellStyle name="Vírgula 3 3 2 3 4 2 2 2" xfId="21276"/>
    <cellStyle name="Vírgula 3 3 2 3 4 2 2 2 2" xfId="47755"/>
    <cellStyle name="Vírgula 3 3 2 3 4 2 2 3" xfId="15349"/>
    <cellStyle name="Vírgula 3 3 2 3 4 2 2 3 2" xfId="41847"/>
    <cellStyle name="Vírgula 3 3 2 3 4 2 2 4" xfId="35939"/>
    <cellStyle name="Vírgula 3 3 2 3 4 2 2 5" xfId="29405"/>
    <cellStyle name="Vírgula 3 3 2 3 4 2 3" xfId="18312"/>
    <cellStyle name="Vírgula 3 3 2 3 4 2 3 2" xfId="44801"/>
    <cellStyle name="Vírgula 3 3 2 3 4 2 4" xfId="12385"/>
    <cellStyle name="Vírgula 3 3 2 3 4 2 4 2" xfId="38893"/>
    <cellStyle name="Vírgula 3 3 2 3 4 2 5" xfId="32840"/>
    <cellStyle name="Vírgula 3 3 2 3 4 2 6" xfId="26306"/>
    <cellStyle name="Vírgula 3 3 2 3 4 3" xfId="7954"/>
    <cellStyle name="Vírgula 3 3 2 3 4 3 2" xfId="19808"/>
    <cellStyle name="Vírgula 3 3 2 3 4 3 2 2" xfId="46287"/>
    <cellStyle name="Vírgula 3 3 2 3 4 3 3" xfId="13881"/>
    <cellStyle name="Vírgula 3 3 2 3 4 3 3 2" xfId="40379"/>
    <cellStyle name="Vírgula 3 3 2 3 4 3 4" xfId="34471"/>
    <cellStyle name="Vírgula 3 3 2 3 4 3 5" xfId="27937"/>
    <cellStyle name="Vírgula 3 3 2 3 4 4" xfId="16844"/>
    <cellStyle name="Vírgula 3 3 2 3 4 4 2" xfId="43333"/>
    <cellStyle name="Vírgula 3 3 2 3 4 5" xfId="10917"/>
    <cellStyle name="Vírgula 3 3 2 3 4 5 2" xfId="37425"/>
    <cellStyle name="Vírgula 3 3 2 3 4 6" xfId="31068"/>
    <cellStyle name="Vírgula 3 3 2 3 4 7" xfId="24534"/>
    <cellStyle name="Vírgula 3 3 2 3 5" xfId="4913"/>
    <cellStyle name="Vírgula 3 3 2 3 5 2" xfId="8140"/>
    <cellStyle name="Vírgula 3 3 2 3 5 2 2" xfId="19994"/>
    <cellStyle name="Vírgula 3 3 2 3 5 2 2 2" xfId="46473"/>
    <cellStyle name="Vírgula 3 3 2 3 5 2 3" xfId="14067"/>
    <cellStyle name="Vírgula 3 3 2 3 5 2 3 2" xfId="40565"/>
    <cellStyle name="Vírgula 3 3 2 3 5 2 4" xfId="34657"/>
    <cellStyle name="Vírgula 3 3 2 3 5 2 5" xfId="28123"/>
    <cellStyle name="Vírgula 3 3 2 3 5 3" xfId="17030"/>
    <cellStyle name="Vírgula 3 3 2 3 5 3 2" xfId="43519"/>
    <cellStyle name="Vírgula 3 3 2 3 5 4" xfId="11103"/>
    <cellStyle name="Vírgula 3 3 2 3 5 4 2" xfId="37611"/>
    <cellStyle name="Vírgula 3 3 2 3 5 5" xfId="31440"/>
    <cellStyle name="Vírgula 3 3 2 3 5 6" xfId="24906"/>
    <cellStyle name="Vírgula 3 3 2 3 6" xfId="6664"/>
    <cellStyle name="Vírgula 3 3 2 3 6 2" xfId="18518"/>
    <cellStyle name="Vírgula 3 3 2 3 6 2 2" xfId="45005"/>
    <cellStyle name="Vírgula 3 3 2 3 6 3" xfId="12591"/>
    <cellStyle name="Vírgula 3 3 2 3 6 3 2" xfId="39097"/>
    <cellStyle name="Vírgula 3 3 2 3 6 4" xfId="33189"/>
    <cellStyle name="Vírgula 3 3 2 3 6 5" xfId="26655"/>
    <cellStyle name="Vírgula 3 3 2 3 7" xfId="15554"/>
    <cellStyle name="Vírgula 3 3 2 3 7 2" xfId="42051"/>
    <cellStyle name="Vírgula 3 3 2 3 7 3" xfId="23134"/>
    <cellStyle name="Vírgula 3 3 2 3 8" xfId="9627"/>
    <cellStyle name="Vírgula 3 3 2 3 8 2" xfId="36143"/>
    <cellStyle name="Vírgula 3 3 2 3 9" xfId="29668"/>
    <cellStyle name="Vírgula 3 3 2 4" xfId="4463"/>
    <cellStyle name="Vírgula 3 3 2 4 2" xfId="6235"/>
    <cellStyle name="Vírgula 3 3 2 4 2 2" xfId="9383"/>
    <cellStyle name="Vírgula 3 3 2 4 2 2 2" xfId="21237"/>
    <cellStyle name="Vírgula 3 3 2 4 2 2 2 2" xfId="47716"/>
    <cellStyle name="Vírgula 3 3 2 4 2 2 3" xfId="15310"/>
    <cellStyle name="Vírgula 3 3 2 4 2 2 3 2" xfId="41808"/>
    <cellStyle name="Vírgula 3 3 2 4 2 2 4" xfId="35900"/>
    <cellStyle name="Vírgula 3 3 2 4 2 2 5" xfId="29366"/>
    <cellStyle name="Vírgula 3 3 2 4 2 3" xfId="18273"/>
    <cellStyle name="Vírgula 3 3 2 4 2 3 2" xfId="44762"/>
    <cellStyle name="Vírgula 3 3 2 4 2 4" xfId="12346"/>
    <cellStyle name="Vírgula 3 3 2 4 2 4 2" xfId="38854"/>
    <cellStyle name="Vírgula 3 3 2 4 2 5" xfId="32762"/>
    <cellStyle name="Vírgula 3 3 2 4 2 6" xfId="26228"/>
    <cellStyle name="Vírgula 3 3 2 4 3" xfId="7915"/>
    <cellStyle name="Vírgula 3 3 2 4 3 2" xfId="19769"/>
    <cellStyle name="Vírgula 3 3 2 4 3 2 2" xfId="46248"/>
    <cellStyle name="Vírgula 3 3 2 4 3 3" xfId="13842"/>
    <cellStyle name="Vírgula 3 3 2 4 3 3 2" xfId="40340"/>
    <cellStyle name="Vírgula 3 3 2 4 3 4" xfId="34432"/>
    <cellStyle name="Vírgula 3 3 2 4 3 5" xfId="27898"/>
    <cellStyle name="Vírgula 3 3 2 4 4" xfId="16805"/>
    <cellStyle name="Vírgula 3 3 2 4 4 2" xfId="43294"/>
    <cellStyle name="Vírgula 3 3 2 4 4 3" xfId="24456"/>
    <cellStyle name="Vírgula 3 3 2 4 5" xfId="10878"/>
    <cellStyle name="Vírgula 3 3 2 4 5 2" xfId="37386"/>
    <cellStyle name="Vírgula 3 3 2 4 6" xfId="30990"/>
    <cellStyle name="Vírgula 3 3 2 4 7" xfId="22684"/>
    <cellStyle name="Vírgula 3 3 2 5" xfId="4587"/>
    <cellStyle name="Vírgula 3 3 2 5 2" xfId="6359"/>
    <cellStyle name="Vírgula 3 3 2 5 2 2" xfId="9445"/>
    <cellStyle name="Vírgula 3 3 2 5 2 2 2" xfId="21299"/>
    <cellStyle name="Vírgula 3 3 2 5 2 2 2 2" xfId="47778"/>
    <cellStyle name="Vírgula 3 3 2 5 2 2 3" xfId="15372"/>
    <cellStyle name="Vírgula 3 3 2 5 2 2 3 2" xfId="41870"/>
    <cellStyle name="Vírgula 3 3 2 5 2 2 4" xfId="35962"/>
    <cellStyle name="Vírgula 3 3 2 5 2 2 5" xfId="29428"/>
    <cellStyle name="Vírgula 3 3 2 5 2 3" xfId="18335"/>
    <cellStyle name="Vírgula 3 3 2 5 2 3 2" xfId="44824"/>
    <cellStyle name="Vírgula 3 3 2 5 2 4" xfId="12408"/>
    <cellStyle name="Vírgula 3 3 2 5 2 4 2" xfId="38916"/>
    <cellStyle name="Vírgula 3 3 2 5 2 5" xfId="32886"/>
    <cellStyle name="Vírgula 3 3 2 5 2 6" xfId="26352"/>
    <cellStyle name="Vírgula 3 3 2 5 3" xfId="7977"/>
    <cellStyle name="Vírgula 3 3 2 5 3 2" xfId="19831"/>
    <cellStyle name="Vírgula 3 3 2 5 3 2 2" xfId="46310"/>
    <cellStyle name="Vírgula 3 3 2 5 3 3" xfId="13904"/>
    <cellStyle name="Vírgula 3 3 2 5 3 3 2" xfId="40402"/>
    <cellStyle name="Vírgula 3 3 2 5 3 4" xfId="34494"/>
    <cellStyle name="Vírgula 3 3 2 5 3 5" xfId="27960"/>
    <cellStyle name="Vírgula 3 3 2 5 4" xfId="16867"/>
    <cellStyle name="Vírgula 3 3 2 5 4 2" xfId="43356"/>
    <cellStyle name="Vírgula 3 3 2 5 4 3" xfId="24580"/>
    <cellStyle name="Vírgula 3 3 2 5 5" xfId="10940"/>
    <cellStyle name="Vírgula 3 3 2 5 5 2" xfId="37448"/>
    <cellStyle name="Vírgula 3 3 2 5 6" xfId="31114"/>
    <cellStyle name="Vírgula 3 3 2 5 7" xfId="22808"/>
    <cellStyle name="Vírgula 3 3 2 6" xfId="4711"/>
    <cellStyle name="Vírgula 3 3 2 6 2" xfId="6483"/>
    <cellStyle name="Vírgula 3 3 2 6 2 2" xfId="9507"/>
    <cellStyle name="Vírgula 3 3 2 6 2 2 2" xfId="21361"/>
    <cellStyle name="Vírgula 3 3 2 6 2 2 2 2" xfId="47840"/>
    <cellStyle name="Vírgula 3 3 2 6 2 2 3" xfId="15434"/>
    <cellStyle name="Vírgula 3 3 2 6 2 2 3 2" xfId="41932"/>
    <cellStyle name="Vírgula 3 3 2 6 2 2 4" xfId="36024"/>
    <cellStyle name="Vírgula 3 3 2 6 2 2 5" xfId="29490"/>
    <cellStyle name="Vírgula 3 3 2 6 2 3" xfId="18397"/>
    <cellStyle name="Vírgula 3 3 2 6 2 3 2" xfId="44886"/>
    <cellStyle name="Vírgula 3 3 2 6 2 4" xfId="12470"/>
    <cellStyle name="Vírgula 3 3 2 6 2 4 2" xfId="38978"/>
    <cellStyle name="Vírgula 3 3 2 6 2 5" xfId="33010"/>
    <cellStyle name="Vírgula 3 3 2 6 2 6" xfId="26476"/>
    <cellStyle name="Vírgula 3 3 2 6 3" xfId="8039"/>
    <cellStyle name="Vírgula 3 3 2 6 3 2" xfId="19893"/>
    <cellStyle name="Vírgula 3 3 2 6 3 2 2" xfId="46372"/>
    <cellStyle name="Vírgula 3 3 2 6 3 3" xfId="13966"/>
    <cellStyle name="Vírgula 3 3 2 6 3 3 2" xfId="40464"/>
    <cellStyle name="Vírgula 3 3 2 6 3 4" xfId="34556"/>
    <cellStyle name="Vírgula 3 3 2 6 3 5" xfId="28022"/>
    <cellStyle name="Vírgula 3 3 2 6 4" xfId="16929"/>
    <cellStyle name="Vírgula 3 3 2 6 4 2" xfId="43418"/>
    <cellStyle name="Vírgula 3 3 2 6 4 3" xfId="24704"/>
    <cellStyle name="Vírgula 3 3 2 6 5" xfId="11002"/>
    <cellStyle name="Vírgula 3 3 2 6 5 2" xfId="37510"/>
    <cellStyle name="Vírgula 3 3 2 6 6" xfId="31238"/>
    <cellStyle name="Vírgula 3 3 2 6 7" xfId="22932"/>
    <cellStyle name="Vírgula 3 3 2 7" xfId="4377"/>
    <cellStyle name="Vírgula 3 3 2 7 2" xfId="6149"/>
    <cellStyle name="Vírgula 3 3 2 7 2 2" xfId="9340"/>
    <cellStyle name="Vírgula 3 3 2 7 2 2 2" xfId="21194"/>
    <cellStyle name="Vírgula 3 3 2 7 2 2 2 2" xfId="47673"/>
    <cellStyle name="Vírgula 3 3 2 7 2 2 3" xfId="15267"/>
    <cellStyle name="Vírgula 3 3 2 7 2 2 3 2" xfId="41765"/>
    <cellStyle name="Vírgula 3 3 2 7 2 2 4" xfId="35857"/>
    <cellStyle name="Vírgula 3 3 2 7 2 2 5" xfId="29323"/>
    <cellStyle name="Vírgula 3 3 2 7 2 3" xfId="18230"/>
    <cellStyle name="Vírgula 3 3 2 7 2 3 2" xfId="44719"/>
    <cellStyle name="Vírgula 3 3 2 7 2 4" xfId="12303"/>
    <cellStyle name="Vírgula 3 3 2 7 2 4 2" xfId="38811"/>
    <cellStyle name="Vírgula 3 3 2 7 2 5" xfId="32676"/>
    <cellStyle name="Vírgula 3 3 2 7 2 6" xfId="26142"/>
    <cellStyle name="Vírgula 3 3 2 7 3" xfId="7872"/>
    <cellStyle name="Vírgula 3 3 2 7 3 2" xfId="19726"/>
    <cellStyle name="Vírgula 3 3 2 7 3 2 2" xfId="46205"/>
    <cellStyle name="Vírgula 3 3 2 7 3 3" xfId="13799"/>
    <cellStyle name="Vírgula 3 3 2 7 3 3 2" xfId="40297"/>
    <cellStyle name="Vírgula 3 3 2 7 3 4" xfId="34389"/>
    <cellStyle name="Vírgula 3 3 2 7 3 5" xfId="27855"/>
    <cellStyle name="Vírgula 3 3 2 7 4" xfId="16762"/>
    <cellStyle name="Vírgula 3 3 2 7 4 2" xfId="43251"/>
    <cellStyle name="Vírgula 3 3 2 7 5" xfId="10835"/>
    <cellStyle name="Vírgula 3 3 2 7 5 2" xfId="37343"/>
    <cellStyle name="Vírgula 3 3 2 7 6" xfId="30904"/>
    <cellStyle name="Vírgula 3 3 2 7 7" xfId="24370"/>
    <cellStyle name="Vírgula 3 3 2 8" xfId="4835"/>
    <cellStyle name="Vírgula 3 3 2 8 2" xfId="8101"/>
    <cellStyle name="Vírgula 3 3 2 8 2 2" xfId="19955"/>
    <cellStyle name="Vírgula 3 3 2 8 2 2 2" xfId="46434"/>
    <cellStyle name="Vírgula 3 3 2 8 2 3" xfId="14028"/>
    <cellStyle name="Vírgula 3 3 2 8 2 3 2" xfId="40526"/>
    <cellStyle name="Vírgula 3 3 2 8 2 4" xfId="34618"/>
    <cellStyle name="Vírgula 3 3 2 8 2 5" xfId="28084"/>
    <cellStyle name="Vírgula 3 3 2 8 3" xfId="16991"/>
    <cellStyle name="Vírgula 3 3 2 8 3 2" xfId="43480"/>
    <cellStyle name="Vírgula 3 3 2 8 4" xfId="11064"/>
    <cellStyle name="Vírgula 3 3 2 8 4 2" xfId="37572"/>
    <cellStyle name="Vírgula 3 3 2 8 5" xfId="31362"/>
    <cellStyle name="Vírgula 3 3 2 8 6" xfId="24828"/>
    <cellStyle name="Vírgula 3 3 2 9" xfId="6599"/>
    <cellStyle name="Vírgula 3 3 2 9 2" xfId="9565"/>
    <cellStyle name="Vírgula 3 3 2 9 2 2" xfId="21419"/>
    <cellStyle name="Vírgula 3 3 2 9 2 2 2" xfId="47898"/>
    <cellStyle name="Vírgula 3 3 2 9 2 3" xfId="15492"/>
    <cellStyle name="Vírgula 3 3 2 9 2 3 2" xfId="41990"/>
    <cellStyle name="Vírgula 3 3 2 9 2 4" xfId="36082"/>
    <cellStyle name="Vírgula 3 3 2 9 2 5" xfId="29548"/>
    <cellStyle name="Vírgula 3 3 2 9 3" xfId="18455"/>
    <cellStyle name="Vírgula 3 3 2 9 3 2" xfId="44944"/>
    <cellStyle name="Vírgula 3 3 2 9 4" xfId="12528"/>
    <cellStyle name="Vírgula 3 3 2 9 4 2" xfId="39036"/>
    <cellStyle name="Vírgula 3 3 2 9 5" xfId="33126"/>
    <cellStyle name="Vírgula 3 3 2 9 6" xfId="26592"/>
    <cellStyle name="Vírgula 3 3 3" xfId="78"/>
    <cellStyle name="Vírgula 3 3 3 10" xfId="29612"/>
    <cellStyle name="Vírgula 3 3 3 11" xfId="22620"/>
    <cellStyle name="Vírgula 3 3 3 2" xfId="4485"/>
    <cellStyle name="Vírgula 3 3 3 2 2" xfId="6257"/>
    <cellStyle name="Vírgula 3 3 3 2 2 2" xfId="9394"/>
    <cellStyle name="Vírgula 3 3 3 2 2 2 2" xfId="21248"/>
    <cellStyle name="Vírgula 3 3 3 2 2 2 2 2" xfId="47727"/>
    <cellStyle name="Vírgula 3 3 3 2 2 2 3" xfId="15321"/>
    <cellStyle name="Vírgula 3 3 3 2 2 2 3 2" xfId="41819"/>
    <cellStyle name="Vírgula 3 3 3 2 2 2 4" xfId="35911"/>
    <cellStyle name="Vírgula 3 3 3 2 2 2 5" xfId="29377"/>
    <cellStyle name="Vírgula 3 3 3 2 2 3" xfId="18284"/>
    <cellStyle name="Vírgula 3 3 3 2 2 3 2" xfId="44773"/>
    <cellStyle name="Vírgula 3 3 3 2 2 4" xfId="12357"/>
    <cellStyle name="Vírgula 3 3 3 2 2 4 2" xfId="38865"/>
    <cellStyle name="Vírgula 3 3 3 2 2 5" xfId="32784"/>
    <cellStyle name="Vírgula 3 3 3 2 2 6" xfId="26250"/>
    <cellStyle name="Vírgula 3 3 3 2 3" xfId="7926"/>
    <cellStyle name="Vírgula 3 3 3 2 3 2" xfId="19780"/>
    <cellStyle name="Vírgula 3 3 3 2 3 2 2" xfId="46259"/>
    <cellStyle name="Vírgula 3 3 3 2 3 3" xfId="13853"/>
    <cellStyle name="Vírgula 3 3 3 2 3 3 2" xfId="40351"/>
    <cellStyle name="Vírgula 3 3 3 2 3 4" xfId="34443"/>
    <cellStyle name="Vírgula 3 3 3 2 3 5" xfId="27909"/>
    <cellStyle name="Vírgula 3 3 3 2 4" xfId="16816"/>
    <cellStyle name="Vírgula 3 3 3 2 4 2" xfId="43305"/>
    <cellStyle name="Vírgula 3 3 3 2 4 3" xfId="24478"/>
    <cellStyle name="Vírgula 3 3 3 2 5" xfId="10889"/>
    <cellStyle name="Vírgula 3 3 3 2 5 2" xfId="37397"/>
    <cellStyle name="Vírgula 3 3 3 2 6" xfId="31012"/>
    <cellStyle name="Vírgula 3 3 3 2 7" xfId="22706"/>
    <cellStyle name="Vírgula 3 3 3 3" xfId="4609"/>
    <cellStyle name="Vírgula 3 3 3 3 2" xfId="6381"/>
    <cellStyle name="Vírgula 3 3 3 3 2 2" xfId="9456"/>
    <cellStyle name="Vírgula 3 3 3 3 2 2 2" xfId="21310"/>
    <cellStyle name="Vírgula 3 3 3 3 2 2 2 2" xfId="47789"/>
    <cellStyle name="Vírgula 3 3 3 3 2 2 3" xfId="15383"/>
    <cellStyle name="Vírgula 3 3 3 3 2 2 3 2" xfId="41881"/>
    <cellStyle name="Vírgula 3 3 3 3 2 2 4" xfId="35973"/>
    <cellStyle name="Vírgula 3 3 3 3 2 2 5" xfId="29439"/>
    <cellStyle name="Vírgula 3 3 3 3 2 3" xfId="18346"/>
    <cellStyle name="Vírgula 3 3 3 3 2 3 2" xfId="44835"/>
    <cellStyle name="Vírgula 3 3 3 3 2 4" xfId="12419"/>
    <cellStyle name="Vírgula 3 3 3 3 2 4 2" xfId="38927"/>
    <cellStyle name="Vírgula 3 3 3 3 2 5" xfId="32908"/>
    <cellStyle name="Vírgula 3 3 3 3 2 6" xfId="26374"/>
    <cellStyle name="Vírgula 3 3 3 3 3" xfId="7988"/>
    <cellStyle name="Vírgula 3 3 3 3 3 2" xfId="19842"/>
    <cellStyle name="Vírgula 3 3 3 3 3 2 2" xfId="46321"/>
    <cellStyle name="Vírgula 3 3 3 3 3 3" xfId="13915"/>
    <cellStyle name="Vírgula 3 3 3 3 3 3 2" xfId="40413"/>
    <cellStyle name="Vírgula 3 3 3 3 3 4" xfId="34505"/>
    <cellStyle name="Vírgula 3 3 3 3 3 5" xfId="27971"/>
    <cellStyle name="Vírgula 3 3 3 3 4" xfId="16878"/>
    <cellStyle name="Vírgula 3 3 3 3 4 2" xfId="43367"/>
    <cellStyle name="Vírgula 3 3 3 3 4 3" xfId="24602"/>
    <cellStyle name="Vírgula 3 3 3 3 5" xfId="10951"/>
    <cellStyle name="Vírgula 3 3 3 3 5 2" xfId="37459"/>
    <cellStyle name="Vírgula 3 3 3 3 6" xfId="31136"/>
    <cellStyle name="Vírgula 3 3 3 3 7" xfId="22830"/>
    <cellStyle name="Vírgula 3 3 3 4" xfId="4733"/>
    <cellStyle name="Vírgula 3 3 3 4 2" xfId="6505"/>
    <cellStyle name="Vírgula 3 3 3 4 2 2" xfId="9518"/>
    <cellStyle name="Vírgula 3 3 3 4 2 2 2" xfId="21372"/>
    <cellStyle name="Vírgula 3 3 3 4 2 2 2 2" xfId="47851"/>
    <cellStyle name="Vírgula 3 3 3 4 2 2 3" xfId="15445"/>
    <cellStyle name="Vírgula 3 3 3 4 2 2 3 2" xfId="41943"/>
    <cellStyle name="Vírgula 3 3 3 4 2 2 4" xfId="36035"/>
    <cellStyle name="Vírgula 3 3 3 4 2 2 5" xfId="29501"/>
    <cellStyle name="Vírgula 3 3 3 4 2 3" xfId="18408"/>
    <cellStyle name="Vírgula 3 3 3 4 2 3 2" xfId="44897"/>
    <cellStyle name="Vírgula 3 3 3 4 2 4" xfId="12481"/>
    <cellStyle name="Vírgula 3 3 3 4 2 4 2" xfId="38989"/>
    <cellStyle name="Vírgula 3 3 3 4 2 5" xfId="33032"/>
    <cellStyle name="Vírgula 3 3 3 4 2 6" xfId="26498"/>
    <cellStyle name="Vírgula 3 3 3 4 3" xfId="8050"/>
    <cellStyle name="Vírgula 3 3 3 4 3 2" xfId="19904"/>
    <cellStyle name="Vírgula 3 3 3 4 3 2 2" xfId="46383"/>
    <cellStyle name="Vírgula 3 3 3 4 3 3" xfId="13977"/>
    <cellStyle name="Vírgula 3 3 3 4 3 3 2" xfId="40475"/>
    <cellStyle name="Vírgula 3 3 3 4 3 4" xfId="34567"/>
    <cellStyle name="Vírgula 3 3 3 4 3 5" xfId="28033"/>
    <cellStyle name="Vírgula 3 3 3 4 4" xfId="16940"/>
    <cellStyle name="Vírgula 3 3 3 4 4 2" xfId="43429"/>
    <cellStyle name="Vírgula 3 3 3 4 4 3" xfId="24726"/>
    <cellStyle name="Vírgula 3 3 3 4 5" xfId="11013"/>
    <cellStyle name="Vírgula 3 3 3 4 5 2" xfId="37521"/>
    <cellStyle name="Vírgula 3 3 3 4 6" xfId="31260"/>
    <cellStyle name="Vírgula 3 3 3 4 7" xfId="22954"/>
    <cellStyle name="Vírgula 3 3 3 5" xfId="4399"/>
    <cellStyle name="Vírgula 3 3 3 5 2" xfId="6171"/>
    <cellStyle name="Vírgula 3 3 3 5 2 2" xfId="9351"/>
    <cellStyle name="Vírgula 3 3 3 5 2 2 2" xfId="21205"/>
    <cellStyle name="Vírgula 3 3 3 5 2 2 2 2" xfId="47684"/>
    <cellStyle name="Vírgula 3 3 3 5 2 2 3" xfId="15278"/>
    <cellStyle name="Vírgula 3 3 3 5 2 2 3 2" xfId="41776"/>
    <cellStyle name="Vírgula 3 3 3 5 2 2 4" xfId="35868"/>
    <cellStyle name="Vírgula 3 3 3 5 2 2 5" xfId="29334"/>
    <cellStyle name="Vírgula 3 3 3 5 2 3" xfId="18241"/>
    <cellStyle name="Vírgula 3 3 3 5 2 3 2" xfId="44730"/>
    <cellStyle name="Vírgula 3 3 3 5 2 4" xfId="12314"/>
    <cellStyle name="Vírgula 3 3 3 5 2 4 2" xfId="38822"/>
    <cellStyle name="Vírgula 3 3 3 5 2 5" xfId="32698"/>
    <cellStyle name="Vírgula 3 3 3 5 2 6" xfId="26164"/>
    <cellStyle name="Vírgula 3 3 3 5 3" xfId="7883"/>
    <cellStyle name="Vírgula 3 3 3 5 3 2" xfId="19737"/>
    <cellStyle name="Vírgula 3 3 3 5 3 2 2" xfId="46216"/>
    <cellStyle name="Vírgula 3 3 3 5 3 3" xfId="13810"/>
    <cellStyle name="Vírgula 3 3 3 5 3 3 2" xfId="40308"/>
    <cellStyle name="Vírgula 3 3 3 5 3 4" xfId="34400"/>
    <cellStyle name="Vírgula 3 3 3 5 3 5" xfId="27866"/>
    <cellStyle name="Vírgula 3 3 3 5 4" xfId="16773"/>
    <cellStyle name="Vírgula 3 3 3 5 4 2" xfId="43262"/>
    <cellStyle name="Vírgula 3 3 3 5 5" xfId="10846"/>
    <cellStyle name="Vírgula 3 3 3 5 5 2" xfId="37354"/>
    <cellStyle name="Vírgula 3 3 3 5 6" xfId="30926"/>
    <cellStyle name="Vírgula 3 3 3 5 7" xfId="24392"/>
    <cellStyle name="Vírgula 3 3 3 6" xfId="4857"/>
    <cellStyle name="Vírgula 3 3 3 6 2" xfId="8112"/>
    <cellStyle name="Vírgula 3 3 3 6 2 2" xfId="19966"/>
    <cellStyle name="Vírgula 3 3 3 6 2 2 2" xfId="46445"/>
    <cellStyle name="Vírgula 3 3 3 6 2 3" xfId="14039"/>
    <cellStyle name="Vírgula 3 3 3 6 2 3 2" xfId="40537"/>
    <cellStyle name="Vírgula 3 3 3 6 2 4" xfId="34629"/>
    <cellStyle name="Vírgula 3 3 3 6 2 5" xfId="28095"/>
    <cellStyle name="Vírgula 3 3 3 6 3" xfId="17002"/>
    <cellStyle name="Vírgula 3 3 3 6 3 2" xfId="43491"/>
    <cellStyle name="Vírgula 3 3 3 6 4" xfId="11075"/>
    <cellStyle name="Vírgula 3 3 3 6 4 2" xfId="37583"/>
    <cellStyle name="Vírgula 3 3 3 6 5" xfId="31384"/>
    <cellStyle name="Vírgula 3 3 3 6 6" xfId="24850"/>
    <cellStyle name="Vírgula 3 3 3 7" xfId="6636"/>
    <cellStyle name="Vírgula 3 3 3 7 2" xfId="18490"/>
    <cellStyle name="Vírgula 3 3 3 7 2 2" xfId="44977"/>
    <cellStyle name="Vírgula 3 3 3 7 3" xfId="12563"/>
    <cellStyle name="Vírgula 3 3 3 7 3 2" xfId="39069"/>
    <cellStyle name="Vírgula 3 3 3 7 4" xfId="33161"/>
    <cellStyle name="Vírgula 3 3 3 7 5" xfId="26627"/>
    <cellStyle name="Vírgula 3 3 3 8" xfId="15526"/>
    <cellStyle name="Vírgula 3 3 3 8 2" xfId="42023"/>
    <cellStyle name="Vírgula 3 3 3 8 3" xfId="23078"/>
    <cellStyle name="Vírgula 3 3 3 9" xfId="9599"/>
    <cellStyle name="Vírgula 3 3 3 9 2" xfId="36115"/>
    <cellStyle name="Vírgula 3 3 4" xfId="116"/>
    <cellStyle name="Vírgula 3 3 4 10" xfId="29650"/>
    <cellStyle name="Vírgula 3 3 4 11" xfId="22580"/>
    <cellStyle name="Vírgula 3 3 4 2" xfId="4523"/>
    <cellStyle name="Vírgula 3 3 4 2 2" xfId="6295"/>
    <cellStyle name="Vírgula 3 3 4 2 2 2" xfId="9413"/>
    <cellStyle name="Vírgula 3 3 4 2 2 2 2" xfId="21267"/>
    <cellStyle name="Vírgula 3 3 4 2 2 2 2 2" xfId="47746"/>
    <cellStyle name="Vírgula 3 3 4 2 2 2 3" xfId="15340"/>
    <cellStyle name="Vírgula 3 3 4 2 2 2 3 2" xfId="41838"/>
    <cellStyle name="Vírgula 3 3 4 2 2 2 4" xfId="35930"/>
    <cellStyle name="Vírgula 3 3 4 2 2 2 5" xfId="29396"/>
    <cellStyle name="Vírgula 3 3 4 2 2 3" xfId="18303"/>
    <cellStyle name="Vírgula 3 3 4 2 2 3 2" xfId="44792"/>
    <cellStyle name="Vírgula 3 3 4 2 2 4" xfId="12376"/>
    <cellStyle name="Vírgula 3 3 4 2 2 4 2" xfId="38884"/>
    <cellStyle name="Vírgula 3 3 4 2 2 5" xfId="32822"/>
    <cellStyle name="Vírgula 3 3 4 2 2 6" xfId="26288"/>
    <cellStyle name="Vírgula 3 3 4 2 3" xfId="7945"/>
    <cellStyle name="Vírgula 3 3 4 2 3 2" xfId="19799"/>
    <cellStyle name="Vírgula 3 3 4 2 3 2 2" xfId="46278"/>
    <cellStyle name="Vírgula 3 3 4 2 3 3" xfId="13872"/>
    <cellStyle name="Vírgula 3 3 4 2 3 3 2" xfId="40370"/>
    <cellStyle name="Vírgula 3 3 4 2 3 4" xfId="34462"/>
    <cellStyle name="Vírgula 3 3 4 2 3 5" xfId="27928"/>
    <cellStyle name="Vírgula 3 3 4 2 4" xfId="16835"/>
    <cellStyle name="Vírgula 3 3 4 2 4 2" xfId="43324"/>
    <cellStyle name="Vírgula 3 3 4 2 4 3" xfId="24516"/>
    <cellStyle name="Vírgula 3 3 4 2 5" xfId="10908"/>
    <cellStyle name="Vírgula 3 3 4 2 5 2" xfId="37416"/>
    <cellStyle name="Vírgula 3 3 4 2 6" xfId="31050"/>
    <cellStyle name="Vírgula 3 3 4 2 7" xfId="22744"/>
    <cellStyle name="Vírgula 3 3 4 3" xfId="4647"/>
    <cellStyle name="Vírgula 3 3 4 3 2" xfId="6419"/>
    <cellStyle name="Vírgula 3 3 4 3 2 2" xfId="9475"/>
    <cellStyle name="Vírgula 3 3 4 3 2 2 2" xfId="21329"/>
    <cellStyle name="Vírgula 3 3 4 3 2 2 2 2" xfId="47808"/>
    <cellStyle name="Vírgula 3 3 4 3 2 2 3" xfId="15402"/>
    <cellStyle name="Vírgula 3 3 4 3 2 2 3 2" xfId="41900"/>
    <cellStyle name="Vírgula 3 3 4 3 2 2 4" xfId="35992"/>
    <cellStyle name="Vírgula 3 3 4 3 2 2 5" xfId="29458"/>
    <cellStyle name="Vírgula 3 3 4 3 2 3" xfId="18365"/>
    <cellStyle name="Vírgula 3 3 4 3 2 3 2" xfId="44854"/>
    <cellStyle name="Vírgula 3 3 4 3 2 4" xfId="12438"/>
    <cellStyle name="Vírgula 3 3 4 3 2 4 2" xfId="38946"/>
    <cellStyle name="Vírgula 3 3 4 3 2 5" xfId="32946"/>
    <cellStyle name="Vírgula 3 3 4 3 2 6" xfId="26412"/>
    <cellStyle name="Vírgula 3 3 4 3 3" xfId="8007"/>
    <cellStyle name="Vírgula 3 3 4 3 3 2" xfId="19861"/>
    <cellStyle name="Vírgula 3 3 4 3 3 2 2" xfId="46340"/>
    <cellStyle name="Vírgula 3 3 4 3 3 3" xfId="13934"/>
    <cellStyle name="Vírgula 3 3 4 3 3 3 2" xfId="40432"/>
    <cellStyle name="Vírgula 3 3 4 3 3 4" xfId="34524"/>
    <cellStyle name="Vírgula 3 3 4 3 3 5" xfId="27990"/>
    <cellStyle name="Vírgula 3 3 4 3 4" xfId="16897"/>
    <cellStyle name="Vírgula 3 3 4 3 4 2" xfId="43386"/>
    <cellStyle name="Vírgula 3 3 4 3 4 3" xfId="24640"/>
    <cellStyle name="Vírgula 3 3 4 3 5" xfId="10970"/>
    <cellStyle name="Vírgula 3 3 4 3 5 2" xfId="37478"/>
    <cellStyle name="Vírgula 3 3 4 3 6" xfId="31174"/>
    <cellStyle name="Vírgula 3 3 4 3 7" xfId="22868"/>
    <cellStyle name="Vírgula 3 3 4 4" xfId="4771"/>
    <cellStyle name="Vírgula 3 3 4 4 2" xfId="6543"/>
    <cellStyle name="Vírgula 3 3 4 4 2 2" xfId="9537"/>
    <cellStyle name="Vírgula 3 3 4 4 2 2 2" xfId="21391"/>
    <cellStyle name="Vírgula 3 3 4 4 2 2 2 2" xfId="47870"/>
    <cellStyle name="Vírgula 3 3 4 4 2 2 3" xfId="15464"/>
    <cellStyle name="Vírgula 3 3 4 4 2 2 3 2" xfId="41962"/>
    <cellStyle name="Vírgula 3 3 4 4 2 2 4" xfId="36054"/>
    <cellStyle name="Vírgula 3 3 4 4 2 2 5" xfId="29520"/>
    <cellStyle name="Vírgula 3 3 4 4 2 3" xfId="18427"/>
    <cellStyle name="Vírgula 3 3 4 4 2 3 2" xfId="44916"/>
    <cellStyle name="Vírgula 3 3 4 4 2 4" xfId="12500"/>
    <cellStyle name="Vírgula 3 3 4 4 2 4 2" xfId="39008"/>
    <cellStyle name="Vírgula 3 3 4 4 2 5" xfId="33070"/>
    <cellStyle name="Vírgula 3 3 4 4 2 6" xfId="26536"/>
    <cellStyle name="Vírgula 3 3 4 4 3" xfId="8069"/>
    <cellStyle name="Vírgula 3 3 4 4 3 2" xfId="19923"/>
    <cellStyle name="Vírgula 3 3 4 4 3 2 2" xfId="46402"/>
    <cellStyle name="Vírgula 3 3 4 4 3 3" xfId="13996"/>
    <cellStyle name="Vírgula 3 3 4 4 3 3 2" xfId="40494"/>
    <cellStyle name="Vírgula 3 3 4 4 3 4" xfId="34586"/>
    <cellStyle name="Vírgula 3 3 4 4 3 5" xfId="28052"/>
    <cellStyle name="Vírgula 3 3 4 4 4" xfId="16959"/>
    <cellStyle name="Vírgula 3 3 4 4 4 2" xfId="43448"/>
    <cellStyle name="Vírgula 3 3 4 4 4 3" xfId="24764"/>
    <cellStyle name="Vírgula 3 3 4 4 5" xfId="11032"/>
    <cellStyle name="Vírgula 3 3 4 4 5 2" xfId="37540"/>
    <cellStyle name="Vírgula 3 3 4 4 6" xfId="31298"/>
    <cellStyle name="Vírgula 3 3 4 4 7" xfId="22992"/>
    <cellStyle name="Vírgula 3 3 4 5" xfId="4359"/>
    <cellStyle name="Vírgula 3 3 4 5 2" xfId="6131"/>
    <cellStyle name="Vírgula 3 3 4 5 2 2" xfId="9331"/>
    <cellStyle name="Vírgula 3 3 4 5 2 2 2" xfId="21185"/>
    <cellStyle name="Vírgula 3 3 4 5 2 2 2 2" xfId="47664"/>
    <cellStyle name="Vírgula 3 3 4 5 2 2 3" xfId="15258"/>
    <cellStyle name="Vírgula 3 3 4 5 2 2 3 2" xfId="41756"/>
    <cellStyle name="Vírgula 3 3 4 5 2 2 4" xfId="35848"/>
    <cellStyle name="Vírgula 3 3 4 5 2 2 5" xfId="29314"/>
    <cellStyle name="Vírgula 3 3 4 5 2 3" xfId="18221"/>
    <cellStyle name="Vírgula 3 3 4 5 2 3 2" xfId="44710"/>
    <cellStyle name="Vírgula 3 3 4 5 2 4" xfId="12294"/>
    <cellStyle name="Vírgula 3 3 4 5 2 4 2" xfId="38802"/>
    <cellStyle name="Vírgula 3 3 4 5 2 5" xfId="32658"/>
    <cellStyle name="Vírgula 3 3 4 5 2 6" xfId="26124"/>
    <cellStyle name="Vírgula 3 3 4 5 3" xfId="7863"/>
    <cellStyle name="Vírgula 3 3 4 5 3 2" xfId="19717"/>
    <cellStyle name="Vírgula 3 3 4 5 3 2 2" xfId="46196"/>
    <cellStyle name="Vírgula 3 3 4 5 3 3" xfId="13790"/>
    <cellStyle name="Vírgula 3 3 4 5 3 3 2" xfId="40288"/>
    <cellStyle name="Vírgula 3 3 4 5 3 4" xfId="34380"/>
    <cellStyle name="Vírgula 3 3 4 5 3 5" xfId="27846"/>
    <cellStyle name="Vírgula 3 3 4 5 4" xfId="16753"/>
    <cellStyle name="Vírgula 3 3 4 5 4 2" xfId="43242"/>
    <cellStyle name="Vírgula 3 3 4 5 5" xfId="10826"/>
    <cellStyle name="Vírgula 3 3 4 5 5 2" xfId="37334"/>
    <cellStyle name="Vírgula 3 3 4 5 6" xfId="30886"/>
    <cellStyle name="Vírgula 3 3 4 5 7" xfId="24352"/>
    <cellStyle name="Vírgula 3 3 4 6" xfId="4895"/>
    <cellStyle name="Vírgula 3 3 4 6 2" xfId="8131"/>
    <cellStyle name="Vírgula 3 3 4 6 2 2" xfId="19985"/>
    <cellStyle name="Vírgula 3 3 4 6 2 2 2" xfId="46464"/>
    <cellStyle name="Vírgula 3 3 4 6 2 3" xfId="14058"/>
    <cellStyle name="Vírgula 3 3 4 6 2 3 2" xfId="40556"/>
    <cellStyle name="Vírgula 3 3 4 6 2 4" xfId="34648"/>
    <cellStyle name="Vírgula 3 3 4 6 2 5" xfId="28114"/>
    <cellStyle name="Vírgula 3 3 4 6 3" xfId="17021"/>
    <cellStyle name="Vírgula 3 3 4 6 3 2" xfId="43510"/>
    <cellStyle name="Vírgula 3 3 4 6 4" xfId="11094"/>
    <cellStyle name="Vírgula 3 3 4 6 4 2" xfId="37602"/>
    <cellStyle name="Vírgula 3 3 4 6 5" xfId="31422"/>
    <cellStyle name="Vírgula 3 3 4 6 6" xfId="24888"/>
    <cellStyle name="Vírgula 3 3 4 7" xfId="6655"/>
    <cellStyle name="Vírgula 3 3 4 7 2" xfId="18509"/>
    <cellStyle name="Vírgula 3 3 4 7 2 2" xfId="44996"/>
    <cellStyle name="Vírgula 3 3 4 7 3" xfId="12582"/>
    <cellStyle name="Vírgula 3 3 4 7 3 2" xfId="39088"/>
    <cellStyle name="Vírgula 3 3 4 7 4" xfId="33180"/>
    <cellStyle name="Vírgula 3 3 4 7 5" xfId="26646"/>
    <cellStyle name="Vírgula 3 3 4 8" xfId="15545"/>
    <cellStyle name="Vírgula 3 3 4 8 2" xfId="42042"/>
    <cellStyle name="Vírgula 3 3 4 8 3" xfId="23116"/>
    <cellStyle name="Vírgula 3 3 4 9" xfId="9618"/>
    <cellStyle name="Vírgula 3 3 4 9 2" xfId="36134"/>
    <cellStyle name="Vírgula 3 3 5" xfId="4445"/>
    <cellStyle name="Vírgula 3 3 5 2" xfId="6217"/>
    <cellStyle name="Vírgula 3 3 5 2 2" xfId="9374"/>
    <cellStyle name="Vírgula 3 3 5 2 2 2" xfId="21228"/>
    <cellStyle name="Vírgula 3 3 5 2 2 2 2" xfId="47707"/>
    <cellStyle name="Vírgula 3 3 5 2 2 3" xfId="15301"/>
    <cellStyle name="Vírgula 3 3 5 2 2 3 2" xfId="41799"/>
    <cellStyle name="Vírgula 3 3 5 2 2 4" xfId="35891"/>
    <cellStyle name="Vírgula 3 3 5 2 2 5" xfId="29357"/>
    <cellStyle name="Vírgula 3 3 5 2 3" xfId="18264"/>
    <cellStyle name="Vírgula 3 3 5 2 3 2" xfId="44753"/>
    <cellStyle name="Vírgula 3 3 5 2 4" xfId="12337"/>
    <cellStyle name="Vírgula 3 3 5 2 4 2" xfId="38845"/>
    <cellStyle name="Vírgula 3 3 5 2 5" xfId="32744"/>
    <cellStyle name="Vírgula 3 3 5 2 6" xfId="26210"/>
    <cellStyle name="Vírgula 3 3 5 3" xfId="7906"/>
    <cellStyle name="Vírgula 3 3 5 3 2" xfId="19760"/>
    <cellStyle name="Vírgula 3 3 5 3 2 2" xfId="46239"/>
    <cellStyle name="Vírgula 3 3 5 3 3" xfId="13833"/>
    <cellStyle name="Vírgula 3 3 5 3 3 2" xfId="40331"/>
    <cellStyle name="Vírgula 3 3 5 3 4" xfId="34423"/>
    <cellStyle name="Vírgula 3 3 5 3 5" xfId="27889"/>
    <cellStyle name="Vírgula 3 3 5 4" xfId="16796"/>
    <cellStyle name="Vírgula 3 3 5 4 2" xfId="43285"/>
    <cellStyle name="Vírgula 3 3 5 4 3" xfId="24438"/>
    <cellStyle name="Vírgula 3 3 5 5" xfId="10869"/>
    <cellStyle name="Vírgula 3 3 5 5 2" xfId="37377"/>
    <cellStyle name="Vírgula 3 3 5 6" xfId="30972"/>
    <cellStyle name="Vírgula 3 3 5 7" xfId="22666"/>
    <cellStyle name="Vírgula 3 3 6" xfId="4569"/>
    <cellStyle name="Vírgula 3 3 6 2" xfId="6341"/>
    <cellStyle name="Vírgula 3 3 6 2 2" xfId="9436"/>
    <cellStyle name="Vírgula 3 3 6 2 2 2" xfId="21290"/>
    <cellStyle name="Vírgula 3 3 6 2 2 2 2" xfId="47769"/>
    <cellStyle name="Vírgula 3 3 6 2 2 3" xfId="15363"/>
    <cellStyle name="Vírgula 3 3 6 2 2 3 2" xfId="41861"/>
    <cellStyle name="Vírgula 3 3 6 2 2 4" xfId="35953"/>
    <cellStyle name="Vírgula 3 3 6 2 2 5" xfId="29419"/>
    <cellStyle name="Vírgula 3 3 6 2 3" xfId="18326"/>
    <cellStyle name="Vírgula 3 3 6 2 3 2" xfId="44815"/>
    <cellStyle name="Vírgula 3 3 6 2 4" xfId="12399"/>
    <cellStyle name="Vírgula 3 3 6 2 4 2" xfId="38907"/>
    <cellStyle name="Vírgula 3 3 6 2 5" xfId="32868"/>
    <cellStyle name="Vírgula 3 3 6 2 6" xfId="26334"/>
    <cellStyle name="Vírgula 3 3 6 3" xfId="7968"/>
    <cellStyle name="Vírgula 3 3 6 3 2" xfId="19822"/>
    <cellStyle name="Vírgula 3 3 6 3 2 2" xfId="46301"/>
    <cellStyle name="Vírgula 3 3 6 3 3" xfId="13895"/>
    <cellStyle name="Vírgula 3 3 6 3 3 2" xfId="40393"/>
    <cellStyle name="Vírgula 3 3 6 3 4" xfId="34485"/>
    <cellStyle name="Vírgula 3 3 6 3 5" xfId="27951"/>
    <cellStyle name="Vírgula 3 3 6 4" xfId="16858"/>
    <cellStyle name="Vírgula 3 3 6 4 2" xfId="43347"/>
    <cellStyle name="Vírgula 3 3 6 4 3" xfId="24562"/>
    <cellStyle name="Vírgula 3 3 6 5" xfId="10931"/>
    <cellStyle name="Vírgula 3 3 6 5 2" xfId="37439"/>
    <cellStyle name="Vírgula 3 3 6 6" xfId="31096"/>
    <cellStyle name="Vírgula 3 3 6 7" xfId="22790"/>
    <cellStyle name="Vírgula 3 3 7" xfId="4693"/>
    <cellStyle name="Vírgula 3 3 7 2" xfId="6465"/>
    <cellStyle name="Vírgula 3 3 7 2 2" xfId="9498"/>
    <cellStyle name="Vírgula 3 3 7 2 2 2" xfId="21352"/>
    <cellStyle name="Vírgula 3 3 7 2 2 2 2" xfId="47831"/>
    <cellStyle name="Vírgula 3 3 7 2 2 3" xfId="15425"/>
    <cellStyle name="Vírgula 3 3 7 2 2 3 2" xfId="41923"/>
    <cellStyle name="Vírgula 3 3 7 2 2 4" xfId="36015"/>
    <cellStyle name="Vírgula 3 3 7 2 2 5" xfId="29481"/>
    <cellStyle name="Vírgula 3 3 7 2 3" xfId="18388"/>
    <cellStyle name="Vírgula 3 3 7 2 3 2" xfId="44877"/>
    <cellStyle name="Vírgula 3 3 7 2 4" xfId="12461"/>
    <cellStyle name="Vírgula 3 3 7 2 4 2" xfId="38969"/>
    <cellStyle name="Vírgula 3 3 7 2 5" xfId="32992"/>
    <cellStyle name="Vírgula 3 3 7 2 6" xfId="26458"/>
    <cellStyle name="Vírgula 3 3 7 3" xfId="8030"/>
    <cellStyle name="Vírgula 3 3 7 3 2" xfId="19884"/>
    <cellStyle name="Vírgula 3 3 7 3 2 2" xfId="46363"/>
    <cellStyle name="Vírgula 3 3 7 3 3" xfId="13957"/>
    <cellStyle name="Vírgula 3 3 7 3 3 2" xfId="40455"/>
    <cellStyle name="Vírgula 3 3 7 3 4" xfId="34547"/>
    <cellStyle name="Vírgula 3 3 7 3 5" xfId="28013"/>
    <cellStyle name="Vírgula 3 3 7 4" xfId="16920"/>
    <cellStyle name="Vírgula 3 3 7 4 2" xfId="43409"/>
    <cellStyle name="Vírgula 3 3 7 4 3" xfId="24686"/>
    <cellStyle name="Vírgula 3 3 7 5" xfId="10993"/>
    <cellStyle name="Vírgula 3 3 7 5 2" xfId="37501"/>
    <cellStyle name="Vírgula 3 3 7 6" xfId="31220"/>
    <cellStyle name="Vírgula 3 3 7 7" xfId="22914"/>
    <cellStyle name="Vírgula 3 3 8" xfId="994"/>
    <cellStyle name="Vírgula 3 3 8 2" xfId="5180"/>
    <cellStyle name="Vírgula 3 3 8 2 2" xfId="8395"/>
    <cellStyle name="Vírgula 3 3 8 2 2 2" xfId="20249"/>
    <cellStyle name="Vírgula 3 3 8 2 2 2 2" xfId="46728"/>
    <cellStyle name="Vírgula 3 3 8 2 2 3" xfId="14322"/>
    <cellStyle name="Vírgula 3 3 8 2 2 3 2" xfId="40820"/>
    <cellStyle name="Vírgula 3 3 8 2 2 4" xfId="34912"/>
    <cellStyle name="Vírgula 3 3 8 2 2 5" xfId="28378"/>
    <cellStyle name="Vírgula 3 3 8 2 3" xfId="17285"/>
    <cellStyle name="Vírgula 3 3 8 2 3 2" xfId="43774"/>
    <cellStyle name="Vírgula 3 3 8 2 4" xfId="11358"/>
    <cellStyle name="Vírgula 3 3 8 2 4 2" xfId="37866"/>
    <cellStyle name="Vírgula 3 3 8 2 5" xfId="31707"/>
    <cellStyle name="Vírgula 3 3 8 2 6" xfId="25173"/>
    <cellStyle name="Vírgula 3 3 8 3" xfId="6922"/>
    <cellStyle name="Vírgula 3 3 8 3 2" xfId="18776"/>
    <cellStyle name="Vírgula 3 3 8 3 2 2" xfId="45260"/>
    <cellStyle name="Vírgula 3 3 8 3 3" xfId="12849"/>
    <cellStyle name="Vírgula 3 3 8 3 3 2" xfId="39352"/>
    <cellStyle name="Vírgula 3 3 8 3 4" xfId="33444"/>
    <cellStyle name="Vírgula 3 3 8 3 5" xfId="26910"/>
    <cellStyle name="Vírgula 3 3 8 4" xfId="15812"/>
    <cellStyle name="Vírgula 3 3 8 4 2" xfId="42306"/>
    <cellStyle name="Vírgula 3 3 8 5" xfId="9885"/>
    <cellStyle name="Vírgula 3 3 8 5 2" xfId="36398"/>
    <cellStyle name="Vírgula 3 3 8 6" xfId="29935"/>
    <cellStyle name="Vírgula 3 3 8 7" xfId="23401"/>
    <cellStyle name="Vírgula 3 3 9" xfId="4817"/>
    <cellStyle name="Vírgula 3 3 9 2" xfId="8092"/>
    <cellStyle name="Vírgula 3 3 9 2 2" xfId="19946"/>
    <cellStyle name="Vírgula 3 3 9 2 2 2" xfId="46425"/>
    <cellStyle name="Vírgula 3 3 9 2 3" xfId="14019"/>
    <cellStyle name="Vírgula 3 3 9 2 3 2" xfId="40517"/>
    <cellStyle name="Vírgula 3 3 9 2 4" xfId="34609"/>
    <cellStyle name="Vírgula 3 3 9 2 5" xfId="28075"/>
    <cellStyle name="Vírgula 3 3 9 3" xfId="16982"/>
    <cellStyle name="Vírgula 3 3 9 3 2" xfId="43471"/>
    <cellStyle name="Vírgula 3 3 9 4" xfId="11055"/>
    <cellStyle name="Vírgula 3 3 9 4 2" xfId="37563"/>
    <cellStyle name="Vírgula 3 3 9 5" xfId="31344"/>
    <cellStyle name="Vírgula 3 3 9 6" xfId="24810"/>
    <cellStyle name="Vírgula 3 4" xfId="43"/>
    <cellStyle name="Vírgula 3 4 10" xfId="6619"/>
    <cellStyle name="Vírgula 3 4 10 2" xfId="18473"/>
    <cellStyle name="Vírgula 3 4 10 2 2" xfId="44960"/>
    <cellStyle name="Vírgula 3 4 10 3" xfId="12546"/>
    <cellStyle name="Vírgula 3 4 10 3 2" xfId="39052"/>
    <cellStyle name="Vírgula 3 4 10 4" xfId="33144"/>
    <cellStyle name="Vírgula 3 4 10 5" xfId="26610"/>
    <cellStyle name="Vírgula 3 4 11" xfId="15509"/>
    <cellStyle name="Vírgula 3 4 11 2" xfId="42006"/>
    <cellStyle name="Vírgula 3 4 11 3" xfId="23044"/>
    <cellStyle name="Vírgula 3 4 12" xfId="9582"/>
    <cellStyle name="Vírgula 3 4 12 2" xfId="36098"/>
    <cellStyle name="Vírgula 3 4 13" xfId="29578"/>
    <cellStyle name="Vírgula 3 4 14" xfId="21727"/>
    <cellStyle name="Vírgula 3 4 2" xfId="84"/>
    <cellStyle name="Vírgula 3 4 2 10" xfId="29618"/>
    <cellStyle name="Vírgula 3 4 2 11" xfId="22626"/>
    <cellStyle name="Vírgula 3 4 2 2" xfId="4491"/>
    <cellStyle name="Vírgula 3 4 2 2 2" xfId="6263"/>
    <cellStyle name="Vírgula 3 4 2 2 2 2" xfId="9397"/>
    <cellStyle name="Vírgula 3 4 2 2 2 2 2" xfId="21251"/>
    <cellStyle name="Vírgula 3 4 2 2 2 2 2 2" xfId="47730"/>
    <cellStyle name="Vírgula 3 4 2 2 2 2 3" xfId="15324"/>
    <cellStyle name="Vírgula 3 4 2 2 2 2 3 2" xfId="41822"/>
    <cellStyle name="Vírgula 3 4 2 2 2 2 4" xfId="35914"/>
    <cellStyle name="Vírgula 3 4 2 2 2 2 5" xfId="29380"/>
    <cellStyle name="Vírgula 3 4 2 2 2 3" xfId="18287"/>
    <cellStyle name="Vírgula 3 4 2 2 2 3 2" xfId="44776"/>
    <cellStyle name="Vírgula 3 4 2 2 2 4" xfId="12360"/>
    <cellStyle name="Vírgula 3 4 2 2 2 4 2" xfId="38868"/>
    <cellStyle name="Vírgula 3 4 2 2 2 5" xfId="32790"/>
    <cellStyle name="Vírgula 3 4 2 2 2 6" xfId="26256"/>
    <cellStyle name="Vírgula 3 4 2 2 3" xfId="7929"/>
    <cellStyle name="Vírgula 3 4 2 2 3 2" xfId="19783"/>
    <cellStyle name="Vírgula 3 4 2 2 3 2 2" xfId="46262"/>
    <cellStyle name="Vírgula 3 4 2 2 3 3" xfId="13856"/>
    <cellStyle name="Vírgula 3 4 2 2 3 3 2" xfId="40354"/>
    <cellStyle name="Vírgula 3 4 2 2 3 4" xfId="34446"/>
    <cellStyle name="Vírgula 3 4 2 2 3 5" xfId="27912"/>
    <cellStyle name="Vírgula 3 4 2 2 4" xfId="16819"/>
    <cellStyle name="Vírgula 3 4 2 2 4 2" xfId="43308"/>
    <cellStyle name="Vírgula 3 4 2 2 4 3" xfId="24484"/>
    <cellStyle name="Vírgula 3 4 2 2 5" xfId="10892"/>
    <cellStyle name="Vírgula 3 4 2 2 5 2" xfId="37400"/>
    <cellStyle name="Vírgula 3 4 2 2 6" xfId="31018"/>
    <cellStyle name="Vírgula 3 4 2 2 7" xfId="22712"/>
    <cellStyle name="Vírgula 3 4 2 3" xfId="4615"/>
    <cellStyle name="Vírgula 3 4 2 3 2" xfId="6387"/>
    <cellStyle name="Vírgula 3 4 2 3 2 2" xfId="9459"/>
    <cellStyle name="Vírgula 3 4 2 3 2 2 2" xfId="21313"/>
    <cellStyle name="Vírgula 3 4 2 3 2 2 2 2" xfId="47792"/>
    <cellStyle name="Vírgula 3 4 2 3 2 2 3" xfId="15386"/>
    <cellStyle name="Vírgula 3 4 2 3 2 2 3 2" xfId="41884"/>
    <cellStyle name="Vírgula 3 4 2 3 2 2 4" xfId="35976"/>
    <cellStyle name="Vírgula 3 4 2 3 2 2 5" xfId="29442"/>
    <cellStyle name="Vírgula 3 4 2 3 2 3" xfId="18349"/>
    <cellStyle name="Vírgula 3 4 2 3 2 3 2" xfId="44838"/>
    <cellStyle name="Vírgula 3 4 2 3 2 4" xfId="12422"/>
    <cellStyle name="Vírgula 3 4 2 3 2 4 2" xfId="38930"/>
    <cellStyle name="Vírgula 3 4 2 3 2 5" xfId="32914"/>
    <cellStyle name="Vírgula 3 4 2 3 2 6" xfId="26380"/>
    <cellStyle name="Vírgula 3 4 2 3 3" xfId="7991"/>
    <cellStyle name="Vírgula 3 4 2 3 3 2" xfId="19845"/>
    <cellStyle name="Vírgula 3 4 2 3 3 2 2" xfId="46324"/>
    <cellStyle name="Vírgula 3 4 2 3 3 3" xfId="13918"/>
    <cellStyle name="Vírgula 3 4 2 3 3 3 2" xfId="40416"/>
    <cellStyle name="Vírgula 3 4 2 3 3 4" xfId="34508"/>
    <cellStyle name="Vírgula 3 4 2 3 3 5" xfId="27974"/>
    <cellStyle name="Vírgula 3 4 2 3 4" xfId="16881"/>
    <cellStyle name="Vírgula 3 4 2 3 4 2" xfId="43370"/>
    <cellStyle name="Vírgula 3 4 2 3 4 3" xfId="24608"/>
    <cellStyle name="Vírgula 3 4 2 3 5" xfId="10954"/>
    <cellStyle name="Vírgula 3 4 2 3 5 2" xfId="37462"/>
    <cellStyle name="Vírgula 3 4 2 3 6" xfId="31142"/>
    <cellStyle name="Vírgula 3 4 2 3 7" xfId="22836"/>
    <cellStyle name="Vírgula 3 4 2 4" xfId="4739"/>
    <cellStyle name="Vírgula 3 4 2 4 2" xfId="6511"/>
    <cellStyle name="Vírgula 3 4 2 4 2 2" xfId="9521"/>
    <cellStyle name="Vírgula 3 4 2 4 2 2 2" xfId="21375"/>
    <cellStyle name="Vírgula 3 4 2 4 2 2 2 2" xfId="47854"/>
    <cellStyle name="Vírgula 3 4 2 4 2 2 3" xfId="15448"/>
    <cellStyle name="Vírgula 3 4 2 4 2 2 3 2" xfId="41946"/>
    <cellStyle name="Vírgula 3 4 2 4 2 2 4" xfId="36038"/>
    <cellStyle name="Vírgula 3 4 2 4 2 2 5" xfId="29504"/>
    <cellStyle name="Vírgula 3 4 2 4 2 3" xfId="18411"/>
    <cellStyle name="Vírgula 3 4 2 4 2 3 2" xfId="44900"/>
    <cellStyle name="Vírgula 3 4 2 4 2 4" xfId="12484"/>
    <cellStyle name="Vírgula 3 4 2 4 2 4 2" xfId="38992"/>
    <cellStyle name="Vírgula 3 4 2 4 2 5" xfId="33038"/>
    <cellStyle name="Vírgula 3 4 2 4 2 6" xfId="26504"/>
    <cellStyle name="Vírgula 3 4 2 4 3" xfId="8053"/>
    <cellStyle name="Vírgula 3 4 2 4 3 2" xfId="19907"/>
    <cellStyle name="Vírgula 3 4 2 4 3 2 2" xfId="46386"/>
    <cellStyle name="Vírgula 3 4 2 4 3 3" xfId="13980"/>
    <cellStyle name="Vírgula 3 4 2 4 3 3 2" xfId="40478"/>
    <cellStyle name="Vírgula 3 4 2 4 3 4" xfId="34570"/>
    <cellStyle name="Vírgula 3 4 2 4 3 5" xfId="28036"/>
    <cellStyle name="Vírgula 3 4 2 4 4" xfId="16943"/>
    <cellStyle name="Vírgula 3 4 2 4 4 2" xfId="43432"/>
    <cellStyle name="Vírgula 3 4 2 4 4 3" xfId="24732"/>
    <cellStyle name="Vírgula 3 4 2 4 5" xfId="11016"/>
    <cellStyle name="Vírgula 3 4 2 4 5 2" xfId="37524"/>
    <cellStyle name="Vírgula 3 4 2 4 6" xfId="31266"/>
    <cellStyle name="Vírgula 3 4 2 4 7" xfId="22960"/>
    <cellStyle name="Vírgula 3 4 2 5" xfId="4405"/>
    <cellStyle name="Vírgula 3 4 2 5 2" xfId="6177"/>
    <cellStyle name="Vírgula 3 4 2 5 2 2" xfId="9354"/>
    <cellStyle name="Vírgula 3 4 2 5 2 2 2" xfId="21208"/>
    <cellStyle name="Vírgula 3 4 2 5 2 2 2 2" xfId="47687"/>
    <cellStyle name="Vírgula 3 4 2 5 2 2 3" xfId="15281"/>
    <cellStyle name="Vírgula 3 4 2 5 2 2 3 2" xfId="41779"/>
    <cellStyle name="Vírgula 3 4 2 5 2 2 4" xfId="35871"/>
    <cellStyle name="Vírgula 3 4 2 5 2 2 5" xfId="29337"/>
    <cellStyle name="Vírgula 3 4 2 5 2 3" xfId="18244"/>
    <cellStyle name="Vírgula 3 4 2 5 2 3 2" xfId="44733"/>
    <cellStyle name="Vírgula 3 4 2 5 2 4" xfId="12317"/>
    <cellStyle name="Vírgula 3 4 2 5 2 4 2" xfId="38825"/>
    <cellStyle name="Vírgula 3 4 2 5 2 5" xfId="32704"/>
    <cellStyle name="Vírgula 3 4 2 5 2 6" xfId="26170"/>
    <cellStyle name="Vírgula 3 4 2 5 3" xfId="7886"/>
    <cellStyle name="Vírgula 3 4 2 5 3 2" xfId="19740"/>
    <cellStyle name="Vírgula 3 4 2 5 3 2 2" xfId="46219"/>
    <cellStyle name="Vírgula 3 4 2 5 3 3" xfId="13813"/>
    <cellStyle name="Vírgula 3 4 2 5 3 3 2" xfId="40311"/>
    <cellStyle name="Vírgula 3 4 2 5 3 4" xfId="34403"/>
    <cellStyle name="Vírgula 3 4 2 5 3 5" xfId="27869"/>
    <cellStyle name="Vírgula 3 4 2 5 4" xfId="16776"/>
    <cellStyle name="Vírgula 3 4 2 5 4 2" xfId="43265"/>
    <cellStyle name="Vírgula 3 4 2 5 5" xfId="10849"/>
    <cellStyle name="Vírgula 3 4 2 5 5 2" xfId="37357"/>
    <cellStyle name="Vírgula 3 4 2 5 6" xfId="30932"/>
    <cellStyle name="Vírgula 3 4 2 5 7" xfId="24398"/>
    <cellStyle name="Vírgula 3 4 2 6" xfId="4863"/>
    <cellStyle name="Vírgula 3 4 2 6 2" xfId="8115"/>
    <cellStyle name="Vírgula 3 4 2 6 2 2" xfId="19969"/>
    <cellStyle name="Vírgula 3 4 2 6 2 2 2" xfId="46448"/>
    <cellStyle name="Vírgula 3 4 2 6 2 3" xfId="14042"/>
    <cellStyle name="Vírgula 3 4 2 6 2 3 2" xfId="40540"/>
    <cellStyle name="Vírgula 3 4 2 6 2 4" xfId="34632"/>
    <cellStyle name="Vírgula 3 4 2 6 2 5" xfId="28098"/>
    <cellStyle name="Vírgula 3 4 2 6 3" xfId="17005"/>
    <cellStyle name="Vírgula 3 4 2 6 3 2" xfId="43494"/>
    <cellStyle name="Vírgula 3 4 2 6 4" xfId="11078"/>
    <cellStyle name="Vírgula 3 4 2 6 4 2" xfId="37586"/>
    <cellStyle name="Vírgula 3 4 2 6 5" xfId="31390"/>
    <cellStyle name="Vírgula 3 4 2 6 6" xfId="24856"/>
    <cellStyle name="Vírgula 3 4 2 7" xfId="6639"/>
    <cellStyle name="Vírgula 3 4 2 7 2" xfId="18493"/>
    <cellStyle name="Vírgula 3 4 2 7 2 2" xfId="44980"/>
    <cellStyle name="Vírgula 3 4 2 7 3" xfId="12566"/>
    <cellStyle name="Vírgula 3 4 2 7 3 2" xfId="39072"/>
    <cellStyle name="Vírgula 3 4 2 7 4" xfId="33164"/>
    <cellStyle name="Vírgula 3 4 2 7 5" xfId="26630"/>
    <cellStyle name="Vírgula 3 4 2 8" xfId="15529"/>
    <cellStyle name="Vírgula 3 4 2 8 2" xfId="42026"/>
    <cellStyle name="Vírgula 3 4 2 8 3" xfId="23084"/>
    <cellStyle name="Vírgula 3 4 2 9" xfId="9602"/>
    <cellStyle name="Vírgula 3 4 2 9 2" xfId="36118"/>
    <cellStyle name="Vírgula 3 4 3" xfId="122"/>
    <cellStyle name="Vírgula 3 4 3 10" xfId="29656"/>
    <cellStyle name="Vírgula 3 4 3 11" xfId="22586"/>
    <cellStyle name="Vírgula 3 4 3 2" xfId="4529"/>
    <cellStyle name="Vírgula 3 4 3 2 2" xfId="6301"/>
    <cellStyle name="Vírgula 3 4 3 2 2 2" xfId="9416"/>
    <cellStyle name="Vírgula 3 4 3 2 2 2 2" xfId="21270"/>
    <cellStyle name="Vírgula 3 4 3 2 2 2 2 2" xfId="47749"/>
    <cellStyle name="Vírgula 3 4 3 2 2 2 3" xfId="15343"/>
    <cellStyle name="Vírgula 3 4 3 2 2 2 3 2" xfId="41841"/>
    <cellStyle name="Vírgula 3 4 3 2 2 2 4" xfId="35933"/>
    <cellStyle name="Vírgula 3 4 3 2 2 2 5" xfId="29399"/>
    <cellStyle name="Vírgula 3 4 3 2 2 3" xfId="18306"/>
    <cellStyle name="Vírgula 3 4 3 2 2 3 2" xfId="44795"/>
    <cellStyle name="Vírgula 3 4 3 2 2 4" xfId="12379"/>
    <cellStyle name="Vírgula 3 4 3 2 2 4 2" xfId="38887"/>
    <cellStyle name="Vírgula 3 4 3 2 2 5" xfId="32828"/>
    <cellStyle name="Vírgula 3 4 3 2 2 6" xfId="26294"/>
    <cellStyle name="Vírgula 3 4 3 2 3" xfId="7948"/>
    <cellStyle name="Vírgula 3 4 3 2 3 2" xfId="19802"/>
    <cellStyle name="Vírgula 3 4 3 2 3 2 2" xfId="46281"/>
    <cellStyle name="Vírgula 3 4 3 2 3 3" xfId="13875"/>
    <cellStyle name="Vírgula 3 4 3 2 3 3 2" xfId="40373"/>
    <cellStyle name="Vírgula 3 4 3 2 3 4" xfId="34465"/>
    <cellStyle name="Vírgula 3 4 3 2 3 5" xfId="27931"/>
    <cellStyle name="Vírgula 3 4 3 2 4" xfId="16838"/>
    <cellStyle name="Vírgula 3 4 3 2 4 2" xfId="43327"/>
    <cellStyle name="Vírgula 3 4 3 2 4 3" xfId="24522"/>
    <cellStyle name="Vírgula 3 4 3 2 5" xfId="10911"/>
    <cellStyle name="Vírgula 3 4 3 2 5 2" xfId="37419"/>
    <cellStyle name="Vírgula 3 4 3 2 6" xfId="31056"/>
    <cellStyle name="Vírgula 3 4 3 2 7" xfId="22750"/>
    <cellStyle name="Vírgula 3 4 3 3" xfId="4653"/>
    <cellStyle name="Vírgula 3 4 3 3 2" xfId="6425"/>
    <cellStyle name="Vírgula 3 4 3 3 2 2" xfId="9478"/>
    <cellStyle name="Vírgula 3 4 3 3 2 2 2" xfId="21332"/>
    <cellStyle name="Vírgula 3 4 3 3 2 2 2 2" xfId="47811"/>
    <cellStyle name="Vírgula 3 4 3 3 2 2 3" xfId="15405"/>
    <cellStyle name="Vírgula 3 4 3 3 2 2 3 2" xfId="41903"/>
    <cellStyle name="Vírgula 3 4 3 3 2 2 4" xfId="35995"/>
    <cellStyle name="Vírgula 3 4 3 3 2 2 5" xfId="29461"/>
    <cellStyle name="Vírgula 3 4 3 3 2 3" xfId="18368"/>
    <cellStyle name="Vírgula 3 4 3 3 2 3 2" xfId="44857"/>
    <cellStyle name="Vírgula 3 4 3 3 2 4" xfId="12441"/>
    <cellStyle name="Vírgula 3 4 3 3 2 4 2" xfId="38949"/>
    <cellStyle name="Vírgula 3 4 3 3 2 5" xfId="32952"/>
    <cellStyle name="Vírgula 3 4 3 3 2 6" xfId="26418"/>
    <cellStyle name="Vírgula 3 4 3 3 3" xfId="8010"/>
    <cellStyle name="Vírgula 3 4 3 3 3 2" xfId="19864"/>
    <cellStyle name="Vírgula 3 4 3 3 3 2 2" xfId="46343"/>
    <cellStyle name="Vírgula 3 4 3 3 3 3" xfId="13937"/>
    <cellStyle name="Vírgula 3 4 3 3 3 3 2" xfId="40435"/>
    <cellStyle name="Vírgula 3 4 3 3 3 4" xfId="34527"/>
    <cellStyle name="Vírgula 3 4 3 3 3 5" xfId="27993"/>
    <cellStyle name="Vírgula 3 4 3 3 4" xfId="16900"/>
    <cellStyle name="Vírgula 3 4 3 3 4 2" xfId="43389"/>
    <cellStyle name="Vírgula 3 4 3 3 4 3" xfId="24646"/>
    <cellStyle name="Vírgula 3 4 3 3 5" xfId="10973"/>
    <cellStyle name="Vírgula 3 4 3 3 5 2" xfId="37481"/>
    <cellStyle name="Vírgula 3 4 3 3 6" xfId="31180"/>
    <cellStyle name="Vírgula 3 4 3 3 7" xfId="22874"/>
    <cellStyle name="Vírgula 3 4 3 4" xfId="4777"/>
    <cellStyle name="Vírgula 3 4 3 4 2" xfId="6549"/>
    <cellStyle name="Vírgula 3 4 3 4 2 2" xfId="9540"/>
    <cellStyle name="Vírgula 3 4 3 4 2 2 2" xfId="21394"/>
    <cellStyle name="Vírgula 3 4 3 4 2 2 2 2" xfId="47873"/>
    <cellStyle name="Vírgula 3 4 3 4 2 2 3" xfId="15467"/>
    <cellStyle name="Vírgula 3 4 3 4 2 2 3 2" xfId="41965"/>
    <cellStyle name="Vírgula 3 4 3 4 2 2 4" xfId="36057"/>
    <cellStyle name="Vírgula 3 4 3 4 2 2 5" xfId="29523"/>
    <cellStyle name="Vírgula 3 4 3 4 2 3" xfId="18430"/>
    <cellStyle name="Vírgula 3 4 3 4 2 3 2" xfId="44919"/>
    <cellStyle name="Vírgula 3 4 3 4 2 4" xfId="12503"/>
    <cellStyle name="Vírgula 3 4 3 4 2 4 2" xfId="39011"/>
    <cellStyle name="Vírgula 3 4 3 4 2 5" xfId="33076"/>
    <cellStyle name="Vírgula 3 4 3 4 2 6" xfId="26542"/>
    <cellStyle name="Vírgula 3 4 3 4 3" xfId="8072"/>
    <cellStyle name="Vírgula 3 4 3 4 3 2" xfId="19926"/>
    <cellStyle name="Vírgula 3 4 3 4 3 2 2" xfId="46405"/>
    <cellStyle name="Vírgula 3 4 3 4 3 3" xfId="13999"/>
    <cellStyle name="Vírgula 3 4 3 4 3 3 2" xfId="40497"/>
    <cellStyle name="Vírgula 3 4 3 4 3 4" xfId="34589"/>
    <cellStyle name="Vírgula 3 4 3 4 3 5" xfId="28055"/>
    <cellStyle name="Vírgula 3 4 3 4 4" xfId="16962"/>
    <cellStyle name="Vírgula 3 4 3 4 4 2" xfId="43451"/>
    <cellStyle name="Vírgula 3 4 3 4 4 3" xfId="24770"/>
    <cellStyle name="Vírgula 3 4 3 4 5" xfId="11035"/>
    <cellStyle name="Vírgula 3 4 3 4 5 2" xfId="37543"/>
    <cellStyle name="Vírgula 3 4 3 4 6" xfId="31304"/>
    <cellStyle name="Vírgula 3 4 3 4 7" xfId="22998"/>
    <cellStyle name="Vírgula 3 4 3 5" xfId="4365"/>
    <cellStyle name="Vírgula 3 4 3 5 2" xfId="6137"/>
    <cellStyle name="Vírgula 3 4 3 5 2 2" xfId="9334"/>
    <cellStyle name="Vírgula 3 4 3 5 2 2 2" xfId="21188"/>
    <cellStyle name="Vírgula 3 4 3 5 2 2 2 2" xfId="47667"/>
    <cellStyle name="Vírgula 3 4 3 5 2 2 3" xfId="15261"/>
    <cellStyle name="Vírgula 3 4 3 5 2 2 3 2" xfId="41759"/>
    <cellStyle name="Vírgula 3 4 3 5 2 2 4" xfId="35851"/>
    <cellStyle name="Vírgula 3 4 3 5 2 2 5" xfId="29317"/>
    <cellStyle name="Vírgula 3 4 3 5 2 3" xfId="18224"/>
    <cellStyle name="Vírgula 3 4 3 5 2 3 2" xfId="44713"/>
    <cellStyle name="Vírgula 3 4 3 5 2 4" xfId="12297"/>
    <cellStyle name="Vírgula 3 4 3 5 2 4 2" xfId="38805"/>
    <cellStyle name="Vírgula 3 4 3 5 2 5" xfId="32664"/>
    <cellStyle name="Vírgula 3 4 3 5 2 6" xfId="26130"/>
    <cellStyle name="Vírgula 3 4 3 5 3" xfId="7866"/>
    <cellStyle name="Vírgula 3 4 3 5 3 2" xfId="19720"/>
    <cellStyle name="Vírgula 3 4 3 5 3 2 2" xfId="46199"/>
    <cellStyle name="Vírgula 3 4 3 5 3 3" xfId="13793"/>
    <cellStyle name="Vírgula 3 4 3 5 3 3 2" xfId="40291"/>
    <cellStyle name="Vírgula 3 4 3 5 3 4" xfId="34383"/>
    <cellStyle name="Vírgula 3 4 3 5 3 5" xfId="27849"/>
    <cellStyle name="Vírgula 3 4 3 5 4" xfId="16756"/>
    <cellStyle name="Vírgula 3 4 3 5 4 2" xfId="43245"/>
    <cellStyle name="Vírgula 3 4 3 5 5" xfId="10829"/>
    <cellStyle name="Vírgula 3 4 3 5 5 2" xfId="37337"/>
    <cellStyle name="Vírgula 3 4 3 5 6" xfId="30892"/>
    <cellStyle name="Vírgula 3 4 3 5 7" xfId="24358"/>
    <cellStyle name="Vírgula 3 4 3 6" xfId="4901"/>
    <cellStyle name="Vírgula 3 4 3 6 2" xfId="8134"/>
    <cellStyle name="Vírgula 3 4 3 6 2 2" xfId="19988"/>
    <cellStyle name="Vírgula 3 4 3 6 2 2 2" xfId="46467"/>
    <cellStyle name="Vírgula 3 4 3 6 2 3" xfId="14061"/>
    <cellStyle name="Vírgula 3 4 3 6 2 3 2" xfId="40559"/>
    <cellStyle name="Vírgula 3 4 3 6 2 4" xfId="34651"/>
    <cellStyle name="Vírgula 3 4 3 6 2 5" xfId="28117"/>
    <cellStyle name="Vírgula 3 4 3 6 3" xfId="17024"/>
    <cellStyle name="Vírgula 3 4 3 6 3 2" xfId="43513"/>
    <cellStyle name="Vírgula 3 4 3 6 4" xfId="11097"/>
    <cellStyle name="Vírgula 3 4 3 6 4 2" xfId="37605"/>
    <cellStyle name="Vírgula 3 4 3 6 5" xfId="31428"/>
    <cellStyle name="Vírgula 3 4 3 6 6" xfId="24894"/>
    <cellStyle name="Vírgula 3 4 3 7" xfId="6658"/>
    <cellStyle name="Vírgula 3 4 3 7 2" xfId="18512"/>
    <cellStyle name="Vírgula 3 4 3 7 2 2" xfId="44999"/>
    <cellStyle name="Vírgula 3 4 3 7 3" xfId="12585"/>
    <cellStyle name="Vírgula 3 4 3 7 3 2" xfId="39091"/>
    <cellStyle name="Vírgula 3 4 3 7 4" xfId="33183"/>
    <cellStyle name="Vírgula 3 4 3 7 5" xfId="26649"/>
    <cellStyle name="Vírgula 3 4 3 8" xfId="15548"/>
    <cellStyle name="Vírgula 3 4 3 8 2" xfId="42045"/>
    <cellStyle name="Vírgula 3 4 3 8 3" xfId="23122"/>
    <cellStyle name="Vírgula 3 4 3 9" xfId="9621"/>
    <cellStyle name="Vírgula 3 4 3 9 2" xfId="36137"/>
    <cellStyle name="Vírgula 3 4 4" xfId="4451"/>
    <cellStyle name="Vírgula 3 4 4 2" xfId="6223"/>
    <cellStyle name="Vírgula 3 4 4 2 2" xfId="9377"/>
    <cellStyle name="Vírgula 3 4 4 2 2 2" xfId="21231"/>
    <cellStyle name="Vírgula 3 4 4 2 2 2 2" xfId="47710"/>
    <cellStyle name="Vírgula 3 4 4 2 2 3" xfId="15304"/>
    <cellStyle name="Vírgula 3 4 4 2 2 3 2" xfId="41802"/>
    <cellStyle name="Vírgula 3 4 4 2 2 4" xfId="35894"/>
    <cellStyle name="Vírgula 3 4 4 2 2 5" xfId="29360"/>
    <cellStyle name="Vírgula 3 4 4 2 3" xfId="18267"/>
    <cellStyle name="Vírgula 3 4 4 2 3 2" xfId="44756"/>
    <cellStyle name="Vírgula 3 4 4 2 4" xfId="12340"/>
    <cellStyle name="Vírgula 3 4 4 2 4 2" xfId="38848"/>
    <cellStyle name="Vírgula 3 4 4 2 5" xfId="32750"/>
    <cellStyle name="Vírgula 3 4 4 2 6" xfId="26216"/>
    <cellStyle name="Vírgula 3 4 4 3" xfId="7909"/>
    <cellStyle name="Vírgula 3 4 4 3 2" xfId="19763"/>
    <cellStyle name="Vírgula 3 4 4 3 2 2" xfId="46242"/>
    <cellStyle name="Vírgula 3 4 4 3 3" xfId="13836"/>
    <cellStyle name="Vírgula 3 4 4 3 3 2" xfId="40334"/>
    <cellStyle name="Vírgula 3 4 4 3 4" xfId="34426"/>
    <cellStyle name="Vírgula 3 4 4 3 5" xfId="27892"/>
    <cellStyle name="Vírgula 3 4 4 4" xfId="16799"/>
    <cellStyle name="Vírgula 3 4 4 4 2" xfId="43288"/>
    <cellStyle name="Vírgula 3 4 4 4 3" xfId="24444"/>
    <cellStyle name="Vírgula 3 4 4 5" xfId="10872"/>
    <cellStyle name="Vírgula 3 4 4 5 2" xfId="37380"/>
    <cellStyle name="Vírgula 3 4 4 6" xfId="30978"/>
    <cellStyle name="Vírgula 3 4 4 7" xfId="22672"/>
    <cellStyle name="Vírgula 3 4 5" xfId="4575"/>
    <cellStyle name="Vírgula 3 4 5 2" xfId="6347"/>
    <cellStyle name="Vírgula 3 4 5 2 2" xfId="9439"/>
    <cellStyle name="Vírgula 3 4 5 2 2 2" xfId="21293"/>
    <cellStyle name="Vírgula 3 4 5 2 2 2 2" xfId="47772"/>
    <cellStyle name="Vírgula 3 4 5 2 2 3" xfId="15366"/>
    <cellStyle name="Vírgula 3 4 5 2 2 3 2" xfId="41864"/>
    <cellStyle name="Vírgula 3 4 5 2 2 4" xfId="35956"/>
    <cellStyle name="Vírgula 3 4 5 2 2 5" xfId="29422"/>
    <cellStyle name="Vírgula 3 4 5 2 3" xfId="18329"/>
    <cellStyle name="Vírgula 3 4 5 2 3 2" xfId="44818"/>
    <cellStyle name="Vírgula 3 4 5 2 4" xfId="12402"/>
    <cellStyle name="Vírgula 3 4 5 2 4 2" xfId="38910"/>
    <cellStyle name="Vírgula 3 4 5 2 5" xfId="32874"/>
    <cellStyle name="Vírgula 3 4 5 2 6" xfId="26340"/>
    <cellStyle name="Vírgula 3 4 5 3" xfId="7971"/>
    <cellStyle name="Vírgula 3 4 5 3 2" xfId="19825"/>
    <cellStyle name="Vírgula 3 4 5 3 2 2" xfId="46304"/>
    <cellStyle name="Vírgula 3 4 5 3 3" xfId="13898"/>
    <cellStyle name="Vírgula 3 4 5 3 3 2" xfId="40396"/>
    <cellStyle name="Vírgula 3 4 5 3 4" xfId="34488"/>
    <cellStyle name="Vírgula 3 4 5 3 5" xfId="27954"/>
    <cellStyle name="Vírgula 3 4 5 4" xfId="16861"/>
    <cellStyle name="Vírgula 3 4 5 4 2" xfId="43350"/>
    <cellStyle name="Vírgula 3 4 5 4 3" xfId="24568"/>
    <cellStyle name="Vírgula 3 4 5 5" xfId="10934"/>
    <cellStyle name="Vírgula 3 4 5 5 2" xfId="37442"/>
    <cellStyle name="Vírgula 3 4 5 6" xfId="31102"/>
    <cellStyle name="Vírgula 3 4 5 7" xfId="22796"/>
    <cellStyle name="Vírgula 3 4 6" xfId="4699"/>
    <cellStyle name="Vírgula 3 4 6 2" xfId="6471"/>
    <cellStyle name="Vírgula 3 4 6 2 2" xfId="9501"/>
    <cellStyle name="Vírgula 3 4 6 2 2 2" xfId="21355"/>
    <cellStyle name="Vírgula 3 4 6 2 2 2 2" xfId="47834"/>
    <cellStyle name="Vírgula 3 4 6 2 2 3" xfId="15428"/>
    <cellStyle name="Vírgula 3 4 6 2 2 3 2" xfId="41926"/>
    <cellStyle name="Vírgula 3 4 6 2 2 4" xfId="36018"/>
    <cellStyle name="Vírgula 3 4 6 2 2 5" xfId="29484"/>
    <cellStyle name="Vírgula 3 4 6 2 3" xfId="18391"/>
    <cellStyle name="Vírgula 3 4 6 2 3 2" xfId="44880"/>
    <cellStyle name="Vírgula 3 4 6 2 4" xfId="12464"/>
    <cellStyle name="Vírgula 3 4 6 2 4 2" xfId="38972"/>
    <cellStyle name="Vírgula 3 4 6 2 5" xfId="32998"/>
    <cellStyle name="Vírgula 3 4 6 2 6" xfId="26464"/>
    <cellStyle name="Vírgula 3 4 6 3" xfId="8033"/>
    <cellStyle name="Vírgula 3 4 6 3 2" xfId="19887"/>
    <cellStyle name="Vírgula 3 4 6 3 2 2" xfId="46366"/>
    <cellStyle name="Vírgula 3 4 6 3 3" xfId="13960"/>
    <cellStyle name="Vírgula 3 4 6 3 3 2" xfId="40458"/>
    <cellStyle name="Vírgula 3 4 6 3 4" xfId="34550"/>
    <cellStyle name="Vírgula 3 4 6 3 5" xfId="28016"/>
    <cellStyle name="Vírgula 3 4 6 4" xfId="16923"/>
    <cellStyle name="Vírgula 3 4 6 4 2" xfId="43412"/>
    <cellStyle name="Vírgula 3 4 6 4 3" xfId="24692"/>
    <cellStyle name="Vírgula 3 4 6 5" xfId="10996"/>
    <cellStyle name="Vírgula 3 4 6 5 2" xfId="37504"/>
    <cellStyle name="Vírgula 3 4 6 6" xfId="31226"/>
    <cellStyle name="Vírgula 3 4 6 7" xfId="22920"/>
    <cellStyle name="Vírgula 3 4 7" xfId="1345"/>
    <cellStyle name="Vírgula 3 4 7 2" xfId="5278"/>
    <cellStyle name="Vírgula 3 4 7 2 2" xfId="8493"/>
    <cellStyle name="Vírgula 3 4 7 2 2 2" xfId="20347"/>
    <cellStyle name="Vírgula 3 4 7 2 2 2 2" xfId="46826"/>
    <cellStyle name="Vírgula 3 4 7 2 2 3" xfId="14420"/>
    <cellStyle name="Vírgula 3 4 7 2 2 3 2" xfId="40918"/>
    <cellStyle name="Vírgula 3 4 7 2 2 4" xfId="35010"/>
    <cellStyle name="Vírgula 3 4 7 2 2 5" xfId="28476"/>
    <cellStyle name="Vírgula 3 4 7 2 3" xfId="17383"/>
    <cellStyle name="Vírgula 3 4 7 2 3 2" xfId="43872"/>
    <cellStyle name="Vírgula 3 4 7 2 4" xfId="11456"/>
    <cellStyle name="Vírgula 3 4 7 2 4 2" xfId="37964"/>
    <cellStyle name="Vírgula 3 4 7 2 5" xfId="31805"/>
    <cellStyle name="Vírgula 3 4 7 2 6" xfId="25271"/>
    <cellStyle name="Vírgula 3 4 7 3" xfId="7020"/>
    <cellStyle name="Vírgula 3 4 7 3 2" xfId="18874"/>
    <cellStyle name="Vírgula 3 4 7 3 2 2" xfId="45358"/>
    <cellStyle name="Vírgula 3 4 7 3 3" xfId="12947"/>
    <cellStyle name="Vírgula 3 4 7 3 3 2" xfId="39450"/>
    <cellStyle name="Vírgula 3 4 7 3 4" xfId="33542"/>
    <cellStyle name="Vírgula 3 4 7 3 5" xfId="27008"/>
    <cellStyle name="Vírgula 3 4 7 4" xfId="15910"/>
    <cellStyle name="Vírgula 3 4 7 4 2" xfId="42404"/>
    <cellStyle name="Vírgula 3 4 7 5" xfId="9983"/>
    <cellStyle name="Vírgula 3 4 7 5 2" xfId="36496"/>
    <cellStyle name="Vírgula 3 4 7 6" xfId="30033"/>
    <cellStyle name="Vírgula 3 4 7 7" xfId="23499"/>
    <cellStyle name="Vírgula 3 4 8" xfId="4823"/>
    <cellStyle name="Vírgula 3 4 8 2" xfId="8095"/>
    <cellStyle name="Vírgula 3 4 8 2 2" xfId="19949"/>
    <cellStyle name="Vírgula 3 4 8 2 2 2" xfId="46428"/>
    <cellStyle name="Vírgula 3 4 8 2 3" xfId="14022"/>
    <cellStyle name="Vírgula 3 4 8 2 3 2" xfId="40520"/>
    <cellStyle name="Vírgula 3 4 8 2 4" xfId="34612"/>
    <cellStyle name="Vírgula 3 4 8 2 5" xfId="28078"/>
    <cellStyle name="Vírgula 3 4 8 3" xfId="16985"/>
    <cellStyle name="Vírgula 3 4 8 3 2" xfId="43474"/>
    <cellStyle name="Vírgula 3 4 8 4" xfId="11058"/>
    <cellStyle name="Vírgula 3 4 8 4 2" xfId="37566"/>
    <cellStyle name="Vírgula 3 4 8 5" xfId="31350"/>
    <cellStyle name="Vírgula 3 4 8 6" xfId="24816"/>
    <cellStyle name="Vírgula 3 4 9" xfId="6587"/>
    <cellStyle name="Vírgula 3 4 9 2" xfId="9559"/>
    <cellStyle name="Vírgula 3 4 9 2 2" xfId="21413"/>
    <cellStyle name="Vírgula 3 4 9 2 2 2" xfId="47892"/>
    <cellStyle name="Vírgula 3 4 9 2 3" xfId="15486"/>
    <cellStyle name="Vírgula 3 4 9 2 3 2" xfId="41984"/>
    <cellStyle name="Vírgula 3 4 9 2 4" xfId="36076"/>
    <cellStyle name="Vírgula 3 4 9 2 5" xfId="29542"/>
    <cellStyle name="Vírgula 3 4 9 3" xfId="18449"/>
    <cellStyle name="Vírgula 3 4 9 3 2" xfId="44938"/>
    <cellStyle name="Vírgula 3 4 9 4" xfId="12522"/>
    <cellStyle name="Vírgula 3 4 9 4 2" xfId="39030"/>
    <cellStyle name="Vírgula 3 4 9 5" xfId="33114"/>
    <cellStyle name="Vírgula 3 4 9 6" xfId="26580"/>
    <cellStyle name="Vírgula 3 5" xfId="25"/>
    <cellStyle name="Vírgula 3 5 10" xfId="9573"/>
    <cellStyle name="Vírgula 3 5 10 2" xfId="36089"/>
    <cellStyle name="Vírgula 3 5 11" xfId="29560"/>
    <cellStyle name="Vírgula 3 5 12" xfId="21846"/>
    <cellStyle name="Vírgula 3 5 2" xfId="4347"/>
    <cellStyle name="Vírgula 3 5 2 2" xfId="6119"/>
    <cellStyle name="Vírgula 3 5 2 2 2" xfId="9325"/>
    <cellStyle name="Vírgula 3 5 2 2 2 2" xfId="21179"/>
    <cellStyle name="Vírgula 3 5 2 2 2 2 2" xfId="47658"/>
    <cellStyle name="Vírgula 3 5 2 2 2 3" xfId="15252"/>
    <cellStyle name="Vírgula 3 5 2 2 2 3 2" xfId="41750"/>
    <cellStyle name="Vírgula 3 5 2 2 2 4" xfId="35842"/>
    <cellStyle name="Vírgula 3 5 2 2 2 5" xfId="29308"/>
    <cellStyle name="Vírgula 3 5 2 2 3" xfId="18215"/>
    <cellStyle name="Vírgula 3 5 2 2 3 2" xfId="44704"/>
    <cellStyle name="Vírgula 3 5 2 2 4" xfId="12288"/>
    <cellStyle name="Vírgula 3 5 2 2 4 2" xfId="38796"/>
    <cellStyle name="Vírgula 3 5 2 2 5" xfId="32646"/>
    <cellStyle name="Vírgula 3 5 2 2 6" xfId="26112"/>
    <cellStyle name="Vírgula 3 5 2 3" xfId="7857"/>
    <cellStyle name="Vírgula 3 5 2 3 2" xfId="19711"/>
    <cellStyle name="Vírgula 3 5 2 3 2 2" xfId="46190"/>
    <cellStyle name="Vírgula 3 5 2 3 3" xfId="13784"/>
    <cellStyle name="Vírgula 3 5 2 3 3 2" xfId="40282"/>
    <cellStyle name="Vírgula 3 5 2 3 4" xfId="34374"/>
    <cellStyle name="Vírgula 3 5 2 3 5" xfId="27840"/>
    <cellStyle name="Vírgula 3 5 2 4" xfId="16747"/>
    <cellStyle name="Vírgula 3 5 2 4 2" xfId="43236"/>
    <cellStyle name="Vírgula 3 5 2 4 3" xfId="24340"/>
    <cellStyle name="Vírgula 3 5 2 5" xfId="10820"/>
    <cellStyle name="Vírgula 3 5 2 5 2" xfId="37328"/>
    <cellStyle name="Vírgula 3 5 2 6" xfId="30874"/>
    <cellStyle name="Vírgula 3 5 2 7" xfId="22568"/>
    <cellStyle name="Vírgula 3 5 3" xfId="4433"/>
    <cellStyle name="Vírgula 3 5 3 2" xfId="6205"/>
    <cellStyle name="Vírgula 3 5 3 2 2" xfId="9368"/>
    <cellStyle name="Vírgula 3 5 3 2 2 2" xfId="21222"/>
    <cellStyle name="Vírgula 3 5 3 2 2 2 2" xfId="47701"/>
    <cellStyle name="Vírgula 3 5 3 2 2 3" xfId="15295"/>
    <cellStyle name="Vírgula 3 5 3 2 2 3 2" xfId="41793"/>
    <cellStyle name="Vírgula 3 5 3 2 2 4" xfId="35885"/>
    <cellStyle name="Vírgula 3 5 3 2 2 5" xfId="29351"/>
    <cellStyle name="Vírgula 3 5 3 2 3" xfId="18258"/>
    <cellStyle name="Vírgula 3 5 3 2 3 2" xfId="44747"/>
    <cellStyle name="Vírgula 3 5 3 2 4" xfId="12331"/>
    <cellStyle name="Vírgula 3 5 3 2 4 2" xfId="38839"/>
    <cellStyle name="Vírgula 3 5 3 2 5" xfId="32732"/>
    <cellStyle name="Vírgula 3 5 3 2 6" xfId="26198"/>
    <cellStyle name="Vírgula 3 5 3 3" xfId="7900"/>
    <cellStyle name="Vírgula 3 5 3 3 2" xfId="19754"/>
    <cellStyle name="Vírgula 3 5 3 3 2 2" xfId="46233"/>
    <cellStyle name="Vírgula 3 5 3 3 3" xfId="13827"/>
    <cellStyle name="Vírgula 3 5 3 3 3 2" xfId="40325"/>
    <cellStyle name="Vírgula 3 5 3 3 4" xfId="34417"/>
    <cellStyle name="Vírgula 3 5 3 3 5" xfId="27883"/>
    <cellStyle name="Vírgula 3 5 3 4" xfId="16790"/>
    <cellStyle name="Vírgula 3 5 3 4 2" xfId="43279"/>
    <cellStyle name="Vírgula 3 5 3 4 3" xfId="24426"/>
    <cellStyle name="Vírgula 3 5 3 5" xfId="10863"/>
    <cellStyle name="Vírgula 3 5 3 5 2" xfId="37371"/>
    <cellStyle name="Vírgula 3 5 3 6" xfId="30960"/>
    <cellStyle name="Vírgula 3 5 3 7" xfId="22654"/>
    <cellStyle name="Vírgula 3 5 4" xfId="4557"/>
    <cellStyle name="Vírgula 3 5 4 2" xfId="6329"/>
    <cellStyle name="Vírgula 3 5 4 2 2" xfId="9430"/>
    <cellStyle name="Vírgula 3 5 4 2 2 2" xfId="21284"/>
    <cellStyle name="Vírgula 3 5 4 2 2 2 2" xfId="47763"/>
    <cellStyle name="Vírgula 3 5 4 2 2 3" xfId="15357"/>
    <cellStyle name="Vírgula 3 5 4 2 2 3 2" xfId="41855"/>
    <cellStyle name="Vírgula 3 5 4 2 2 4" xfId="35947"/>
    <cellStyle name="Vírgula 3 5 4 2 2 5" xfId="29413"/>
    <cellStyle name="Vírgula 3 5 4 2 3" xfId="18320"/>
    <cellStyle name="Vírgula 3 5 4 2 3 2" xfId="44809"/>
    <cellStyle name="Vírgula 3 5 4 2 4" xfId="12393"/>
    <cellStyle name="Vírgula 3 5 4 2 4 2" xfId="38901"/>
    <cellStyle name="Vírgula 3 5 4 2 5" xfId="32856"/>
    <cellStyle name="Vírgula 3 5 4 2 6" xfId="26322"/>
    <cellStyle name="Vírgula 3 5 4 3" xfId="7962"/>
    <cellStyle name="Vírgula 3 5 4 3 2" xfId="19816"/>
    <cellStyle name="Vírgula 3 5 4 3 2 2" xfId="46295"/>
    <cellStyle name="Vírgula 3 5 4 3 3" xfId="13889"/>
    <cellStyle name="Vírgula 3 5 4 3 3 2" xfId="40387"/>
    <cellStyle name="Vírgula 3 5 4 3 4" xfId="34479"/>
    <cellStyle name="Vírgula 3 5 4 3 5" xfId="27945"/>
    <cellStyle name="Vírgula 3 5 4 4" xfId="16852"/>
    <cellStyle name="Vírgula 3 5 4 4 2" xfId="43341"/>
    <cellStyle name="Vírgula 3 5 4 4 3" xfId="24550"/>
    <cellStyle name="Vírgula 3 5 4 5" xfId="10925"/>
    <cellStyle name="Vírgula 3 5 4 5 2" xfId="37433"/>
    <cellStyle name="Vírgula 3 5 4 6" xfId="31084"/>
    <cellStyle name="Vírgula 3 5 4 7" xfId="22778"/>
    <cellStyle name="Vírgula 3 5 5" xfId="4681"/>
    <cellStyle name="Vírgula 3 5 5 2" xfId="6453"/>
    <cellStyle name="Vírgula 3 5 5 2 2" xfId="9492"/>
    <cellStyle name="Vírgula 3 5 5 2 2 2" xfId="21346"/>
    <cellStyle name="Vírgula 3 5 5 2 2 2 2" xfId="47825"/>
    <cellStyle name="Vírgula 3 5 5 2 2 3" xfId="15419"/>
    <cellStyle name="Vírgula 3 5 5 2 2 3 2" xfId="41917"/>
    <cellStyle name="Vírgula 3 5 5 2 2 4" xfId="36009"/>
    <cellStyle name="Vírgula 3 5 5 2 2 5" xfId="29475"/>
    <cellStyle name="Vírgula 3 5 5 2 3" xfId="18382"/>
    <cellStyle name="Vírgula 3 5 5 2 3 2" xfId="44871"/>
    <cellStyle name="Vírgula 3 5 5 2 4" xfId="12455"/>
    <cellStyle name="Vírgula 3 5 5 2 4 2" xfId="38963"/>
    <cellStyle name="Vírgula 3 5 5 2 5" xfId="32980"/>
    <cellStyle name="Vírgula 3 5 5 2 6" xfId="26446"/>
    <cellStyle name="Vírgula 3 5 5 3" xfId="8024"/>
    <cellStyle name="Vírgula 3 5 5 3 2" xfId="19878"/>
    <cellStyle name="Vírgula 3 5 5 3 2 2" xfId="46357"/>
    <cellStyle name="Vírgula 3 5 5 3 3" xfId="13951"/>
    <cellStyle name="Vírgula 3 5 5 3 3 2" xfId="40449"/>
    <cellStyle name="Vírgula 3 5 5 3 4" xfId="34541"/>
    <cellStyle name="Vírgula 3 5 5 3 5" xfId="28007"/>
    <cellStyle name="Vírgula 3 5 5 4" xfId="16914"/>
    <cellStyle name="Vírgula 3 5 5 4 2" xfId="43403"/>
    <cellStyle name="Vírgula 3 5 5 4 3" xfId="24674"/>
    <cellStyle name="Vírgula 3 5 5 5" xfId="10987"/>
    <cellStyle name="Vírgula 3 5 5 5 2" xfId="37495"/>
    <cellStyle name="Vírgula 3 5 5 6" xfId="31208"/>
    <cellStyle name="Vírgula 3 5 5 7" xfId="22902"/>
    <cellStyle name="Vírgula 3 5 6" xfId="1780"/>
    <cellStyle name="Vírgula 3 5 6 2" xfId="5397"/>
    <cellStyle name="Vírgula 3 5 6 2 2" xfId="8612"/>
    <cellStyle name="Vírgula 3 5 6 2 2 2" xfId="20466"/>
    <cellStyle name="Vírgula 3 5 6 2 2 2 2" xfId="46945"/>
    <cellStyle name="Vírgula 3 5 6 2 2 3" xfId="14539"/>
    <cellStyle name="Vírgula 3 5 6 2 2 3 2" xfId="41037"/>
    <cellStyle name="Vírgula 3 5 6 2 2 4" xfId="35129"/>
    <cellStyle name="Vírgula 3 5 6 2 2 5" xfId="28595"/>
    <cellStyle name="Vírgula 3 5 6 2 3" xfId="17502"/>
    <cellStyle name="Vírgula 3 5 6 2 3 2" xfId="43991"/>
    <cellStyle name="Vírgula 3 5 6 2 4" xfId="11575"/>
    <cellStyle name="Vírgula 3 5 6 2 4 2" xfId="38083"/>
    <cellStyle name="Vírgula 3 5 6 2 5" xfId="31924"/>
    <cellStyle name="Vírgula 3 5 6 2 6" xfId="25390"/>
    <cellStyle name="Vírgula 3 5 6 3" xfId="7139"/>
    <cellStyle name="Vírgula 3 5 6 3 2" xfId="18993"/>
    <cellStyle name="Vírgula 3 5 6 3 2 2" xfId="45477"/>
    <cellStyle name="Vírgula 3 5 6 3 3" xfId="13066"/>
    <cellStyle name="Vírgula 3 5 6 3 3 2" xfId="39569"/>
    <cellStyle name="Vírgula 3 5 6 3 4" xfId="33661"/>
    <cellStyle name="Vírgula 3 5 6 3 5" xfId="27127"/>
    <cellStyle name="Vírgula 3 5 6 4" xfId="16029"/>
    <cellStyle name="Vírgula 3 5 6 4 2" xfId="42523"/>
    <cellStyle name="Vírgula 3 5 6 5" xfId="10102"/>
    <cellStyle name="Vírgula 3 5 6 5 2" xfId="36615"/>
    <cellStyle name="Vírgula 3 5 6 6" xfId="30152"/>
    <cellStyle name="Vírgula 3 5 6 7" xfId="23618"/>
    <cellStyle name="Vírgula 3 5 7" xfId="4805"/>
    <cellStyle name="Vírgula 3 5 7 2" xfId="8086"/>
    <cellStyle name="Vírgula 3 5 7 2 2" xfId="19940"/>
    <cellStyle name="Vírgula 3 5 7 2 2 2" xfId="46419"/>
    <cellStyle name="Vírgula 3 5 7 2 3" xfId="14013"/>
    <cellStyle name="Vírgula 3 5 7 2 3 2" xfId="40511"/>
    <cellStyle name="Vírgula 3 5 7 2 4" xfId="34603"/>
    <cellStyle name="Vírgula 3 5 7 2 5" xfId="28069"/>
    <cellStyle name="Vírgula 3 5 7 3" xfId="16976"/>
    <cellStyle name="Vírgula 3 5 7 3 2" xfId="43465"/>
    <cellStyle name="Vírgula 3 5 7 4" xfId="11049"/>
    <cellStyle name="Vírgula 3 5 7 4 2" xfId="37557"/>
    <cellStyle name="Vírgula 3 5 7 5" xfId="31332"/>
    <cellStyle name="Vírgula 3 5 7 6" xfId="24798"/>
    <cellStyle name="Vírgula 3 5 8" xfId="6610"/>
    <cellStyle name="Vírgula 3 5 8 2" xfId="18464"/>
    <cellStyle name="Vírgula 3 5 8 2 2" xfId="44951"/>
    <cellStyle name="Vírgula 3 5 8 3" xfId="12537"/>
    <cellStyle name="Vírgula 3 5 8 3 2" xfId="39043"/>
    <cellStyle name="Vírgula 3 5 8 4" xfId="33135"/>
    <cellStyle name="Vírgula 3 5 8 5" xfId="26601"/>
    <cellStyle name="Vírgula 3 5 9" xfId="15500"/>
    <cellStyle name="Vírgula 3 5 9 2" xfId="41997"/>
    <cellStyle name="Vírgula 3 5 9 3" xfId="23026"/>
    <cellStyle name="Vírgula 3 6" xfId="61"/>
    <cellStyle name="Vírgula 3 6 10" xfId="9591"/>
    <cellStyle name="Vírgula 3 6 10 2" xfId="36107"/>
    <cellStyle name="Vírgula 3 6 11" xfId="29595"/>
    <cellStyle name="Vírgula 3 6 12" xfId="21996"/>
    <cellStyle name="Vírgula 3 6 2" xfId="4382"/>
    <cellStyle name="Vírgula 3 6 2 2" xfId="6154"/>
    <cellStyle name="Vírgula 3 6 2 2 2" xfId="9343"/>
    <cellStyle name="Vírgula 3 6 2 2 2 2" xfId="21197"/>
    <cellStyle name="Vírgula 3 6 2 2 2 2 2" xfId="47676"/>
    <cellStyle name="Vírgula 3 6 2 2 2 3" xfId="15270"/>
    <cellStyle name="Vírgula 3 6 2 2 2 3 2" xfId="41768"/>
    <cellStyle name="Vírgula 3 6 2 2 2 4" xfId="35860"/>
    <cellStyle name="Vírgula 3 6 2 2 2 5" xfId="29326"/>
    <cellStyle name="Vírgula 3 6 2 2 3" xfId="18233"/>
    <cellStyle name="Vírgula 3 6 2 2 3 2" xfId="44722"/>
    <cellStyle name="Vírgula 3 6 2 2 4" xfId="12306"/>
    <cellStyle name="Vírgula 3 6 2 2 4 2" xfId="38814"/>
    <cellStyle name="Vírgula 3 6 2 2 5" xfId="32681"/>
    <cellStyle name="Vírgula 3 6 2 2 6" xfId="26147"/>
    <cellStyle name="Vírgula 3 6 2 3" xfId="7875"/>
    <cellStyle name="Vírgula 3 6 2 3 2" xfId="19729"/>
    <cellStyle name="Vírgula 3 6 2 3 2 2" xfId="46208"/>
    <cellStyle name="Vírgula 3 6 2 3 3" xfId="13802"/>
    <cellStyle name="Vírgula 3 6 2 3 3 2" xfId="40300"/>
    <cellStyle name="Vírgula 3 6 2 3 4" xfId="34392"/>
    <cellStyle name="Vírgula 3 6 2 3 5" xfId="27858"/>
    <cellStyle name="Vírgula 3 6 2 4" xfId="16765"/>
    <cellStyle name="Vírgula 3 6 2 4 2" xfId="43254"/>
    <cellStyle name="Vírgula 3 6 2 4 3" xfId="24375"/>
    <cellStyle name="Vírgula 3 6 2 5" xfId="10838"/>
    <cellStyle name="Vírgula 3 6 2 5 2" xfId="37346"/>
    <cellStyle name="Vírgula 3 6 2 6" xfId="30909"/>
    <cellStyle name="Vírgula 3 6 2 7" xfId="22603"/>
    <cellStyle name="Vírgula 3 6 3" xfId="4468"/>
    <cellStyle name="Vírgula 3 6 3 2" xfId="6240"/>
    <cellStyle name="Vírgula 3 6 3 2 2" xfId="9386"/>
    <cellStyle name="Vírgula 3 6 3 2 2 2" xfId="21240"/>
    <cellStyle name="Vírgula 3 6 3 2 2 2 2" xfId="47719"/>
    <cellStyle name="Vírgula 3 6 3 2 2 3" xfId="15313"/>
    <cellStyle name="Vírgula 3 6 3 2 2 3 2" xfId="41811"/>
    <cellStyle name="Vírgula 3 6 3 2 2 4" xfId="35903"/>
    <cellStyle name="Vírgula 3 6 3 2 2 5" xfId="29369"/>
    <cellStyle name="Vírgula 3 6 3 2 3" xfId="18276"/>
    <cellStyle name="Vírgula 3 6 3 2 3 2" xfId="44765"/>
    <cellStyle name="Vírgula 3 6 3 2 4" xfId="12349"/>
    <cellStyle name="Vírgula 3 6 3 2 4 2" xfId="38857"/>
    <cellStyle name="Vírgula 3 6 3 2 5" xfId="32767"/>
    <cellStyle name="Vírgula 3 6 3 2 6" xfId="26233"/>
    <cellStyle name="Vírgula 3 6 3 3" xfId="7918"/>
    <cellStyle name="Vírgula 3 6 3 3 2" xfId="19772"/>
    <cellStyle name="Vírgula 3 6 3 3 2 2" xfId="46251"/>
    <cellStyle name="Vírgula 3 6 3 3 3" xfId="13845"/>
    <cellStyle name="Vírgula 3 6 3 3 3 2" xfId="40343"/>
    <cellStyle name="Vírgula 3 6 3 3 4" xfId="34435"/>
    <cellStyle name="Vírgula 3 6 3 3 5" xfId="27901"/>
    <cellStyle name="Vírgula 3 6 3 4" xfId="16808"/>
    <cellStyle name="Vírgula 3 6 3 4 2" xfId="43297"/>
    <cellStyle name="Vírgula 3 6 3 4 3" xfId="24461"/>
    <cellStyle name="Vírgula 3 6 3 5" xfId="10881"/>
    <cellStyle name="Vírgula 3 6 3 5 2" xfId="37389"/>
    <cellStyle name="Vírgula 3 6 3 6" xfId="30995"/>
    <cellStyle name="Vírgula 3 6 3 7" xfId="22689"/>
    <cellStyle name="Vírgula 3 6 4" xfId="4592"/>
    <cellStyle name="Vírgula 3 6 4 2" xfId="6364"/>
    <cellStyle name="Vírgula 3 6 4 2 2" xfId="9448"/>
    <cellStyle name="Vírgula 3 6 4 2 2 2" xfId="21302"/>
    <cellStyle name="Vírgula 3 6 4 2 2 2 2" xfId="47781"/>
    <cellStyle name="Vírgula 3 6 4 2 2 3" xfId="15375"/>
    <cellStyle name="Vírgula 3 6 4 2 2 3 2" xfId="41873"/>
    <cellStyle name="Vírgula 3 6 4 2 2 4" xfId="35965"/>
    <cellStyle name="Vírgula 3 6 4 2 2 5" xfId="29431"/>
    <cellStyle name="Vírgula 3 6 4 2 3" xfId="18338"/>
    <cellStyle name="Vírgula 3 6 4 2 3 2" xfId="44827"/>
    <cellStyle name="Vírgula 3 6 4 2 4" xfId="12411"/>
    <cellStyle name="Vírgula 3 6 4 2 4 2" xfId="38919"/>
    <cellStyle name="Vírgula 3 6 4 2 5" xfId="32891"/>
    <cellStyle name="Vírgula 3 6 4 2 6" xfId="26357"/>
    <cellStyle name="Vírgula 3 6 4 3" xfId="7980"/>
    <cellStyle name="Vírgula 3 6 4 3 2" xfId="19834"/>
    <cellStyle name="Vírgula 3 6 4 3 2 2" xfId="46313"/>
    <cellStyle name="Vírgula 3 6 4 3 3" xfId="13907"/>
    <cellStyle name="Vírgula 3 6 4 3 3 2" xfId="40405"/>
    <cellStyle name="Vírgula 3 6 4 3 4" xfId="34497"/>
    <cellStyle name="Vírgula 3 6 4 3 5" xfId="27963"/>
    <cellStyle name="Vírgula 3 6 4 4" xfId="16870"/>
    <cellStyle name="Vírgula 3 6 4 4 2" xfId="43359"/>
    <cellStyle name="Vírgula 3 6 4 4 3" xfId="24585"/>
    <cellStyle name="Vírgula 3 6 4 5" xfId="10943"/>
    <cellStyle name="Vírgula 3 6 4 5 2" xfId="37451"/>
    <cellStyle name="Vírgula 3 6 4 6" xfId="31119"/>
    <cellStyle name="Vírgula 3 6 4 7" xfId="22813"/>
    <cellStyle name="Vírgula 3 6 5" xfId="4716"/>
    <cellStyle name="Vírgula 3 6 5 2" xfId="6488"/>
    <cellStyle name="Vírgula 3 6 5 2 2" xfId="9510"/>
    <cellStyle name="Vírgula 3 6 5 2 2 2" xfId="21364"/>
    <cellStyle name="Vírgula 3 6 5 2 2 2 2" xfId="47843"/>
    <cellStyle name="Vírgula 3 6 5 2 2 3" xfId="15437"/>
    <cellStyle name="Vírgula 3 6 5 2 2 3 2" xfId="41935"/>
    <cellStyle name="Vírgula 3 6 5 2 2 4" xfId="36027"/>
    <cellStyle name="Vírgula 3 6 5 2 2 5" xfId="29493"/>
    <cellStyle name="Vírgula 3 6 5 2 3" xfId="18400"/>
    <cellStyle name="Vírgula 3 6 5 2 3 2" xfId="44889"/>
    <cellStyle name="Vírgula 3 6 5 2 4" xfId="12473"/>
    <cellStyle name="Vírgula 3 6 5 2 4 2" xfId="38981"/>
    <cellStyle name="Vírgula 3 6 5 2 5" xfId="33015"/>
    <cellStyle name="Vírgula 3 6 5 2 6" xfId="26481"/>
    <cellStyle name="Vírgula 3 6 5 3" xfId="8042"/>
    <cellStyle name="Vírgula 3 6 5 3 2" xfId="19896"/>
    <cellStyle name="Vírgula 3 6 5 3 2 2" xfId="46375"/>
    <cellStyle name="Vírgula 3 6 5 3 3" xfId="13969"/>
    <cellStyle name="Vírgula 3 6 5 3 3 2" xfId="40467"/>
    <cellStyle name="Vírgula 3 6 5 3 4" xfId="34559"/>
    <cellStyle name="Vírgula 3 6 5 3 5" xfId="28025"/>
    <cellStyle name="Vírgula 3 6 5 4" xfId="16932"/>
    <cellStyle name="Vírgula 3 6 5 4 2" xfId="43421"/>
    <cellStyle name="Vírgula 3 6 5 4 3" xfId="24709"/>
    <cellStyle name="Vírgula 3 6 5 5" xfId="11005"/>
    <cellStyle name="Vírgula 3 6 5 5 2" xfId="37513"/>
    <cellStyle name="Vírgula 3 6 5 6" xfId="31243"/>
    <cellStyle name="Vírgula 3 6 5 7" xfId="22937"/>
    <cellStyle name="Vírgula 3 6 6" xfId="2313"/>
    <cellStyle name="Vírgula 3 6 6 2" xfId="5547"/>
    <cellStyle name="Vírgula 3 6 6 2 2" xfId="8759"/>
    <cellStyle name="Vírgula 3 6 6 2 2 2" xfId="20613"/>
    <cellStyle name="Vírgula 3 6 6 2 2 2 2" xfId="47092"/>
    <cellStyle name="Vírgula 3 6 6 2 2 3" xfId="14686"/>
    <cellStyle name="Vírgula 3 6 6 2 2 3 2" xfId="41184"/>
    <cellStyle name="Vírgula 3 6 6 2 2 4" xfId="35276"/>
    <cellStyle name="Vírgula 3 6 6 2 2 5" xfId="28742"/>
    <cellStyle name="Vírgula 3 6 6 2 3" xfId="17649"/>
    <cellStyle name="Vírgula 3 6 6 2 3 2" xfId="44138"/>
    <cellStyle name="Vírgula 3 6 6 2 4" xfId="11722"/>
    <cellStyle name="Vírgula 3 6 6 2 4 2" xfId="38230"/>
    <cellStyle name="Vírgula 3 6 6 2 5" xfId="32074"/>
    <cellStyle name="Vírgula 3 6 6 2 6" xfId="25540"/>
    <cellStyle name="Vírgula 3 6 6 3" xfId="7287"/>
    <cellStyle name="Vírgula 3 6 6 3 2" xfId="19141"/>
    <cellStyle name="Vírgula 3 6 6 3 2 2" xfId="45624"/>
    <cellStyle name="Vírgula 3 6 6 3 3" xfId="13214"/>
    <cellStyle name="Vírgula 3 6 6 3 3 2" xfId="39716"/>
    <cellStyle name="Vírgula 3 6 6 3 4" xfId="33808"/>
    <cellStyle name="Vírgula 3 6 6 3 5" xfId="27274"/>
    <cellStyle name="Vírgula 3 6 6 4" xfId="16177"/>
    <cellStyle name="Vírgula 3 6 6 4 2" xfId="42670"/>
    <cellStyle name="Vírgula 3 6 6 5" xfId="10250"/>
    <cellStyle name="Vírgula 3 6 6 5 2" xfId="36762"/>
    <cellStyle name="Vírgula 3 6 6 6" xfId="30302"/>
    <cellStyle name="Vírgula 3 6 6 7" xfId="23768"/>
    <cellStyle name="Vírgula 3 6 7" xfId="4840"/>
    <cellStyle name="Vírgula 3 6 7 2" xfId="8104"/>
    <cellStyle name="Vírgula 3 6 7 2 2" xfId="19958"/>
    <cellStyle name="Vírgula 3 6 7 2 2 2" xfId="46437"/>
    <cellStyle name="Vírgula 3 6 7 2 3" xfId="14031"/>
    <cellStyle name="Vírgula 3 6 7 2 3 2" xfId="40529"/>
    <cellStyle name="Vírgula 3 6 7 2 4" xfId="34621"/>
    <cellStyle name="Vírgula 3 6 7 2 5" xfId="28087"/>
    <cellStyle name="Vírgula 3 6 7 3" xfId="16994"/>
    <cellStyle name="Vírgula 3 6 7 3 2" xfId="43483"/>
    <cellStyle name="Vírgula 3 6 7 4" xfId="11067"/>
    <cellStyle name="Vírgula 3 6 7 4 2" xfId="37575"/>
    <cellStyle name="Vírgula 3 6 7 5" xfId="31367"/>
    <cellStyle name="Vírgula 3 6 7 6" xfId="24833"/>
    <cellStyle name="Vírgula 3 6 8" xfId="6628"/>
    <cellStyle name="Vírgula 3 6 8 2" xfId="18482"/>
    <cellStyle name="Vírgula 3 6 8 2 2" xfId="44969"/>
    <cellStyle name="Vírgula 3 6 8 3" xfId="12555"/>
    <cellStyle name="Vírgula 3 6 8 3 2" xfId="39061"/>
    <cellStyle name="Vírgula 3 6 8 4" xfId="33153"/>
    <cellStyle name="Vírgula 3 6 8 5" xfId="26619"/>
    <cellStyle name="Vírgula 3 6 9" xfId="15518"/>
    <cellStyle name="Vírgula 3 6 9 2" xfId="42015"/>
    <cellStyle name="Vírgula 3 6 9 3" xfId="23061"/>
    <cellStyle name="Vírgula 3 7" xfId="19"/>
    <cellStyle name="Vírgula 3 7 10" xfId="9570"/>
    <cellStyle name="Vírgula 3 7 10 2" xfId="36086"/>
    <cellStyle name="Vírgula 3 7 11" xfId="29554"/>
    <cellStyle name="Vírgula 3 7 12" xfId="22143"/>
    <cellStyle name="Vírgula 3 7 2" xfId="4341"/>
    <cellStyle name="Vírgula 3 7 2 2" xfId="6113"/>
    <cellStyle name="Vírgula 3 7 2 2 2" xfId="9322"/>
    <cellStyle name="Vírgula 3 7 2 2 2 2" xfId="21176"/>
    <cellStyle name="Vírgula 3 7 2 2 2 2 2" xfId="47655"/>
    <cellStyle name="Vírgula 3 7 2 2 2 3" xfId="15249"/>
    <cellStyle name="Vírgula 3 7 2 2 2 3 2" xfId="41747"/>
    <cellStyle name="Vírgula 3 7 2 2 2 4" xfId="35839"/>
    <cellStyle name="Vírgula 3 7 2 2 2 5" xfId="29305"/>
    <cellStyle name="Vírgula 3 7 2 2 3" xfId="18212"/>
    <cellStyle name="Vírgula 3 7 2 2 3 2" xfId="44701"/>
    <cellStyle name="Vírgula 3 7 2 2 4" xfId="12285"/>
    <cellStyle name="Vírgula 3 7 2 2 4 2" xfId="38793"/>
    <cellStyle name="Vírgula 3 7 2 2 5" xfId="32640"/>
    <cellStyle name="Vírgula 3 7 2 2 6" xfId="26106"/>
    <cellStyle name="Vírgula 3 7 2 3" xfId="7854"/>
    <cellStyle name="Vírgula 3 7 2 3 2" xfId="19708"/>
    <cellStyle name="Vírgula 3 7 2 3 2 2" xfId="46187"/>
    <cellStyle name="Vírgula 3 7 2 3 3" xfId="13781"/>
    <cellStyle name="Vírgula 3 7 2 3 3 2" xfId="40279"/>
    <cellStyle name="Vírgula 3 7 2 3 4" xfId="34371"/>
    <cellStyle name="Vírgula 3 7 2 3 5" xfId="27837"/>
    <cellStyle name="Vírgula 3 7 2 4" xfId="16744"/>
    <cellStyle name="Vírgula 3 7 2 4 2" xfId="43233"/>
    <cellStyle name="Vírgula 3 7 2 4 3" xfId="24334"/>
    <cellStyle name="Vírgula 3 7 2 5" xfId="10817"/>
    <cellStyle name="Vírgula 3 7 2 5 2" xfId="37325"/>
    <cellStyle name="Vírgula 3 7 2 6" xfId="30868"/>
    <cellStyle name="Vírgula 3 7 2 7" xfId="22562"/>
    <cellStyle name="Vírgula 3 7 3" xfId="4427"/>
    <cellStyle name="Vírgula 3 7 3 2" xfId="6199"/>
    <cellStyle name="Vírgula 3 7 3 2 2" xfId="9365"/>
    <cellStyle name="Vírgula 3 7 3 2 2 2" xfId="21219"/>
    <cellStyle name="Vírgula 3 7 3 2 2 2 2" xfId="47698"/>
    <cellStyle name="Vírgula 3 7 3 2 2 3" xfId="15292"/>
    <cellStyle name="Vírgula 3 7 3 2 2 3 2" xfId="41790"/>
    <cellStyle name="Vírgula 3 7 3 2 2 4" xfId="35882"/>
    <cellStyle name="Vírgula 3 7 3 2 2 5" xfId="29348"/>
    <cellStyle name="Vírgula 3 7 3 2 3" xfId="18255"/>
    <cellStyle name="Vírgula 3 7 3 2 3 2" xfId="44744"/>
    <cellStyle name="Vírgula 3 7 3 2 4" xfId="12328"/>
    <cellStyle name="Vírgula 3 7 3 2 4 2" xfId="38836"/>
    <cellStyle name="Vírgula 3 7 3 2 5" xfId="32726"/>
    <cellStyle name="Vírgula 3 7 3 2 6" xfId="26192"/>
    <cellStyle name="Vírgula 3 7 3 3" xfId="7897"/>
    <cellStyle name="Vírgula 3 7 3 3 2" xfId="19751"/>
    <cellStyle name="Vírgula 3 7 3 3 2 2" xfId="46230"/>
    <cellStyle name="Vírgula 3 7 3 3 3" xfId="13824"/>
    <cellStyle name="Vírgula 3 7 3 3 3 2" xfId="40322"/>
    <cellStyle name="Vírgula 3 7 3 3 4" xfId="34414"/>
    <cellStyle name="Vírgula 3 7 3 3 5" xfId="27880"/>
    <cellStyle name="Vírgula 3 7 3 4" xfId="16787"/>
    <cellStyle name="Vírgula 3 7 3 4 2" xfId="43276"/>
    <cellStyle name="Vírgula 3 7 3 4 3" xfId="24420"/>
    <cellStyle name="Vírgula 3 7 3 5" xfId="10860"/>
    <cellStyle name="Vírgula 3 7 3 5 2" xfId="37368"/>
    <cellStyle name="Vírgula 3 7 3 6" xfId="30954"/>
    <cellStyle name="Vírgula 3 7 3 7" xfId="22648"/>
    <cellStyle name="Vírgula 3 7 4" xfId="4551"/>
    <cellStyle name="Vírgula 3 7 4 2" xfId="6323"/>
    <cellStyle name="Vírgula 3 7 4 2 2" xfId="9427"/>
    <cellStyle name="Vírgula 3 7 4 2 2 2" xfId="21281"/>
    <cellStyle name="Vírgula 3 7 4 2 2 2 2" xfId="47760"/>
    <cellStyle name="Vírgula 3 7 4 2 2 3" xfId="15354"/>
    <cellStyle name="Vírgula 3 7 4 2 2 3 2" xfId="41852"/>
    <cellStyle name="Vírgula 3 7 4 2 2 4" xfId="35944"/>
    <cellStyle name="Vírgula 3 7 4 2 2 5" xfId="29410"/>
    <cellStyle name="Vírgula 3 7 4 2 3" xfId="18317"/>
    <cellStyle name="Vírgula 3 7 4 2 3 2" xfId="44806"/>
    <cellStyle name="Vírgula 3 7 4 2 4" xfId="12390"/>
    <cellStyle name="Vírgula 3 7 4 2 4 2" xfId="38898"/>
    <cellStyle name="Vírgula 3 7 4 2 5" xfId="32850"/>
    <cellStyle name="Vírgula 3 7 4 2 6" xfId="26316"/>
    <cellStyle name="Vírgula 3 7 4 3" xfId="7959"/>
    <cellStyle name="Vírgula 3 7 4 3 2" xfId="19813"/>
    <cellStyle name="Vírgula 3 7 4 3 2 2" xfId="46292"/>
    <cellStyle name="Vírgula 3 7 4 3 3" xfId="13886"/>
    <cellStyle name="Vírgula 3 7 4 3 3 2" xfId="40384"/>
    <cellStyle name="Vírgula 3 7 4 3 4" xfId="34476"/>
    <cellStyle name="Vírgula 3 7 4 3 5" xfId="27942"/>
    <cellStyle name="Vírgula 3 7 4 4" xfId="16849"/>
    <cellStyle name="Vírgula 3 7 4 4 2" xfId="43338"/>
    <cellStyle name="Vírgula 3 7 4 4 3" xfId="24544"/>
    <cellStyle name="Vírgula 3 7 4 5" xfId="10922"/>
    <cellStyle name="Vírgula 3 7 4 5 2" xfId="37430"/>
    <cellStyle name="Vírgula 3 7 4 6" xfId="31078"/>
    <cellStyle name="Vírgula 3 7 4 7" xfId="22772"/>
    <cellStyle name="Vírgula 3 7 5" xfId="4675"/>
    <cellStyle name="Vírgula 3 7 5 2" xfId="6447"/>
    <cellStyle name="Vírgula 3 7 5 2 2" xfId="9489"/>
    <cellStyle name="Vírgula 3 7 5 2 2 2" xfId="21343"/>
    <cellStyle name="Vírgula 3 7 5 2 2 2 2" xfId="47822"/>
    <cellStyle name="Vírgula 3 7 5 2 2 3" xfId="15416"/>
    <cellStyle name="Vírgula 3 7 5 2 2 3 2" xfId="41914"/>
    <cellStyle name="Vírgula 3 7 5 2 2 4" xfId="36006"/>
    <cellStyle name="Vírgula 3 7 5 2 2 5" xfId="29472"/>
    <cellStyle name="Vírgula 3 7 5 2 3" xfId="18379"/>
    <cellStyle name="Vírgula 3 7 5 2 3 2" xfId="44868"/>
    <cellStyle name="Vírgula 3 7 5 2 4" xfId="12452"/>
    <cellStyle name="Vírgula 3 7 5 2 4 2" xfId="38960"/>
    <cellStyle name="Vírgula 3 7 5 2 5" xfId="32974"/>
    <cellStyle name="Vírgula 3 7 5 2 6" xfId="26440"/>
    <cellStyle name="Vírgula 3 7 5 3" xfId="8021"/>
    <cellStyle name="Vírgula 3 7 5 3 2" xfId="19875"/>
    <cellStyle name="Vírgula 3 7 5 3 2 2" xfId="46354"/>
    <cellStyle name="Vírgula 3 7 5 3 3" xfId="13948"/>
    <cellStyle name="Vírgula 3 7 5 3 3 2" xfId="40446"/>
    <cellStyle name="Vírgula 3 7 5 3 4" xfId="34538"/>
    <cellStyle name="Vírgula 3 7 5 3 5" xfId="28004"/>
    <cellStyle name="Vírgula 3 7 5 4" xfId="16911"/>
    <cellStyle name="Vírgula 3 7 5 4 2" xfId="43400"/>
    <cellStyle name="Vírgula 3 7 5 4 3" xfId="24668"/>
    <cellStyle name="Vírgula 3 7 5 5" xfId="10984"/>
    <cellStyle name="Vírgula 3 7 5 5 2" xfId="37492"/>
    <cellStyle name="Vírgula 3 7 5 6" xfId="31202"/>
    <cellStyle name="Vírgula 3 7 5 7" xfId="22896"/>
    <cellStyle name="Vírgula 3 7 6" xfId="2841"/>
    <cellStyle name="Vírgula 3 7 6 2" xfId="5694"/>
    <cellStyle name="Vírgula 3 7 6 2 2" xfId="8906"/>
    <cellStyle name="Vírgula 3 7 6 2 2 2" xfId="20760"/>
    <cellStyle name="Vírgula 3 7 6 2 2 2 2" xfId="47239"/>
    <cellStyle name="Vírgula 3 7 6 2 2 3" xfId="14833"/>
    <cellStyle name="Vírgula 3 7 6 2 2 3 2" xfId="41331"/>
    <cellStyle name="Vírgula 3 7 6 2 2 4" xfId="35423"/>
    <cellStyle name="Vírgula 3 7 6 2 2 5" xfId="28889"/>
    <cellStyle name="Vírgula 3 7 6 2 3" xfId="17796"/>
    <cellStyle name="Vírgula 3 7 6 2 3 2" xfId="44285"/>
    <cellStyle name="Vírgula 3 7 6 2 4" xfId="11869"/>
    <cellStyle name="Vírgula 3 7 6 2 4 2" xfId="38377"/>
    <cellStyle name="Vírgula 3 7 6 2 5" xfId="32221"/>
    <cellStyle name="Vírgula 3 7 6 2 6" xfId="25687"/>
    <cellStyle name="Vírgula 3 7 6 3" xfId="7435"/>
    <cellStyle name="Vírgula 3 7 6 3 2" xfId="19289"/>
    <cellStyle name="Vírgula 3 7 6 3 2 2" xfId="45771"/>
    <cellStyle name="Vírgula 3 7 6 3 3" xfId="13362"/>
    <cellStyle name="Vírgula 3 7 6 3 3 2" xfId="39863"/>
    <cellStyle name="Vírgula 3 7 6 3 4" xfId="33955"/>
    <cellStyle name="Vírgula 3 7 6 3 5" xfId="27421"/>
    <cellStyle name="Vírgula 3 7 6 4" xfId="16325"/>
    <cellStyle name="Vírgula 3 7 6 4 2" xfId="42817"/>
    <cellStyle name="Vírgula 3 7 6 5" xfId="10398"/>
    <cellStyle name="Vírgula 3 7 6 5 2" xfId="36909"/>
    <cellStyle name="Vírgula 3 7 6 6" xfId="30449"/>
    <cellStyle name="Vírgula 3 7 6 7" xfId="23915"/>
    <cellStyle name="Vírgula 3 7 7" xfId="4799"/>
    <cellStyle name="Vírgula 3 7 7 2" xfId="8083"/>
    <cellStyle name="Vírgula 3 7 7 2 2" xfId="19937"/>
    <cellStyle name="Vírgula 3 7 7 2 2 2" xfId="46416"/>
    <cellStyle name="Vírgula 3 7 7 2 3" xfId="14010"/>
    <cellStyle name="Vírgula 3 7 7 2 3 2" xfId="40508"/>
    <cellStyle name="Vírgula 3 7 7 2 4" xfId="34600"/>
    <cellStyle name="Vírgula 3 7 7 2 5" xfId="28066"/>
    <cellStyle name="Vírgula 3 7 7 3" xfId="16973"/>
    <cellStyle name="Vírgula 3 7 7 3 2" xfId="43462"/>
    <cellStyle name="Vírgula 3 7 7 4" xfId="11046"/>
    <cellStyle name="Vírgula 3 7 7 4 2" xfId="37554"/>
    <cellStyle name="Vírgula 3 7 7 5" xfId="31326"/>
    <cellStyle name="Vírgula 3 7 7 6" xfId="24792"/>
    <cellStyle name="Vírgula 3 7 8" xfId="6607"/>
    <cellStyle name="Vírgula 3 7 8 2" xfId="18461"/>
    <cellStyle name="Vírgula 3 7 8 2 2" xfId="44948"/>
    <cellStyle name="Vírgula 3 7 8 3" xfId="12534"/>
    <cellStyle name="Vírgula 3 7 8 3 2" xfId="39040"/>
    <cellStyle name="Vírgula 3 7 8 4" xfId="33132"/>
    <cellStyle name="Vírgula 3 7 8 5" xfId="26598"/>
    <cellStyle name="Vírgula 3 7 9" xfId="15497"/>
    <cellStyle name="Vírgula 3 7 9 2" xfId="41994"/>
    <cellStyle name="Vírgula 3 7 9 3" xfId="23020"/>
    <cellStyle name="Vírgula 3 8" xfId="66"/>
    <cellStyle name="Vírgula 3 8 10" xfId="9593"/>
    <cellStyle name="Vírgula 3 8 10 2" xfId="36109"/>
    <cellStyle name="Vírgula 3 8 11" xfId="29600"/>
    <cellStyle name="Vírgula 3 8 12" xfId="22290"/>
    <cellStyle name="Vírgula 3 8 2" xfId="4387"/>
    <cellStyle name="Vírgula 3 8 2 2" xfId="6159"/>
    <cellStyle name="Vírgula 3 8 2 2 2" xfId="9345"/>
    <cellStyle name="Vírgula 3 8 2 2 2 2" xfId="21199"/>
    <cellStyle name="Vírgula 3 8 2 2 2 2 2" xfId="47678"/>
    <cellStyle name="Vírgula 3 8 2 2 2 3" xfId="15272"/>
    <cellStyle name="Vírgula 3 8 2 2 2 3 2" xfId="41770"/>
    <cellStyle name="Vírgula 3 8 2 2 2 4" xfId="35862"/>
    <cellStyle name="Vírgula 3 8 2 2 2 5" xfId="29328"/>
    <cellStyle name="Vírgula 3 8 2 2 3" xfId="18235"/>
    <cellStyle name="Vírgula 3 8 2 2 3 2" xfId="44724"/>
    <cellStyle name="Vírgula 3 8 2 2 4" xfId="12308"/>
    <cellStyle name="Vírgula 3 8 2 2 4 2" xfId="38816"/>
    <cellStyle name="Vírgula 3 8 2 2 5" xfId="32686"/>
    <cellStyle name="Vírgula 3 8 2 2 6" xfId="26152"/>
    <cellStyle name="Vírgula 3 8 2 3" xfId="7877"/>
    <cellStyle name="Vírgula 3 8 2 3 2" xfId="19731"/>
    <cellStyle name="Vírgula 3 8 2 3 2 2" xfId="46210"/>
    <cellStyle name="Vírgula 3 8 2 3 3" xfId="13804"/>
    <cellStyle name="Vírgula 3 8 2 3 3 2" xfId="40302"/>
    <cellStyle name="Vírgula 3 8 2 3 4" xfId="34394"/>
    <cellStyle name="Vírgula 3 8 2 3 5" xfId="27860"/>
    <cellStyle name="Vírgula 3 8 2 4" xfId="16767"/>
    <cellStyle name="Vírgula 3 8 2 4 2" xfId="43256"/>
    <cellStyle name="Vírgula 3 8 2 4 3" xfId="24380"/>
    <cellStyle name="Vírgula 3 8 2 5" xfId="10840"/>
    <cellStyle name="Vírgula 3 8 2 5 2" xfId="37348"/>
    <cellStyle name="Vírgula 3 8 2 6" xfId="30914"/>
    <cellStyle name="Vírgula 3 8 2 7" xfId="22608"/>
    <cellStyle name="Vírgula 3 8 3" xfId="4473"/>
    <cellStyle name="Vírgula 3 8 3 2" xfId="6245"/>
    <cellStyle name="Vírgula 3 8 3 2 2" xfId="9388"/>
    <cellStyle name="Vírgula 3 8 3 2 2 2" xfId="21242"/>
    <cellStyle name="Vírgula 3 8 3 2 2 2 2" xfId="47721"/>
    <cellStyle name="Vírgula 3 8 3 2 2 3" xfId="15315"/>
    <cellStyle name="Vírgula 3 8 3 2 2 3 2" xfId="41813"/>
    <cellStyle name="Vírgula 3 8 3 2 2 4" xfId="35905"/>
    <cellStyle name="Vírgula 3 8 3 2 2 5" xfId="29371"/>
    <cellStyle name="Vírgula 3 8 3 2 3" xfId="18278"/>
    <cellStyle name="Vírgula 3 8 3 2 3 2" xfId="44767"/>
    <cellStyle name="Vírgula 3 8 3 2 4" xfId="12351"/>
    <cellStyle name="Vírgula 3 8 3 2 4 2" xfId="38859"/>
    <cellStyle name="Vírgula 3 8 3 2 5" xfId="32772"/>
    <cellStyle name="Vírgula 3 8 3 2 6" xfId="26238"/>
    <cellStyle name="Vírgula 3 8 3 3" xfId="7920"/>
    <cellStyle name="Vírgula 3 8 3 3 2" xfId="19774"/>
    <cellStyle name="Vírgula 3 8 3 3 2 2" xfId="46253"/>
    <cellStyle name="Vírgula 3 8 3 3 3" xfId="13847"/>
    <cellStyle name="Vírgula 3 8 3 3 3 2" xfId="40345"/>
    <cellStyle name="Vírgula 3 8 3 3 4" xfId="34437"/>
    <cellStyle name="Vírgula 3 8 3 3 5" xfId="27903"/>
    <cellStyle name="Vírgula 3 8 3 4" xfId="16810"/>
    <cellStyle name="Vírgula 3 8 3 4 2" xfId="43299"/>
    <cellStyle name="Vírgula 3 8 3 4 3" xfId="24466"/>
    <cellStyle name="Vírgula 3 8 3 5" xfId="10883"/>
    <cellStyle name="Vírgula 3 8 3 5 2" xfId="37391"/>
    <cellStyle name="Vírgula 3 8 3 6" xfId="31000"/>
    <cellStyle name="Vírgula 3 8 3 7" xfId="22694"/>
    <cellStyle name="Vírgula 3 8 4" xfId="4597"/>
    <cellStyle name="Vírgula 3 8 4 2" xfId="6369"/>
    <cellStyle name="Vírgula 3 8 4 2 2" xfId="9450"/>
    <cellStyle name="Vírgula 3 8 4 2 2 2" xfId="21304"/>
    <cellStyle name="Vírgula 3 8 4 2 2 2 2" xfId="47783"/>
    <cellStyle name="Vírgula 3 8 4 2 2 3" xfId="15377"/>
    <cellStyle name="Vírgula 3 8 4 2 2 3 2" xfId="41875"/>
    <cellStyle name="Vírgula 3 8 4 2 2 4" xfId="35967"/>
    <cellStyle name="Vírgula 3 8 4 2 2 5" xfId="29433"/>
    <cellStyle name="Vírgula 3 8 4 2 3" xfId="18340"/>
    <cellStyle name="Vírgula 3 8 4 2 3 2" xfId="44829"/>
    <cellStyle name="Vírgula 3 8 4 2 4" xfId="12413"/>
    <cellStyle name="Vírgula 3 8 4 2 4 2" xfId="38921"/>
    <cellStyle name="Vírgula 3 8 4 2 5" xfId="32896"/>
    <cellStyle name="Vírgula 3 8 4 2 6" xfId="26362"/>
    <cellStyle name="Vírgula 3 8 4 3" xfId="7982"/>
    <cellStyle name="Vírgula 3 8 4 3 2" xfId="19836"/>
    <cellStyle name="Vírgula 3 8 4 3 2 2" xfId="46315"/>
    <cellStyle name="Vírgula 3 8 4 3 3" xfId="13909"/>
    <cellStyle name="Vírgula 3 8 4 3 3 2" xfId="40407"/>
    <cellStyle name="Vírgula 3 8 4 3 4" xfId="34499"/>
    <cellStyle name="Vírgula 3 8 4 3 5" xfId="27965"/>
    <cellStyle name="Vírgula 3 8 4 4" xfId="16872"/>
    <cellStyle name="Vírgula 3 8 4 4 2" xfId="43361"/>
    <cellStyle name="Vírgula 3 8 4 4 3" xfId="24590"/>
    <cellStyle name="Vírgula 3 8 4 5" xfId="10945"/>
    <cellStyle name="Vírgula 3 8 4 5 2" xfId="37453"/>
    <cellStyle name="Vírgula 3 8 4 6" xfId="31124"/>
    <cellStyle name="Vírgula 3 8 4 7" xfId="22818"/>
    <cellStyle name="Vírgula 3 8 5" xfId="4721"/>
    <cellStyle name="Vírgula 3 8 5 2" xfId="6493"/>
    <cellStyle name="Vírgula 3 8 5 2 2" xfId="9512"/>
    <cellStyle name="Vírgula 3 8 5 2 2 2" xfId="21366"/>
    <cellStyle name="Vírgula 3 8 5 2 2 2 2" xfId="47845"/>
    <cellStyle name="Vírgula 3 8 5 2 2 3" xfId="15439"/>
    <cellStyle name="Vírgula 3 8 5 2 2 3 2" xfId="41937"/>
    <cellStyle name="Vírgula 3 8 5 2 2 4" xfId="36029"/>
    <cellStyle name="Vírgula 3 8 5 2 2 5" xfId="29495"/>
    <cellStyle name="Vírgula 3 8 5 2 3" xfId="18402"/>
    <cellStyle name="Vírgula 3 8 5 2 3 2" xfId="44891"/>
    <cellStyle name="Vírgula 3 8 5 2 4" xfId="12475"/>
    <cellStyle name="Vírgula 3 8 5 2 4 2" xfId="38983"/>
    <cellStyle name="Vírgula 3 8 5 2 5" xfId="33020"/>
    <cellStyle name="Vírgula 3 8 5 2 6" xfId="26486"/>
    <cellStyle name="Vírgula 3 8 5 3" xfId="8044"/>
    <cellStyle name="Vírgula 3 8 5 3 2" xfId="19898"/>
    <cellStyle name="Vírgula 3 8 5 3 2 2" xfId="46377"/>
    <cellStyle name="Vírgula 3 8 5 3 3" xfId="13971"/>
    <cellStyle name="Vírgula 3 8 5 3 3 2" xfId="40469"/>
    <cellStyle name="Vírgula 3 8 5 3 4" xfId="34561"/>
    <cellStyle name="Vírgula 3 8 5 3 5" xfId="28027"/>
    <cellStyle name="Vírgula 3 8 5 4" xfId="16934"/>
    <cellStyle name="Vírgula 3 8 5 4 2" xfId="43423"/>
    <cellStyle name="Vírgula 3 8 5 4 3" xfId="24714"/>
    <cellStyle name="Vírgula 3 8 5 5" xfId="11007"/>
    <cellStyle name="Vírgula 3 8 5 5 2" xfId="37515"/>
    <cellStyle name="Vírgula 3 8 5 6" xfId="31248"/>
    <cellStyle name="Vírgula 3 8 5 7" xfId="22942"/>
    <cellStyle name="Vírgula 3 8 6" xfId="3369"/>
    <cellStyle name="Vírgula 3 8 6 2" xfId="5841"/>
    <cellStyle name="Vírgula 3 8 6 2 2" xfId="9053"/>
    <cellStyle name="Vírgula 3 8 6 2 2 2" xfId="20907"/>
    <cellStyle name="Vírgula 3 8 6 2 2 2 2" xfId="47386"/>
    <cellStyle name="Vírgula 3 8 6 2 2 3" xfId="14980"/>
    <cellStyle name="Vírgula 3 8 6 2 2 3 2" xfId="41478"/>
    <cellStyle name="Vírgula 3 8 6 2 2 4" xfId="35570"/>
    <cellStyle name="Vírgula 3 8 6 2 2 5" xfId="29036"/>
    <cellStyle name="Vírgula 3 8 6 2 3" xfId="17943"/>
    <cellStyle name="Vírgula 3 8 6 2 3 2" xfId="44432"/>
    <cellStyle name="Vírgula 3 8 6 2 4" xfId="12016"/>
    <cellStyle name="Vírgula 3 8 6 2 4 2" xfId="38524"/>
    <cellStyle name="Vírgula 3 8 6 2 5" xfId="32368"/>
    <cellStyle name="Vírgula 3 8 6 2 6" xfId="25834"/>
    <cellStyle name="Vírgula 3 8 6 3" xfId="7583"/>
    <cellStyle name="Vírgula 3 8 6 3 2" xfId="19437"/>
    <cellStyle name="Vírgula 3 8 6 3 2 2" xfId="45918"/>
    <cellStyle name="Vírgula 3 8 6 3 3" xfId="13510"/>
    <cellStyle name="Vírgula 3 8 6 3 3 2" xfId="40010"/>
    <cellStyle name="Vírgula 3 8 6 3 4" xfId="34102"/>
    <cellStyle name="Vírgula 3 8 6 3 5" xfId="27568"/>
    <cellStyle name="Vírgula 3 8 6 4" xfId="16473"/>
    <cellStyle name="Vírgula 3 8 6 4 2" xfId="42964"/>
    <cellStyle name="Vírgula 3 8 6 5" xfId="10546"/>
    <cellStyle name="Vírgula 3 8 6 5 2" xfId="37056"/>
    <cellStyle name="Vírgula 3 8 6 6" xfId="30596"/>
    <cellStyle name="Vírgula 3 8 6 7" xfId="24062"/>
    <cellStyle name="Vírgula 3 8 7" xfId="4845"/>
    <cellStyle name="Vírgula 3 8 7 2" xfId="8106"/>
    <cellStyle name="Vírgula 3 8 7 2 2" xfId="19960"/>
    <cellStyle name="Vírgula 3 8 7 2 2 2" xfId="46439"/>
    <cellStyle name="Vírgula 3 8 7 2 3" xfId="14033"/>
    <cellStyle name="Vírgula 3 8 7 2 3 2" xfId="40531"/>
    <cellStyle name="Vírgula 3 8 7 2 4" xfId="34623"/>
    <cellStyle name="Vírgula 3 8 7 2 5" xfId="28089"/>
    <cellStyle name="Vírgula 3 8 7 3" xfId="16996"/>
    <cellStyle name="Vírgula 3 8 7 3 2" xfId="43485"/>
    <cellStyle name="Vírgula 3 8 7 4" xfId="11069"/>
    <cellStyle name="Vírgula 3 8 7 4 2" xfId="37577"/>
    <cellStyle name="Vírgula 3 8 7 5" xfId="31372"/>
    <cellStyle name="Vírgula 3 8 7 6" xfId="24838"/>
    <cellStyle name="Vírgula 3 8 8" xfId="6630"/>
    <cellStyle name="Vírgula 3 8 8 2" xfId="18484"/>
    <cellStyle name="Vírgula 3 8 8 2 2" xfId="44971"/>
    <cellStyle name="Vírgula 3 8 8 3" xfId="12557"/>
    <cellStyle name="Vírgula 3 8 8 3 2" xfId="39063"/>
    <cellStyle name="Vírgula 3 8 8 4" xfId="33155"/>
    <cellStyle name="Vírgula 3 8 8 5" xfId="26621"/>
    <cellStyle name="Vírgula 3 8 9" xfId="15520"/>
    <cellStyle name="Vírgula 3 8 9 2" xfId="42017"/>
    <cellStyle name="Vírgula 3 8 9 3" xfId="23066"/>
    <cellStyle name="Vírgula 3 9" xfId="104"/>
    <cellStyle name="Vírgula 3 9 10" xfId="29638"/>
    <cellStyle name="Vírgula 3 9 11" xfId="22437"/>
    <cellStyle name="Vírgula 3 9 2" xfId="4511"/>
    <cellStyle name="Vírgula 3 9 2 2" xfId="6283"/>
    <cellStyle name="Vírgula 3 9 2 2 2" xfId="9407"/>
    <cellStyle name="Vírgula 3 9 2 2 2 2" xfId="21261"/>
    <cellStyle name="Vírgula 3 9 2 2 2 2 2" xfId="47740"/>
    <cellStyle name="Vírgula 3 9 2 2 2 3" xfId="15334"/>
    <cellStyle name="Vírgula 3 9 2 2 2 3 2" xfId="41832"/>
    <cellStyle name="Vírgula 3 9 2 2 2 4" xfId="35924"/>
    <cellStyle name="Vírgula 3 9 2 2 2 5" xfId="29390"/>
    <cellStyle name="Vírgula 3 9 2 2 3" xfId="18297"/>
    <cellStyle name="Vírgula 3 9 2 2 3 2" xfId="44786"/>
    <cellStyle name="Vírgula 3 9 2 2 4" xfId="12370"/>
    <cellStyle name="Vírgula 3 9 2 2 4 2" xfId="38878"/>
    <cellStyle name="Vírgula 3 9 2 2 5" xfId="32810"/>
    <cellStyle name="Vírgula 3 9 2 2 6" xfId="26276"/>
    <cellStyle name="Vírgula 3 9 2 3" xfId="7939"/>
    <cellStyle name="Vírgula 3 9 2 3 2" xfId="19793"/>
    <cellStyle name="Vírgula 3 9 2 3 2 2" xfId="46272"/>
    <cellStyle name="Vírgula 3 9 2 3 3" xfId="13866"/>
    <cellStyle name="Vírgula 3 9 2 3 3 2" xfId="40364"/>
    <cellStyle name="Vírgula 3 9 2 3 4" xfId="34456"/>
    <cellStyle name="Vírgula 3 9 2 3 5" xfId="27922"/>
    <cellStyle name="Vírgula 3 9 2 4" xfId="16829"/>
    <cellStyle name="Vírgula 3 9 2 4 2" xfId="43318"/>
    <cellStyle name="Vírgula 3 9 2 4 3" xfId="24504"/>
    <cellStyle name="Vírgula 3 9 2 5" xfId="10902"/>
    <cellStyle name="Vírgula 3 9 2 5 2" xfId="37410"/>
    <cellStyle name="Vírgula 3 9 2 6" xfId="31038"/>
    <cellStyle name="Vírgula 3 9 2 7" xfId="22732"/>
    <cellStyle name="Vírgula 3 9 3" xfId="4635"/>
    <cellStyle name="Vírgula 3 9 3 2" xfId="6407"/>
    <cellStyle name="Vírgula 3 9 3 2 2" xfId="9469"/>
    <cellStyle name="Vírgula 3 9 3 2 2 2" xfId="21323"/>
    <cellStyle name="Vírgula 3 9 3 2 2 2 2" xfId="47802"/>
    <cellStyle name="Vírgula 3 9 3 2 2 3" xfId="15396"/>
    <cellStyle name="Vírgula 3 9 3 2 2 3 2" xfId="41894"/>
    <cellStyle name="Vírgula 3 9 3 2 2 4" xfId="35986"/>
    <cellStyle name="Vírgula 3 9 3 2 2 5" xfId="29452"/>
    <cellStyle name="Vírgula 3 9 3 2 3" xfId="18359"/>
    <cellStyle name="Vírgula 3 9 3 2 3 2" xfId="44848"/>
    <cellStyle name="Vírgula 3 9 3 2 4" xfId="12432"/>
    <cellStyle name="Vírgula 3 9 3 2 4 2" xfId="38940"/>
    <cellStyle name="Vírgula 3 9 3 2 5" xfId="32934"/>
    <cellStyle name="Vírgula 3 9 3 2 6" xfId="26400"/>
    <cellStyle name="Vírgula 3 9 3 3" xfId="8001"/>
    <cellStyle name="Vírgula 3 9 3 3 2" xfId="19855"/>
    <cellStyle name="Vírgula 3 9 3 3 2 2" xfId="46334"/>
    <cellStyle name="Vírgula 3 9 3 3 3" xfId="13928"/>
    <cellStyle name="Vírgula 3 9 3 3 3 2" xfId="40426"/>
    <cellStyle name="Vírgula 3 9 3 3 4" xfId="34518"/>
    <cellStyle name="Vírgula 3 9 3 3 5" xfId="27984"/>
    <cellStyle name="Vírgula 3 9 3 4" xfId="16891"/>
    <cellStyle name="Vírgula 3 9 3 4 2" xfId="43380"/>
    <cellStyle name="Vírgula 3 9 3 4 3" xfId="24628"/>
    <cellStyle name="Vírgula 3 9 3 5" xfId="10964"/>
    <cellStyle name="Vírgula 3 9 3 5 2" xfId="37472"/>
    <cellStyle name="Vírgula 3 9 3 6" xfId="31162"/>
    <cellStyle name="Vírgula 3 9 3 7" xfId="22856"/>
    <cellStyle name="Vírgula 3 9 4" xfId="4759"/>
    <cellStyle name="Vírgula 3 9 4 2" xfId="6531"/>
    <cellStyle name="Vírgula 3 9 4 2 2" xfId="9531"/>
    <cellStyle name="Vírgula 3 9 4 2 2 2" xfId="21385"/>
    <cellStyle name="Vírgula 3 9 4 2 2 2 2" xfId="47864"/>
    <cellStyle name="Vírgula 3 9 4 2 2 3" xfId="15458"/>
    <cellStyle name="Vírgula 3 9 4 2 2 3 2" xfId="41956"/>
    <cellStyle name="Vírgula 3 9 4 2 2 4" xfId="36048"/>
    <cellStyle name="Vírgula 3 9 4 2 2 5" xfId="29514"/>
    <cellStyle name="Vírgula 3 9 4 2 3" xfId="18421"/>
    <cellStyle name="Vírgula 3 9 4 2 3 2" xfId="44910"/>
    <cellStyle name="Vírgula 3 9 4 2 4" xfId="12494"/>
    <cellStyle name="Vírgula 3 9 4 2 4 2" xfId="39002"/>
    <cellStyle name="Vírgula 3 9 4 2 5" xfId="33058"/>
    <cellStyle name="Vírgula 3 9 4 2 6" xfId="26524"/>
    <cellStyle name="Vírgula 3 9 4 3" xfId="8063"/>
    <cellStyle name="Vírgula 3 9 4 3 2" xfId="19917"/>
    <cellStyle name="Vírgula 3 9 4 3 2 2" xfId="46396"/>
    <cellStyle name="Vírgula 3 9 4 3 3" xfId="13990"/>
    <cellStyle name="Vírgula 3 9 4 3 3 2" xfId="40488"/>
    <cellStyle name="Vírgula 3 9 4 3 4" xfId="34580"/>
    <cellStyle name="Vírgula 3 9 4 3 5" xfId="28046"/>
    <cellStyle name="Vírgula 3 9 4 4" xfId="16953"/>
    <cellStyle name="Vírgula 3 9 4 4 2" xfId="43442"/>
    <cellStyle name="Vírgula 3 9 4 4 3" xfId="24752"/>
    <cellStyle name="Vírgula 3 9 4 5" xfId="11026"/>
    <cellStyle name="Vírgula 3 9 4 5 2" xfId="37534"/>
    <cellStyle name="Vírgula 3 9 4 6" xfId="31286"/>
    <cellStyle name="Vírgula 3 9 4 7" xfId="22980"/>
    <cellStyle name="Vírgula 3 9 5" xfId="3897"/>
    <cellStyle name="Vírgula 3 9 5 2" xfId="5988"/>
    <cellStyle name="Vírgula 3 9 5 2 2" xfId="9200"/>
    <cellStyle name="Vírgula 3 9 5 2 2 2" xfId="21054"/>
    <cellStyle name="Vírgula 3 9 5 2 2 2 2" xfId="47533"/>
    <cellStyle name="Vírgula 3 9 5 2 2 3" xfId="15127"/>
    <cellStyle name="Vírgula 3 9 5 2 2 3 2" xfId="41625"/>
    <cellStyle name="Vírgula 3 9 5 2 2 4" xfId="35717"/>
    <cellStyle name="Vírgula 3 9 5 2 2 5" xfId="29183"/>
    <cellStyle name="Vírgula 3 9 5 2 3" xfId="18090"/>
    <cellStyle name="Vírgula 3 9 5 2 3 2" xfId="44579"/>
    <cellStyle name="Vírgula 3 9 5 2 4" xfId="12163"/>
    <cellStyle name="Vírgula 3 9 5 2 4 2" xfId="38671"/>
    <cellStyle name="Vírgula 3 9 5 2 5" xfId="32515"/>
    <cellStyle name="Vírgula 3 9 5 2 6" xfId="25981"/>
    <cellStyle name="Vírgula 3 9 5 3" xfId="7731"/>
    <cellStyle name="Vírgula 3 9 5 3 2" xfId="19585"/>
    <cellStyle name="Vírgula 3 9 5 3 2 2" xfId="46065"/>
    <cellStyle name="Vírgula 3 9 5 3 3" xfId="13658"/>
    <cellStyle name="Vírgula 3 9 5 3 3 2" xfId="40157"/>
    <cellStyle name="Vírgula 3 9 5 3 4" xfId="34249"/>
    <cellStyle name="Vírgula 3 9 5 3 5" xfId="27715"/>
    <cellStyle name="Vírgula 3 9 5 4" xfId="16621"/>
    <cellStyle name="Vírgula 3 9 5 4 2" xfId="43111"/>
    <cellStyle name="Vírgula 3 9 5 5" xfId="10694"/>
    <cellStyle name="Vírgula 3 9 5 5 2" xfId="37203"/>
    <cellStyle name="Vírgula 3 9 5 6" xfId="30743"/>
    <cellStyle name="Vírgula 3 9 5 7" xfId="24209"/>
    <cellStyle name="Vírgula 3 9 6" xfId="4883"/>
    <cellStyle name="Vírgula 3 9 6 2" xfId="8125"/>
    <cellStyle name="Vírgula 3 9 6 2 2" xfId="19979"/>
    <cellStyle name="Vírgula 3 9 6 2 2 2" xfId="46458"/>
    <cellStyle name="Vírgula 3 9 6 2 3" xfId="14052"/>
    <cellStyle name="Vírgula 3 9 6 2 3 2" xfId="40550"/>
    <cellStyle name="Vírgula 3 9 6 2 4" xfId="34642"/>
    <cellStyle name="Vírgula 3 9 6 2 5" xfId="28108"/>
    <cellStyle name="Vírgula 3 9 6 3" xfId="17015"/>
    <cellStyle name="Vírgula 3 9 6 3 2" xfId="43504"/>
    <cellStyle name="Vírgula 3 9 6 4" xfId="11088"/>
    <cellStyle name="Vírgula 3 9 6 4 2" xfId="37596"/>
    <cellStyle name="Vírgula 3 9 6 5" xfId="31410"/>
    <cellStyle name="Vírgula 3 9 6 6" xfId="24876"/>
    <cellStyle name="Vírgula 3 9 7" xfId="6649"/>
    <cellStyle name="Vírgula 3 9 7 2" xfId="18503"/>
    <cellStyle name="Vírgula 3 9 7 2 2" xfId="44990"/>
    <cellStyle name="Vírgula 3 9 7 3" xfId="12576"/>
    <cellStyle name="Vírgula 3 9 7 3 2" xfId="39082"/>
    <cellStyle name="Vírgula 3 9 7 4" xfId="33174"/>
    <cellStyle name="Vírgula 3 9 7 5" xfId="26640"/>
    <cellStyle name="Vírgula 3 9 8" xfId="15539"/>
    <cellStyle name="Vírgula 3 9 8 2" xfId="42036"/>
    <cellStyle name="Vírgula 3 9 8 3" xfId="23104"/>
    <cellStyle name="Vírgula 3 9 9" xfId="9612"/>
    <cellStyle name="Vírgula 3 9 9 2" xfId="36128"/>
    <cellStyle name="Vírgula 4" xfId="29"/>
    <cellStyle name="Vírgula 4 10" xfId="4351"/>
    <cellStyle name="Vírgula 4 10 2" xfId="6123"/>
    <cellStyle name="Vírgula 4 10 2 2" xfId="9327"/>
    <cellStyle name="Vírgula 4 10 2 2 2" xfId="21181"/>
    <cellStyle name="Vírgula 4 10 2 2 2 2" xfId="47660"/>
    <cellStyle name="Vírgula 4 10 2 2 3" xfId="15254"/>
    <cellStyle name="Vírgula 4 10 2 2 3 2" xfId="41752"/>
    <cellStyle name="Vírgula 4 10 2 2 4" xfId="35844"/>
    <cellStyle name="Vírgula 4 10 2 2 5" xfId="29310"/>
    <cellStyle name="Vírgula 4 10 2 3" xfId="18217"/>
    <cellStyle name="Vírgula 4 10 2 3 2" xfId="44706"/>
    <cellStyle name="Vírgula 4 10 2 4" xfId="12290"/>
    <cellStyle name="Vírgula 4 10 2 4 2" xfId="38798"/>
    <cellStyle name="Vírgula 4 10 2 5" xfId="32650"/>
    <cellStyle name="Vírgula 4 10 2 6" xfId="26116"/>
    <cellStyle name="Vírgula 4 10 3" xfId="7859"/>
    <cellStyle name="Vírgula 4 10 3 2" xfId="19713"/>
    <cellStyle name="Vírgula 4 10 3 2 2" xfId="46192"/>
    <cellStyle name="Vírgula 4 10 3 3" xfId="13786"/>
    <cellStyle name="Vírgula 4 10 3 3 2" xfId="40284"/>
    <cellStyle name="Vírgula 4 10 3 4" xfId="34376"/>
    <cellStyle name="Vírgula 4 10 3 5" xfId="27842"/>
    <cellStyle name="Vírgula 4 10 4" xfId="16749"/>
    <cellStyle name="Vírgula 4 10 4 2" xfId="43238"/>
    <cellStyle name="Vírgula 4 10 4 3" xfId="24344"/>
    <cellStyle name="Vírgula 4 10 5" xfId="10822"/>
    <cellStyle name="Vírgula 4 10 5 2" xfId="37330"/>
    <cellStyle name="Vírgula 4 10 6" xfId="30878"/>
    <cellStyle name="Vírgula 4 10 7" xfId="22572"/>
    <cellStyle name="Vírgula 4 11" xfId="4437"/>
    <cellStyle name="Vírgula 4 11 2" xfId="6209"/>
    <cellStyle name="Vírgula 4 11 2 2" xfId="9370"/>
    <cellStyle name="Vírgula 4 11 2 2 2" xfId="21224"/>
    <cellStyle name="Vírgula 4 11 2 2 2 2" xfId="47703"/>
    <cellStyle name="Vírgula 4 11 2 2 3" xfId="15297"/>
    <cellStyle name="Vírgula 4 11 2 2 3 2" xfId="41795"/>
    <cellStyle name="Vírgula 4 11 2 2 4" xfId="35887"/>
    <cellStyle name="Vírgula 4 11 2 2 5" xfId="29353"/>
    <cellStyle name="Vírgula 4 11 2 3" xfId="18260"/>
    <cellStyle name="Vírgula 4 11 2 3 2" xfId="44749"/>
    <cellStyle name="Vírgula 4 11 2 4" xfId="12333"/>
    <cellStyle name="Vírgula 4 11 2 4 2" xfId="38841"/>
    <cellStyle name="Vírgula 4 11 2 5" xfId="32736"/>
    <cellStyle name="Vírgula 4 11 2 6" xfId="26202"/>
    <cellStyle name="Vírgula 4 11 3" xfId="7902"/>
    <cellStyle name="Vírgula 4 11 3 2" xfId="19756"/>
    <cellStyle name="Vírgula 4 11 3 2 2" xfId="46235"/>
    <cellStyle name="Vírgula 4 11 3 3" xfId="13829"/>
    <cellStyle name="Vírgula 4 11 3 3 2" xfId="40327"/>
    <cellStyle name="Vírgula 4 11 3 4" xfId="34419"/>
    <cellStyle name="Vírgula 4 11 3 5" xfId="27885"/>
    <cellStyle name="Vírgula 4 11 4" xfId="16792"/>
    <cellStyle name="Vírgula 4 11 4 2" xfId="43281"/>
    <cellStyle name="Vírgula 4 11 4 3" xfId="24430"/>
    <cellStyle name="Vírgula 4 11 5" xfId="10865"/>
    <cellStyle name="Vírgula 4 11 5 2" xfId="37373"/>
    <cellStyle name="Vírgula 4 11 6" xfId="30964"/>
    <cellStyle name="Vírgula 4 11 7" xfId="22658"/>
    <cellStyle name="Vírgula 4 12" xfId="4561"/>
    <cellStyle name="Vírgula 4 12 2" xfId="6333"/>
    <cellStyle name="Vírgula 4 12 2 2" xfId="9432"/>
    <cellStyle name="Vírgula 4 12 2 2 2" xfId="21286"/>
    <cellStyle name="Vírgula 4 12 2 2 2 2" xfId="47765"/>
    <cellStyle name="Vírgula 4 12 2 2 3" xfId="15359"/>
    <cellStyle name="Vírgula 4 12 2 2 3 2" xfId="41857"/>
    <cellStyle name="Vírgula 4 12 2 2 4" xfId="35949"/>
    <cellStyle name="Vírgula 4 12 2 2 5" xfId="29415"/>
    <cellStyle name="Vírgula 4 12 2 3" xfId="18322"/>
    <cellStyle name="Vírgula 4 12 2 3 2" xfId="44811"/>
    <cellStyle name="Vírgula 4 12 2 4" xfId="12395"/>
    <cellStyle name="Vírgula 4 12 2 4 2" xfId="38903"/>
    <cellStyle name="Vírgula 4 12 2 5" xfId="32860"/>
    <cellStyle name="Vírgula 4 12 2 6" xfId="26326"/>
    <cellStyle name="Vírgula 4 12 3" xfId="7964"/>
    <cellStyle name="Vírgula 4 12 3 2" xfId="19818"/>
    <cellStyle name="Vírgula 4 12 3 2 2" xfId="46297"/>
    <cellStyle name="Vírgula 4 12 3 3" xfId="13891"/>
    <cellStyle name="Vírgula 4 12 3 3 2" xfId="40389"/>
    <cellStyle name="Vírgula 4 12 3 4" xfId="34481"/>
    <cellStyle name="Vírgula 4 12 3 5" xfId="27947"/>
    <cellStyle name="Vírgula 4 12 4" xfId="16854"/>
    <cellStyle name="Vírgula 4 12 4 2" xfId="43343"/>
    <cellStyle name="Vírgula 4 12 4 3" xfId="24554"/>
    <cellStyle name="Vírgula 4 12 5" xfId="10927"/>
    <cellStyle name="Vírgula 4 12 5 2" xfId="37435"/>
    <cellStyle name="Vírgula 4 12 6" xfId="31088"/>
    <cellStyle name="Vírgula 4 12 7" xfId="22782"/>
    <cellStyle name="Vírgula 4 13" xfId="4685"/>
    <cellStyle name="Vírgula 4 13 2" xfId="6457"/>
    <cellStyle name="Vírgula 4 13 2 2" xfId="9494"/>
    <cellStyle name="Vírgula 4 13 2 2 2" xfId="21348"/>
    <cellStyle name="Vírgula 4 13 2 2 2 2" xfId="47827"/>
    <cellStyle name="Vírgula 4 13 2 2 3" xfId="15421"/>
    <cellStyle name="Vírgula 4 13 2 2 3 2" xfId="41919"/>
    <cellStyle name="Vírgula 4 13 2 2 4" xfId="36011"/>
    <cellStyle name="Vírgula 4 13 2 2 5" xfId="29477"/>
    <cellStyle name="Vírgula 4 13 2 3" xfId="18384"/>
    <cellStyle name="Vírgula 4 13 2 3 2" xfId="44873"/>
    <cellStyle name="Vírgula 4 13 2 4" xfId="12457"/>
    <cellStyle name="Vírgula 4 13 2 4 2" xfId="38965"/>
    <cellStyle name="Vírgula 4 13 2 5" xfId="32984"/>
    <cellStyle name="Vírgula 4 13 2 6" xfId="26450"/>
    <cellStyle name="Vírgula 4 13 3" xfId="8026"/>
    <cellStyle name="Vírgula 4 13 3 2" xfId="19880"/>
    <cellStyle name="Vírgula 4 13 3 2 2" xfId="46359"/>
    <cellStyle name="Vírgula 4 13 3 3" xfId="13953"/>
    <cellStyle name="Vírgula 4 13 3 3 2" xfId="40451"/>
    <cellStyle name="Vírgula 4 13 3 4" xfId="34543"/>
    <cellStyle name="Vírgula 4 13 3 5" xfId="28009"/>
    <cellStyle name="Vírgula 4 13 4" xfId="16916"/>
    <cellStyle name="Vírgula 4 13 4 2" xfId="43405"/>
    <cellStyle name="Vírgula 4 13 4 3" xfId="24678"/>
    <cellStyle name="Vírgula 4 13 5" xfId="10989"/>
    <cellStyle name="Vírgula 4 13 5 2" xfId="37497"/>
    <cellStyle name="Vírgula 4 13 6" xfId="31212"/>
    <cellStyle name="Vírgula 4 13 7" xfId="22906"/>
    <cellStyle name="Vírgula 4 14" xfId="142"/>
    <cellStyle name="Vírgula 4 14 2" xfId="4919"/>
    <cellStyle name="Vírgula 4 14 2 2" xfId="8143"/>
    <cellStyle name="Vírgula 4 14 2 2 2" xfId="19997"/>
    <cellStyle name="Vírgula 4 14 2 2 2 2" xfId="46476"/>
    <cellStyle name="Vírgula 4 14 2 2 3" xfId="14070"/>
    <cellStyle name="Vírgula 4 14 2 2 3 2" xfId="40568"/>
    <cellStyle name="Vírgula 4 14 2 2 4" xfId="34660"/>
    <cellStyle name="Vírgula 4 14 2 2 5" xfId="28126"/>
    <cellStyle name="Vírgula 4 14 2 3" xfId="17033"/>
    <cellStyle name="Vírgula 4 14 2 3 2" xfId="43522"/>
    <cellStyle name="Vírgula 4 14 2 4" xfId="11106"/>
    <cellStyle name="Vírgula 4 14 2 4 2" xfId="37614"/>
    <cellStyle name="Vírgula 4 14 2 5" xfId="31446"/>
    <cellStyle name="Vírgula 4 14 2 6" xfId="24912"/>
    <cellStyle name="Vírgula 4 14 3" xfId="6667"/>
    <cellStyle name="Vírgula 4 14 3 2" xfId="18521"/>
    <cellStyle name="Vírgula 4 14 3 2 2" xfId="45008"/>
    <cellStyle name="Vírgula 4 14 3 3" xfId="12594"/>
    <cellStyle name="Vírgula 4 14 3 3 2" xfId="39100"/>
    <cellStyle name="Vírgula 4 14 3 4" xfId="33192"/>
    <cellStyle name="Vírgula 4 14 3 5" xfId="26658"/>
    <cellStyle name="Vírgula 4 14 4" xfId="15557"/>
    <cellStyle name="Vírgula 4 14 4 2" xfId="42054"/>
    <cellStyle name="Vírgula 4 14 5" xfId="9630"/>
    <cellStyle name="Vírgula 4 14 5 2" xfId="36146"/>
    <cellStyle name="Vírgula 4 14 6" xfId="29674"/>
    <cellStyle name="Vírgula 4 14 7" xfId="23140"/>
    <cellStyle name="Vírgula 4 15" xfId="4809"/>
    <cellStyle name="Vírgula 4 15 2" xfId="8088"/>
    <cellStyle name="Vírgula 4 15 2 2" xfId="19942"/>
    <cellStyle name="Vírgula 4 15 2 2 2" xfId="46421"/>
    <cellStyle name="Vírgula 4 15 2 3" xfId="14015"/>
    <cellStyle name="Vírgula 4 15 2 3 2" xfId="40513"/>
    <cellStyle name="Vírgula 4 15 2 4" xfId="34605"/>
    <cellStyle name="Vírgula 4 15 2 5" xfId="28071"/>
    <cellStyle name="Vírgula 4 15 3" xfId="16978"/>
    <cellStyle name="Vírgula 4 15 3 2" xfId="43467"/>
    <cellStyle name="Vírgula 4 15 4" xfId="11051"/>
    <cellStyle name="Vírgula 4 15 4 2" xfId="37559"/>
    <cellStyle name="Vírgula 4 15 5" xfId="31336"/>
    <cellStyle name="Vírgula 4 15 6" xfId="24802"/>
    <cellStyle name="Vírgula 4 16" xfId="6573"/>
    <cellStyle name="Vírgula 4 16 2" xfId="9552"/>
    <cellStyle name="Vírgula 4 16 2 2" xfId="21406"/>
    <cellStyle name="Vírgula 4 16 2 2 2" xfId="47885"/>
    <cellStyle name="Vírgula 4 16 2 3" xfId="15479"/>
    <cellStyle name="Vírgula 4 16 2 3 2" xfId="41977"/>
    <cellStyle name="Vírgula 4 16 2 4" xfId="36069"/>
    <cellStyle name="Vírgula 4 16 2 5" xfId="29535"/>
    <cellStyle name="Vírgula 4 16 3" xfId="18442"/>
    <cellStyle name="Vírgula 4 16 3 2" xfId="44931"/>
    <cellStyle name="Vírgula 4 16 4" xfId="12515"/>
    <cellStyle name="Vírgula 4 16 4 2" xfId="39023"/>
    <cellStyle name="Vírgula 4 16 5" xfId="33100"/>
    <cellStyle name="Vírgula 4 16 6" xfId="26566"/>
    <cellStyle name="Vírgula 4 17" xfId="6612"/>
    <cellStyle name="Vírgula 4 17 2" xfId="18466"/>
    <cellStyle name="Vírgula 4 17 2 2" xfId="44953"/>
    <cellStyle name="Vírgula 4 17 3" xfId="12539"/>
    <cellStyle name="Vírgula 4 17 3 2" xfId="39045"/>
    <cellStyle name="Vírgula 4 17 4" xfId="33137"/>
    <cellStyle name="Vírgula 4 17 5" xfId="26603"/>
    <cellStyle name="Vírgula 4 18" xfId="15502"/>
    <cellStyle name="Vírgula 4 18 2" xfId="41999"/>
    <cellStyle name="Vírgula 4 18 3" xfId="23030"/>
    <cellStyle name="Vírgula 4 19" xfId="9575"/>
    <cellStyle name="Vírgula 4 19 2" xfId="36091"/>
    <cellStyle name="Vírgula 4 2" xfId="47"/>
    <cellStyle name="Vírgula 4 2 10" xfId="6621"/>
    <cellStyle name="Vírgula 4 2 10 2" xfId="18475"/>
    <cellStyle name="Vírgula 4 2 10 2 2" xfId="44962"/>
    <cellStyle name="Vírgula 4 2 10 3" xfId="12548"/>
    <cellStyle name="Vírgula 4 2 10 3 2" xfId="39054"/>
    <cellStyle name="Vírgula 4 2 10 4" xfId="33146"/>
    <cellStyle name="Vírgula 4 2 10 5" xfId="26612"/>
    <cellStyle name="Vírgula 4 2 11" xfId="15511"/>
    <cellStyle name="Vírgula 4 2 11 2" xfId="42008"/>
    <cellStyle name="Vírgula 4 2 11 3" xfId="23048"/>
    <cellStyle name="Vírgula 4 2 12" xfId="9584"/>
    <cellStyle name="Vírgula 4 2 12 2" xfId="36100"/>
    <cellStyle name="Vírgula 4 2 13" xfId="29582"/>
    <cellStyle name="Vírgula 4 2 14" xfId="21452"/>
    <cellStyle name="Vírgula 4 2 2" xfId="88"/>
    <cellStyle name="Vírgula 4 2 2 10" xfId="29622"/>
    <cellStyle name="Vírgula 4 2 2 11" xfId="22630"/>
    <cellStyle name="Vírgula 4 2 2 2" xfId="4495"/>
    <cellStyle name="Vírgula 4 2 2 2 2" xfId="6267"/>
    <cellStyle name="Vírgula 4 2 2 2 2 2" xfId="9399"/>
    <cellStyle name="Vírgula 4 2 2 2 2 2 2" xfId="21253"/>
    <cellStyle name="Vírgula 4 2 2 2 2 2 2 2" xfId="47732"/>
    <cellStyle name="Vírgula 4 2 2 2 2 2 3" xfId="15326"/>
    <cellStyle name="Vírgula 4 2 2 2 2 2 3 2" xfId="41824"/>
    <cellStyle name="Vírgula 4 2 2 2 2 2 4" xfId="35916"/>
    <cellStyle name="Vírgula 4 2 2 2 2 2 5" xfId="29382"/>
    <cellStyle name="Vírgula 4 2 2 2 2 3" xfId="18289"/>
    <cellStyle name="Vírgula 4 2 2 2 2 3 2" xfId="44778"/>
    <cellStyle name="Vírgula 4 2 2 2 2 4" xfId="12362"/>
    <cellStyle name="Vírgula 4 2 2 2 2 4 2" xfId="38870"/>
    <cellStyle name="Vírgula 4 2 2 2 2 5" xfId="32794"/>
    <cellStyle name="Vírgula 4 2 2 2 2 6" xfId="26260"/>
    <cellStyle name="Vírgula 4 2 2 2 3" xfId="7931"/>
    <cellStyle name="Vírgula 4 2 2 2 3 2" xfId="19785"/>
    <cellStyle name="Vírgula 4 2 2 2 3 2 2" xfId="46264"/>
    <cellStyle name="Vírgula 4 2 2 2 3 3" xfId="13858"/>
    <cellStyle name="Vírgula 4 2 2 2 3 3 2" xfId="40356"/>
    <cellStyle name="Vírgula 4 2 2 2 3 4" xfId="34448"/>
    <cellStyle name="Vírgula 4 2 2 2 3 5" xfId="27914"/>
    <cellStyle name="Vírgula 4 2 2 2 4" xfId="16821"/>
    <cellStyle name="Vírgula 4 2 2 2 4 2" xfId="43310"/>
    <cellStyle name="Vírgula 4 2 2 2 4 3" xfId="24488"/>
    <cellStyle name="Vírgula 4 2 2 2 5" xfId="10894"/>
    <cellStyle name="Vírgula 4 2 2 2 5 2" xfId="37402"/>
    <cellStyle name="Vírgula 4 2 2 2 6" xfId="31022"/>
    <cellStyle name="Vírgula 4 2 2 2 7" xfId="22716"/>
    <cellStyle name="Vírgula 4 2 2 3" xfId="4619"/>
    <cellStyle name="Vírgula 4 2 2 3 2" xfId="6391"/>
    <cellStyle name="Vírgula 4 2 2 3 2 2" xfId="9461"/>
    <cellStyle name="Vírgula 4 2 2 3 2 2 2" xfId="21315"/>
    <cellStyle name="Vírgula 4 2 2 3 2 2 2 2" xfId="47794"/>
    <cellStyle name="Vírgula 4 2 2 3 2 2 3" xfId="15388"/>
    <cellStyle name="Vírgula 4 2 2 3 2 2 3 2" xfId="41886"/>
    <cellStyle name="Vírgula 4 2 2 3 2 2 4" xfId="35978"/>
    <cellStyle name="Vírgula 4 2 2 3 2 2 5" xfId="29444"/>
    <cellStyle name="Vírgula 4 2 2 3 2 3" xfId="18351"/>
    <cellStyle name="Vírgula 4 2 2 3 2 3 2" xfId="44840"/>
    <cellStyle name="Vírgula 4 2 2 3 2 4" xfId="12424"/>
    <cellStyle name="Vírgula 4 2 2 3 2 4 2" xfId="38932"/>
    <cellStyle name="Vírgula 4 2 2 3 2 5" xfId="32918"/>
    <cellStyle name="Vírgula 4 2 2 3 2 6" xfId="26384"/>
    <cellStyle name="Vírgula 4 2 2 3 3" xfId="7993"/>
    <cellStyle name="Vírgula 4 2 2 3 3 2" xfId="19847"/>
    <cellStyle name="Vírgula 4 2 2 3 3 2 2" xfId="46326"/>
    <cellStyle name="Vírgula 4 2 2 3 3 3" xfId="13920"/>
    <cellStyle name="Vírgula 4 2 2 3 3 3 2" xfId="40418"/>
    <cellStyle name="Vírgula 4 2 2 3 3 4" xfId="34510"/>
    <cellStyle name="Vírgula 4 2 2 3 3 5" xfId="27976"/>
    <cellStyle name="Vírgula 4 2 2 3 4" xfId="16883"/>
    <cellStyle name="Vírgula 4 2 2 3 4 2" xfId="43372"/>
    <cellStyle name="Vírgula 4 2 2 3 4 3" xfId="24612"/>
    <cellStyle name="Vírgula 4 2 2 3 5" xfId="10956"/>
    <cellStyle name="Vírgula 4 2 2 3 5 2" xfId="37464"/>
    <cellStyle name="Vírgula 4 2 2 3 6" xfId="31146"/>
    <cellStyle name="Vírgula 4 2 2 3 7" xfId="22840"/>
    <cellStyle name="Vírgula 4 2 2 4" xfId="4743"/>
    <cellStyle name="Vírgula 4 2 2 4 2" xfId="6515"/>
    <cellStyle name="Vírgula 4 2 2 4 2 2" xfId="9523"/>
    <cellStyle name="Vírgula 4 2 2 4 2 2 2" xfId="21377"/>
    <cellStyle name="Vírgula 4 2 2 4 2 2 2 2" xfId="47856"/>
    <cellStyle name="Vírgula 4 2 2 4 2 2 3" xfId="15450"/>
    <cellStyle name="Vírgula 4 2 2 4 2 2 3 2" xfId="41948"/>
    <cellStyle name="Vírgula 4 2 2 4 2 2 4" xfId="36040"/>
    <cellStyle name="Vírgula 4 2 2 4 2 2 5" xfId="29506"/>
    <cellStyle name="Vírgula 4 2 2 4 2 3" xfId="18413"/>
    <cellStyle name="Vírgula 4 2 2 4 2 3 2" xfId="44902"/>
    <cellStyle name="Vírgula 4 2 2 4 2 4" xfId="12486"/>
    <cellStyle name="Vírgula 4 2 2 4 2 4 2" xfId="38994"/>
    <cellStyle name="Vírgula 4 2 2 4 2 5" xfId="33042"/>
    <cellStyle name="Vírgula 4 2 2 4 2 6" xfId="26508"/>
    <cellStyle name="Vírgula 4 2 2 4 3" xfId="8055"/>
    <cellStyle name="Vírgula 4 2 2 4 3 2" xfId="19909"/>
    <cellStyle name="Vírgula 4 2 2 4 3 2 2" xfId="46388"/>
    <cellStyle name="Vírgula 4 2 2 4 3 3" xfId="13982"/>
    <cellStyle name="Vírgula 4 2 2 4 3 3 2" xfId="40480"/>
    <cellStyle name="Vírgula 4 2 2 4 3 4" xfId="34572"/>
    <cellStyle name="Vírgula 4 2 2 4 3 5" xfId="28038"/>
    <cellStyle name="Vírgula 4 2 2 4 4" xfId="16945"/>
    <cellStyle name="Vírgula 4 2 2 4 4 2" xfId="43434"/>
    <cellStyle name="Vírgula 4 2 2 4 4 3" xfId="24736"/>
    <cellStyle name="Vírgula 4 2 2 4 5" xfId="11018"/>
    <cellStyle name="Vírgula 4 2 2 4 5 2" xfId="37526"/>
    <cellStyle name="Vírgula 4 2 2 4 6" xfId="31270"/>
    <cellStyle name="Vírgula 4 2 2 4 7" xfId="22964"/>
    <cellStyle name="Vírgula 4 2 2 5" xfId="4409"/>
    <cellStyle name="Vírgula 4 2 2 5 2" xfId="6181"/>
    <cellStyle name="Vírgula 4 2 2 5 2 2" xfId="9356"/>
    <cellStyle name="Vírgula 4 2 2 5 2 2 2" xfId="21210"/>
    <cellStyle name="Vírgula 4 2 2 5 2 2 2 2" xfId="47689"/>
    <cellStyle name="Vírgula 4 2 2 5 2 2 3" xfId="15283"/>
    <cellStyle name="Vírgula 4 2 2 5 2 2 3 2" xfId="41781"/>
    <cellStyle name="Vírgula 4 2 2 5 2 2 4" xfId="35873"/>
    <cellStyle name="Vírgula 4 2 2 5 2 2 5" xfId="29339"/>
    <cellStyle name="Vírgula 4 2 2 5 2 3" xfId="18246"/>
    <cellStyle name="Vírgula 4 2 2 5 2 3 2" xfId="44735"/>
    <cellStyle name="Vírgula 4 2 2 5 2 4" xfId="12319"/>
    <cellStyle name="Vírgula 4 2 2 5 2 4 2" xfId="38827"/>
    <cellStyle name="Vírgula 4 2 2 5 2 5" xfId="32708"/>
    <cellStyle name="Vírgula 4 2 2 5 2 6" xfId="26174"/>
    <cellStyle name="Vírgula 4 2 2 5 3" xfId="7888"/>
    <cellStyle name="Vírgula 4 2 2 5 3 2" xfId="19742"/>
    <cellStyle name="Vírgula 4 2 2 5 3 2 2" xfId="46221"/>
    <cellStyle name="Vírgula 4 2 2 5 3 3" xfId="13815"/>
    <cellStyle name="Vírgula 4 2 2 5 3 3 2" xfId="40313"/>
    <cellStyle name="Vírgula 4 2 2 5 3 4" xfId="34405"/>
    <cellStyle name="Vírgula 4 2 2 5 3 5" xfId="27871"/>
    <cellStyle name="Vírgula 4 2 2 5 4" xfId="16778"/>
    <cellStyle name="Vírgula 4 2 2 5 4 2" xfId="43267"/>
    <cellStyle name="Vírgula 4 2 2 5 5" xfId="10851"/>
    <cellStyle name="Vírgula 4 2 2 5 5 2" xfId="37359"/>
    <cellStyle name="Vírgula 4 2 2 5 6" xfId="30936"/>
    <cellStyle name="Vírgula 4 2 2 5 7" xfId="24402"/>
    <cellStyle name="Vírgula 4 2 2 6" xfId="4867"/>
    <cellStyle name="Vírgula 4 2 2 6 2" xfId="8117"/>
    <cellStyle name="Vírgula 4 2 2 6 2 2" xfId="19971"/>
    <cellStyle name="Vírgula 4 2 2 6 2 2 2" xfId="46450"/>
    <cellStyle name="Vírgula 4 2 2 6 2 3" xfId="14044"/>
    <cellStyle name="Vírgula 4 2 2 6 2 3 2" xfId="40542"/>
    <cellStyle name="Vírgula 4 2 2 6 2 4" xfId="34634"/>
    <cellStyle name="Vírgula 4 2 2 6 2 5" xfId="28100"/>
    <cellStyle name="Vírgula 4 2 2 6 3" xfId="17007"/>
    <cellStyle name="Vírgula 4 2 2 6 3 2" xfId="43496"/>
    <cellStyle name="Vírgula 4 2 2 6 4" xfId="11080"/>
    <cellStyle name="Vírgula 4 2 2 6 4 2" xfId="37588"/>
    <cellStyle name="Vírgula 4 2 2 6 5" xfId="31394"/>
    <cellStyle name="Vírgula 4 2 2 6 6" xfId="24860"/>
    <cellStyle name="Vírgula 4 2 2 7" xfId="6641"/>
    <cellStyle name="Vírgula 4 2 2 7 2" xfId="18495"/>
    <cellStyle name="Vírgula 4 2 2 7 2 2" xfId="44982"/>
    <cellStyle name="Vírgula 4 2 2 7 3" xfId="12568"/>
    <cellStyle name="Vírgula 4 2 2 7 3 2" xfId="39074"/>
    <cellStyle name="Vírgula 4 2 2 7 4" xfId="33166"/>
    <cellStyle name="Vírgula 4 2 2 7 5" xfId="26632"/>
    <cellStyle name="Vírgula 4 2 2 8" xfId="15531"/>
    <cellStyle name="Vírgula 4 2 2 8 2" xfId="42028"/>
    <cellStyle name="Vírgula 4 2 2 8 3" xfId="23088"/>
    <cellStyle name="Vírgula 4 2 2 9" xfId="9604"/>
    <cellStyle name="Vírgula 4 2 2 9 2" xfId="36120"/>
    <cellStyle name="Vírgula 4 2 3" xfId="126"/>
    <cellStyle name="Vírgula 4 2 3 10" xfId="29660"/>
    <cellStyle name="Vírgula 4 2 3 11" xfId="22590"/>
    <cellStyle name="Vírgula 4 2 3 2" xfId="4533"/>
    <cellStyle name="Vírgula 4 2 3 2 2" xfId="6305"/>
    <cellStyle name="Vírgula 4 2 3 2 2 2" xfId="9418"/>
    <cellStyle name="Vírgula 4 2 3 2 2 2 2" xfId="21272"/>
    <cellStyle name="Vírgula 4 2 3 2 2 2 2 2" xfId="47751"/>
    <cellStyle name="Vírgula 4 2 3 2 2 2 3" xfId="15345"/>
    <cellStyle name="Vírgula 4 2 3 2 2 2 3 2" xfId="41843"/>
    <cellStyle name="Vírgula 4 2 3 2 2 2 4" xfId="35935"/>
    <cellStyle name="Vírgula 4 2 3 2 2 2 5" xfId="29401"/>
    <cellStyle name="Vírgula 4 2 3 2 2 3" xfId="18308"/>
    <cellStyle name="Vírgula 4 2 3 2 2 3 2" xfId="44797"/>
    <cellStyle name="Vírgula 4 2 3 2 2 4" xfId="12381"/>
    <cellStyle name="Vírgula 4 2 3 2 2 4 2" xfId="38889"/>
    <cellStyle name="Vírgula 4 2 3 2 2 5" xfId="32832"/>
    <cellStyle name="Vírgula 4 2 3 2 2 6" xfId="26298"/>
    <cellStyle name="Vírgula 4 2 3 2 3" xfId="7950"/>
    <cellStyle name="Vírgula 4 2 3 2 3 2" xfId="19804"/>
    <cellStyle name="Vírgula 4 2 3 2 3 2 2" xfId="46283"/>
    <cellStyle name="Vírgula 4 2 3 2 3 3" xfId="13877"/>
    <cellStyle name="Vírgula 4 2 3 2 3 3 2" xfId="40375"/>
    <cellStyle name="Vírgula 4 2 3 2 3 4" xfId="34467"/>
    <cellStyle name="Vírgula 4 2 3 2 3 5" xfId="27933"/>
    <cellStyle name="Vírgula 4 2 3 2 4" xfId="16840"/>
    <cellStyle name="Vírgula 4 2 3 2 4 2" xfId="43329"/>
    <cellStyle name="Vírgula 4 2 3 2 4 3" xfId="24526"/>
    <cellStyle name="Vírgula 4 2 3 2 5" xfId="10913"/>
    <cellStyle name="Vírgula 4 2 3 2 5 2" xfId="37421"/>
    <cellStyle name="Vírgula 4 2 3 2 6" xfId="31060"/>
    <cellStyle name="Vírgula 4 2 3 2 7" xfId="22754"/>
    <cellStyle name="Vírgula 4 2 3 3" xfId="4657"/>
    <cellStyle name="Vírgula 4 2 3 3 2" xfId="6429"/>
    <cellStyle name="Vírgula 4 2 3 3 2 2" xfId="9480"/>
    <cellStyle name="Vírgula 4 2 3 3 2 2 2" xfId="21334"/>
    <cellStyle name="Vírgula 4 2 3 3 2 2 2 2" xfId="47813"/>
    <cellStyle name="Vírgula 4 2 3 3 2 2 3" xfId="15407"/>
    <cellStyle name="Vírgula 4 2 3 3 2 2 3 2" xfId="41905"/>
    <cellStyle name="Vírgula 4 2 3 3 2 2 4" xfId="35997"/>
    <cellStyle name="Vírgula 4 2 3 3 2 2 5" xfId="29463"/>
    <cellStyle name="Vírgula 4 2 3 3 2 3" xfId="18370"/>
    <cellStyle name="Vírgula 4 2 3 3 2 3 2" xfId="44859"/>
    <cellStyle name="Vírgula 4 2 3 3 2 4" xfId="12443"/>
    <cellStyle name="Vírgula 4 2 3 3 2 4 2" xfId="38951"/>
    <cellStyle name="Vírgula 4 2 3 3 2 5" xfId="32956"/>
    <cellStyle name="Vírgula 4 2 3 3 2 6" xfId="26422"/>
    <cellStyle name="Vírgula 4 2 3 3 3" xfId="8012"/>
    <cellStyle name="Vírgula 4 2 3 3 3 2" xfId="19866"/>
    <cellStyle name="Vírgula 4 2 3 3 3 2 2" xfId="46345"/>
    <cellStyle name="Vírgula 4 2 3 3 3 3" xfId="13939"/>
    <cellStyle name="Vírgula 4 2 3 3 3 3 2" xfId="40437"/>
    <cellStyle name="Vírgula 4 2 3 3 3 4" xfId="34529"/>
    <cellStyle name="Vírgula 4 2 3 3 3 5" xfId="27995"/>
    <cellStyle name="Vírgula 4 2 3 3 4" xfId="16902"/>
    <cellStyle name="Vírgula 4 2 3 3 4 2" xfId="43391"/>
    <cellStyle name="Vírgula 4 2 3 3 4 3" xfId="24650"/>
    <cellStyle name="Vírgula 4 2 3 3 5" xfId="10975"/>
    <cellStyle name="Vírgula 4 2 3 3 5 2" xfId="37483"/>
    <cellStyle name="Vírgula 4 2 3 3 6" xfId="31184"/>
    <cellStyle name="Vírgula 4 2 3 3 7" xfId="22878"/>
    <cellStyle name="Vírgula 4 2 3 4" xfId="4781"/>
    <cellStyle name="Vírgula 4 2 3 4 2" xfId="6553"/>
    <cellStyle name="Vírgula 4 2 3 4 2 2" xfId="9542"/>
    <cellStyle name="Vírgula 4 2 3 4 2 2 2" xfId="21396"/>
    <cellStyle name="Vírgula 4 2 3 4 2 2 2 2" xfId="47875"/>
    <cellStyle name="Vírgula 4 2 3 4 2 2 3" xfId="15469"/>
    <cellStyle name="Vírgula 4 2 3 4 2 2 3 2" xfId="41967"/>
    <cellStyle name="Vírgula 4 2 3 4 2 2 4" xfId="36059"/>
    <cellStyle name="Vírgula 4 2 3 4 2 2 5" xfId="29525"/>
    <cellStyle name="Vírgula 4 2 3 4 2 3" xfId="18432"/>
    <cellStyle name="Vírgula 4 2 3 4 2 3 2" xfId="44921"/>
    <cellStyle name="Vírgula 4 2 3 4 2 4" xfId="12505"/>
    <cellStyle name="Vírgula 4 2 3 4 2 4 2" xfId="39013"/>
    <cellStyle name="Vírgula 4 2 3 4 2 5" xfId="33080"/>
    <cellStyle name="Vírgula 4 2 3 4 2 6" xfId="26546"/>
    <cellStyle name="Vírgula 4 2 3 4 3" xfId="8074"/>
    <cellStyle name="Vírgula 4 2 3 4 3 2" xfId="19928"/>
    <cellStyle name="Vírgula 4 2 3 4 3 2 2" xfId="46407"/>
    <cellStyle name="Vírgula 4 2 3 4 3 3" xfId="14001"/>
    <cellStyle name="Vírgula 4 2 3 4 3 3 2" xfId="40499"/>
    <cellStyle name="Vírgula 4 2 3 4 3 4" xfId="34591"/>
    <cellStyle name="Vírgula 4 2 3 4 3 5" xfId="28057"/>
    <cellStyle name="Vírgula 4 2 3 4 4" xfId="16964"/>
    <cellStyle name="Vírgula 4 2 3 4 4 2" xfId="43453"/>
    <cellStyle name="Vírgula 4 2 3 4 4 3" xfId="24774"/>
    <cellStyle name="Vírgula 4 2 3 4 5" xfId="11037"/>
    <cellStyle name="Vírgula 4 2 3 4 5 2" xfId="37545"/>
    <cellStyle name="Vírgula 4 2 3 4 6" xfId="31308"/>
    <cellStyle name="Vírgula 4 2 3 4 7" xfId="23002"/>
    <cellStyle name="Vírgula 4 2 3 5" xfId="4369"/>
    <cellStyle name="Vírgula 4 2 3 5 2" xfId="6141"/>
    <cellStyle name="Vírgula 4 2 3 5 2 2" xfId="9336"/>
    <cellStyle name="Vírgula 4 2 3 5 2 2 2" xfId="21190"/>
    <cellStyle name="Vírgula 4 2 3 5 2 2 2 2" xfId="47669"/>
    <cellStyle name="Vírgula 4 2 3 5 2 2 3" xfId="15263"/>
    <cellStyle name="Vírgula 4 2 3 5 2 2 3 2" xfId="41761"/>
    <cellStyle name="Vírgula 4 2 3 5 2 2 4" xfId="35853"/>
    <cellStyle name="Vírgula 4 2 3 5 2 2 5" xfId="29319"/>
    <cellStyle name="Vírgula 4 2 3 5 2 3" xfId="18226"/>
    <cellStyle name="Vírgula 4 2 3 5 2 3 2" xfId="44715"/>
    <cellStyle name="Vírgula 4 2 3 5 2 4" xfId="12299"/>
    <cellStyle name="Vírgula 4 2 3 5 2 4 2" xfId="38807"/>
    <cellStyle name="Vírgula 4 2 3 5 2 5" xfId="32668"/>
    <cellStyle name="Vírgula 4 2 3 5 2 6" xfId="26134"/>
    <cellStyle name="Vírgula 4 2 3 5 3" xfId="7868"/>
    <cellStyle name="Vírgula 4 2 3 5 3 2" xfId="19722"/>
    <cellStyle name="Vírgula 4 2 3 5 3 2 2" xfId="46201"/>
    <cellStyle name="Vírgula 4 2 3 5 3 3" xfId="13795"/>
    <cellStyle name="Vírgula 4 2 3 5 3 3 2" xfId="40293"/>
    <cellStyle name="Vírgula 4 2 3 5 3 4" xfId="34385"/>
    <cellStyle name="Vírgula 4 2 3 5 3 5" xfId="27851"/>
    <cellStyle name="Vírgula 4 2 3 5 4" xfId="16758"/>
    <cellStyle name="Vírgula 4 2 3 5 4 2" xfId="43247"/>
    <cellStyle name="Vírgula 4 2 3 5 5" xfId="10831"/>
    <cellStyle name="Vírgula 4 2 3 5 5 2" xfId="37339"/>
    <cellStyle name="Vírgula 4 2 3 5 6" xfId="30896"/>
    <cellStyle name="Vírgula 4 2 3 5 7" xfId="24362"/>
    <cellStyle name="Vírgula 4 2 3 6" xfId="4905"/>
    <cellStyle name="Vírgula 4 2 3 6 2" xfId="8136"/>
    <cellStyle name="Vírgula 4 2 3 6 2 2" xfId="19990"/>
    <cellStyle name="Vírgula 4 2 3 6 2 2 2" xfId="46469"/>
    <cellStyle name="Vírgula 4 2 3 6 2 3" xfId="14063"/>
    <cellStyle name="Vírgula 4 2 3 6 2 3 2" xfId="40561"/>
    <cellStyle name="Vírgula 4 2 3 6 2 4" xfId="34653"/>
    <cellStyle name="Vírgula 4 2 3 6 2 5" xfId="28119"/>
    <cellStyle name="Vírgula 4 2 3 6 3" xfId="17026"/>
    <cellStyle name="Vírgula 4 2 3 6 3 2" xfId="43515"/>
    <cellStyle name="Vírgula 4 2 3 6 4" xfId="11099"/>
    <cellStyle name="Vírgula 4 2 3 6 4 2" xfId="37607"/>
    <cellStyle name="Vírgula 4 2 3 6 5" xfId="31432"/>
    <cellStyle name="Vírgula 4 2 3 6 6" xfId="24898"/>
    <cellStyle name="Vírgula 4 2 3 7" xfId="6660"/>
    <cellStyle name="Vírgula 4 2 3 7 2" xfId="18514"/>
    <cellStyle name="Vírgula 4 2 3 7 2 2" xfId="45001"/>
    <cellStyle name="Vírgula 4 2 3 7 3" xfId="12587"/>
    <cellStyle name="Vírgula 4 2 3 7 3 2" xfId="39093"/>
    <cellStyle name="Vírgula 4 2 3 7 4" xfId="33185"/>
    <cellStyle name="Vírgula 4 2 3 7 5" xfId="26651"/>
    <cellStyle name="Vírgula 4 2 3 8" xfId="15550"/>
    <cellStyle name="Vírgula 4 2 3 8 2" xfId="42047"/>
    <cellStyle name="Vírgula 4 2 3 8 3" xfId="23126"/>
    <cellStyle name="Vírgula 4 2 3 9" xfId="9623"/>
    <cellStyle name="Vírgula 4 2 3 9 2" xfId="36139"/>
    <cellStyle name="Vírgula 4 2 4" xfId="4455"/>
    <cellStyle name="Vírgula 4 2 4 2" xfId="6227"/>
    <cellStyle name="Vírgula 4 2 4 2 2" xfId="9379"/>
    <cellStyle name="Vírgula 4 2 4 2 2 2" xfId="21233"/>
    <cellStyle name="Vírgula 4 2 4 2 2 2 2" xfId="47712"/>
    <cellStyle name="Vírgula 4 2 4 2 2 3" xfId="15306"/>
    <cellStyle name="Vírgula 4 2 4 2 2 3 2" xfId="41804"/>
    <cellStyle name="Vírgula 4 2 4 2 2 4" xfId="35896"/>
    <cellStyle name="Vírgula 4 2 4 2 2 5" xfId="29362"/>
    <cellStyle name="Vírgula 4 2 4 2 3" xfId="18269"/>
    <cellStyle name="Vírgula 4 2 4 2 3 2" xfId="44758"/>
    <cellStyle name="Vírgula 4 2 4 2 4" xfId="12342"/>
    <cellStyle name="Vírgula 4 2 4 2 4 2" xfId="38850"/>
    <cellStyle name="Vírgula 4 2 4 2 5" xfId="32754"/>
    <cellStyle name="Vírgula 4 2 4 2 6" xfId="26220"/>
    <cellStyle name="Vírgula 4 2 4 3" xfId="7911"/>
    <cellStyle name="Vírgula 4 2 4 3 2" xfId="19765"/>
    <cellStyle name="Vírgula 4 2 4 3 2 2" xfId="46244"/>
    <cellStyle name="Vírgula 4 2 4 3 3" xfId="13838"/>
    <cellStyle name="Vírgula 4 2 4 3 3 2" xfId="40336"/>
    <cellStyle name="Vírgula 4 2 4 3 4" xfId="34428"/>
    <cellStyle name="Vírgula 4 2 4 3 5" xfId="27894"/>
    <cellStyle name="Vírgula 4 2 4 4" xfId="16801"/>
    <cellStyle name="Vírgula 4 2 4 4 2" xfId="43290"/>
    <cellStyle name="Vírgula 4 2 4 4 3" xfId="24448"/>
    <cellStyle name="Vírgula 4 2 4 5" xfId="10874"/>
    <cellStyle name="Vírgula 4 2 4 5 2" xfId="37382"/>
    <cellStyle name="Vírgula 4 2 4 6" xfId="30982"/>
    <cellStyle name="Vírgula 4 2 4 7" xfId="22676"/>
    <cellStyle name="Vírgula 4 2 5" xfId="4579"/>
    <cellStyle name="Vírgula 4 2 5 2" xfId="6351"/>
    <cellStyle name="Vírgula 4 2 5 2 2" xfId="9441"/>
    <cellStyle name="Vírgula 4 2 5 2 2 2" xfId="21295"/>
    <cellStyle name="Vírgula 4 2 5 2 2 2 2" xfId="47774"/>
    <cellStyle name="Vírgula 4 2 5 2 2 3" xfId="15368"/>
    <cellStyle name="Vírgula 4 2 5 2 2 3 2" xfId="41866"/>
    <cellStyle name="Vírgula 4 2 5 2 2 4" xfId="35958"/>
    <cellStyle name="Vírgula 4 2 5 2 2 5" xfId="29424"/>
    <cellStyle name="Vírgula 4 2 5 2 3" xfId="18331"/>
    <cellStyle name="Vírgula 4 2 5 2 3 2" xfId="44820"/>
    <cellStyle name="Vírgula 4 2 5 2 4" xfId="12404"/>
    <cellStyle name="Vírgula 4 2 5 2 4 2" xfId="38912"/>
    <cellStyle name="Vírgula 4 2 5 2 5" xfId="32878"/>
    <cellStyle name="Vírgula 4 2 5 2 6" xfId="26344"/>
    <cellStyle name="Vírgula 4 2 5 3" xfId="7973"/>
    <cellStyle name="Vírgula 4 2 5 3 2" xfId="19827"/>
    <cellStyle name="Vírgula 4 2 5 3 2 2" xfId="46306"/>
    <cellStyle name="Vírgula 4 2 5 3 3" xfId="13900"/>
    <cellStyle name="Vírgula 4 2 5 3 3 2" xfId="40398"/>
    <cellStyle name="Vírgula 4 2 5 3 4" xfId="34490"/>
    <cellStyle name="Vírgula 4 2 5 3 5" xfId="27956"/>
    <cellStyle name="Vírgula 4 2 5 4" xfId="16863"/>
    <cellStyle name="Vírgula 4 2 5 4 2" xfId="43352"/>
    <cellStyle name="Vírgula 4 2 5 4 3" xfId="24572"/>
    <cellStyle name="Vírgula 4 2 5 5" xfId="10936"/>
    <cellStyle name="Vírgula 4 2 5 5 2" xfId="37444"/>
    <cellStyle name="Vírgula 4 2 5 6" xfId="31106"/>
    <cellStyle name="Vírgula 4 2 5 7" xfId="22800"/>
    <cellStyle name="Vírgula 4 2 6" xfId="4703"/>
    <cellStyle name="Vírgula 4 2 6 2" xfId="6475"/>
    <cellStyle name="Vírgula 4 2 6 2 2" xfId="9503"/>
    <cellStyle name="Vírgula 4 2 6 2 2 2" xfId="21357"/>
    <cellStyle name="Vírgula 4 2 6 2 2 2 2" xfId="47836"/>
    <cellStyle name="Vírgula 4 2 6 2 2 3" xfId="15430"/>
    <cellStyle name="Vírgula 4 2 6 2 2 3 2" xfId="41928"/>
    <cellStyle name="Vírgula 4 2 6 2 2 4" xfId="36020"/>
    <cellStyle name="Vírgula 4 2 6 2 2 5" xfId="29486"/>
    <cellStyle name="Vírgula 4 2 6 2 3" xfId="18393"/>
    <cellStyle name="Vírgula 4 2 6 2 3 2" xfId="44882"/>
    <cellStyle name="Vírgula 4 2 6 2 4" xfId="12466"/>
    <cellStyle name="Vírgula 4 2 6 2 4 2" xfId="38974"/>
    <cellStyle name="Vírgula 4 2 6 2 5" xfId="33002"/>
    <cellStyle name="Vírgula 4 2 6 2 6" xfId="26468"/>
    <cellStyle name="Vírgula 4 2 6 3" xfId="8035"/>
    <cellStyle name="Vírgula 4 2 6 3 2" xfId="19889"/>
    <cellStyle name="Vírgula 4 2 6 3 2 2" xfId="46368"/>
    <cellStyle name="Vírgula 4 2 6 3 3" xfId="13962"/>
    <cellStyle name="Vírgula 4 2 6 3 3 2" xfId="40460"/>
    <cellStyle name="Vírgula 4 2 6 3 4" xfId="34552"/>
    <cellStyle name="Vírgula 4 2 6 3 5" xfId="28018"/>
    <cellStyle name="Vírgula 4 2 6 4" xfId="16925"/>
    <cellStyle name="Vírgula 4 2 6 4 2" xfId="43414"/>
    <cellStyle name="Vírgula 4 2 6 4 3" xfId="24696"/>
    <cellStyle name="Vírgula 4 2 6 5" xfId="10998"/>
    <cellStyle name="Vírgula 4 2 6 5 2" xfId="37506"/>
    <cellStyle name="Vírgula 4 2 6 6" xfId="31230"/>
    <cellStyle name="Vírgula 4 2 6 7" xfId="22924"/>
    <cellStyle name="Vírgula 4 2 7" xfId="342"/>
    <cellStyle name="Vírgula 4 2 7 2" xfId="4979"/>
    <cellStyle name="Vírgula 4 2 7 2 2" xfId="8198"/>
    <cellStyle name="Vírgula 4 2 7 2 2 2" xfId="20052"/>
    <cellStyle name="Vírgula 4 2 7 2 2 2 2" xfId="46531"/>
    <cellStyle name="Vírgula 4 2 7 2 2 3" xfId="14125"/>
    <cellStyle name="Vírgula 4 2 7 2 2 3 2" xfId="40623"/>
    <cellStyle name="Vírgula 4 2 7 2 2 4" xfId="34715"/>
    <cellStyle name="Vírgula 4 2 7 2 2 5" xfId="28181"/>
    <cellStyle name="Vírgula 4 2 7 2 3" xfId="17088"/>
    <cellStyle name="Vírgula 4 2 7 2 3 2" xfId="43577"/>
    <cellStyle name="Vírgula 4 2 7 2 4" xfId="11161"/>
    <cellStyle name="Vírgula 4 2 7 2 4 2" xfId="37669"/>
    <cellStyle name="Vírgula 4 2 7 2 5" xfId="31506"/>
    <cellStyle name="Vírgula 4 2 7 2 6" xfId="24972"/>
    <cellStyle name="Vírgula 4 2 7 3" xfId="6722"/>
    <cellStyle name="Vírgula 4 2 7 3 2" xfId="18576"/>
    <cellStyle name="Vírgula 4 2 7 3 2 2" xfId="45063"/>
    <cellStyle name="Vírgula 4 2 7 3 3" xfId="12649"/>
    <cellStyle name="Vírgula 4 2 7 3 3 2" xfId="39155"/>
    <cellStyle name="Vírgula 4 2 7 3 4" xfId="33247"/>
    <cellStyle name="Vírgula 4 2 7 3 5" xfId="26713"/>
    <cellStyle name="Vírgula 4 2 7 4" xfId="15612"/>
    <cellStyle name="Vírgula 4 2 7 4 2" xfId="42109"/>
    <cellStyle name="Vírgula 4 2 7 5" xfId="9685"/>
    <cellStyle name="Vírgula 4 2 7 5 2" xfId="36201"/>
    <cellStyle name="Vírgula 4 2 7 6" xfId="29734"/>
    <cellStyle name="Vírgula 4 2 7 7" xfId="23200"/>
    <cellStyle name="Vírgula 4 2 8" xfId="4827"/>
    <cellStyle name="Vírgula 4 2 8 2" xfId="8097"/>
    <cellStyle name="Vírgula 4 2 8 2 2" xfId="19951"/>
    <cellStyle name="Vírgula 4 2 8 2 2 2" xfId="46430"/>
    <cellStyle name="Vírgula 4 2 8 2 3" xfId="14024"/>
    <cellStyle name="Vírgula 4 2 8 2 3 2" xfId="40522"/>
    <cellStyle name="Vírgula 4 2 8 2 4" xfId="34614"/>
    <cellStyle name="Vírgula 4 2 8 2 5" xfId="28080"/>
    <cellStyle name="Vírgula 4 2 8 3" xfId="16987"/>
    <cellStyle name="Vírgula 4 2 8 3 2" xfId="43476"/>
    <cellStyle name="Vírgula 4 2 8 4" xfId="11060"/>
    <cellStyle name="Vírgula 4 2 8 4 2" xfId="37568"/>
    <cellStyle name="Vírgula 4 2 8 5" xfId="31354"/>
    <cellStyle name="Vírgula 4 2 8 6" xfId="24820"/>
    <cellStyle name="Vírgula 4 2 9" xfId="6591"/>
    <cellStyle name="Vírgula 4 2 9 2" xfId="9561"/>
    <cellStyle name="Vírgula 4 2 9 2 2" xfId="21415"/>
    <cellStyle name="Vírgula 4 2 9 2 2 2" xfId="47894"/>
    <cellStyle name="Vírgula 4 2 9 2 3" xfId="15488"/>
    <cellStyle name="Vírgula 4 2 9 2 3 2" xfId="41986"/>
    <cellStyle name="Vírgula 4 2 9 2 4" xfId="36078"/>
    <cellStyle name="Vírgula 4 2 9 2 5" xfId="29544"/>
    <cellStyle name="Vírgula 4 2 9 3" xfId="18451"/>
    <cellStyle name="Vírgula 4 2 9 3 2" xfId="44940"/>
    <cellStyle name="Vírgula 4 2 9 4" xfId="12524"/>
    <cellStyle name="Vírgula 4 2 9 4 2" xfId="39032"/>
    <cellStyle name="Vírgula 4 2 9 5" xfId="33118"/>
    <cellStyle name="Vírgula 4 2 9 6" xfId="26584"/>
    <cellStyle name="Vírgula 4 20" xfId="29564"/>
    <cellStyle name="Vírgula 4 3" xfId="70"/>
    <cellStyle name="Vírgula 4 3 10" xfId="15522"/>
    <cellStyle name="Vírgula 4 3 10 2" xfId="42019"/>
    <cellStyle name="Vírgula 4 3 10 3" xfId="23070"/>
    <cellStyle name="Vírgula 4 3 11" xfId="9595"/>
    <cellStyle name="Vírgula 4 3 11 2" xfId="36111"/>
    <cellStyle name="Vírgula 4 3 12" xfId="29604"/>
    <cellStyle name="Vírgula 4 3 2" xfId="903"/>
    <cellStyle name="Vírgula 4 3 2 2" xfId="5152"/>
    <cellStyle name="Vírgula 4 3 2 2 2" xfId="8367"/>
    <cellStyle name="Vírgula 4 3 2 2 2 2" xfId="20221"/>
    <cellStyle name="Vírgula 4 3 2 2 2 2 2" xfId="46700"/>
    <cellStyle name="Vírgula 4 3 2 2 2 3" xfId="14294"/>
    <cellStyle name="Vírgula 4 3 2 2 2 3 2" xfId="40792"/>
    <cellStyle name="Vírgula 4 3 2 2 2 4" xfId="34884"/>
    <cellStyle name="Vírgula 4 3 2 2 2 5" xfId="28350"/>
    <cellStyle name="Vírgula 4 3 2 2 3" xfId="17257"/>
    <cellStyle name="Vírgula 4 3 2 2 3 2" xfId="43746"/>
    <cellStyle name="Vírgula 4 3 2 2 4" xfId="11330"/>
    <cellStyle name="Vírgula 4 3 2 2 4 2" xfId="37838"/>
    <cellStyle name="Vírgula 4 3 2 2 5" xfId="31679"/>
    <cellStyle name="Vírgula 4 3 2 2 6" xfId="25145"/>
    <cellStyle name="Vírgula 4 3 2 3" xfId="6894"/>
    <cellStyle name="Vírgula 4 3 2 3 2" xfId="18748"/>
    <cellStyle name="Vírgula 4 3 2 3 2 2" xfId="45232"/>
    <cellStyle name="Vírgula 4 3 2 3 3" xfId="12821"/>
    <cellStyle name="Vírgula 4 3 2 3 3 2" xfId="39324"/>
    <cellStyle name="Vírgula 4 3 2 3 4" xfId="33416"/>
    <cellStyle name="Vírgula 4 3 2 3 5" xfId="26882"/>
    <cellStyle name="Vírgula 4 3 2 4" xfId="15784"/>
    <cellStyle name="Vírgula 4 3 2 4 2" xfId="42278"/>
    <cellStyle name="Vírgula 4 3 2 4 3" xfId="23373"/>
    <cellStyle name="Vírgula 4 3 2 5" xfId="9857"/>
    <cellStyle name="Vírgula 4 3 2 5 2" xfId="36370"/>
    <cellStyle name="Vírgula 4 3 2 6" xfId="29907"/>
    <cellStyle name="Vírgula 4 3 2 7" xfId="21601"/>
    <cellStyle name="Vírgula 4 3 3" xfId="4391"/>
    <cellStyle name="Vírgula 4 3 3 2" xfId="6163"/>
    <cellStyle name="Vírgula 4 3 3 2 2" xfId="9347"/>
    <cellStyle name="Vírgula 4 3 3 2 2 2" xfId="21201"/>
    <cellStyle name="Vírgula 4 3 3 2 2 2 2" xfId="47680"/>
    <cellStyle name="Vírgula 4 3 3 2 2 3" xfId="15274"/>
    <cellStyle name="Vírgula 4 3 3 2 2 3 2" xfId="41772"/>
    <cellStyle name="Vírgula 4 3 3 2 2 4" xfId="35864"/>
    <cellStyle name="Vírgula 4 3 3 2 2 5" xfId="29330"/>
    <cellStyle name="Vírgula 4 3 3 2 3" xfId="18237"/>
    <cellStyle name="Vírgula 4 3 3 2 3 2" xfId="44726"/>
    <cellStyle name="Vírgula 4 3 3 2 4" xfId="12310"/>
    <cellStyle name="Vírgula 4 3 3 2 4 2" xfId="38818"/>
    <cellStyle name="Vírgula 4 3 3 2 5" xfId="32690"/>
    <cellStyle name="Vírgula 4 3 3 2 6" xfId="26156"/>
    <cellStyle name="Vírgula 4 3 3 3" xfId="7879"/>
    <cellStyle name="Vírgula 4 3 3 3 2" xfId="19733"/>
    <cellStyle name="Vírgula 4 3 3 3 2 2" xfId="46212"/>
    <cellStyle name="Vírgula 4 3 3 3 3" xfId="13806"/>
    <cellStyle name="Vírgula 4 3 3 3 3 2" xfId="40304"/>
    <cellStyle name="Vírgula 4 3 3 3 4" xfId="34396"/>
    <cellStyle name="Vírgula 4 3 3 3 5" xfId="27862"/>
    <cellStyle name="Vírgula 4 3 3 4" xfId="16769"/>
    <cellStyle name="Vírgula 4 3 3 4 2" xfId="43258"/>
    <cellStyle name="Vírgula 4 3 3 4 3" xfId="24384"/>
    <cellStyle name="Vírgula 4 3 3 5" xfId="10842"/>
    <cellStyle name="Vírgula 4 3 3 5 2" xfId="37350"/>
    <cellStyle name="Vírgula 4 3 3 6" xfId="30918"/>
    <cellStyle name="Vírgula 4 3 3 7" xfId="22612"/>
    <cellStyle name="Vírgula 4 3 4" xfId="4477"/>
    <cellStyle name="Vírgula 4 3 4 2" xfId="6249"/>
    <cellStyle name="Vírgula 4 3 4 2 2" xfId="9390"/>
    <cellStyle name="Vírgula 4 3 4 2 2 2" xfId="21244"/>
    <cellStyle name="Vírgula 4 3 4 2 2 2 2" xfId="47723"/>
    <cellStyle name="Vírgula 4 3 4 2 2 3" xfId="15317"/>
    <cellStyle name="Vírgula 4 3 4 2 2 3 2" xfId="41815"/>
    <cellStyle name="Vírgula 4 3 4 2 2 4" xfId="35907"/>
    <cellStyle name="Vírgula 4 3 4 2 2 5" xfId="29373"/>
    <cellStyle name="Vírgula 4 3 4 2 3" xfId="18280"/>
    <cellStyle name="Vírgula 4 3 4 2 3 2" xfId="44769"/>
    <cellStyle name="Vírgula 4 3 4 2 4" xfId="12353"/>
    <cellStyle name="Vírgula 4 3 4 2 4 2" xfId="38861"/>
    <cellStyle name="Vírgula 4 3 4 2 5" xfId="32776"/>
    <cellStyle name="Vírgula 4 3 4 2 6" xfId="26242"/>
    <cellStyle name="Vírgula 4 3 4 3" xfId="7922"/>
    <cellStyle name="Vírgula 4 3 4 3 2" xfId="19776"/>
    <cellStyle name="Vírgula 4 3 4 3 2 2" xfId="46255"/>
    <cellStyle name="Vírgula 4 3 4 3 3" xfId="13849"/>
    <cellStyle name="Vírgula 4 3 4 3 3 2" xfId="40347"/>
    <cellStyle name="Vírgula 4 3 4 3 4" xfId="34439"/>
    <cellStyle name="Vírgula 4 3 4 3 5" xfId="27905"/>
    <cellStyle name="Vírgula 4 3 4 4" xfId="16812"/>
    <cellStyle name="Vírgula 4 3 4 4 2" xfId="43301"/>
    <cellStyle name="Vírgula 4 3 4 4 3" xfId="24470"/>
    <cellStyle name="Vírgula 4 3 4 5" xfId="10885"/>
    <cellStyle name="Vírgula 4 3 4 5 2" xfId="37393"/>
    <cellStyle name="Vírgula 4 3 4 6" xfId="31004"/>
    <cellStyle name="Vírgula 4 3 4 7" xfId="22698"/>
    <cellStyle name="Vírgula 4 3 5" xfId="4601"/>
    <cellStyle name="Vírgula 4 3 5 2" xfId="6373"/>
    <cellStyle name="Vírgula 4 3 5 2 2" xfId="9452"/>
    <cellStyle name="Vírgula 4 3 5 2 2 2" xfId="21306"/>
    <cellStyle name="Vírgula 4 3 5 2 2 2 2" xfId="47785"/>
    <cellStyle name="Vírgula 4 3 5 2 2 3" xfId="15379"/>
    <cellStyle name="Vírgula 4 3 5 2 2 3 2" xfId="41877"/>
    <cellStyle name="Vírgula 4 3 5 2 2 4" xfId="35969"/>
    <cellStyle name="Vírgula 4 3 5 2 2 5" xfId="29435"/>
    <cellStyle name="Vírgula 4 3 5 2 3" xfId="18342"/>
    <cellStyle name="Vírgula 4 3 5 2 3 2" xfId="44831"/>
    <cellStyle name="Vírgula 4 3 5 2 4" xfId="12415"/>
    <cellStyle name="Vírgula 4 3 5 2 4 2" xfId="38923"/>
    <cellStyle name="Vírgula 4 3 5 2 5" xfId="32900"/>
    <cellStyle name="Vírgula 4 3 5 2 6" xfId="26366"/>
    <cellStyle name="Vírgula 4 3 5 3" xfId="7984"/>
    <cellStyle name="Vírgula 4 3 5 3 2" xfId="19838"/>
    <cellStyle name="Vírgula 4 3 5 3 2 2" xfId="46317"/>
    <cellStyle name="Vírgula 4 3 5 3 3" xfId="13911"/>
    <cellStyle name="Vírgula 4 3 5 3 3 2" xfId="40409"/>
    <cellStyle name="Vírgula 4 3 5 3 4" xfId="34501"/>
    <cellStyle name="Vírgula 4 3 5 3 5" xfId="27967"/>
    <cellStyle name="Vírgula 4 3 5 4" xfId="16874"/>
    <cellStyle name="Vírgula 4 3 5 4 2" xfId="43363"/>
    <cellStyle name="Vírgula 4 3 5 4 3" xfId="24594"/>
    <cellStyle name="Vírgula 4 3 5 5" xfId="10947"/>
    <cellStyle name="Vírgula 4 3 5 5 2" xfId="37455"/>
    <cellStyle name="Vírgula 4 3 5 6" xfId="31128"/>
    <cellStyle name="Vírgula 4 3 5 7" xfId="22822"/>
    <cellStyle name="Vírgula 4 3 6" xfId="4725"/>
    <cellStyle name="Vírgula 4 3 6 2" xfId="6497"/>
    <cellStyle name="Vírgula 4 3 6 2 2" xfId="9514"/>
    <cellStyle name="Vírgula 4 3 6 2 2 2" xfId="21368"/>
    <cellStyle name="Vírgula 4 3 6 2 2 2 2" xfId="47847"/>
    <cellStyle name="Vírgula 4 3 6 2 2 3" xfId="15441"/>
    <cellStyle name="Vírgula 4 3 6 2 2 3 2" xfId="41939"/>
    <cellStyle name="Vírgula 4 3 6 2 2 4" xfId="36031"/>
    <cellStyle name="Vírgula 4 3 6 2 2 5" xfId="29497"/>
    <cellStyle name="Vírgula 4 3 6 2 3" xfId="18404"/>
    <cellStyle name="Vírgula 4 3 6 2 3 2" xfId="44893"/>
    <cellStyle name="Vírgula 4 3 6 2 4" xfId="12477"/>
    <cellStyle name="Vírgula 4 3 6 2 4 2" xfId="38985"/>
    <cellStyle name="Vírgula 4 3 6 2 5" xfId="33024"/>
    <cellStyle name="Vírgula 4 3 6 2 6" xfId="26490"/>
    <cellStyle name="Vírgula 4 3 6 3" xfId="8046"/>
    <cellStyle name="Vírgula 4 3 6 3 2" xfId="19900"/>
    <cellStyle name="Vírgula 4 3 6 3 2 2" xfId="46379"/>
    <cellStyle name="Vírgula 4 3 6 3 3" xfId="13973"/>
    <cellStyle name="Vírgula 4 3 6 3 3 2" xfId="40471"/>
    <cellStyle name="Vírgula 4 3 6 3 4" xfId="34563"/>
    <cellStyle name="Vírgula 4 3 6 3 5" xfId="28029"/>
    <cellStyle name="Vírgula 4 3 6 4" xfId="16936"/>
    <cellStyle name="Vírgula 4 3 6 4 2" xfId="43425"/>
    <cellStyle name="Vírgula 4 3 6 4 3" xfId="24718"/>
    <cellStyle name="Vírgula 4 3 6 5" xfId="11009"/>
    <cellStyle name="Vírgula 4 3 6 5 2" xfId="37517"/>
    <cellStyle name="Vírgula 4 3 6 6" xfId="31252"/>
    <cellStyle name="Vírgula 4 3 6 7" xfId="22946"/>
    <cellStyle name="Vírgula 4 3 7" xfId="438"/>
    <cellStyle name="Vírgula 4 3 7 2" xfId="5010"/>
    <cellStyle name="Vírgula 4 3 7 2 2" xfId="8226"/>
    <cellStyle name="Vírgula 4 3 7 2 2 2" xfId="20080"/>
    <cellStyle name="Vírgula 4 3 7 2 2 2 2" xfId="46559"/>
    <cellStyle name="Vírgula 4 3 7 2 2 3" xfId="14153"/>
    <cellStyle name="Vírgula 4 3 7 2 2 3 2" xfId="40651"/>
    <cellStyle name="Vírgula 4 3 7 2 2 4" xfId="34743"/>
    <cellStyle name="Vírgula 4 3 7 2 2 5" xfId="28209"/>
    <cellStyle name="Vírgula 4 3 7 2 3" xfId="17116"/>
    <cellStyle name="Vírgula 4 3 7 2 3 2" xfId="43605"/>
    <cellStyle name="Vírgula 4 3 7 2 4" xfId="11189"/>
    <cellStyle name="Vírgula 4 3 7 2 4 2" xfId="37697"/>
    <cellStyle name="Vírgula 4 3 7 2 5" xfId="31537"/>
    <cellStyle name="Vírgula 4 3 7 2 6" xfId="25003"/>
    <cellStyle name="Vírgula 4 3 7 3" xfId="6750"/>
    <cellStyle name="Vírgula 4 3 7 3 2" xfId="18604"/>
    <cellStyle name="Vírgula 4 3 7 3 2 2" xfId="45091"/>
    <cellStyle name="Vírgula 4 3 7 3 3" xfId="12677"/>
    <cellStyle name="Vírgula 4 3 7 3 3 2" xfId="39183"/>
    <cellStyle name="Vírgula 4 3 7 3 4" xfId="33275"/>
    <cellStyle name="Vírgula 4 3 7 3 5" xfId="26741"/>
    <cellStyle name="Vírgula 4 3 7 4" xfId="15640"/>
    <cellStyle name="Vírgula 4 3 7 4 2" xfId="42137"/>
    <cellStyle name="Vírgula 4 3 7 5" xfId="9713"/>
    <cellStyle name="Vírgula 4 3 7 5 2" xfId="36229"/>
    <cellStyle name="Vírgula 4 3 7 6" xfId="29765"/>
    <cellStyle name="Vírgula 4 3 7 7" xfId="23231"/>
    <cellStyle name="Vírgula 4 3 8" xfId="4849"/>
    <cellStyle name="Vírgula 4 3 8 2" xfId="8108"/>
    <cellStyle name="Vírgula 4 3 8 2 2" xfId="19962"/>
    <cellStyle name="Vírgula 4 3 8 2 2 2" xfId="46441"/>
    <cellStyle name="Vírgula 4 3 8 2 3" xfId="14035"/>
    <cellStyle name="Vírgula 4 3 8 2 3 2" xfId="40533"/>
    <cellStyle name="Vírgula 4 3 8 2 4" xfId="34625"/>
    <cellStyle name="Vírgula 4 3 8 2 5" xfId="28091"/>
    <cellStyle name="Vírgula 4 3 8 3" xfId="16998"/>
    <cellStyle name="Vírgula 4 3 8 3 2" xfId="43487"/>
    <cellStyle name="Vírgula 4 3 8 4" xfId="11071"/>
    <cellStyle name="Vírgula 4 3 8 4 2" xfId="37579"/>
    <cellStyle name="Vírgula 4 3 8 5" xfId="31376"/>
    <cellStyle name="Vírgula 4 3 8 6" xfId="24842"/>
    <cellStyle name="Vírgula 4 3 9" xfId="6632"/>
    <cellStyle name="Vírgula 4 3 9 2" xfId="18486"/>
    <cellStyle name="Vírgula 4 3 9 2 2" xfId="44973"/>
    <cellStyle name="Vírgula 4 3 9 3" xfId="12559"/>
    <cellStyle name="Vírgula 4 3 9 3 2" xfId="39065"/>
    <cellStyle name="Vírgula 4 3 9 4" xfId="33157"/>
    <cellStyle name="Vírgula 4 3 9 5" xfId="26623"/>
    <cellStyle name="Vírgula 4 4" xfId="108"/>
    <cellStyle name="Vírgula 4 4 10" xfId="29642"/>
    <cellStyle name="Vírgula 4 4 11" xfId="21699"/>
    <cellStyle name="Vírgula 4 4 2" xfId="4515"/>
    <cellStyle name="Vírgula 4 4 2 2" xfId="6287"/>
    <cellStyle name="Vírgula 4 4 2 2 2" xfId="9409"/>
    <cellStyle name="Vírgula 4 4 2 2 2 2" xfId="21263"/>
    <cellStyle name="Vírgula 4 4 2 2 2 2 2" xfId="47742"/>
    <cellStyle name="Vírgula 4 4 2 2 2 3" xfId="15336"/>
    <cellStyle name="Vírgula 4 4 2 2 2 3 2" xfId="41834"/>
    <cellStyle name="Vírgula 4 4 2 2 2 4" xfId="35926"/>
    <cellStyle name="Vírgula 4 4 2 2 2 5" xfId="29392"/>
    <cellStyle name="Vírgula 4 4 2 2 3" xfId="18299"/>
    <cellStyle name="Vírgula 4 4 2 2 3 2" xfId="44788"/>
    <cellStyle name="Vírgula 4 4 2 2 4" xfId="12372"/>
    <cellStyle name="Vírgula 4 4 2 2 4 2" xfId="38880"/>
    <cellStyle name="Vírgula 4 4 2 2 5" xfId="32814"/>
    <cellStyle name="Vírgula 4 4 2 2 6" xfId="26280"/>
    <cellStyle name="Vírgula 4 4 2 3" xfId="7941"/>
    <cellStyle name="Vírgula 4 4 2 3 2" xfId="19795"/>
    <cellStyle name="Vírgula 4 4 2 3 2 2" xfId="46274"/>
    <cellStyle name="Vírgula 4 4 2 3 3" xfId="13868"/>
    <cellStyle name="Vírgula 4 4 2 3 3 2" xfId="40366"/>
    <cellStyle name="Vírgula 4 4 2 3 4" xfId="34458"/>
    <cellStyle name="Vírgula 4 4 2 3 5" xfId="27924"/>
    <cellStyle name="Vírgula 4 4 2 4" xfId="16831"/>
    <cellStyle name="Vírgula 4 4 2 4 2" xfId="43320"/>
    <cellStyle name="Vírgula 4 4 2 4 3" xfId="24508"/>
    <cellStyle name="Vírgula 4 4 2 5" xfId="10904"/>
    <cellStyle name="Vírgula 4 4 2 5 2" xfId="37412"/>
    <cellStyle name="Vírgula 4 4 2 6" xfId="31042"/>
    <cellStyle name="Vírgula 4 4 2 7" xfId="22736"/>
    <cellStyle name="Vírgula 4 4 3" xfId="4639"/>
    <cellStyle name="Vírgula 4 4 3 2" xfId="6411"/>
    <cellStyle name="Vírgula 4 4 3 2 2" xfId="9471"/>
    <cellStyle name="Vírgula 4 4 3 2 2 2" xfId="21325"/>
    <cellStyle name="Vírgula 4 4 3 2 2 2 2" xfId="47804"/>
    <cellStyle name="Vírgula 4 4 3 2 2 3" xfId="15398"/>
    <cellStyle name="Vírgula 4 4 3 2 2 3 2" xfId="41896"/>
    <cellStyle name="Vírgula 4 4 3 2 2 4" xfId="35988"/>
    <cellStyle name="Vírgula 4 4 3 2 2 5" xfId="29454"/>
    <cellStyle name="Vírgula 4 4 3 2 3" xfId="18361"/>
    <cellStyle name="Vírgula 4 4 3 2 3 2" xfId="44850"/>
    <cellStyle name="Vírgula 4 4 3 2 4" xfId="12434"/>
    <cellStyle name="Vírgula 4 4 3 2 4 2" xfId="38942"/>
    <cellStyle name="Vírgula 4 4 3 2 5" xfId="32938"/>
    <cellStyle name="Vírgula 4 4 3 2 6" xfId="26404"/>
    <cellStyle name="Vírgula 4 4 3 3" xfId="8003"/>
    <cellStyle name="Vírgula 4 4 3 3 2" xfId="19857"/>
    <cellStyle name="Vírgula 4 4 3 3 2 2" xfId="46336"/>
    <cellStyle name="Vírgula 4 4 3 3 3" xfId="13930"/>
    <cellStyle name="Vírgula 4 4 3 3 3 2" xfId="40428"/>
    <cellStyle name="Vírgula 4 4 3 3 4" xfId="34520"/>
    <cellStyle name="Vírgula 4 4 3 3 5" xfId="27986"/>
    <cellStyle name="Vírgula 4 4 3 4" xfId="16893"/>
    <cellStyle name="Vírgula 4 4 3 4 2" xfId="43382"/>
    <cellStyle name="Vírgula 4 4 3 4 3" xfId="24632"/>
    <cellStyle name="Vírgula 4 4 3 5" xfId="10966"/>
    <cellStyle name="Vírgula 4 4 3 5 2" xfId="37474"/>
    <cellStyle name="Vírgula 4 4 3 6" xfId="31166"/>
    <cellStyle name="Vírgula 4 4 3 7" xfId="22860"/>
    <cellStyle name="Vírgula 4 4 4" xfId="4763"/>
    <cellStyle name="Vírgula 4 4 4 2" xfId="6535"/>
    <cellStyle name="Vírgula 4 4 4 2 2" xfId="9533"/>
    <cellStyle name="Vírgula 4 4 4 2 2 2" xfId="21387"/>
    <cellStyle name="Vírgula 4 4 4 2 2 2 2" xfId="47866"/>
    <cellStyle name="Vírgula 4 4 4 2 2 3" xfId="15460"/>
    <cellStyle name="Vírgula 4 4 4 2 2 3 2" xfId="41958"/>
    <cellStyle name="Vírgula 4 4 4 2 2 4" xfId="36050"/>
    <cellStyle name="Vírgula 4 4 4 2 2 5" xfId="29516"/>
    <cellStyle name="Vírgula 4 4 4 2 3" xfId="18423"/>
    <cellStyle name="Vírgula 4 4 4 2 3 2" xfId="44912"/>
    <cellStyle name="Vírgula 4 4 4 2 4" xfId="12496"/>
    <cellStyle name="Vírgula 4 4 4 2 4 2" xfId="39004"/>
    <cellStyle name="Vírgula 4 4 4 2 5" xfId="33062"/>
    <cellStyle name="Vírgula 4 4 4 2 6" xfId="26528"/>
    <cellStyle name="Vírgula 4 4 4 3" xfId="8065"/>
    <cellStyle name="Vírgula 4 4 4 3 2" xfId="19919"/>
    <cellStyle name="Vírgula 4 4 4 3 2 2" xfId="46398"/>
    <cellStyle name="Vírgula 4 4 4 3 3" xfId="13992"/>
    <cellStyle name="Vírgula 4 4 4 3 3 2" xfId="40490"/>
    <cellStyle name="Vírgula 4 4 4 3 4" xfId="34582"/>
    <cellStyle name="Vírgula 4 4 4 3 5" xfId="28048"/>
    <cellStyle name="Vírgula 4 4 4 4" xfId="16955"/>
    <cellStyle name="Vírgula 4 4 4 4 2" xfId="43444"/>
    <cellStyle name="Vírgula 4 4 4 4 3" xfId="24756"/>
    <cellStyle name="Vírgula 4 4 4 5" xfId="11028"/>
    <cellStyle name="Vírgula 4 4 4 5 2" xfId="37536"/>
    <cellStyle name="Vírgula 4 4 4 6" xfId="31290"/>
    <cellStyle name="Vírgula 4 4 4 7" xfId="22984"/>
    <cellStyle name="Vírgula 4 4 5" xfId="1254"/>
    <cellStyle name="Vírgula 4 4 5 2" xfId="5250"/>
    <cellStyle name="Vírgula 4 4 5 2 2" xfId="8465"/>
    <cellStyle name="Vírgula 4 4 5 2 2 2" xfId="20319"/>
    <cellStyle name="Vírgula 4 4 5 2 2 2 2" xfId="46798"/>
    <cellStyle name="Vírgula 4 4 5 2 2 3" xfId="14392"/>
    <cellStyle name="Vírgula 4 4 5 2 2 3 2" xfId="40890"/>
    <cellStyle name="Vírgula 4 4 5 2 2 4" xfId="34982"/>
    <cellStyle name="Vírgula 4 4 5 2 2 5" xfId="28448"/>
    <cellStyle name="Vírgula 4 4 5 2 3" xfId="17355"/>
    <cellStyle name="Vírgula 4 4 5 2 3 2" xfId="43844"/>
    <cellStyle name="Vírgula 4 4 5 2 4" xfId="11428"/>
    <cellStyle name="Vírgula 4 4 5 2 4 2" xfId="37936"/>
    <cellStyle name="Vírgula 4 4 5 2 5" xfId="31777"/>
    <cellStyle name="Vírgula 4 4 5 2 6" xfId="25243"/>
    <cellStyle name="Vírgula 4 4 5 3" xfId="6992"/>
    <cellStyle name="Vírgula 4 4 5 3 2" xfId="18846"/>
    <cellStyle name="Vírgula 4 4 5 3 2 2" xfId="45330"/>
    <cellStyle name="Vírgula 4 4 5 3 3" xfId="12919"/>
    <cellStyle name="Vírgula 4 4 5 3 3 2" xfId="39422"/>
    <cellStyle name="Vírgula 4 4 5 3 4" xfId="33514"/>
    <cellStyle name="Vírgula 4 4 5 3 5" xfId="26980"/>
    <cellStyle name="Vírgula 4 4 5 4" xfId="15882"/>
    <cellStyle name="Vírgula 4 4 5 4 2" xfId="42376"/>
    <cellStyle name="Vírgula 4 4 5 5" xfId="9955"/>
    <cellStyle name="Vírgula 4 4 5 5 2" xfId="36468"/>
    <cellStyle name="Vírgula 4 4 5 6" xfId="30005"/>
    <cellStyle name="Vírgula 4 4 5 7" xfId="23471"/>
    <cellStyle name="Vírgula 4 4 6" xfId="4887"/>
    <cellStyle name="Vírgula 4 4 6 2" xfId="8127"/>
    <cellStyle name="Vírgula 4 4 6 2 2" xfId="19981"/>
    <cellStyle name="Vírgula 4 4 6 2 2 2" xfId="46460"/>
    <cellStyle name="Vírgula 4 4 6 2 3" xfId="14054"/>
    <cellStyle name="Vírgula 4 4 6 2 3 2" xfId="40552"/>
    <cellStyle name="Vírgula 4 4 6 2 4" xfId="34644"/>
    <cellStyle name="Vírgula 4 4 6 2 5" xfId="28110"/>
    <cellStyle name="Vírgula 4 4 6 3" xfId="17017"/>
    <cellStyle name="Vírgula 4 4 6 3 2" xfId="43506"/>
    <cellStyle name="Vírgula 4 4 6 4" xfId="11090"/>
    <cellStyle name="Vírgula 4 4 6 4 2" xfId="37598"/>
    <cellStyle name="Vírgula 4 4 6 5" xfId="31414"/>
    <cellStyle name="Vírgula 4 4 6 6" xfId="24880"/>
    <cellStyle name="Vírgula 4 4 7" xfId="6651"/>
    <cellStyle name="Vírgula 4 4 7 2" xfId="18505"/>
    <cellStyle name="Vírgula 4 4 7 2 2" xfId="44992"/>
    <cellStyle name="Vírgula 4 4 7 3" xfId="12578"/>
    <cellStyle name="Vírgula 4 4 7 3 2" xfId="39084"/>
    <cellStyle name="Vírgula 4 4 7 4" xfId="33176"/>
    <cellStyle name="Vírgula 4 4 7 5" xfId="26642"/>
    <cellStyle name="Vírgula 4 4 8" xfId="15541"/>
    <cellStyle name="Vírgula 4 4 8 2" xfId="42038"/>
    <cellStyle name="Vírgula 4 4 8 3" xfId="23108"/>
    <cellStyle name="Vírgula 4 4 9" xfId="9614"/>
    <cellStyle name="Vírgula 4 4 9 2" xfId="36130"/>
    <cellStyle name="Vírgula 4 5" xfId="1689"/>
    <cellStyle name="Vírgula 4 5 2" xfId="5369"/>
    <cellStyle name="Vírgula 4 5 2 2" xfId="8584"/>
    <cellStyle name="Vírgula 4 5 2 2 2" xfId="20438"/>
    <cellStyle name="Vírgula 4 5 2 2 2 2" xfId="46917"/>
    <cellStyle name="Vírgula 4 5 2 2 3" xfId="14511"/>
    <cellStyle name="Vírgula 4 5 2 2 3 2" xfId="41009"/>
    <cellStyle name="Vírgula 4 5 2 2 4" xfId="35101"/>
    <cellStyle name="Vírgula 4 5 2 2 5" xfId="28567"/>
    <cellStyle name="Vírgula 4 5 2 3" xfId="17474"/>
    <cellStyle name="Vírgula 4 5 2 3 2" xfId="43963"/>
    <cellStyle name="Vírgula 4 5 2 4" xfId="11547"/>
    <cellStyle name="Vírgula 4 5 2 4 2" xfId="38055"/>
    <cellStyle name="Vírgula 4 5 2 5" xfId="31896"/>
    <cellStyle name="Vírgula 4 5 2 6" xfId="25362"/>
    <cellStyle name="Vírgula 4 5 3" xfId="7111"/>
    <cellStyle name="Vírgula 4 5 3 2" xfId="18965"/>
    <cellStyle name="Vírgula 4 5 3 2 2" xfId="45449"/>
    <cellStyle name="Vírgula 4 5 3 3" xfId="13038"/>
    <cellStyle name="Vírgula 4 5 3 3 2" xfId="39541"/>
    <cellStyle name="Vírgula 4 5 3 4" xfId="33633"/>
    <cellStyle name="Vírgula 4 5 3 5" xfId="27099"/>
    <cellStyle name="Vírgula 4 5 4" xfId="16001"/>
    <cellStyle name="Vírgula 4 5 4 2" xfId="42495"/>
    <cellStyle name="Vírgula 4 5 4 3" xfId="23590"/>
    <cellStyle name="Vírgula 4 5 5" xfId="10074"/>
    <cellStyle name="Vírgula 4 5 5 2" xfId="36587"/>
    <cellStyle name="Vírgula 4 5 6" xfId="30124"/>
    <cellStyle name="Vírgula 4 5 7" xfId="21818"/>
    <cellStyle name="Vírgula 4 6" xfId="2222"/>
    <cellStyle name="Vírgula 4 6 2" xfId="5519"/>
    <cellStyle name="Vírgula 4 6 2 2" xfId="8731"/>
    <cellStyle name="Vírgula 4 6 2 2 2" xfId="20585"/>
    <cellStyle name="Vírgula 4 6 2 2 2 2" xfId="47064"/>
    <cellStyle name="Vírgula 4 6 2 2 3" xfId="14658"/>
    <cellStyle name="Vírgula 4 6 2 2 3 2" xfId="41156"/>
    <cellStyle name="Vírgula 4 6 2 2 4" xfId="35248"/>
    <cellStyle name="Vírgula 4 6 2 2 5" xfId="28714"/>
    <cellStyle name="Vírgula 4 6 2 3" xfId="17621"/>
    <cellStyle name="Vírgula 4 6 2 3 2" xfId="44110"/>
    <cellStyle name="Vírgula 4 6 2 4" xfId="11694"/>
    <cellStyle name="Vírgula 4 6 2 4 2" xfId="38202"/>
    <cellStyle name="Vírgula 4 6 2 5" xfId="32046"/>
    <cellStyle name="Vírgula 4 6 2 6" xfId="25512"/>
    <cellStyle name="Vírgula 4 6 3" xfId="7259"/>
    <cellStyle name="Vírgula 4 6 3 2" xfId="19113"/>
    <cellStyle name="Vírgula 4 6 3 2 2" xfId="45596"/>
    <cellStyle name="Vírgula 4 6 3 3" xfId="13186"/>
    <cellStyle name="Vírgula 4 6 3 3 2" xfId="39688"/>
    <cellStyle name="Vírgula 4 6 3 4" xfId="33780"/>
    <cellStyle name="Vírgula 4 6 3 5" xfId="27246"/>
    <cellStyle name="Vírgula 4 6 4" xfId="16149"/>
    <cellStyle name="Vírgula 4 6 4 2" xfId="42642"/>
    <cellStyle name="Vírgula 4 6 4 3" xfId="23740"/>
    <cellStyle name="Vírgula 4 6 5" xfId="10222"/>
    <cellStyle name="Vírgula 4 6 5 2" xfId="36734"/>
    <cellStyle name="Vírgula 4 6 6" xfId="30274"/>
    <cellStyle name="Vírgula 4 6 7" xfId="21968"/>
    <cellStyle name="Vírgula 4 7" xfId="2750"/>
    <cellStyle name="Vírgula 4 7 2" xfId="5666"/>
    <cellStyle name="Vírgula 4 7 2 2" xfId="8878"/>
    <cellStyle name="Vírgula 4 7 2 2 2" xfId="20732"/>
    <cellStyle name="Vírgula 4 7 2 2 2 2" xfId="47211"/>
    <cellStyle name="Vírgula 4 7 2 2 3" xfId="14805"/>
    <cellStyle name="Vírgula 4 7 2 2 3 2" xfId="41303"/>
    <cellStyle name="Vírgula 4 7 2 2 4" xfId="35395"/>
    <cellStyle name="Vírgula 4 7 2 2 5" xfId="28861"/>
    <cellStyle name="Vírgula 4 7 2 3" xfId="17768"/>
    <cellStyle name="Vírgula 4 7 2 3 2" xfId="44257"/>
    <cellStyle name="Vírgula 4 7 2 4" xfId="11841"/>
    <cellStyle name="Vírgula 4 7 2 4 2" xfId="38349"/>
    <cellStyle name="Vírgula 4 7 2 5" xfId="32193"/>
    <cellStyle name="Vírgula 4 7 2 6" xfId="25659"/>
    <cellStyle name="Vírgula 4 7 3" xfId="7407"/>
    <cellStyle name="Vírgula 4 7 3 2" xfId="19261"/>
    <cellStyle name="Vírgula 4 7 3 2 2" xfId="45743"/>
    <cellStyle name="Vírgula 4 7 3 3" xfId="13334"/>
    <cellStyle name="Vírgula 4 7 3 3 2" xfId="39835"/>
    <cellStyle name="Vírgula 4 7 3 4" xfId="33927"/>
    <cellStyle name="Vírgula 4 7 3 5" xfId="27393"/>
    <cellStyle name="Vírgula 4 7 4" xfId="16297"/>
    <cellStyle name="Vírgula 4 7 4 2" xfId="42789"/>
    <cellStyle name="Vírgula 4 7 4 3" xfId="23887"/>
    <cellStyle name="Vírgula 4 7 5" xfId="10370"/>
    <cellStyle name="Vírgula 4 7 5 2" xfId="36881"/>
    <cellStyle name="Vírgula 4 7 6" xfId="30421"/>
    <cellStyle name="Vírgula 4 7 7" xfId="22115"/>
    <cellStyle name="Vírgula 4 8" xfId="3278"/>
    <cellStyle name="Vírgula 4 8 2" xfId="5813"/>
    <cellStyle name="Vírgula 4 8 2 2" xfId="9025"/>
    <cellStyle name="Vírgula 4 8 2 2 2" xfId="20879"/>
    <cellStyle name="Vírgula 4 8 2 2 2 2" xfId="47358"/>
    <cellStyle name="Vírgula 4 8 2 2 3" xfId="14952"/>
    <cellStyle name="Vírgula 4 8 2 2 3 2" xfId="41450"/>
    <cellStyle name="Vírgula 4 8 2 2 4" xfId="35542"/>
    <cellStyle name="Vírgula 4 8 2 2 5" xfId="29008"/>
    <cellStyle name="Vírgula 4 8 2 3" xfId="17915"/>
    <cellStyle name="Vírgula 4 8 2 3 2" xfId="44404"/>
    <cellStyle name="Vírgula 4 8 2 4" xfId="11988"/>
    <cellStyle name="Vírgula 4 8 2 4 2" xfId="38496"/>
    <cellStyle name="Vírgula 4 8 2 5" xfId="32340"/>
    <cellStyle name="Vírgula 4 8 2 6" xfId="25806"/>
    <cellStyle name="Vírgula 4 8 3" xfId="7555"/>
    <cellStyle name="Vírgula 4 8 3 2" xfId="19409"/>
    <cellStyle name="Vírgula 4 8 3 2 2" xfId="45890"/>
    <cellStyle name="Vírgula 4 8 3 3" xfId="13482"/>
    <cellStyle name="Vírgula 4 8 3 3 2" xfId="39982"/>
    <cellStyle name="Vírgula 4 8 3 4" xfId="34074"/>
    <cellStyle name="Vírgula 4 8 3 5" xfId="27540"/>
    <cellStyle name="Vírgula 4 8 4" xfId="16445"/>
    <cellStyle name="Vírgula 4 8 4 2" xfId="42936"/>
    <cellStyle name="Vírgula 4 8 4 3" xfId="24034"/>
    <cellStyle name="Vírgula 4 8 5" xfId="10518"/>
    <cellStyle name="Vírgula 4 8 5 2" xfId="37028"/>
    <cellStyle name="Vírgula 4 8 6" xfId="30568"/>
    <cellStyle name="Vírgula 4 8 7" xfId="22262"/>
    <cellStyle name="Vírgula 4 9" xfId="3806"/>
    <cellStyle name="Vírgula 4 9 2" xfId="5960"/>
    <cellStyle name="Vírgula 4 9 2 2" xfId="9172"/>
    <cellStyle name="Vírgula 4 9 2 2 2" xfId="21026"/>
    <cellStyle name="Vírgula 4 9 2 2 2 2" xfId="47505"/>
    <cellStyle name="Vírgula 4 9 2 2 3" xfId="15099"/>
    <cellStyle name="Vírgula 4 9 2 2 3 2" xfId="41597"/>
    <cellStyle name="Vírgula 4 9 2 2 4" xfId="35689"/>
    <cellStyle name="Vírgula 4 9 2 2 5" xfId="29155"/>
    <cellStyle name="Vírgula 4 9 2 3" xfId="18062"/>
    <cellStyle name="Vírgula 4 9 2 3 2" xfId="44551"/>
    <cellStyle name="Vírgula 4 9 2 4" xfId="12135"/>
    <cellStyle name="Vírgula 4 9 2 4 2" xfId="38643"/>
    <cellStyle name="Vírgula 4 9 2 5" xfId="32487"/>
    <cellStyle name="Vírgula 4 9 2 6" xfId="25953"/>
    <cellStyle name="Vírgula 4 9 3" xfId="7703"/>
    <cellStyle name="Vírgula 4 9 3 2" xfId="19557"/>
    <cellStyle name="Vírgula 4 9 3 2 2" xfId="46037"/>
    <cellStyle name="Vírgula 4 9 3 3" xfId="13630"/>
    <cellStyle name="Vírgula 4 9 3 3 2" xfId="40129"/>
    <cellStyle name="Vírgula 4 9 3 4" xfId="34221"/>
    <cellStyle name="Vírgula 4 9 3 5" xfId="27687"/>
    <cellStyle name="Vírgula 4 9 4" xfId="16593"/>
    <cellStyle name="Vírgula 4 9 4 2" xfId="43083"/>
    <cellStyle name="Vírgula 4 9 4 3" xfId="24181"/>
    <cellStyle name="Vírgula 4 9 5" xfId="10666"/>
    <cellStyle name="Vírgula 4 9 5 2" xfId="37175"/>
    <cellStyle name="Vírgula 4 9 6" xfId="30715"/>
    <cellStyle name="Vírgula 4 9 7" xfId="22409"/>
    <cellStyle name="Vírgula 5" xfId="35"/>
    <cellStyle name="Vírgula 5 10" xfId="6579"/>
    <cellStyle name="Vírgula 5 10 2" xfId="9555"/>
    <cellStyle name="Vírgula 5 10 2 2" xfId="21409"/>
    <cellStyle name="Vírgula 5 10 2 2 2" xfId="47888"/>
    <cellStyle name="Vírgula 5 10 2 3" xfId="15482"/>
    <cellStyle name="Vírgula 5 10 2 3 2" xfId="41980"/>
    <cellStyle name="Vírgula 5 10 2 4" xfId="36072"/>
    <cellStyle name="Vírgula 5 10 2 5" xfId="29538"/>
    <cellStyle name="Vírgula 5 10 3" xfId="18445"/>
    <cellStyle name="Vírgula 5 10 3 2" xfId="44934"/>
    <cellStyle name="Vírgula 5 10 4" xfId="12518"/>
    <cellStyle name="Vírgula 5 10 4 2" xfId="39026"/>
    <cellStyle name="Vírgula 5 10 5" xfId="33106"/>
    <cellStyle name="Vírgula 5 10 6" xfId="26572"/>
    <cellStyle name="Vírgula 5 11" xfId="6615"/>
    <cellStyle name="Vírgula 5 11 2" xfId="18469"/>
    <cellStyle name="Vírgula 5 11 2 2" xfId="44956"/>
    <cellStyle name="Vírgula 5 11 3" xfId="12542"/>
    <cellStyle name="Vírgula 5 11 3 2" xfId="39048"/>
    <cellStyle name="Vírgula 5 11 4" xfId="33140"/>
    <cellStyle name="Vírgula 5 11 5" xfId="26606"/>
    <cellStyle name="Vírgula 5 12" xfId="15505"/>
    <cellStyle name="Vírgula 5 12 2" xfId="42002"/>
    <cellStyle name="Vírgula 5 12 3" xfId="23036"/>
    <cellStyle name="Vírgula 5 13" xfId="9578"/>
    <cellStyle name="Vírgula 5 13 2" xfId="36094"/>
    <cellStyle name="Vírgula 5 14" xfId="29570"/>
    <cellStyle name="Vírgula 5 2" xfId="53"/>
    <cellStyle name="Vírgula 5 2 10" xfId="6624"/>
    <cellStyle name="Vírgula 5 2 10 2" xfId="18478"/>
    <cellStyle name="Vírgula 5 2 10 2 2" xfId="44965"/>
    <cellStyle name="Vírgula 5 2 10 3" xfId="12551"/>
    <cellStyle name="Vírgula 5 2 10 3 2" xfId="39057"/>
    <cellStyle name="Vírgula 5 2 10 4" xfId="33149"/>
    <cellStyle name="Vírgula 5 2 10 5" xfId="26615"/>
    <cellStyle name="Vírgula 5 2 11" xfId="15514"/>
    <cellStyle name="Vírgula 5 2 11 2" xfId="42011"/>
    <cellStyle name="Vírgula 5 2 11 3" xfId="23054"/>
    <cellStyle name="Vírgula 5 2 12" xfId="9587"/>
    <cellStyle name="Vírgula 5 2 12 2" xfId="36103"/>
    <cellStyle name="Vírgula 5 2 13" xfId="29588"/>
    <cellStyle name="Vírgula 5 2 14" xfId="22596"/>
    <cellStyle name="Vírgula 5 2 2" xfId="94"/>
    <cellStyle name="Vírgula 5 2 2 10" xfId="29628"/>
    <cellStyle name="Vírgula 5 2 2 11" xfId="22636"/>
    <cellStyle name="Vírgula 5 2 2 2" xfId="4501"/>
    <cellStyle name="Vírgula 5 2 2 2 2" xfId="6273"/>
    <cellStyle name="Vírgula 5 2 2 2 2 2" xfId="9402"/>
    <cellStyle name="Vírgula 5 2 2 2 2 2 2" xfId="21256"/>
    <cellStyle name="Vírgula 5 2 2 2 2 2 2 2" xfId="47735"/>
    <cellStyle name="Vírgula 5 2 2 2 2 2 3" xfId="15329"/>
    <cellStyle name="Vírgula 5 2 2 2 2 2 3 2" xfId="41827"/>
    <cellStyle name="Vírgula 5 2 2 2 2 2 4" xfId="35919"/>
    <cellStyle name="Vírgula 5 2 2 2 2 2 5" xfId="29385"/>
    <cellStyle name="Vírgula 5 2 2 2 2 3" xfId="18292"/>
    <cellStyle name="Vírgula 5 2 2 2 2 3 2" xfId="44781"/>
    <cellStyle name="Vírgula 5 2 2 2 2 4" xfId="12365"/>
    <cellStyle name="Vírgula 5 2 2 2 2 4 2" xfId="38873"/>
    <cellStyle name="Vírgula 5 2 2 2 2 5" xfId="32800"/>
    <cellStyle name="Vírgula 5 2 2 2 2 6" xfId="26266"/>
    <cellStyle name="Vírgula 5 2 2 2 3" xfId="7934"/>
    <cellStyle name="Vírgula 5 2 2 2 3 2" xfId="19788"/>
    <cellStyle name="Vírgula 5 2 2 2 3 2 2" xfId="46267"/>
    <cellStyle name="Vírgula 5 2 2 2 3 3" xfId="13861"/>
    <cellStyle name="Vírgula 5 2 2 2 3 3 2" xfId="40359"/>
    <cellStyle name="Vírgula 5 2 2 2 3 4" xfId="34451"/>
    <cellStyle name="Vírgula 5 2 2 2 3 5" xfId="27917"/>
    <cellStyle name="Vírgula 5 2 2 2 4" xfId="16824"/>
    <cellStyle name="Vírgula 5 2 2 2 4 2" xfId="43313"/>
    <cellStyle name="Vírgula 5 2 2 2 4 3" xfId="24494"/>
    <cellStyle name="Vírgula 5 2 2 2 5" xfId="10897"/>
    <cellStyle name="Vírgula 5 2 2 2 5 2" xfId="37405"/>
    <cellStyle name="Vírgula 5 2 2 2 6" xfId="31028"/>
    <cellStyle name="Vírgula 5 2 2 2 7" xfId="22722"/>
    <cellStyle name="Vírgula 5 2 2 3" xfId="4625"/>
    <cellStyle name="Vírgula 5 2 2 3 2" xfId="6397"/>
    <cellStyle name="Vírgula 5 2 2 3 2 2" xfId="9464"/>
    <cellStyle name="Vírgula 5 2 2 3 2 2 2" xfId="21318"/>
    <cellStyle name="Vírgula 5 2 2 3 2 2 2 2" xfId="47797"/>
    <cellStyle name="Vírgula 5 2 2 3 2 2 3" xfId="15391"/>
    <cellStyle name="Vírgula 5 2 2 3 2 2 3 2" xfId="41889"/>
    <cellStyle name="Vírgula 5 2 2 3 2 2 4" xfId="35981"/>
    <cellStyle name="Vírgula 5 2 2 3 2 2 5" xfId="29447"/>
    <cellStyle name="Vírgula 5 2 2 3 2 3" xfId="18354"/>
    <cellStyle name="Vírgula 5 2 2 3 2 3 2" xfId="44843"/>
    <cellStyle name="Vírgula 5 2 2 3 2 4" xfId="12427"/>
    <cellStyle name="Vírgula 5 2 2 3 2 4 2" xfId="38935"/>
    <cellStyle name="Vírgula 5 2 2 3 2 5" xfId="32924"/>
    <cellStyle name="Vírgula 5 2 2 3 2 6" xfId="26390"/>
    <cellStyle name="Vírgula 5 2 2 3 3" xfId="7996"/>
    <cellStyle name="Vírgula 5 2 2 3 3 2" xfId="19850"/>
    <cellStyle name="Vírgula 5 2 2 3 3 2 2" xfId="46329"/>
    <cellStyle name="Vírgula 5 2 2 3 3 3" xfId="13923"/>
    <cellStyle name="Vírgula 5 2 2 3 3 3 2" xfId="40421"/>
    <cellStyle name="Vírgula 5 2 2 3 3 4" xfId="34513"/>
    <cellStyle name="Vírgula 5 2 2 3 3 5" xfId="27979"/>
    <cellStyle name="Vírgula 5 2 2 3 4" xfId="16886"/>
    <cellStyle name="Vírgula 5 2 2 3 4 2" xfId="43375"/>
    <cellStyle name="Vírgula 5 2 2 3 4 3" xfId="24618"/>
    <cellStyle name="Vírgula 5 2 2 3 5" xfId="10959"/>
    <cellStyle name="Vírgula 5 2 2 3 5 2" xfId="37467"/>
    <cellStyle name="Vírgula 5 2 2 3 6" xfId="31152"/>
    <cellStyle name="Vírgula 5 2 2 3 7" xfId="22846"/>
    <cellStyle name="Vírgula 5 2 2 4" xfId="4749"/>
    <cellStyle name="Vírgula 5 2 2 4 2" xfId="6521"/>
    <cellStyle name="Vírgula 5 2 2 4 2 2" xfId="9526"/>
    <cellStyle name="Vírgula 5 2 2 4 2 2 2" xfId="21380"/>
    <cellStyle name="Vírgula 5 2 2 4 2 2 2 2" xfId="47859"/>
    <cellStyle name="Vírgula 5 2 2 4 2 2 3" xfId="15453"/>
    <cellStyle name="Vírgula 5 2 2 4 2 2 3 2" xfId="41951"/>
    <cellStyle name="Vírgula 5 2 2 4 2 2 4" xfId="36043"/>
    <cellStyle name="Vírgula 5 2 2 4 2 2 5" xfId="29509"/>
    <cellStyle name="Vírgula 5 2 2 4 2 3" xfId="18416"/>
    <cellStyle name="Vírgula 5 2 2 4 2 3 2" xfId="44905"/>
    <cellStyle name="Vírgula 5 2 2 4 2 4" xfId="12489"/>
    <cellStyle name="Vírgula 5 2 2 4 2 4 2" xfId="38997"/>
    <cellStyle name="Vírgula 5 2 2 4 2 5" xfId="33048"/>
    <cellStyle name="Vírgula 5 2 2 4 2 6" xfId="26514"/>
    <cellStyle name="Vírgula 5 2 2 4 3" xfId="8058"/>
    <cellStyle name="Vírgula 5 2 2 4 3 2" xfId="19912"/>
    <cellStyle name="Vírgula 5 2 2 4 3 2 2" xfId="46391"/>
    <cellStyle name="Vírgula 5 2 2 4 3 3" xfId="13985"/>
    <cellStyle name="Vírgula 5 2 2 4 3 3 2" xfId="40483"/>
    <cellStyle name="Vírgula 5 2 2 4 3 4" xfId="34575"/>
    <cellStyle name="Vírgula 5 2 2 4 3 5" xfId="28041"/>
    <cellStyle name="Vírgula 5 2 2 4 4" xfId="16948"/>
    <cellStyle name="Vírgula 5 2 2 4 4 2" xfId="43437"/>
    <cellStyle name="Vírgula 5 2 2 4 4 3" xfId="24742"/>
    <cellStyle name="Vírgula 5 2 2 4 5" xfId="11021"/>
    <cellStyle name="Vírgula 5 2 2 4 5 2" xfId="37529"/>
    <cellStyle name="Vírgula 5 2 2 4 6" xfId="31276"/>
    <cellStyle name="Vírgula 5 2 2 4 7" xfId="22970"/>
    <cellStyle name="Vírgula 5 2 2 5" xfId="4415"/>
    <cellStyle name="Vírgula 5 2 2 5 2" xfId="6187"/>
    <cellStyle name="Vírgula 5 2 2 5 2 2" xfId="9359"/>
    <cellStyle name="Vírgula 5 2 2 5 2 2 2" xfId="21213"/>
    <cellStyle name="Vírgula 5 2 2 5 2 2 2 2" xfId="47692"/>
    <cellStyle name="Vírgula 5 2 2 5 2 2 3" xfId="15286"/>
    <cellStyle name="Vírgula 5 2 2 5 2 2 3 2" xfId="41784"/>
    <cellStyle name="Vírgula 5 2 2 5 2 2 4" xfId="35876"/>
    <cellStyle name="Vírgula 5 2 2 5 2 2 5" xfId="29342"/>
    <cellStyle name="Vírgula 5 2 2 5 2 3" xfId="18249"/>
    <cellStyle name="Vírgula 5 2 2 5 2 3 2" xfId="44738"/>
    <cellStyle name="Vírgula 5 2 2 5 2 4" xfId="12322"/>
    <cellStyle name="Vírgula 5 2 2 5 2 4 2" xfId="38830"/>
    <cellStyle name="Vírgula 5 2 2 5 2 5" xfId="32714"/>
    <cellStyle name="Vírgula 5 2 2 5 2 6" xfId="26180"/>
    <cellStyle name="Vírgula 5 2 2 5 3" xfId="7891"/>
    <cellStyle name="Vírgula 5 2 2 5 3 2" xfId="19745"/>
    <cellStyle name="Vírgula 5 2 2 5 3 2 2" xfId="46224"/>
    <cellStyle name="Vírgula 5 2 2 5 3 3" xfId="13818"/>
    <cellStyle name="Vírgula 5 2 2 5 3 3 2" xfId="40316"/>
    <cellStyle name="Vírgula 5 2 2 5 3 4" xfId="34408"/>
    <cellStyle name="Vírgula 5 2 2 5 3 5" xfId="27874"/>
    <cellStyle name="Vírgula 5 2 2 5 4" xfId="16781"/>
    <cellStyle name="Vírgula 5 2 2 5 4 2" xfId="43270"/>
    <cellStyle name="Vírgula 5 2 2 5 5" xfId="10854"/>
    <cellStyle name="Vírgula 5 2 2 5 5 2" xfId="37362"/>
    <cellStyle name="Vírgula 5 2 2 5 6" xfId="30942"/>
    <cellStyle name="Vírgula 5 2 2 5 7" xfId="24408"/>
    <cellStyle name="Vírgula 5 2 2 6" xfId="4873"/>
    <cellStyle name="Vírgula 5 2 2 6 2" xfId="8120"/>
    <cellStyle name="Vírgula 5 2 2 6 2 2" xfId="19974"/>
    <cellStyle name="Vírgula 5 2 2 6 2 2 2" xfId="46453"/>
    <cellStyle name="Vírgula 5 2 2 6 2 3" xfId="14047"/>
    <cellStyle name="Vírgula 5 2 2 6 2 3 2" xfId="40545"/>
    <cellStyle name="Vírgula 5 2 2 6 2 4" xfId="34637"/>
    <cellStyle name="Vírgula 5 2 2 6 2 5" xfId="28103"/>
    <cellStyle name="Vírgula 5 2 2 6 3" xfId="17010"/>
    <cellStyle name="Vírgula 5 2 2 6 3 2" xfId="43499"/>
    <cellStyle name="Vírgula 5 2 2 6 4" xfId="11083"/>
    <cellStyle name="Vírgula 5 2 2 6 4 2" xfId="37591"/>
    <cellStyle name="Vírgula 5 2 2 6 5" xfId="31400"/>
    <cellStyle name="Vírgula 5 2 2 6 6" xfId="24866"/>
    <cellStyle name="Vírgula 5 2 2 7" xfId="6644"/>
    <cellStyle name="Vírgula 5 2 2 7 2" xfId="18498"/>
    <cellStyle name="Vírgula 5 2 2 7 2 2" xfId="44985"/>
    <cellStyle name="Vírgula 5 2 2 7 3" xfId="12571"/>
    <cellStyle name="Vírgula 5 2 2 7 3 2" xfId="39077"/>
    <cellStyle name="Vírgula 5 2 2 7 4" xfId="33169"/>
    <cellStyle name="Vírgula 5 2 2 7 5" xfId="26635"/>
    <cellStyle name="Vírgula 5 2 2 8" xfId="15534"/>
    <cellStyle name="Vírgula 5 2 2 8 2" xfId="42031"/>
    <cellStyle name="Vírgula 5 2 2 8 3" xfId="23094"/>
    <cellStyle name="Vírgula 5 2 2 9" xfId="9607"/>
    <cellStyle name="Vírgula 5 2 2 9 2" xfId="36123"/>
    <cellStyle name="Vírgula 5 2 3" xfId="132"/>
    <cellStyle name="Vírgula 5 2 3 10" xfId="22760"/>
    <cellStyle name="Vírgula 5 2 3 2" xfId="4663"/>
    <cellStyle name="Vírgula 5 2 3 2 2" xfId="6435"/>
    <cellStyle name="Vírgula 5 2 3 2 2 2" xfId="9483"/>
    <cellStyle name="Vírgula 5 2 3 2 2 2 2" xfId="21337"/>
    <cellStyle name="Vírgula 5 2 3 2 2 2 2 2" xfId="47816"/>
    <cellStyle name="Vírgula 5 2 3 2 2 2 3" xfId="15410"/>
    <cellStyle name="Vírgula 5 2 3 2 2 2 3 2" xfId="41908"/>
    <cellStyle name="Vírgula 5 2 3 2 2 2 4" xfId="36000"/>
    <cellStyle name="Vírgula 5 2 3 2 2 2 5" xfId="29466"/>
    <cellStyle name="Vírgula 5 2 3 2 2 3" xfId="18373"/>
    <cellStyle name="Vírgula 5 2 3 2 2 3 2" xfId="44862"/>
    <cellStyle name="Vírgula 5 2 3 2 2 4" xfId="12446"/>
    <cellStyle name="Vírgula 5 2 3 2 2 4 2" xfId="38954"/>
    <cellStyle name="Vírgula 5 2 3 2 2 5" xfId="32962"/>
    <cellStyle name="Vírgula 5 2 3 2 2 6" xfId="26428"/>
    <cellStyle name="Vírgula 5 2 3 2 3" xfId="8015"/>
    <cellStyle name="Vírgula 5 2 3 2 3 2" xfId="19869"/>
    <cellStyle name="Vírgula 5 2 3 2 3 2 2" xfId="46348"/>
    <cellStyle name="Vírgula 5 2 3 2 3 3" xfId="13942"/>
    <cellStyle name="Vírgula 5 2 3 2 3 3 2" xfId="40440"/>
    <cellStyle name="Vírgula 5 2 3 2 3 4" xfId="34532"/>
    <cellStyle name="Vírgula 5 2 3 2 3 5" xfId="27998"/>
    <cellStyle name="Vírgula 5 2 3 2 4" xfId="16905"/>
    <cellStyle name="Vírgula 5 2 3 2 4 2" xfId="43394"/>
    <cellStyle name="Vírgula 5 2 3 2 4 3" xfId="24656"/>
    <cellStyle name="Vírgula 5 2 3 2 5" xfId="10978"/>
    <cellStyle name="Vírgula 5 2 3 2 5 2" xfId="37486"/>
    <cellStyle name="Vírgula 5 2 3 2 6" xfId="31190"/>
    <cellStyle name="Vírgula 5 2 3 2 7" xfId="22884"/>
    <cellStyle name="Vírgula 5 2 3 3" xfId="4787"/>
    <cellStyle name="Vírgula 5 2 3 3 2" xfId="6559"/>
    <cellStyle name="Vírgula 5 2 3 3 2 2" xfId="9545"/>
    <cellStyle name="Vírgula 5 2 3 3 2 2 2" xfId="21399"/>
    <cellStyle name="Vírgula 5 2 3 3 2 2 2 2" xfId="47878"/>
    <cellStyle name="Vírgula 5 2 3 3 2 2 3" xfId="15472"/>
    <cellStyle name="Vírgula 5 2 3 3 2 2 3 2" xfId="41970"/>
    <cellStyle name="Vírgula 5 2 3 3 2 2 4" xfId="36062"/>
    <cellStyle name="Vírgula 5 2 3 3 2 2 5" xfId="29528"/>
    <cellStyle name="Vírgula 5 2 3 3 2 3" xfId="18435"/>
    <cellStyle name="Vírgula 5 2 3 3 2 3 2" xfId="44924"/>
    <cellStyle name="Vírgula 5 2 3 3 2 4" xfId="12508"/>
    <cellStyle name="Vírgula 5 2 3 3 2 4 2" xfId="39016"/>
    <cellStyle name="Vírgula 5 2 3 3 2 5" xfId="33086"/>
    <cellStyle name="Vírgula 5 2 3 3 2 6" xfId="26552"/>
    <cellStyle name="Vírgula 5 2 3 3 3" xfId="8077"/>
    <cellStyle name="Vírgula 5 2 3 3 3 2" xfId="19931"/>
    <cellStyle name="Vírgula 5 2 3 3 3 2 2" xfId="46410"/>
    <cellStyle name="Vírgula 5 2 3 3 3 3" xfId="14004"/>
    <cellStyle name="Vírgula 5 2 3 3 3 3 2" xfId="40502"/>
    <cellStyle name="Vírgula 5 2 3 3 3 4" xfId="34594"/>
    <cellStyle name="Vírgula 5 2 3 3 3 5" xfId="28060"/>
    <cellStyle name="Vírgula 5 2 3 3 4" xfId="16967"/>
    <cellStyle name="Vírgula 5 2 3 3 4 2" xfId="43456"/>
    <cellStyle name="Vírgula 5 2 3 3 4 3" xfId="24780"/>
    <cellStyle name="Vírgula 5 2 3 3 5" xfId="11040"/>
    <cellStyle name="Vírgula 5 2 3 3 5 2" xfId="37548"/>
    <cellStyle name="Vírgula 5 2 3 3 6" xfId="31314"/>
    <cellStyle name="Vírgula 5 2 3 3 7" xfId="23008"/>
    <cellStyle name="Vírgula 5 2 3 4" xfId="4539"/>
    <cellStyle name="Vírgula 5 2 3 4 2" xfId="6311"/>
    <cellStyle name="Vírgula 5 2 3 4 2 2" xfId="9421"/>
    <cellStyle name="Vírgula 5 2 3 4 2 2 2" xfId="21275"/>
    <cellStyle name="Vírgula 5 2 3 4 2 2 2 2" xfId="47754"/>
    <cellStyle name="Vírgula 5 2 3 4 2 2 3" xfId="15348"/>
    <cellStyle name="Vírgula 5 2 3 4 2 2 3 2" xfId="41846"/>
    <cellStyle name="Vírgula 5 2 3 4 2 2 4" xfId="35938"/>
    <cellStyle name="Vírgula 5 2 3 4 2 2 5" xfId="29404"/>
    <cellStyle name="Vírgula 5 2 3 4 2 3" xfId="18311"/>
    <cellStyle name="Vírgula 5 2 3 4 2 3 2" xfId="44800"/>
    <cellStyle name="Vírgula 5 2 3 4 2 4" xfId="12384"/>
    <cellStyle name="Vírgula 5 2 3 4 2 4 2" xfId="38892"/>
    <cellStyle name="Vírgula 5 2 3 4 2 5" xfId="32838"/>
    <cellStyle name="Vírgula 5 2 3 4 2 6" xfId="26304"/>
    <cellStyle name="Vírgula 5 2 3 4 3" xfId="7953"/>
    <cellStyle name="Vírgula 5 2 3 4 3 2" xfId="19807"/>
    <cellStyle name="Vírgula 5 2 3 4 3 2 2" xfId="46286"/>
    <cellStyle name="Vírgula 5 2 3 4 3 3" xfId="13880"/>
    <cellStyle name="Vírgula 5 2 3 4 3 3 2" xfId="40378"/>
    <cellStyle name="Vírgula 5 2 3 4 3 4" xfId="34470"/>
    <cellStyle name="Vírgula 5 2 3 4 3 5" xfId="27936"/>
    <cellStyle name="Vírgula 5 2 3 4 4" xfId="16843"/>
    <cellStyle name="Vírgula 5 2 3 4 4 2" xfId="43332"/>
    <cellStyle name="Vírgula 5 2 3 4 5" xfId="10916"/>
    <cellStyle name="Vírgula 5 2 3 4 5 2" xfId="37424"/>
    <cellStyle name="Vírgula 5 2 3 4 6" xfId="31066"/>
    <cellStyle name="Vírgula 5 2 3 4 7" xfId="24532"/>
    <cellStyle name="Vírgula 5 2 3 5" xfId="4911"/>
    <cellStyle name="Vírgula 5 2 3 5 2" xfId="8139"/>
    <cellStyle name="Vírgula 5 2 3 5 2 2" xfId="19993"/>
    <cellStyle name="Vírgula 5 2 3 5 2 2 2" xfId="46472"/>
    <cellStyle name="Vírgula 5 2 3 5 2 3" xfId="14066"/>
    <cellStyle name="Vírgula 5 2 3 5 2 3 2" xfId="40564"/>
    <cellStyle name="Vírgula 5 2 3 5 2 4" xfId="34656"/>
    <cellStyle name="Vírgula 5 2 3 5 2 5" xfId="28122"/>
    <cellStyle name="Vírgula 5 2 3 5 3" xfId="17029"/>
    <cellStyle name="Vírgula 5 2 3 5 3 2" xfId="43518"/>
    <cellStyle name="Vírgula 5 2 3 5 4" xfId="11102"/>
    <cellStyle name="Vírgula 5 2 3 5 4 2" xfId="37610"/>
    <cellStyle name="Vírgula 5 2 3 5 5" xfId="31438"/>
    <cellStyle name="Vírgula 5 2 3 5 6" xfId="24904"/>
    <cellStyle name="Vírgula 5 2 3 6" xfId="6663"/>
    <cellStyle name="Vírgula 5 2 3 6 2" xfId="18517"/>
    <cellStyle name="Vírgula 5 2 3 6 2 2" xfId="45004"/>
    <cellStyle name="Vírgula 5 2 3 6 3" xfId="12590"/>
    <cellStyle name="Vírgula 5 2 3 6 3 2" xfId="39096"/>
    <cellStyle name="Vírgula 5 2 3 6 4" xfId="33188"/>
    <cellStyle name="Vírgula 5 2 3 6 5" xfId="26654"/>
    <cellStyle name="Vírgula 5 2 3 7" xfId="15553"/>
    <cellStyle name="Vírgula 5 2 3 7 2" xfId="42050"/>
    <cellStyle name="Vírgula 5 2 3 7 3" xfId="23132"/>
    <cellStyle name="Vírgula 5 2 3 8" xfId="9626"/>
    <cellStyle name="Vírgula 5 2 3 8 2" xfId="36142"/>
    <cellStyle name="Vírgula 5 2 3 9" xfId="29666"/>
    <cellStyle name="Vírgula 5 2 4" xfId="4461"/>
    <cellStyle name="Vírgula 5 2 4 2" xfId="6233"/>
    <cellStyle name="Vírgula 5 2 4 2 2" xfId="9382"/>
    <cellStyle name="Vírgula 5 2 4 2 2 2" xfId="21236"/>
    <cellStyle name="Vírgula 5 2 4 2 2 2 2" xfId="47715"/>
    <cellStyle name="Vírgula 5 2 4 2 2 3" xfId="15309"/>
    <cellStyle name="Vírgula 5 2 4 2 2 3 2" xfId="41807"/>
    <cellStyle name="Vírgula 5 2 4 2 2 4" xfId="35899"/>
    <cellStyle name="Vírgula 5 2 4 2 2 5" xfId="29365"/>
    <cellStyle name="Vírgula 5 2 4 2 3" xfId="18272"/>
    <cellStyle name="Vírgula 5 2 4 2 3 2" xfId="44761"/>
    <cellStyle name="Vírgula 5 2 4 2 4" xfId="12345"/>
    <cellStyle name="Vírgula 5 2 4 2 4 2" xfId="38853"/>
    <cellStyle name="Vírgula 5 2 4 2 5" xfId="32760"/>
    <cellStyle name="Vírgula 5 2 4 2 6" xfId="26226"/>
    <cellStyle name="Vírgula 5 2 4 3" xfId="7914"/>
    <cellStyle name="Vírgula 5 2 4 3 2" xfId="19768"/>
    <cellStyle name="Vírgula 5 2 4 3 2 2" xfId="46247"/>
    <cellStyle name="Vírgula 5 2 4 3 3" xfId="13841"/>
    <cellStyle name="Vírgula 5 2 4 3 3 2" xfId="40339"/>
    <cellStyle name="Vírgula 5 2 4 3 4" xfId="34431"/>
    <cellStyle name="Vírgula 5 2 4 3 5" xfId="27897"/>
    <cellStyle name="Vírgula 5 2 4 4" xfId="16804"/>
    <cellStyle name="Vírgula 5 2 4 4 2" xfId="43293"/>
    <cellStyle name="Vírgula 5 2 4 4 3" xfId="24454"/>
    <cellStyle name="Vírgula 5 2 4 5" xfId="10877"/>
    <cellStyle name="Vírgula 5 2 4 5 2" xfId="37385"/>
    <cellStyle name="Vírgula 5 2 4 6" xfId="30988"/>
    <cellStyle name="Vírgula 5 2 4 7" xfId="22682"/>
    <cellStyle name="Vírgula 5 2 5" xfId="4585"/>
    <cellStyle name="Vírgula 5 2 5 2" xfId="6357"/>
    <cellStyle name="Vírgula 5 2 5 2 2" xfId="9444"/>
    <cellStyle name="Vírgula 5 2 5 2 2 2" xfId="21298"/>
    <cellStyle name="Vírgula 5 2 5 2 2 2 2" xfId="47777"/>
    <cellStyle name="Vírgula 5 2 5 2 2 3" xfId="15371"/>
    <cellStyle name="Vírgula 5 2 5 2 2 3 2" xfId="41869"/>
    <cellStyle name="Vírgula 5 2 5 2 2 4" xfId="35961"/>
    <cellStyle name="Vírgula 5 2 5 2 2 5" xfId="29427"/>
    <cellStyle name="Vírgula 5 2 5 2 3" xfId="18334"/>
    <cellStyle name="Vírgula 5 2 5 2 3 2" xfId="44823"/>
    <cellStyle name="Vírgula 5 2 5 2 4" xfId="12407"/>
    <cellStyle name="Vírgula 5 2 5 2 4 2" xfId="38915"/>
    <cellStyle name="Vírgula 5 2 5 2 5" xfId="32884"/>
    <cellStyle name="Vírgula 5 2 5 2 6" xfId="26350"/>
    <cellStyle name="Vírgula 5 2 5 3" xfId="7976"/>
    <cellStyle name="Vírgula 5 2 5 3 2" xfId="19830"/>
    <cellStyle name="Vírgula 5 2 5 3 2 2" xfId="46309"/>
    <cellStyle name="Vírgula 5 2 5 3 3" xfId="13903"/>
    <cellStyle name="Vírgula 5 2 5 3 3 2" xfId="40401"/>
    <cellStyle name="Vírgula 5 2 5 3 4" xfId="34493"/>
    <cellStyle name="Vírgula 5 2 5 3 5" xfId="27959"/>
    <cellStyle name="Vírgula 5 2 5 4" xfId="16866"/>
    <cellStyle name="Vírgula 5 2 5 4 2" xfId="43355"/>
    <cellStyle name="Vírgula 5 2 5 4 3" xfId="24578"/>
    <cellStyle name="Vírgula 5 2 5 5" xfId="10939"/>
    <cellStyle name="Vírgula 5 2 5 5 2" xfId="37447"/>
    <cellStyle name="Vírgula 5 2 5 6" xfId="31112"/>
    <cellStyle name="Vírgula 5 2 5 7" xfId="22806"/>
    <cellStyle name="Vírgula 5 2 6" xfId="4709"/>
    <cellStyle name="Vírgula 5 2 6 2" xfId="6481"/>
    <cellStyle name="Vírgula 5 2 6 2 2" xfId="9506"/>
    <cellStyle name="Vírgula 5 2 6 2 2 2" xfId="21360"/>
    <cellStyle name="Vírgula 5 2 6 2 2 2 2" xfId="47839"/>
    <cellStyle name="Vírgula 5 2 6 2 2 3" xfId="15433"/>
    <cellStyle name="Vírgula 5 2 6 2 2 3 2" xfId="41931"/>
    <cellStyle name="Vírgula 5 2 6 2 2 4" xfId="36023"/>
    <cellStyle name="Vírgula 5 2 6 2 2 5" xfId="29489"/>
    <cellStyle name="Vírgula 5 2 6 2 3" xfId="18396"/>
    <cellStyle name="Vírgula 5 2 6 2 3 2" xfId="44885"/>
    <cellStyle name="Vírgula 5 2 6 2 4" xfId="12469"/>
    <cellStyle name="Vírgula 5 2 6 2 4 2" xfId="38977"/>
    <cellStyle name="Vírgula 5 2 6 2 5" xfId="33008"/>
    <cellStyle name="Vírgula 5 2 6 2 6" xfId="26474"/>
    <cellStyle name="Vírgula 5 2 6 3" xfId="8038"/>
    <cellStyle name="Vírgula 5 2 6 3 2" xfId="19892"/>
    <cellStyle name="Vírgula 5 2 6 3 2 2" xfId="46371"/>
    <cellStyle name="Vírgula 5 2 6 3 3" xfId="13965"/>
    <cellStyle name="Vírgula 5 2 6 3 3 2" xfId="40463"/>
    <cellStyle name="Vírgula 5 2 6 3 4" xfId="34555"/>
    <cellStyle name="Vírgula 5 2 6 3 5" xfId="28021"/>
    <cellStyle name="Vírgula 5 2 6 4" xfId="16928"/>
    <cellStyle name="Vírgula 5 2 6 4 2" xfId="43417"/>
    <cellStyle name="Vírgula 5 2 6 4 3" xfId="24702"/>
    <cellStyle name="Vírgula 5 2 6 5" xfId="11001"/>
    <cellStyle name="Vírgula 5 2 6 5 2" xfId="37509"/>
    <cellStyle name="Vírgula 5 2 6 6" xfId="31236"/>
    <cellStyle name="Vírgula 5 2 6 7" xfId="22930"/>
    <cellStyle name="Vírgula 5 2 7" xfId="4375"/>
    <cellStyle name="Vírgula 5 2 7 2" xfId="6147"/>
    <cellStyle name="Vírgula 5 2 7 2 2" xfId="9339"/>
    <cellStyle name="Vírgula 5 2 7 2 2 2" xfId="21193"/>
    <cellStyle name="Vírgula 5 2 7 2 2 2 2" xfId="47672"/>
    <cellStyle name="Vírgula 5 2 7 2 2 3" xfId="15266"/>
    <cellStyle name="Vírgula 5 2 7 2 2 3 2" xfId="41764"/>
    <cellStyle name="Vírgula 5 2 7 2 2 4" xfId="35856"/>
    <cellStyle name="Vírgula 5 2 7 2 2 5" xfId="29322"/>
    <cellStyle name="Vírgula 5 2 7 2 3" xfId="18229"/>
    <cellStyle name="Vírgula 5 2 7 2 3 2" xfId="44718"/>
    <cellStyle name="Vírgula 5 2 7 2 4" xfId="12302"/>
    <cellStyle name="Vírgula 5 2 7 2 4 2" xfId="38810"/>
    <cellStyle name="Vírgula 5 2 7 2 5" xfId="32674"/>
    <cellStyle name="Vírgula 5 2 7 2 6" xfId="26140"/>
    <cellStyle name="Vírgula 5 2 7 3" xfId="7871"/>
    <cellStyle name="Vírgula 5 2 7 3 2" xfId="19725"/>
    <cellStyle name="Vírgula 5 2 7 3 2 2" xfId="46204"/>
    <cellStyle name="Vírgula 5 2 7 3 3" xfId="13798"/>
    <cellStyle name="Vírgula 5 2 7 3 3 2" xfId="40296"/>
    <cellStyle name="Vírgula 5 2 7 3 4" xfId="34388"/>
    <cellStyle name="Vírgula 5 2 7 3 5" xfId="27854"/>
    <cellStyle name="Vírgula 5 2 7 4" xfId="16761"/>
    <cellStyle name="Vírgula 5 2 7 4 2" xfId="43250"/>
    <cellStyle name="Vírgula 5 2 7 5" xfId="10834"/>
    <cellStyle name="Vírgula 5 2 7 5 2" xfId="37342"/>
    <cellStyle name="Vírgula 5 2 7 6" xfId="30902"/>
    <cellStyle name="Vírgula 5 2 7 7" xfId="24368"/>
    <cellStyle name="Vírgula 5 2 8" xfId="4833"/>
    <cellStyle name="Vírgula 5 2 8 2" xfId="8100"/>
    <cellStyle name="Vírgula 5 2 8 2 2" xfId="19954"/>
    <cellStyle name="Vírgula 5 2 8 2 2 2" xfId="46433"/>
    <cellStyle name="Vírgula 5 2 8 2 3" xfId="14027"/>
    <cellStyle name="Vírgula 5 2 8 2 3 2" xfId="40525"/>
    <cellStyle name="Vírgula 5 2 8 2 4" xfId="34617"/>
    <cellStyle name="Vírgula 5 2 8 2 5" xfId="28083"/>
    <cellStyle name="Vírgula 5 2 8 3" xfId="16990"/>
    <cellStyle name="Vírgula 5 2 8 3 2" xfId="43479"/>
    <cellStyle name="Vírgula 5 2 8 4" xfId="11063"/>
    <cellStyle name="Vírgula 5 2 8 4 2" xfId="37571"/>
    <cellStyle name="Vírgula 5 2 8 5" xfId="31360"/>
    <cellStyle name="Vírgula 5 2 8 6" xfId="24826"/>
    <cellStyle name="Vírgula 5 2 9" xfId="6597"/>
    <cellStyle name="Vírgula 5 2 9 2" xfId="9564"/>
    <cellStyle name="Vírgula 5 2 9 2 2" xfId="21418"/>
    <cellStyle name="Vírgula 5 2 9 2 2 2" xfId="47897"/>
    <cellStyle name="Vírgula 5 2 9 2 3" xfId="15491"/>
    <cellStyle name="Vírgula 5 2 9 2 3 2" xfId="41989"/>
    <cellStyle name="Vírgula 5 2 9 2 4" xfId="36081"/>
    <cellStyle name="Vírgula 5 2 9 2 5" xfId="29547"/>
    <cellStyle name="Vírgula 5 2 9 3" xfId="18454"/>
    <cellStyle name="Vírgula 5 2 9 3 2" xfId="44943"/>
    <cellStyle name="Vírgula 5 2 9 4" xfId="12527"/>
    <cellStyle name="Vírgula 5 2 9 4 2" xfId="39035"/>
    <cellStyle name="Vírgula 5 2 9 5" xfId="33124"/>
    <cellStyle name="Vírgula 5 2 9 6" xfId="26590"/>
    <cellStyle name="Vírgula 5 3" xfId="76"/>
    <cellStyle name="Vírgula 5 3 10" xfId="29610"/>
    <cellStyle name="Vírgula 5 3 11" xfId="22618"/>
    <cellStyle name="Vírgula 5 3 2" xfId="4483"/>
    <cellStyle name="Vírgula 5 3 2 2" xfId="6255"/>
    <cellStyle name="Vírgula 5 3 2 2 2" xfId="9393"/>
    <cellStyle name="Vírgula 5 3 2 2 2 2" xfId="21247"/>
    <cellStyle name="Vírgula 5 3 2 2 2 2 2" xfId="47726"/>
    <cellStyle name="Vírgula 5 3 2 2 2 3" xfId="15320"/>
    <cellStyle name="Vírgula 5 3 2 2 2 3 2" xfId="41818"/>
    <cellStyle name="Vírgula 5 3 2 2 2 4" xfId="35910"/>
    <cellStyle name="Vírgula 5 3 2 2 2 5" xfId="29376"/>
    <cellStyle name="Vírgula 5 3 2 2 3" xfId="18283"/>
    <cellStyle name="Vírgula 5 3 2 2 3 2" xfId="44772"/>
    <cellStyle name="Vírgula 5 3 2 2 4" xfId="12356"/>
    <cellStyle name="Vírgula 5 3 2 2 4 2" xfId="38864"/>
    <cellStyle name="Vírgula 5 3 2 2 5" xfId="32782"/>
    <cellStyle name="Vírgula 5 3 2 2 6" xfId="26248"/>
    <cellStyle name="Vírgula 5 3 2 3" xfId="7925"/>
    <cellStyle name="Vírgula 5 3 2 3 2" xfId="19779"/>
    <cellStyle name="Vírgula 5 3 2 3 2 2" xfId="46258"/>
    <cellStyle name="Vírgula 5 3 2 3 3" xfId="13852"/>
    <cellStyle name="Vírgula 5 3 2 3 3 2" xfId="40350"/>
    <cellStyle name="Vírgula 5 3 2 3 4" xfId="34442"/>
    <cellStyle name="Vírgula 5 3 2 3 5" xfId="27908"/>
    <cellStyle name="Vírgula 5 3 2 4" xfId="16815"/>
    <cellStyle name="Vírgula 5 3 2 4 2" xfId="43304"/>
    <cellStyle name="Vírgula 5 3 2 4 3" xfId="24476"/>
    <cellStyle name="Vírgula 5 3 2 5" xfId="10888"/>
    <cellStyle name="Vírgula 5 3 2 5 2" xfId="37396"/>
    <cellStyle name="Vírgula 5 3 2 6" xfId="31010"/>
    <cellStyle name="Vírgula 5 3 2 7" xfId="22704"/>
    <cellStyle name="Vírgula 5 3 3" xfId="4607"/>
    <cellStyle name="Vírgula 5 3 3 2" xfId="6379"/>
    <cellStyle name="Vírgula 5 3 3 2 2" xfId="9455"/>
    <cellStyle name="Vírgula 5 3 3 2 2 2" xfId="21309"/>
    <cellStyle name="Vírgula 5 3 3 2 2 2 2" xfId="47788"/>
    <cellStyle name="Vírgula 5 3 3 2 2 3" xfId="15382"/>
    <cellStyle name="Vírgula 5 3 3 2 2 3 2" xfId="41880"/>
    <cellStyle name="Vírgula 5 3 3 2 2 4" xfId="35972"/>
    <cellStyle name="Vírgula 5 3 3 2 2 5" xfId="29438"/>
    <cellStyle name="Vírgula 5 3 3 2 3" xfId="18345"/>
    <cellStyle name="Vírgula 5 3 3 2 3 2" xfId="44834"/>
    <cellStyle name="Vírgula 5 3 3 2 4" xfId="12418"/>
    <cellStyle name="Vírgula 5 3 3 2 4 2" xfId="38926"/>
    <cellStyle name="Vírgula 5 3 3 2 5" xfId="32906"/>
    <cellStyle name="Vírgula 5 3 3 2 6" xfId="26372"/>
    <cellStyle name="Vírgula 5 3 3 3" xfId="7987"/>
    <cellStyle name="Vírgula 5 3 3 3 2" xfId="19841"/>
    <cellStyle name="Vírgula 5 3 3 3 2 2" xfId="46320"/>
    <cellStyle name="Vírgula 5 3 3 3 3" xfId="13914"/>
    <cellStyle name="Vírgula 5 3 3 3 3 2" xfId="40412"/>
    <cellStyle name="Vírgula 5 3 3 3 4" xfId="34504"/>
    <cellStyle name="Vírgula 5 3 3 3 5" xfId="27970"/>
    <cellStyle name="Vírgula 5 3 3 4" xfId="16877"/>
    <cellStyle name="Vírgula 5 3 3 4 2" xfId="43366"/>
    <cellStyle name="Vírgula 5 3 3 4 3" xfId="24600"/>
    <cellStyle name="Vírgula 5 3 3 5" xfId="10950"/>
    <cellStyle name="Vírgula 5 3 3 5 2" xfId="37458"/>
    <cellStyle name="Vírgula 5 3 3 6" xfId="31134"/>
    <cellStyle name="Vírgula 5 3 3 7" xfId="22828"/>
    <cellStyle name="Vírgula 5 3 4" xfId="4731"/>
    <cellStyle name="Vírgula 5 3 4 2" xfId="6503"/>
    <cellStyle name="Vírgula 5 3 4 2 2" xfId="9517"/>
    <cellStyle name="Vírgula 5 3 4 2 2 2" xfId="21371"/>
    <cellStyle name="Vírgula 5 3 4 2 2 2 2" xfId="47850"/>
    <cellStyle name="Vírgula 5 3 4 2 2 3" xfId="15444"/>
    <cellStyle name="Vírgula 5 3 4 2 2 3 2" xfId="41942"/>
    <cellStyle name="Vírgula 5 3 4 2 2 4" xfId="36034"/>
    <cellStyle name="Vírgula 5 3 4 2 2 5" xfId="29500"/>
    <cellStyle name="Vírgula 5 3 4 2 3" xfId="18407"/>
    <cellStyle name="Vírgula 5 3 4 2 3 2" xfId="44896"/>
    <cellStyle name="Vírgula 5 3 4 2 4" xfId="12480"/>
    <cellStyle name="Vírgula 5 3 4 2 4 2" xfId="38988"/>
    <cellStyle name="Vírgula 5 3 4 2 5" xfId="33030"/>
    <cellStyle name="Vírgula 5 3 4 2 6" xfId="26496"/>
    <cellStyle name="Vírgula 5 3 4 3" xfId="8049"/>
    <cellStyle name="Vírgula 5 3 4 3 2" xfId="19903"/>
    <cellStyle name="Vírgula 5 3 4 3 2 2" xfId="46382"/>
    <cellStyle name="Vírgula 5 3 4 3 3" xfId="13976"/>
    <cellStyle name="Vírgula 5 3 4 3 3 2" xfId="40474"/>
    <cellStyle name="Vírgula 5 3 4 3 4" xfId="34566"/>
    <cellStyle name="Vírgula 5 3 4 3 5" xfId="28032"/>
    <cellStyle name="Vírgula 5 3 4 4" xfId="16939"/>
    <cellStyle name="Vírgula 5 3 4 4 2" xfId="43428"/>
    <cellStyle name="Vírgula 5 3 4 4 3" xfId="24724"/>
    <cellStyle name="Vírgula 5 3 4 5" xfId="11012"/>
    <cellStyle name="Vírgula 5 3 4 5 2" xfId="37520"/>
    <cellStyle name="Vírgula 5 3 4 6" xfId="31258"/>
    <cellStyle name="Vírgula 5 3 4 7" xfId="22952"/>
    <cellStyle name="Vírgula 5 3 5" xfId="4397"/>
    <cellStyle name="Vírgula 5 3 5 2" xfId="6169"/>
    <cellStyle name="Vírgula 5 3 5 2 2" xfId="9350"/>
    <cellStyle name="Vírgula 5 3 5 2 2 2" xfId="21204"/>
    <cellStyle name="Vírgula 5 3 5 2 2 2 2" xfId="47683"/>
    <cellStyle name="Vírgula 5 3 5 2 2 3" xfId="15277"/>
    <cellStyle name="Vírgula 5 3 5 2 2 3 2" xfId="41775"/>
    <cellStyle name="Vírgula 5 3 5 2 2 4" xfId="35867"/>
    <cellStyle name="Vírgula 5 3 5 2 2 5" xfId="29333"/>
    <cellStyle name="Vírgula 5 3 5 2 3" xfId="18240"/>
    <cellStyle name="Vírgula 5 3 5 2 3 2" xfId="44729"/>
    <cellStyle name="Vírgula 5 3 5 2 4" xfId="12313"/>
    <cellStyle name="Vírgula 5 3 5 2 4 2" xfId="38821"/>
    <cellStyle name="Vírgula 5 3 5 2 5" xfId="32696"/>
    <cellStyle name="Vírgula 5 3 5 2 6" xfId="26162"/>
    <cellStyle name="Vírgula 5 3 5 3" xfId="7882"/>
    <cellStyle name="Vírgula 5 3 5 3 2" xfId="19736"/>
    <cellStyle name="Vírgula 5 3 5 3 2 2" xfId="46215"/>
    <cellStyle name="Vírgula 5 3 5 3 3" xfId="13809"/>
    <cellStyle name="Vírgula 5 3 5 3 3 2" xfId="40307"/>
    <cellStyle name="Vírgula 5 3 5 3 4" xfId="34399"/>
    <cellStyle name="Vírgula 5 3 5 3 5" xfId="27865"/>
    <cellStyle name="Vírgula 5 3 5 4" xfId="16772"/>
    <cellStyle name="Vírgula 5 3 5 4 2" xfId="43261"/>
    <cellStyle name="Vírgula 5 3 5 5" xfId="10845"/>
    <cellStyle name="Vírgula 5 3 5 5 2" xfId="37353"/>
    <cellStyle name="Vírgula 5 3 5 6" xfId="30924"/>
    <cellStyle name="Vírgula 5 3 5 7" xfId="24390"/>
    <cellStyle name="Vírgula 5 3 6" xfId="4855"/>
    <cellStyle name="Vírgula 5 3 6 2" xfId="8111"/>
    <cellStyle name="Vírgula 5 3 6 2 2" xfId="19965"/>
    <cellStyle name="Vírgula 5 3 6 2 2 2" xfId="46444"/>
    <cellStyle name="Vírgula 5 3 6 2 3" xfId="14038"/>
    <cellStyle name="Vírgula 5 3 6 2 3 2" xfId="40536"/>
    <cellStyle name="Vírgula 5 3 6 2 4" xfId="34628"/>
    <cellStyle name="Vírgula 5 3 6 2 5" xfId="28094"/>
    <cellStyle name="Vírgula 5 3 6 3" xfId="17001"/>
    <cellStyle name="Vírgula 5 3 6 3 2" xfId="43490"/>
    <cellStyle name="Vírgula 5 3 6 4" xfId="11074"/>
    <cellStyle name="Vírgula 5 3 6 4 2" xfId="37582"/>
    <cellStyle name="Vírgula 5 3 6 5" xfId="31382"/>
    <cellStyle name="Vírgula 5 3 6 6" xfId="24848"/>
    <cellStyle name="Vírgula 5 3 7" xfId="6635"/>
    <cellStyle name="Vírgula 5 3 7 2" xfId="18489"/>
    <cellStyle name="Vírgula 5 3 7 2 2" xfId="44976"/>
    <cellStyle name="Vírgula 5 3 7 3" xfId="12562"/>
    <cellStyle name="Vírgula 5 3 7 3 2" xfId="39068"/>
    <cellStyle name="Vírgula 5 3 7 4" xfId="33160"/>
    <cellStyle name="Vírgula 5 3 7 5" xfId="26626"/>
    <cellStyle name="Vírgula 5 3 8" xfId="15525"/>
    <cellStyle name="Vírgula 5 3 8 2" xfId="42022"/>
    <cellStyle name="Vírgula 5 3 8 3" xfId="23076"/>
    <cellStyle name="Vírgula 5 3 9" xfId="9598"/>
    <cellStyle name="Vírgula 5 3 9 2" xfId="36114"/>
    <cellStyle name="Vírgula 5 4" xfId="114"/>
    <cellStyle name="Vírgula 5 4 10" xfId="29648"/>
    <cellStyle name="Vírgula 5 4 11" xfId="22578"/>
    <cellStyle name="Vírgula 5 4 2" xfId="4521"/>
    <cellStyle name="Vírgula 5 4 2 2" xfId="6293"/>
    <cellStyle name="Vírgula 5 4 2 2 2" xfId="9412"/>
    <cellStyle name="Vírgula 5 4 2 2 2 2" xfId="21266"/>
    <cellStyle name="Vírgula 5 4 2 2 2 2 2" xfId="47745"/>
    <cellStyle name="Vírgula 5 4 2 2 2 3" xfId="15339"/>
    <cellStyle name="Vírgula 5 4 2 2 2 3 2" xfId="41837"/>
    <cellStyle name="Vírgula 5 4 2 2 2 4" xfId="35929"/>
    <cellStyle name="Vírgula 5 4 2 2 2 5" xfId="29395"/>
    <cellStyle name="Vírgula 5 4 2 2 3" xfId="18302"/>
    <cellStyle name="Vírgula 5 4 2 2 3 2" xfId="44791"/>
    <cellStyle name="Vírgula 5 4 2 2 4" xfId="12375"/>
    <cellStyle name="Vírgula 5 4 2 2 4 2" xfId="38883"/>
    <cellStyle name="Vírgula 5 4 2 2 5" xfId="32820"/>
    <cellStyle name="Vírgula 5 4 2 2 6" xfId="26286"/>
    <cellStyle name="Vírgula 5 4 2 3" xfId="7944"/>
    <cellStyle name="Vírgula 5 4 2 3 2" xfId="19798"/>
    <cellStyle name="Vírgula 5 4 2 3 2 2" xfId="46277"/>
    <cellStyle name="Vírgula 5 4 2 3 3" xfId="13871"/>
    <cellStyle name="Vírgula 5 4 2 3 3 2" xfId="40369"/>
    <cellStyle name="Vírgula 5 4 2 3 4" xfId="34461"/>
    <cellStyle name="Vírgula 5 4 2 3 5" xfId="27927"/>
    <cellStyle name="Vírgula 5 4 2 4" xfId="16834"/>
    <cellStyle name="Vírgula 5 4 2 4 2" xfId="43323"/>
    <cellStyle name="Vírgula 5 4 2 4 3" xfId="24514"/>
    <cellStyle name="Vírgula 5 4 2 5" xfId="10907"/>
    <cellStyle name="Vírgula 5 4 2 5 2" xfId="37415"/>
    <cellStyle name="Vírgula 5 4 2 6" xfId="31048"/>
    <cellStyle name="Vírgula 5 4 2 7" xfId="22742"/>
    <cellStyle name="Vírgula 5 4 3" xfId="4645"/>
    <cellStyle name="Vírgula 5 4 3 2" xfId="6417"/>
    <cellStyle name="Vírgula 5 4 3 2 2" xfId="9474"/>
    <cellStyle name="Vírgula 5 4 3 2 2 2" xfId="21328"/>
    <cellStyle name="Vírgula 5 4 3 2 2 2 2" xfId="47807"/>
    <cellStyle name="Vírgula 5 4 3 2 2 3" xfId="15401"/>
    <cellStyle name="Vírgula 5 4 3 2 2 3 2" xfId="41899"/>
    <cellStyle name="Vírgula 5 4 3 2 2 4" xfId="35991"/>
    <cellStyle name="Vírgula 5 4 3 2 2 5" xfId="29457"/>
    <cellStyle name="Vírgula 5 4 3 2 3" xfId="18364"/>
    <cellStyle name="Vírgula 5 4 3 2 3 2" xfId="44853"/>
    <cellStyle name="Vírgula 5 4 3 2 4" xfId="12437"/>
    <cellStyle name="Vírgula 5 4 3 2 4 2" xfId="38945"/>
    <cellStyle name="Vírgula 5 4 3 2 5" xfId="32944"/>
    <cellStyle name="Vírgula 5 4 3 2 6" xfId="26410"/>
    <cellStyle name="Vírgula 5 4 3 3" xfId="8006"/>
    <cellStyle name="Vírgula 5 4 3 3 2" xfId="19860"/>
    <cellStyle name="Vírgula 5 4 3 3 2 2" xfId="46339"/>
    <cellStyle name="Vírgula 5 4 3 3 3" xfId="13933"/>
    <cellStyle name="Vírgula 5 4 3 3 3 2" xfId="40431"/>
    <cellStyle name="Vírgula 5 4 3 3 4" xfId="34523"/>
    <cellStyle name="Vírgula 5 4 3 3 5" xfId="27989"/>
    <cellStyle name="Vírgula 5 4 3 4" xfId="16896"/>
    <cellStyle name="Vírgula 5 4 3 4 2" xfId="43385"/>
    <cellStyle name="Vírgula 5 4 3 4 3" xfId="24638"/>
    <cellStyle name="Vírgula 5 4 3 5" xfId="10969"/>
    <cellStyle name="Vírgula 5 4 3 5 2" xfId="37477"/>
    <cellStyle name="Vírgula 5 4 3 6" xfId="31172"/>
    <cellStyle name="Vírgula 5 4 3 7" xfId="22866"/>
    <cellStyle name="Vírgula 5 4 4" xfId="4769"/>
    <cellStyle name="Vírgula 5 4 4 2" xfId="6541"/>
    <cellStyle name="Vírgula 5 4 4 2 2" xfId="9536"/>
    <cellStyle name="Vírgula 5 4 4 2 2 2" xfId="21390"/>
    <cellStyle name="Vírgula 5 4 4 2 2 2 2" xfId="47869"/>
    <cellStyle name="Vírgula 5 4 4 2 2 3" xfId="15463"/>
    <cellStyle name="Vírgula 5 4 4 2 2 3 2" xfId="41961"/>
    <cellStyle name="Vírgula 5 4 4 2 2 4" xfId="36053"/>
    <cellStyle name="Vírgula 5 4 4 2 2 5" xfId="29519"/>
    <cellStyle name="Vírgula 5 4 4 2 3" xfId="18426"/>
    <cellStyle name="Vírgula 5 4 4 2 3 2" xfId="44915"/>
    <cellStyle name="Vírgula 5 4 4 2 4" xfId="12499"/>
    <cellStyle name="Vírgula 5 4 4 2 4 2" xfId="39007"/>
    <cellStyle name="Vírgula 5 4 4 2 5" xfId="33068"/>
    <cellStyle name="Vírgula 5 4 4 2 6" xfId="26534"/>
    <cellStyle name="Vírgula 5 4 4 3" xfId="8068"/>
    <cellStyle name="Vírgula 5 4 4 3 2" xfId="19922"/>
    <cellStyle name="Vírgula 5 4 4 3 2 2" xfId="46401"/>
    <cellStyle name="Vírgula 5 4 4 3 3" xfId="13995"/>
    <cellStyle name="Vírgula 5 4 4 3 3 2" xfId="40493"/>
    <cellStyle name="Vírgula 5 4 4 3 4" xfId="34585"/>
    <cellStyle name="Vírgula 5 4 4 3 5" xfId="28051"/>
    <cellStyle name="Vírgula 5 4 4 4" xfId="16958"/>
    <cellStyle name="Vírgula 5 4 4 4 2" xfId="43447"/>
    <cellStyle name="Vírgula 5 4 4 4 3" xfId="24762"/>
    <cellStyle name="Vírgula 5 4 4 5" xfId="11031"/>
    <cellStyle name="Vírgula 5 4 4 5 2" xfId="37539"/>
    <cellStyle name="Vírgula 5 4 4 6" xfId="31296"/>
    <cellStyle name="Vírgula 5 4 4 7" xfId="22990"/>
    <cellStyle name="Vírgula 5 4 5" xfId="4357"/>
    <cellStyle name="Vírgula 5 4 5 2" xfId="6129"/>
    <cellStyle name="Vírgula 5 4 5 2 2" xfId="9330"/>
    <cellStyle name="Vírgula 5 4 5 2 2 2" xfId="21184"/>
    <cellStyle name="Vírgula 5 4 5 2 2 2 2" xfId="47663"/>
    <cellStyle name="Vírgula 5 4 5 2 2 3" xfId="15257"/>
    <cellStyle name="Vírgula 5 4 5 2 2 3 2" xfId="41755"/>
    <cellStyle name="Vírgula 5 4 5 2 2 4" xfId="35847"/>
    <cellStyle name="Vírgula 5 4 5 2 2 5" xfId="29313"/>
    <cellStyle name="Vírgula 5 4 5 2 3" xfId="18220"/>
    <cellStyle name="Vírgula 5 4 5 2 3 2" xfId="44709"/>
    <cellStyle name="Vírgula 5 4 5 2 4" xfId="12293"/>
    <cellStyle name="Vírgula 5 4 5 2 4 2" xfId="38801"/>
    <cellStyle name="Vírgula 5 4 5 2 5" xfId="32656"/>
    <cellStyle name="Vírgula 5 4 5 2 6" xfId="26122"/>
    <cellStyle name="Vírgula 5 4 5 3" xfId="7862"/>
    <cellStyle name="Vírgula 5 4 5 3 2" xfId="19716"/>
    <cellStyle name="Vírgula 5 4 5 3 2 2" xfId="46195"/>
    <cellStyle name="Vírgula 5 4 5 3 3" xfId="13789"/>
    <cellStyle name="Vírgula 5 4 5 3 3 2" xfId="40287"/>
    <cellStyle name="Vírgula 5 4 5 3 4" xfId="34379"/>
    <cellStyle name="Vírgula 5 4 5 3 5" xfId="27845"/>
    <cellStyle name="Vírgula 5 4 5 4" xfId="16752"/>
    <cellStyle name="Vírgula 5 4 5 4 2" xfId="43241"/>
    <cellStyle name="Vírgula 5 4 5 5" xfId="10825"/>
    <cellStyle name="Vírgula 5 4 5 5 2" xfId="37333"/>
    <cellStyle name="Vírgula 5 4 5 6" xfId="30884"/>
    <cellStyle name="Vírgula 5 4 5 7" xfId="24350"/>
    <cellStyle name="Vírgula 5 4 6" xfId="4893"/>
    <cellStyle name="Vírgula 5 4 6 2" xfId="8130"/>
    <cellStyle name="Vírgula 5 4 6 2 2" xfId="19984"/>
    <cellStyle name="Vírgula 5 4 6 2 2 2" xfId="46463"/>
    <cellStyle name="Vírgula 5 4 6 2 3" xfId="14057"/>
    <cellStyle name="Vírgula 5 4 6 2 3 2" xfId="40555"/>
    <cellStyle name="Vírgula 5 4 6 2 4" xfId="34647"/>
    <cellStyle name="Vírgula 5 4 6 2 5" xfId="28113"/>
    <cellStyle name="Vírgula 5 4 6 3" xfId="17020"/>
    <cellStyle name="Vírgula 5 4 6 3 2" xfId="43509"/>
    <cellStyle name="Vírgula 5 4 6 4" xfId="11093"/>
    <cellStyle name="Vírgula 5 4 6 4 2" xfId="37601"/>
    <cellStyle name="Vírgula 5 4 6 5" xfId="31420"/>
    <cellStyle name="Vírgula 5 4 6 6" xfId="24886"/>
    <cellStyle name="Vírgula 5 4 7" xfId="6654"/>
    <cellStyle name="Vírgula 5 4 7 2" xfId="18508"/>
    <cellStyle name="Vírgula 5 4 7 2 2" xfId="44995"/>
    <cellStyle name="Vírgula 5 4 7 3" xfId="12581"/>
    <cellStyle name="Vírgula 5 4 7 3 2" xfId="39087"/>
    <cellStyle name="Vírgula 5 4 7 4" xfId="33179"/>
    <cellStyle name="Vírgula 5 4 7 5" xfId="26645"/>
    <cellStyle name="Vírgula 5 4 8" xfId="15544"/>
    <cellStyle name="Vírgula 5 4 8 2" xfId="42041"/>
    <cellStyle name="Vírgula 5 4 8 3" xfId="23114"/>
    <cellStyle name="Vírgula 5 4 9" xfId="9617"/>
    <cellStyle name="Vírgula 5 4 9 2" xfId="36133"/>
    <cellStyle name="Vírgula 5 5" xfId="4443"/>
    <cellStyle name="Vírgula 5 5 2" xfId="6215"/>
    <cellStyle name="Vírgula 5 5 2 2" xfId="9373"/>
    <cellStyle name="Vírgula 5 5 2 2 2" xfId="21227"/>
    <cellStyle name="Vírgula 5 5 2 2 2 2" xfId="47706"/>
    <cellStyle name="Vírgula 5 5 2 2 3" xfId="15300"/>
    <cellStyle name="Vírgula 5 5 2 2 3 2" xfId="41798"/>
    <cellStyle name="Vírgula 5 5 2 2 4" xfId="35890"/>
    <cellStyle name="Vírgula 5 5 2 2 5" xfId="29356"/>
    <cellStyle name="Vírgula 5 5 2 3" xfId="18263"/>
    <cellStyle name="Vírgula 5 5 2 3 2" xfId="44752"/>
    <cellStyle name="Vírgula 5 5 2 4" xfId="12336"/>
    <cellStyle name="Vírgula 5 5 2 4 2" xfId="38844"/>
    <cellStyle name="Vírgula 5 5 2 5" xfId="32742"/>
    <cellStyle name="Vírgula 5 5 2 6" xfId="26208"/>
    <cellStyle name="Vírgula 5 5 3" xfId="7905"/>
    <cellStyle name="Vírgula 5 5 3 2" xfId="19759"/>
    <cellStyle name="Vírgula 5 5 3 2 2" xfId="46238"/>
    <cellStyle name="Vírgula 5 5 3 3" xfId="13832"/>
    <cellStyle name="Vírgula 5 5 3 3 2" xfId="40330"/>
    <cellStyle name="Vírgula 5 5 3 4" xfId="34422"/>
    <cellStyle name="Vírgula 5 5 3 5" xfId="27888"/>
    <cellStyle name="Vírgula 5 5 4" xfId="16795"/>
    <cellStyle name="Vírgula 5 5 4 2" xfId="43284"/>
    <cellStyle name="Vírgula 5 5 4 3" xfId="24436"/>
    <cellStyle name="Vírgula 5 5 5" xfId="10868"/>
    <cellStyle name="Vírgula 5 5 5 2" xfId="37376"/>
    <cellStyle name="Vírgula 5 5 6" xfId="30970"/>
    <cellStyle name="Vírgula 5 5 7" xfId="22664"/>
    <cellStyle name="Vírgula 5 6" xfId="4567"/>
    <cellStyle name="Vírgula 5 6 2" xfId="6339"/>
    <cellStyle name="Vírgula 5 6 2 2" xfId="9435"/>
    <cellStyle name="Vírgula 5 6 2 2 2" xfId="21289"/>
    <cellStyle name="Vírgula 5 6 2 2 2 2" xfId="47768"/>
    <cellStyle name="Vírgula 5 6 2 2 3" xfId="15362"/>
    <cellStyle name="Vírgula 5 6 2 2 3 2" xfId="41860"/>
    <cellStyle name="Vírgula 5 6 2 2 4" xfId="35952"/>
    <cellStyle name="Vírgula 5 6 2 2 5" xfId="29418"/>
    <cellStyle name="Vírgula 5 6 2 3" xfId="18325"/>
    <cellStyle name="Vírgula 5 6 2 3 2" xfId="44814"/>
    <cellStyle name="Vírgula 5 6 2 4" xfId="12398"/>
    <cellStyle name="Vírgula 5 6 2 4 2" xfId="38906"/>
    <cellStyle name="Vírgula 5 6 2 5" xfId="32866"/>
    <cellStyle name="Vírgula 5 6 2 6" xfId="26332"/>
    <cellStyle name="Vírgula 5 6 3" xfId="7967"/>
    <cellStyle name="Vírgula 5 6 3 2" xfId="19821"/>
    <cellStyle name="Vírgula 5 6 3 2 2" xfId="46300"/>
    <cellStyle name="Vírgula 5 6 3 3" xfId="13894"/>
    <cellStyle name="Vírgula 5 6 3 3 2" xfId="40392"/>
    <cellStyle name="Vírgula 5 6 3 4" xfId="34484"/>
    <cellStyle name="Vírgula 5 6 3 5" xfId="27950"/>
    <cellStyle name="Vírgula 5 6 4" xfId="16857"/>
    <cellStyle name="Vírgula 5 6 4 2" xfId="43346"/>
    <cellStyle name="Vírgula 5 6 4 3" xfId="24560"/>
    <cellStyle name="Vírgula 5 6 5" xfId="10930"/>
    <cellStyle name="Vírgula 5 6 5 2" xfId="37438"/>
    <cellStyle name="Vírgula 5 6 6" xfId="31094"/>
    <cellStyle name="Vírgula 5 6 7" xfId="22788"/>
    <cellStyle name="Vírgula 5 7" xfId="4691"/>
    <cellStyle name="Vírgula 5 7 2" xfId="6463"/>
    <cellStyle name="Vírgula 5 7 2 2" xfId="9497"/>
    <cellStyle name="Vírgula 5 7 2 2 2" xfId="21351"/>
    <cellStyle name="Vírgula 5 7 2 2 2 2" xfId="47830"/>
    <cellStyle name="Vírgula 5 7 2 2 3" xfId="15424"/>
    <cellStyle name="Vírgula 5 7 2 2 3 2" xfId="41922"/>
    <cellStyle name="Vírgula 5 7 2 2 4" xfId="36014"/>
    <cellStyle name="Vírgula 5 7 2 2 5" xfId="29480"/>
    <cellStyle name="Vírgula 5 7 2 3" xfId="18387"/>
    <cellStyle name="Vírgula 5 7 2 3 2" xfId="44876"/>
    <cellStyle name="Vírgula 5 7 2 4" xfId="12460"/>
    <cellStyle name="Vírgula 5 7 2 4 2" xfId="38968"/>
    <cellStyle name="Vírgula 5 7 2 5" xfId="32990"/>
    <cellStyle name="Vírgula 5 7 2 6" xfId="26456"/>
    <cellStyle name="Vírgula 5 7 3" xfId="8029"/>
    <cellStyle name="Vírgula 5 7 3 2" xfId="19883"/>
    <cellStyle name="Vírgula 5 7 3 2 2" xfId="46362"/>
    <cellStyle name="Vírgula 5 7 3 3" xfId="13956"/>
    <cellStyle name="Vírgula 5 7 3 3 2" xfId="40454"/>
    <cellStyle name="Vírgula 5 7 3 4" xfId="34546"/>
    <cellStyle name="Vírgula 5 7 3 5" xfId="28012"/>
    <cellStyle name="Vírgula 5 7 4" xfId="16919"/>
    <cellStyle name="Vírgula 5 7 4 2" xfId="43408"/>
    <cellStyle name="Vírgula 5 7 4 3" xfId="24684"/>
    <cellStyle name="Vírgula 5 7 5" xfId="10992"/>
    <cellStyle name="Vírgula 5 7 5 2" xfId="37500"/>
    <cellStyle name="Vírgula 5 7 6" xfId="31218"/>
    <cellStyle name="Vírgula 5 7 7" xfId="22912"/>
    <cellStyle name="Vírgula 5 8" xfId="694"/>
    <cellStyle name="Vírgula 5 8 2" xfId="5075"/>
    <cellStyle name="Vírgula 5 8 2 2" xfId="8290"/>
    <cellStyle name="Vírgula 5 8 2 2 2" xfId="20144"/>
    <cellStyle name="Vírgula 5 8 2 2 2 2" xfId="46623"/>
    <cellStyle name="Vírgula 5 8 2 2 3" xfId="14217"/>
    <cellStyle name="Vírgula 5 8 2 2 3 2" xfId="40715"/>
    <cellStyle name="Vírgula 5 8 2 2 4" xfId="34807"/>
    <cellStyle name="Vírgula 5 8 2 2 5" xfId="28273"/>
    <cellStyle name="Vírgula 5 8 2 3" xfId="17180"/>
    <cellStyle name="Vírgula 5 8 2 3 2" xfId="43669"/>
    <cellStyle name="Vírgula 5 8 2 4" xfId="11253"/>
    <cellStyle name="Vírgula 5 8 2 4 2" xfId="37761"/>
    <cellStyle name="Vírgula 5 8 2 5" xfId="31602"/>
    <cellStyle name="Vírgula 5 8 2 6" xfId="25068"/>
    <cellStyle name="Vírgula 5 8 3" xfId="6814"/>
    <cellStyle name="Vírgula 5 8 3 2" xfId="18668"/>
    <cellStyle name="Vírgula 5 8 3 2 2" xfId="45155"/>
    <cellStyle name="Vírgula 5 8 3 3" xfId="12741"/>
    <cellStyle name="Vírgula 5 8 3 3 2" xfId="39247"/>
    <cellStyle name="Vírgula 5 8 3 4" xfId="33339"/>
    <cellStyle name="Vírgula 5 8 3 5" xfId="26805"/>
    <cellStyle name="Vírgula 5 8 4" xfId="15704"/>
    <cellStyle name="Vírgula 5 8 4 2" xfId="42201"/>
    <cellStyle name="Vírgula 5 8 5" xfId="9777"/>
    <cellStyle name="Vírgula 5 8 5 2" xfId="36293"/>
    <cellStyle name="Vírgula 5 8 6" xfId="29830"/>
    <cellStyle name="Vírgula 5 8 7" xfId="23296"/>
    <cellStyle name="Vírgula 5 9" xfId="4815"/>
    <cellStyle name="Vírgula 5 9 2" xfId="8091"/>
    <cellStyle name="Vírgula 5 9 2 2" xfId="19945"/>
    <cellStyle name="Vírgula 5 9 2 2 2" xfId="46424"/>
    <cellStyle name="Vírgula 5 9 2 3" xfId="14018"/>
    <cellStyle name="Vírgula 5 9 2 3 2" xfId="40516"/>
    <cellStyle name="Vírgula 5 9 2 4" xfId="34608"/>
    <cellStyle name="Vírgula 5 9 2 5" xfId="28074"/>
    <cellStyle name="Vírgula 5 9 3" xfId="16981"/>
    <cellStyle name="Vírgula 5 9 3 2" xfId="43470"/>
    <cellStyle name="Vírgula 5 9 4" xfId="11054"/>
    <cellStyle name="Vírgula 5 9 4 2" xfId="37562"/>
    <cellStyle name="Vírgula 5 9 5" xfId="31342"/>
    <cellStyle name="Vírgula 5 9 6" xfId="24808"/>
    <cellStyle name="Vírgula 6" xfId="41"/>
    <cellStyle name="Vírgula 6 10" xfId="6618"/>
    <cellStyle name="Vírgula 6 10 2" xfId="18472"/>
    <cellStyle name="Vírgula 6 10 2 2" xfId="44959"/>
    <cellStyle name="Vírgula 6 10 3" xfId="12545"/>
    <cellStyle name="Vírgula 6 10 3 2" xfId="39051"/>
    <cellStyle name="Vírgula 6 10 4" xfId="33143"/>
    <cellStyle name="Vírgula 6 10 5" xfId="26609"/>
    <cellStyle name="Vírgula 6 11" xfId="15508"/>
    <cellStyle name="Vírgula 6 11 2" xfId="42005"/>
    <cellStyle name="Vírgula 6 11 3" xfId="23042"/>
    <cellStyle name="Vírgula 6 12" xfId="9581"/>
    <cellStyle name="Vírgula 6 12 2" xfId="36097"/>
    <cellStyle name="Vírgula 6 13" xfId="29576"/>
    <cellStyle name="Vírgula 6 14" xfId="22584"/>
    <cellStyle name="Vírgula 6 2" xfId="82"/>
    <cellStyle name="Vírgula 6 2 10" xfId="29616"/>
    <cellStyle name="Vírgula 6 2 11" xfId="22624"/>
    <cellStyle name="Vírgula 6 2 2" xfId="4489"/>
    <cellStyle name="Vírgula 6 2 2 2" xfId="6261"/>
    <cellStyle name="Vírgula 6 2 2 2 2" xfId="9396"/>
    <cellStyle name="Vírgula 6 2 2 2 2 2" xfId="21250"/>
    <cellStyle name="Vírgula 6 2 2 2 2 2 2" xfId="47729"/>
    <cellStyle name="Vírgula 6 2 2 2 2 3" xfId="15323"/>
    <cellStyle name="Vírgula 6 2 2 2 2 3 2" xfId="41821"/>
    <cellStyle name="Vírgula 6 2 2 2 2 4" xfId="35913"/>
    <cellStyle name="Vírgula 6 2 2 2 2 5" xfId="29379"/>
    <cellStyle name="Vírgula 6 2 2 2 3" xfId="18286"/>
    <cellStyle name="Vírgula 6 2 2 2 3 2" xfId="44775"/>
    <cellStyle name="Vírgula 6 2 2 2 4" xfId="12359"/>
    <cellStyle name="Vírgula 6 2 2 2 4 2" xfId="38867"/>
    <cellStyle name="Vírgula 6 2 2 2 5" xfId="32788"/>
    <cellStyle name="Vírgula 6 2 2 2 6" xfId="26254"/>
    <cellStyle name="Vírgula 6 2 2 3" xfId="7928"/>
    <cellStyle name="Vírgula 6 2 2 3 2" xfId="19782"/>
    <cellStyle name="Vírgula 6 2 2 3 2 2" xfId="46261"/>
    <cellStyle name="Vírgula 6 2 2 3 3" xfId="13855"/>
    <cellStyle name="Vírgula 6 2 2 3 3 2" xfId="40353"/>
    <cellStyle name="Vírgula 6 2 2 3 4" xfId="34445"/>
    <cellStyle name="Vírgula 6 2 2 3 5" xfId="27911"/>
    <cellStyle name="Vírgula 6 2 2 4" xfId="16818"/>
    <cellStyle name="Vírgula 6 2 2 4 2" xfId="43307"/>
    <cellStyle name="Vírgula 6 2 2 4 3" xfId="24482"/>
    <cellStyle name="Vírgula 6 2 2 5" xfId="10891"/>
    <cellStyle name="Vírgula 6 2 2 5 2" xfId="37399"/>
    <cellStyle name="Vírgula 6 2 2 6" xfId="31016"/>
    <cellStyle name="Vírgula 6 2 2 7" xfId="22710"/>
    <cellStyle name="Vírgula 6 2 3" xfId="4613"/>
    <cellStyle name="Vírgula 6 2 3 2" xfId="6385"/>
    <cellStyle name="Vírgula 6 2 3 2 2" xfId="9458"/>
    <cellStyle name="Vírgula 6 2 3 2 2 2" xfId="21312"/>
    <cellStyle name="Vírgula 6 2 3 2 2 2 2" xfId="47791"/>
    <cellStyle name="Vírgula 6 2 3 2 2 3" xfId="15385"/>
    <cellStyle name="Vírgula 6 2 3 2 2 3 2" xfId="41883"/>
    <cellStyle name="Vírgula 6 2 3 2 2 4" xfId="35975"/>
    <cellStyle name="Vírgula 6 2 3 2 2 5" xfId="29441"/>
    <cellStyle name="Vírgula 6 2 3 2 3" xfId="18348"/>
    <cellStyle name="Vírgula 6 2 3 2 3 2" xfId="44837"/>
    <cellStyle name="Vírgula 6 2 3 2 4" xfId="12421"/>
    <cellStyle name="Vírgula 6 2 3 2 4 2" xfId="38929"/>
    <cellStyle name="Vírgula 6 2 3 2 5" xfId="32912"/>
    <cellStyle name="Vírgula 6 2 3 2 6" xfId="26378"/>
    <cellStyle name="Vírgula 6 2 3 3" xfId="7990"/>
    <cellStyle name="Vírgula 6 2 3 3 2" xfId="19844"/>
    <cellStyle name="Vírgula 6 2 3 3 2 2" xfId="46323"/>
    <cellStyle name="Vírgula 6 2 3 3 3" xfId="13917"/>
    <cellStyle name="Vírgula 6 2 3 3 3 2" xfId="40415"/>
    <cellStyle name="Vírgula 6 2 3 3 4" xfId="34507"/>
    <cellStyle name="Vírgula 6 2 3 3 5" xfId="27973"/>
    <cellStyle name="Vírgula 6 2 3 4" xfId="16880"/>
    <cellStyle name="Vírgula 6 2 3 4 2" xfId="43369"/>
    <cellStyle name="Vírgula 6 2 3 4 3" xfId="24606"/>
    <cellStyle name="Vírgula 6 2 3 5" xfId="10953"/>
    <cellStyle name="Vírgula 6 2 3 5 2" xfId="37461"/>
    <cellStyle name="Vírgula 6 2 3 6" xfId="31140"/>
    <cellStyle name="Vírgula 6 2 3 7" xfId="22834"/>
    <cellStyle name="Vírgula 6 2 4" xfId="4737"/>
    <cellStyle name="Vírgula 6 2 4 2" xfId="6509"/>
    <cellStyle name="Vírgula 6 2 4 2 2" xfId="9520"/>
    <cellStyle name="Vírgula 6 2 4 2 2 2" xfId="21374"/>
    <cellStyle name="Vírgula 6 2 4 2 2 2 2" xfId="47853"/>
    <cellStyle name="Vírgula 6 2 4 2 2 3" xfId="15447"/>
    <cellStyle name="Vírgula 6 2 4 2 2 3 2" xfId="41945"/>
    <cellStyle name="Vírgula 6 2 4 2 2 4" xfId="36037"/>
    <cellStyle name="Vírgula 6 2 4 2 2 5" xfId="29503"/>
    <cellStyle name="Vírgula 6 2 4 2 3" xfId="18410"/>
    <cellStyle name="Vírgula 6 2 4 2 3 2" xfId="44899"/>
    <cellStyle name="Vírgula 6 2 4 2 4" xfId="12483"/>
    <cellStyle name="Vírgula 6 2 4 2 4 2" xfId="38991"/>
    <cellStyle name="Vírgula 6 2 4 2 5" xfId="33036"/>
    <cellStyle name="Vírgula 6 2 4 2 6" xfId="26502"/>
    <cellStyle name="Vírgula 6 2 4 3" xfId="8052"/>
    <cellStyle name="Vírgula 6 2 4 3 2" xfId="19906"/>
    <cellStyle name="Vírgula 6 2 4 3 2 2" xfId="46385"/>
    <cellStyle name="Vírgula 6 2 4 3 3" xfId="13979"/>
    <cellStyle name="Vírgula 6 2 4 3 3 2" xfId="40477"/>
    <cellStyle name="Vírgula 6 2 4 3 4" xfId="34569"/>
    <cellStyle name="Vírgula 6 2 4 3 5" xfId="28035"/>
    <cellStyle name="Vírgula 6 2 4 4" xfId="16942"/>
    <cellStyle name="Vírgula 6 2 4 4 2" xfId="43431"/>
    <cellStyle name="Vírgula 6 2 4 4 3" xfId="24730"/>
    <cellStyle name="Vírgula 6 2 4 5" xfId="11015"/>
    <cellStyle name="Vírgula 6 2 4 5 2" xfId="37523"/>
    <cellStyle name="Vírgula 6 2 4 6" xfId="31264"/>
    <cellStyle name="Vírgula 6 2 4 7" xfId="22958"/>
    <cellStyle name="Vírgula 6 2 5" xfId="4403"/>
    <cellStyle name="Vírgula 6 2 5 2" xfId="6175"/>
    <cellStyle name="Vírgula 6 2 5 2 2" xfId="9353"/>
    <cellStyle name="Vírgula 6 2 5 2 2 2" xfId="21207"/>
    <cellStyle name="Vírgula 6 2 5 2 2 2 2" xfId="47686"/>
    <cellStyle name="Vírgula 6 2 5 2 2 3" xfId="15280"/>
    <cellStyle name="Vírgula 6 2 5 2 2 3 2" xfId="41778"/>
    <cellStyle name="Vírgula 6 2 5 2 2 4" xfId="35870"/>
    <cellStyle name="Vírgula 6 2 5 2 2 5" xfId="29336"/>
    <cellStyle name="Vírgula 6 2 5 2 3" xfId="18243"/>
    <cellStyle name="Vírgula 6 2 5 2 3 2" xfId="44732"/>
    <cellStyle name="Vírgula 6 2 5 2 4" xfId="12316"/>
    <cellStyle name="Vírgula 6 2 5 2 4 2" xfId="38824"/>
    <cellStyle name="Vírgula 6 2 5 2 5" xfId="32702"/>
    <cellStyle name="Vírgula 6 2 5 2 6" xfId="26168"/>
    <cellStyle name="Vírgula 6 2 5 3" xfId="7885"/>
    <cellStyle name="Vírgula 6 2 5 3 2" xfId="19739"/>
    <cellStyle name="Vírgula 6 2 5 3 2 2" xfId="46218"/>
    <cellStyle name="Vírgula 6 2 5 3 3" xfId="13812"/>
    <cellStyle name="Vírgula 6 2 5 3 3 2" xfId="40310"/>
    <cellStyle name="Vírgula 6 2 5 3 4" xfId="34402"/>
    <cellStyle name="Vírgula 6 2 5 3 5" xfId="27868"/>
    <cellStyle name="Vírgula 6 2 5 4" xfId="16775"/>
    <cellStyle name="Vírgula 6 2 5 4 2" xfId="43264"/>
    <cellStyle name="Vírgula 6 2 5 5" xfId="10848"/>
    <cellStyle name="Vírgula 6 2 5 5 2" xfId="37356"/>
    <cellStyle name="Vírgula 6 2 5 6" xfId="30930"/>
    <cellStyle name="Vírgula 6 2 5 7" xfId="24396"/>
    <cellStyle name="Vírgula 6 2 6" xfId="4861"/>
    <cellStyle name="Vírgula 6 2 6 2" xfId="8114"/>
    <cellStyle name="Vírgula 6 2 6 2 2" xfId="19968"/>
    <cellStyle name="Vírgula 6 2 6 2 2 2" xfId="46447"/>
    <cellStyle name="Vírgula 6 2 6 2 3" xfId="14041"/>
    <cellStyle name="Vírgula 6 2 6 2 3 2" xfId="40539"/>
    <cellStyle name="Vírgula 6 2 6 2 4" xfId="34631"/>
    <cellStyle name="Vírgula 6 2 6 2 5" xfId="28097"/>
    <cellStyle name="Vírgula 6 2 6 3" xfId="17004"/>
    <cellStyle name="Vírgula 6 2 6 3 2" xfId="43493"/>
    <cellStyle name="Vírgula 6 2 6 4" xfId="11077"/>
    <cellStyle name="Vírgula 6 2 6 4 2" xfId="37585"/>
    <cellStyle name="Vírgula 6 2 6 5" xfId="31388"/>
    <cellStyle name="Vírgula 6 2 6 6" xfId="24854"/>
    <cellStyle name="Vírgula 6 2 7" xfId="6638"/>
    <cellStyle name="Vírgula 6 2 7 2" xfId="18492"/>
    <cellStyle name="Vírgula 6 2 7 2 2" xfId="44979"/>
    <cellStyle name="Vírgula 6 2 7 3" xfId="12565"/>
    <cellStyle name="Vírgula 6 2 7 3 2" xfId="39071"/>
    <cellStyle name="Vírgula 6 2 7 4" xfId="33163"/>
    <cellStyle name="Vírgula 6 2 7 5" xfId="26629"/>
    <cellStyle name="Vírgula 6 2 8" xfId="15528"/>
    <cellStyle name="Vírgula 6 2 8 2" xfId="42025"/>
    <cellStyle name="Vírgula 6 2 8 3" xfId="23082"/>
    <cellStyle name="Vírgula 6 2 9" xfId="9601"/>
    <cellStyle name="Vírgula 6 2 9 2" xfId="36117"/>
    <cellStyle name="Vírgula 6 3" xfId="120"/>
    <cellStyle name="Vírgula 6 3 10" xfId="22748"/>
    <cellStyle name="Vírgula 6 3 2" xfId="4651"/>
    <cellStyle name="Vírgula 6 3 2 2" xfId="6423"/>
    <cellStyle name="Vírgula 6 3 2 2 2" xfId="9477"/>
    <cellStyle name="Vírgula 6 3 2 2 2 2" xfId="21331"/>
    <cellStyle name="Vírgula 6 3 2 2 2 2 2" xfId="47810"/>
    <cellStyle name="Vírgula 6 3 2 2 2 3" xfId="15404"/>
    <cellStyle name="Vírgula 6 3 2 2 2 3 2" xfId="41902"/>
    <cellStyle name="Vírgula 6 3 2 2 2 4" xfId="35994"/>
    <cellStyle name="Vírgula 6 3 2 2 2 5" xfId="29460"/>
    <cellStyle name="Vírgula 6 3 2 2 3" xfId="18367"/>
    <cellStyle name="Vírgula 6 3 2 2 3 2" xfId="44856"/>
    <cellStyle name="Vírgula 6 3 2 2 4" xfId="12440"/>
    <cellStyle name="Vírgula 6 3 2 2 4 2" xfId="38948"/>
    <cellStyle name="Vírgula 6 3 2 2 5" xfId="32950"/>
    <cellStyle name="Vírgula 6 3 2 2 6" xfId="26416"/>
    <cellStyle name="Vírgula 6 3 2 3" xfId="8009"/>
    <cellStyle name="Vírgula 6 3 2 3 2" xfId="19863"/>
    <cellStyle name="Vírgula 6 3 2 3 2 2" xfId="46342"/>
    <cellStyle name="Vírgula 6 3 2 3 3" xfId="13936"/>
    <cellStyle name="Vírgula 6 3 2 3 3 2" xfId="40434"/>
    <cellStyle name="Vírgula 6 3 2 3 4" xfId="34526"/>
    <cellStyle name="Vírgula 6 3 2 3 5" xfId="27992"/>
    <cellStyle name="Vírgula 6 3 2 4" xfId="16899"/>
    <cellStyle name="Vírgula 6 3 2 4 2" xfId="43388"/>
    <cellStyle name="Vírgula 6 3 2 4 3" xfId="24644"/>
    <cellStyle name="Vírgula 6 3 2 5" xfId="10972"/>
    <cellStyle name="Vírgula 6 3 2 5 2" xfId="37480"/>
    <cellStyle name="Vírgula 6 3 2 6" xfId="31178"/>
    <cellStyle name="Vírgula 6 3 2 7" xfId="22872"/>
    <cellStyle name="Vírgula 6 3 3" xfId="4775"/>
    <cellStyle name="Vírgula 6 3 3 2" xfId="6547"/>
    <cellStyle name="Vírgula 6 3 3 2 2" xfId="9539"/>
    <cellStyle name="Vírgula 6 3 3 2 2 2" xfId="21393"/>
    <cellStyle name="Vírgula 6 3 3 2 2 2 2" xfId="47872"/>
    <cellStyle name="Vírgula 6 3 3 2 2 3" xfId="15466"/>
    <cellStyle name="Vírgula 6 3 3 2 2 3 2" xfId="41964"/>
    <cellStyle name="Vírgula 6 3 3 2 2 4" xfId="36056"/>
    <cellStyle name="Vírgula 6 3 3 2 2 5" xfId="29522"/>
    <cellStyle name="Vírgula 6 3 3 2 3" xfId="18429"/>
    <cellStyle name="Vírgula 6 3 3 2 3 2" xfId="44918"/>
    <cellStyle name="Vírgula 6 3 3 2 4" xfId="12502"/>
    <cellStyle name="Vírgula 6 3 3 2 4 2" xfId="39010"/>
    <cellStyle name="Vírgula 6 3 3 2 5" xfId="33074"/>
    <cellStyle name="Vírgula 6 3 3 2 6" xfId="26540"/>
    <cellStyle name="Vírgula 6 3 3 3" xfId="8071"/>
    <cellStyle name="Vírgula 6 3 3 3 2" xfId="19925"/>
    <cellStyle name="Vírgula 6 3 3 3 2 2" xfId="46404"/>
    <cellStyle name="Vírgula 6 3 3 3 3" xfId="13998"/>
    <cellStyle name="Vírgula 6 3 3 3 3 2" xfId="40496"/>
    <cellStyle name="Vírgula 6 3 3 3 4" xfId="34588"/>
    <cellStyle name="Vírgula 6 3 3 3 5" xfId="28054"/>
    <cellStyle name="Vírgula 6 3 3 4" xfId="16961"/>
    <cellStyle name="Vírgula 6 3 3 4 2" xfId="43450"/>
    <cellStyle name="Vírgula 6 3 3 4 3" xfId="24768"/>
    <cellStyle name="Vírgula 6 3 3 5" xfId="11034"/>
    <cellStyle name="Vírgula 6 3 3 5 2" xfId="37542"/>
    <cellStyle name="Vírgula 6 3 3 6" xfId="31302"/>
    <cellStyle name="Vírgula 6 3 3 7" xfId="22996"/>
    <cellStyle name="Vírgula 6 3 4" xfId="4527"/>
    <cellStyle name="Vírgula 6 3 4 2" xfId="6299"/>
    <cellStyle name="Vírgula 6 3 4 2 2" xfId="9415"/>
    <cellStyle name="Vírgula 6 3 4 2 2 2" xfId="21269"/>
    <cellStyle name="Vírgula 6 3 4 2 2 2 2" xfId="47748"/>
    <cellStyle name="Vírgula 6 3 4 2 2 3" xfId="15342"/>
    <cellStyle name="Vírgula 6 3 4 2 2 3 2" xfId="41840"/>
    <cellStyle name="Vírgula 6 3 4 2 2 4" xfId="35932"/>
    <cellStyle name="Vírgula 6 3 4 2 2 5" xfId="29398"/>
    <cellStyle name="Vírgula 6 3 4 2 3" xfId="18305"/>
    <cellStyle name="Vírgula 6 3 4 2 3 2" xfId="44794"/>
    <cellStyle name="Vírgula 6 3 4 2 4" xfId="12378"/>
    <cellStyle name="Vírgula 6 3 4 2 4 2" xfId="38886"/>
    <cellStyle name="Vírgula 6 3 4 2 5" xfId="32826"/>
    <cellStyle name="Vírgula 6 3 4 2 6" xfId="26292"/>
    <cellStyle name="Vírgula 6 3 4 3" xfId="7947"/>
    <cellStyle name="Vírgula 6 3 4 3 2" xfId="19801"/>
    <cellStyle name="Vírgula 6 3 4 3 2 2" xfId="46280"/>
    <cellStyle name="Vírgula 6 3 4 3 3" xfId="13874"/>
    <cellStyle name="Vírgula 6 3 4 3 3 2" xfId="40372"/>
    <cellStyle name="Vírgula 6 3 4 3 4" xfId="34464"/>
    <cellStyle name="Vírgula 6 3 4 3 5" xfId="27930"/>
    <cellStyle name="Vírgula 6 3 4 4" xfId="16837"/>
    <cellStyle name="Vírgula 6 3 4 4 2" xfId="43326"/>
    <cellStyle name="Vírgula 6 3 4 5" xfId="10910"/>
    <cellStyle name="Vírgula 6 3 4 5 2" xfId="37418"/>
    <cellStyle name="Vírgula 6 3 4 6" xfId="31054"/>
    <cellStyle name="Vírgula 6 3 4 7" xfId="24520"/>
    <cellStyle name="Vírgula 6 3 5" xfId="4899"/>
    <cellStyle name="Vírgula 6 3 5 2" xfId="8133"/>
    <cellStyle name="Vírgula 6 3 5 2 2" xfId="19987"/>
    <cellStyle name="Vírgula 6 3 5 2 2 2" xfId="46466"/>
    <cellStyle name="Vírgula 6 3 5 2 3" xfId="14060"/>
    <cellStyle name="Vírgula 6 3 5 2 3 2" xfId="40558"/>
    <cellStyle name="Vírgula 6 3 5 2 4" xfId="34650"/>
    <cellStyle name="Vírgula 6 3 5 2 5" xfId="28116"/>
    <cellStyle name="Vírgula 6 3 5 3" xfId="17023"/>
    <cellStyle name="Vírgula 6 3 5 3 2" xfId="43512"/>
    <cellStyle name="Vírgula 6 3 5 4" xfId="11096"/>
    <cellStyle name="Vírgula 6 3 5 4 2" xfId="37604"/>
    <cellStyle name="Vírgula 6 3 5 5" xfId="31426"/>
    <cellStyle name="Vírgula 6 3 5 6" xfId="24892"/>
    <cellStyle name="Vírgula 6 3 6" xfId="6657"/>
    <cellStyle name="Vírgula 6 3 6 2" xfId="18511"/>
    <cellStyle name="Vírgula 6 3 6 2 2" xfId="44998"/>
    <cellStyle name="Vírgula 6 3 6 3" xfId="12584"/>
    <cellStyle name="Vírgula 6 3 6 3 2" xfId="39090"/>
    <cellStyle name="Vírgula 6 3 6 4" xfId="33182"/>
    <cellStyle name="Vírgula 6 3 6 5" xfId="26648"/>
    <cellStyle name="Vírgula 6 3 7" xfId="15547"/>
    <cellStyle name="Vírgula 6 3 7 2" xfId="42044"/>
    <cellStyle name="Vírgula 6 3 7 3" xfId="23120"/>
    <cellStyle name="Vírgula 6 3 8" xfId="9620"/>
    <cellStyle name="Vírgula 6 3 8 2" xfId="36136"/>
    <cellStyle name="Vírgula 6 3 9" xfId="29654"/>
    <cellStyle name="Vírgula 6 4" xfId="4449"/>
    <cellStyle name="Vírgula 6 4 2" xfId="6221"/>
    <cellStyle name="Vírgula 6 4 2 2" xfId="9376"/>
    <cellStyle name="Vírgula 6 4 2 2 2" xfId="21230"/>
    <cellStyle name="Vírgula 6 4 2 2 2 2" xfId="47709"/>
    <cellStyle name="Vírgula 6 4 2 2 3" xfId="15303"/>
    <cellStyle name="Vírgula 6 4 2 2 3 2" xfId="41801"/>
    <cellStyle name="Vírgula 6 4 2 2 4" xfId="35893"/>
    <cellStyle name="Vírgula 6 4 2 2 5" xfId="29359"/>
    <cellStyle name="Vírgula 6 4 2 3" xfId="18266"/>
    <cellStyle name="Vírgula 6 4 2 3 2" xfId="44755"/>
    <cellStyle name="Vírgula 6 4 2 4" xfId="12339"/>
    <cellStyle name="Vírgula 6 4 2 4 2" xfId="38847"/>
    <cellStyle name="Vírgula 6 4 2 5" xfId="32748"/>
    <cellStyle name="Vírgula 6 4 2 6" xfId="26214"/>
    <cellStyle name="Vírgula 6 4 3" xfId="7908"/>
    <cellStyle name="Vírgula 6 4 3 2" xfId="19762"/>
    <cellStyle name="Vírgula 6 4 3 2 2" xfId="46241"/>
    <cellStyle name="Vírgula 6 4 3 3" xfId="13835"/>
    <cellStyle name="Vírgula 6 4 3 3 2" xfId="40333"/>
    <cellStyle name="Vírgula 6 4 3 4" xfId="34425"/>
    <cellStyle name="Vírgula 6 4 3 5" xfId="27891"/>
    <cellStyle name="Vírgula 6 4 4" xfId="16798"/>
    <cellStyle name="Vírgula 6 4 4 2" xfId="43287"/>
    <cellStyle name="Vírgula 6 4 4 3" xfId="24442"/>
    <cellStyle name="Vírgula 6 4 5" xfId="10871"/>
    <cellStyle name="Vírgula 6 4 5 2" xfId="37379"/>
    <cellStyle name="Vírgula 6 4 6" xfId="30976"/>
    <cellStyle name="Vírgula 6 4 7" xfId="22670"/>
    <cellStyle name="Vírgula 6 5" xfId="4573"/>
    <cellStyle name="Vírgula 6 5 2" xfId="6345"/>
    <cellStyle name="Vírgula 6 5 2 2" xfId="9438"/>
    <cellStyle name="Vírgula 6 5 2 2 2" xfId="21292"/>
    <cellStyle name="Vírgula 6 5 2 2 2 2" xfId="47771"/>
    <cellStyle name="Vírgula 6 5 2 2 3" xfId="15365"/>
    <cellStyle name="Vírgula 6 5 2 2 3 2" xfId="41863"/>
    <cellStyle name="Vírgula 6 5 2 2 4" xfId="35955"/>
    <cellStyle name="Vírgula 6 5 2 2 5" xfId="29421"/>
    <cellStyle name="Vírgula 6 5 2 3" xfId="18328"/>
    <cellStyle name="Vírgula 6 5 2 3 2" xfId="44817"/>
    <cellStyle name="Vírgula 6 5 2 4" xfId="12401"/>
    <cellStyle name="Vírgula 6 5 2 4 2" xfId="38909"/>
    <cellStyle name="Vírgula 6 5 2 5" xfId="32872"/>
    <cellStyle name="Vírgula 6 5 2 6" xfId="26338"/>
    <cellStyle name="Vírgula 6 5 3" xfId="7970"/>
    <cellStyle name="Vírgula 6 5 3 2" xfId="19824"/>
    <cellStyle name="Vírgula 6 5 3 2 2" xfId="46303"/>
    <cellStyle name="Vírgula 6 5 3 3" xfId="13897"/>
    <cellStyle name="Vírgula 6 5 3 3 2" xfId="40395"/>
    <cellStyle name="Vírgula 6 5 3 4" xfId="34487"/>
    <cellStyle name="Vírgula 6 5 3 5" xfId="27953"/>
    <cellStyle name="Vírgula 6 5 4" xfId="16860"/>
    <cellStyle name="Vírgula 6 5 4 2" xfId="43349"/>
    <cellStyle name="Vírgula 6 5 4 3" xfId="24566"/>
    <cellStyle name="Vírgula 6 5 5" xfId="10933"/>
    <cellStyle name="Vírgula 6 5 5 2" xfId="37441"/>
    <cellStyle name="Vírgula 6 5 6" xfId="31100"/>
    <cellStyle name="Vírgula 6 5 7" xfId="22794"/>
    <cellStyle name="Vírgula 6 6" xfId="4697"/>
    <cellStyle name="Vírgula 6 6 2" xfId="6469"/>
    <cellStyle name="Vírgula 6 6 2 2" xfId="9500"/>
    <cellStyle name="Vírgula 6 6 2 2 2" xfId="21354"/>
    <cellStyle name="Vírgula 6 6 2 2 2 2" xfId="47833"/>
    <cellStyle name="Vírgula 6 6 2 2 3" xfId="15427"/>
    <cellStyle name="Vírgula 6 6 2 2 3 2" xfId="41925"/>
    <cellStyle name="Vírgula 6 6 2 2 4" xfId="36017"/>
    <cellStyle name="Vírgula 6 6 2 2 5" xfId="29483"/>
    <cellStyle name="Vírgula 6 6 2 3" xfId="18390"/>
    <cellStyle name="Vírgula 6 6 2 3 2" xfId="44879"/>
    <cellStyle name="Vírgula 6 6 2 4" xfId="12463"/>
    <cellStyle name="Vírgula 6 6 2 4 2" xfId="38971"/>
    <cellStyle name="Vírgula 6 6 2 5" xfId="32996"/>
    <cellStyle name="Vírgula 6 6 2 6" xfId="26462"/>
    <cellStyle name="Vírgula 6 6 3" xfId="8032"/>
    <cellStyle name="Vírgula 6 6 3 2" xfId="19886"/>
    <cellStyle name="Vírgula 6 6 3 2 2" xfId="46365"/>
    <cellStyle name="Vírgula 6 6 3 3" xfId="13959"/>
    <cellStyle name="Vírgula 6 6 3 3 2" xfId="40457"/>
    <cellStyle name="Vírgula 6 6 3 4" xfId="34549"/>
    <cellStyle name="Vírgula 6 6 3 5" xfId="28015"/>
    <cellStyle name="Vírgula 6 6 4" xfId="16922"/>
    <cellStyle name="Vírgula 6 6 4 2" xfId="43411"/>
    <cellStyle name="Vírgula 6 6 4 3" xfId="24690"/>
    <cellStyle name="Vírgula 6 6 5" xfId="10995"/>
    <cellStyle name="Vírgula 6 6 5 2" xfId="37503"/>
    <cellStyle name="Vírgula 6 6 6" xfId="31224"/>
    <cellStyle name="Vírgula 6 6 7" xfId="22918"/>
    <cellStyle name="Vírgula 6 7" xfId="4363"/>
    <cellStyle name="Vírgula 6 7 2" xfId="6135"/>
    <cellStyle name="Vírgula 6 7 2 2" xfId="9333"/>
    <cellStyle name="Vírgula 6 7 2 2 2" xfId="21187"/>
    <cellStyle name="Vírgula 6 7 2 2 2 2" xfId="47666"/>
    <cellStyle name="Vírgula 6 7 2 2 3" xfId="15260"/>
    <cellStyle name="Vírgula 6 7 2 2 3 2" xfId="41758"/>
    <cellStyle name="Vírgula 6 7 2 2 4" xfId="35850"/>
    <cellStyle name="Vírgula 6 7 2 2 5" xfId="29316"/>
    <cellStyle name="Vírgula 6 7 2 3" xfId="18223"/>
    <cellStyle name="Vírgula 6 7 2 3 2" xfId="44712"/>
    <cellStyle name="Vírgula 6 7 2 4" xfId="12296"/>
    <cellStyle name="Vírgula 6 7 2 4 2" xfId="38804"/>
    <cellStyle name="Vírgula 6 7 2 5" xfId="32662"/>
    <cellStyle name="Vírgula 6 7 2 6" xfId="26128"/>
    <cellStyle name="Vírgula 6 7 3" xfId="7865"/>
    <cellStyle name="Vírgula 6 7 3 2" xfId="19719"/>
    <cellStyle name="Vírgula 6 7 3 2 2" xfId="46198"/>
    <cellStyle name="Vírgula 6 7 3 3" xfId="13792"/>
    <cellStyle name="Vírgula 6 7 3 3 2" xfId="40290"/>
    <cellStyle name="Vírgula 6 7 3 4" xfId="34382"/>
    <cellStyle name="Vírgula 6 7 3 5" xfId="27848"/>
    <cellStyle name="Vírgula 6 7 4" xfId="16755"/>
    <cellStyle name="Vírgula 6 7 4 2" xfId="43244"/>
    <cellStyle name="Vírgula 6 7 5" xfId="10828"/>
    <cellStyle name="Vírgula 6 7 5 2" xfId="37336"/>
    <cellStyle name="Vírgula 6 7 6" xfId="30890"/>
    <cellStyle name="Vírgula 6 7 7" xfId="24356"/>
    <cellStyle name="Vírgula 6 8" xfId="4821"/>
    <cellStyle name="Vírgula 6 8 2" xfId="8094"/>
    <cellStyle name="Vírgula 6 8 2 2" xfId="19948"/>
    <cellStyle name="Vírgula 6 8 2 2 2" xfId="46427"/>
    <cellStyle name="Vírgula 6 8 2 3" xfId="14021"/>
    <cellStyle name="Vírgula 6 8 2 3 2" xfId="40519"/>
    <cellStyle name="Vírgula 6 8 2 4" xfId="34611"/>
    <cellStyle name="Vírgula 6 8 2 5" xfId="28077"/>
    <cellStyle name="Vírgula 6 8 3" xfId="16984"/>
    <cellStyle name="Vírgula 6 8 3 2" xfId="43473"/>
    <cellStyle name="Vírgula 6 8 4" xfId="11057"/>
    <cellStyle name="Vírgula 6 8 4 2" xfId="37565"/>
    <cellStyle name="Vírgula 6 8 5" xfId="31348"/>
    <cellStyle name="Vírgula 6 8 6" xfId="24814"/>
    <cellStyle name="Vírgula 6 9" xfId="6585"/>
    <cellStyle name="Vírgula 6 9 2" xfId="9558"/>
    <cellStyle name="Vírgula 6 9 2 2" xfId="21412"/>
    <cellStyle name="Vírgula 6 9 2 2 2" xfId="47891"/>
    <cellStyle name="Vírgula 6 9 2 3" xfId="15485"/>
    <cellStyle name="Vírgula 6 9 2 3 2" xfId="41983"/>
    <cellStyle name="Vírgula 6 9 2 4" xfId="36075"/>
    <cellStyle name="Vírgula 6 9 2 5" xfId="29541"/>
    <cellStyle name="Vírgula 6 9 3" xfId="18448"/>
    <cellStyle name="Vírgula 6 9 3 2" xfId="44937"/>
    <cellStyle name="Vírgula 6 9 4" xfId="12521"/>
    <cellStyle name="Vírgula 6 9 4 2" xfId="39029"/>
    <cellStyle name="Vírgula 6 9 5" xfId="33112"/>
    <cellStyle name="Vírgula 6 9 6" xfId="26578"/>
    <cellStyle name="Vírgula 7" xfId="22"/>
    <cellStyle name="Vírgula 7 10" xfId="29557"/>
    <cellStyle name="Vírgula 7 11" xfId="22565"/>
    <cellStyle name="Vírgula 7 2" xfId="4430"/>
    <cellStyle name="Vírgula 7 2 2" xfId="6202"/>
    <cellStyle name="Vírgula 7 2 2 2" xfId="9366"/>
    <cellStyle name="Vírgula 7 2 2 2 2" xfId="21220"/>
    <cellStyle name="Vírgula 7 2 2 2 2 2" xfId="47699"/>
    <cellStyle name="Vírgula 7 2 2 2 3" xfId="15293"/>
    <cellStyle name="Vírgula 7 2 2 2 3 2" xfId="41791"/>
    <cellStyle name="Vírgula 7 2 2 2 4" xfId="35883"/>
    <cellStyle name="Vírgula 7 2 2 2 5" xfId="29349"/>
    <cellStyle name="Vírgula 7 2 2 3" xfId="18256"/>
    <cellStyle name="Vírgula 7 2 2 3 2" xfId="44745"/>
    <cellStyle name="Vírgula 7 2 2 4" xfId="12329"/>
    <cellStyle name="Vírgula 7 2 2 4 2" xfId="38837"/>
    <cellStyle name="Vírgula 7 2 2 5" xfId="32729"/>
    <cellStyle name="Vírgula 7 2 2 6" xfId="26195"/>
    <cellStyle name="Vírgula 7 2 3" xfId="7898"/>
    <cellStyle name="Vírgula 7 2 3 2" xfId="19752"/>
    <cellStyle name="Vírgula 7 2 3 2 2" xfId="46231"/>
    <cellStyle name="Vírgula 7 2 3 3" xfId="13825"/>
    <cellStyle name="Vírgula 7 2 3 3 2" xfId="40323"/>
    <cellStyle name="Vírgula 7 2 3 4" xfId="34415"/>
    <cellStyle name="Vírgula 7 2 3 5" xfId="27881"/>
    <cellStyle name="Vírgula 7 2 4" xfId="16788"/>
    <cellStyle name="Vírgula 7 2 4 2" xfId="43277"/>
    <cellStyle name="Vírgula 7 2 4 3" xfId="24423"/>
    <cellStyle name="Vírgula 7 2 5" xfId="10861"/>
    <cellStyle name="Vírgula 7 2 5 2" xfId="37369"/>
    <cellStyle name="Vírgula 7 2 6" xfId="30957"/>
    <cellStyle name="Vírgula 7 2 7" xfId="22651"/>
    <cellStyle name="Vírgula 7 3" xfId="4554"/>
    <cellStyle name="Vírgula 7 3 2" xfId="6326"/>
    <cellStyle name="Vírgula 7 3 2 2" xfId="9428"/>
    <cellStyle name="Vírgula 7 3 2 2 2" xfId="21282"/>
    <cellStyle name="Vírgula 7 3 2 2 2 2" xfId="47761"/>
    <cellStyle name="Vírgula 7 3 2 2 3" xfId="15355"/>
    <cellStyle name="Vírgula 7 3 2 2 3 2" xfId="41853"/>
    <cellStyle name="Vírgula 7 3 2 2 4" xfId="35945"/>
    <cellStyle name="Vírgula 7 3 2 2 5" xfId="29411"/>
    <cellStyle name="Vírgula 7 3 2 3" xfId="18318"/>
    <cellStyle name="Vírgula 7 3 2 3 2" xfId="44807"/>
    <cellStyle name="Vírgula 7 3 2 4" xfId="12391"/>
    <cellStyle name="Vírgula 7 3 2 4 2" xfId="38899"/>
    <cellStyle name="Vírgula 7 3 2 5" xfId="32853"/>
    <cellStyle name="Vírgula 7 3 2 6" xfId="26319"/>
    <cellStyle name="Vírgula 7 3 3" xfId="7960"/>
    <cellStyle name="Vírgula 7 3 3 2" xfId="19814"/>
    <cellStyle name="Vírgula 7 3 3 2 2" xfId="46293"/>
    <cellStyle name="Vírgula 7 3 3 3" xfId="13887"/>
    <cellStyle name="Vírgula 7 3 3 3 2" xfId="40385"/>
    <cellStyle name="Vírgula 7 3 3 4" xfId="34477"/>
    <cellStyle name="Vírgula 7 3 3 5" xfId="27943"/>
    <cellStyle name="Vírgula 7 3 4" xfId="16850"/>
    <cellStyle name="Vírgula 7 3 4 2" xfId="43339"/>
    <cellStyle name="Vírgula 7 3 4 3" xfId="24547"/>
    <cellStyle name="Vírgula 7 3 5" xfId="10923"/>
    <cellStyle name="Vírgula 7 3 5 2" xfId="37431"/>
    <cellStyle name="Vírgula 7 3 6" xfId="31081"/>
    <cellStyle name="Vírgula 7 3 7" xfId="22775"/>
    <cellStyle name="Vírgula 7 4" xfId="4678"/>
    <cellStyle name="Vírgula 7 4 2" xfId="6450"/>
    <cellStyle name="Vírgula 7 4 2 2" xfId="9490"/>
    <cellStyle name="Vírgula 7 4 2 2 2" xfId="21344"/>
    <cellStyle name="Vírgula 7 4 2 2 2 2" xfId="47823"/>
    <cellStyle name="Vírgula 7 4 2 2 3" xfId="15417"/>
    <cellStyle name="Vírgula 7 4 2 2 3 2" xfId="41915"/>
    <cellStyle name="Vírgula 7 4 2 2 4" xfId="36007"/>
    <cellStyle name="Vírgula 7 4 2 2 5" xfId="29473"/>
    <cellStyle name="Vírgula 7 4 2 3" xfId="18380"/>
    <cellStyle name="Vírgula 7 4 2 3 2" xfId="44869"/>
    <cellStyle name="Vírgula 7 4 2 4" xfId="12453"/>
    <cellStyle name="Vírgula 7 4 2 4 2" xfId="38961"/>
    <cellStyle name="Vírgula 7 4 2 5" xfId="32977"/>
    <cellStyle name="Vírgula 7 4 2 6" xfId="26443"/>
    <cellStyle name="Vírgula 7 4 3" xfId="8022"/>
    <cellStyle name="Vírgula 7 4 3 2" xfId="19876"/>
    <cellStyle name="Vírgula 7 4 3 2 2" xfId="46355"/>
    <cellStyle name="Vírgula 7 4 3 3" xfId="13949"/>
    <cellStyle name="Vírgula 7 4 3 3 2" xfId="40447"/>
    <cellStyle name="Vírgula 7 4 3 4" xfId="34539"/>
    <cellStyle name="Vírgula 7 4 3 5" xfId="28005"/>
    <cellStyle name="Vírgula 7 4 4" xfId="16912"/>
    <cellStyle name="Vírgula 7 4 4 2" xfId="43401"/>
    <cellStyle name="Vírgula 7 4 4 3" xfId="24671"/>
    <cellStyle name="Vírgula 7 4 5" xfId="10985"/>
    <cellStyle name="Vírgula 7 4 5 2" xfId="37493"/>
    <cellStyle name="Vírgula 7 4 6" xfId="31205"/>
    <cellStyle name="Vírgula 7 4 7" xfId="22899"/>
    <cellStyle name="Vírgula 7 5" xfId="4344"/>
    <cellStyle name="Vírgula 7 5 2" xfId="6116"/>
    <cellStyle name="Vírgula 7 5 2 2" xfId="9323"/>
    <cellStyle name="Vírgula 7 5 2 2 2" xfId="21177"/>
    <cellStyle name="Vírgula 7 5 2 2 2 2" xfId="47656"/>
    <cellStyle name="Vírgula 7 5 2 2 3" xfId="15250"/>
    <cellStyle name="Vírgula 7 5 2 2 3 2" xfId="41748"/>
    <cellStyle name="Vírgula 7 5 2 2 4" xfId="35840"/>
    <cellStyle name="Vírgula 7 5 2 2 5" xfId="29306"/>
    <cellStyle name="Vírgula 7 5 2 3" xfId="18213"/>
    <cellStyle name="Vírgula 7 5 2 3 2" xfId="44702"/>
    <cellStyle name="Vírgula 7 5 2 4" xfId="12286"/>
    <cellStyle name="Vírgula 7 5 2 4 2" xfId="38794"/>
    <cellStyle name="Vírgula 7 5 2 5" xfId="32643"/>
    <cellStyle name="Vírgula 7 5 2 6" xfId="26109"/>
    <cellStyle name="Vírgula 7 5 3" xfId="7855"/>
    <cellStyle name="Vírgula 7 5 3 2" xfId="19709"/>
    <cellStyle name="Vírgula 7 5 3 2 2" xfId="46188"/>
    <cellStyle name="Vírgula 7 5 3 3" xfId="13782"/>
    <cellStyle name="Vírgula 7 5 3 3 2" xfId="40280"/>
    <cellStyle name="Vírgula 7 5 3 4" xfId="34372"/>
    <cellStyle name="Vírgula 7 5 3 5" xfId="27838"/>
    <cellStyle name="Vírgula 7 5 4" xfId="16745"/>
    <cellStyle name="Vírgula 7 5 4 2" xfId="43234"/>
    <cellStyle name="Vírgula 7 5 5" xfId="10818"/>
    <cellStyle name="Vírgula 7 5 5 2" xfId="37326"/>
    <cellStyle name="Vírgula 7 5 6" xfId="30871"/>
    <cellStyle name="Vírgula 7 5 7" xfId="24337"/>
    <cellStyle name="Vírgula 7 6" xfId="4802"/>
    <cellStyle name="Vírgula 7 6 2" xfId="8084"/>
    <cellStyle name="Vírgula 7 6 2 2" xfId="19938"/>
    <cellStyle name="Vírgula 7 6 2 2 2" xfId="46417"/>
    <cellStyle name="Vírgula 7 6 2 3" xfId="14011"/>
    <cellStyle name="Vírgula 7 6 2 3 2" xfId="40509"/>
    <cellStyle name="Vírgula 7 6 2 4" xfId="34601"/>
    <cellStyle name="Vírgula 7 6 2 5" xfId="28067"/>
    <cellStyle name="Vírgula 7 6 3" xfId="16974"/>
    <cellStyle name="Vírgula 7 6 3 2" xfId="43463"/>
    <cellStyle name="Vírgula 7 6 4" xfId="11047"/>
    <cellStyle name="Vírgula 7 6 4 2" xfId="37555"/>
    <cellStyle name="Vírgula 7 6 5" xfId="31329"/>
    <cellStyle name="Vírgula 7 6 6" xfId="24795"/>
    <cellStyle name="Vírgula 7 7" xfId="6608"/>
    <cellStyle name="Vírgula 7 7 2" xfId="18462"/>
    <cellStyle name="Vírgula 7 7 2 2" xfId="44949"/>
    <cellStyle name="Vírgula 7 7 3" xfId="12535"/>
    <cellStyle name="Vírgula 7 7 3 2" xfId="39041"/>
    <cellStyle name="Vírgula 7 7 4" xfId="33133"/>
    <cellStyle name="Vírgula 7 7 5" xfId="26599"/>
    <cellStyle name="Vírgula 7 8" xfId="15498"/>
    <cellStyle name="Vírgula 7 8 2" xfId="41995"/>
    <cellStyle name="Vírgula 7 8 3" xfId="23023"/>
    <cellStyle name="Vírgula 7 9" xfId="9571"/>
    <cellStyle name="Vírgula 7 9 2" xfId="36087"/>
    <cellStyle name="Vírgula 8" xfId="64"/>
    <cellStyle name="Vírgula 8 10" xfId="29598"/>
    <cellStyle name="Vírgula 8 11" xfId="22606"/>
    <cellStyle name="Vírgula 8 2" xfId="4471"/>
    <cellStyle name="Vírgula 8 2 2" xfId="6243"/>
    <cellStyle name="Vírgula 8 2 2 2" xfId="9387"/>
    <cellStyle name="Vírgula 8 2 2 2 2" xfId="21241"/>
    <cellStyle name="Vírgula 8 2 2 2 2 2" xfId="47720"/>
    <cellStyle name="Vírgula 8 2 2 2 3" xfId="15314"/>
    <cellStyle name="Vírgula 8 2 2 2 3 2" xfId="41812"/>
    <cellStyle name="Vírgula 8 2 2 2 4" xfId="35904"/>
    <cellStyle name="Vírgula 8 2 2 2 5" xfId="29370"/>
    <cellStyle name="Vírgula 8 2 2 3" xfId="18277"/>
    <cellStyle name="Vírgula 8 2 2 3 2" xfId="44766"/>
    <cellStyle name="Vírgula 8 2 2 4" xfId="12350"/>
    <cellStyle name="Vírgula 8 2 2 4 2" xfId="38858"/>
    <cellStyle name="Vírgula 8 2 2 5" xfId="32770"/>
    <cellStyle name="Vírgula 8 2 2 6" xfId="26236"/>
    <cellStyle name="Vírgula 8 2 3" xfId="7919"/>
    <cellStyle name="Vírgula 8 2 3 2" xfId="19773"/>
    <cellStyle name="Vírgula 8 2 3 2 2" xfId="46252"/>
    <cellStyle name="Vírgula 8 2 3 3" xfId="13846"/>
    <cellStyle name="Vírgula 8 2 3 3 2" xfId="40344"/>
    <cellStyle name="Vírgula 8 2 3 4" xfId="34436"/>
    <cellStyle name="Vírgula 8 2 3 5" xfId="27902"/>
    <cellStyle name="Vírgula 8 2 4" xfId="16809"/>
    <cellStyle name="Vírgula 8 2 4 2" xfId="43298"/>
    <cellStyle name="Vírgula 8 2 4 3" xfId="24464"/>
    <cellStyle name="Vírgula 8 2 5" xfId="10882"/>
    <cellStyle name="Vírgula 8 2 5 2" xfId="37390"/>
    <cellStyle name="Vírgula 8 2 6" xfId="30998"/>
    <cellStyle name="Vírgula 8 2 7" xfId="22692"/>
    <cellStyle name="Vírgula 8 3" xfId="4595"/>
    <cellStyle name="Vírgula 8 3 2" xfId="6367"/>
    <cellStyle name="Vírgula 8 3 2 2" xfId="9449"/>
    <cellStyle name="Vírgula 8 3 2 2 2" xfId="21303"/>
    <cellStyle name="Vírgula 8 3 2 2 2 2" xfId="47782"/>
    <cellStyle name="Vírgula 8 3 2 2 3" xfId="15376"/>
    <cellStyle name="Vírgula 8 3 2 2 3 2" xfId="41874"/>
    <cellStyle name="Vírgula 8 3 2 2 4" xfId="35966"/>
    <cellStyle name="Vírgula 8 3 2 2 5" xfId="29432"/>
    <cellStyle name="Vírgula 8 3 2 3" xfId="18339"/>
    <cellStyle name="Vírgula 8 3 2 3 2" xfId="44828"/>
    <cellStyle name="Vírgula 8 3 2 4" xfId="12412"/>
    <cellStyle name="Vírgula 8 3 2 4 2" xfId="38920"/>
    <cellStyle name="Vírgula 8 3 2 5" xfId="32894"/>
    <cellStyle name="Vírgula 8 3 2 6" xfId="26360"/>
    <cellStyle name="Vírgula 8 3 3" xfId="7981"/>
    <cellStyle name="Vírgula 8 3 3 2" xfId="19835"/>
    <cellStyle name="Vírgula 8 3 3 2 2" xfId="46314"/>
    <cellStyle name="Vírgula 8 3 3 3" xfId="13908"/>
    <cellStyle name="Vírgula 8 3 3 3 2" xfId="40406"/>
    <cellStyle name="Vírgula 8 3 3 4" xfId="34498"/>
    <cellStyle name="Vírgula 8 3 3 5" xfId="27964"/>
    <cellStyle name="Vírgula 8 3 4" xfId="16871"/>
    <cellStyle name="Vírgula 8 3 4 2" xfId="43360"/>
    <cellStyle name="Vírgula 8 3 4 3" xfId="24588"/>
    <cellStyle name="Vírgula 8 3 5" xfId="10944"/>
    <cellStyle name="Vírgula 8 3 5 2" xfId="37452"/>
    <cellStyle name="Vírgula 8 3 6" xfId="31122"/>
    <cellStyle name="Vírgula 8 3 7" xfId="22816"/>
    <cellStyle name="Vírgula 8 4" xfId="4719"/>
    <cellStyle name="Vírgula 8 4 2" xfId="6491"/>
    <cellStyle name="Vírgula 8 4 2 2" xfId="9511"/>
    <cellStyle name="Vírgula 8 4 2 2 2" xfId="21365"/>
    <cellStyle name="Vírgula 8 4 2 2 2 2" xfId="47844"/>
    <cellStyle name="Vírgula 8 4 2 2 3" xfId="15438"/>
    <cellStyle name="Vírgula 8 4 2 2 3 2" xfId="41936"/>
    <cellStyle name="Vírgula 8 4 2 2 4" xfId="36028"/>
    <cellStyle name="Vírgula 8 4 2 2 5" xfId="29494"/>
    <cellStyle name="Vírgula 8 4 2 3" xfId="18401"/>
    <cellStyle name="Vírgula 8 4 2 3 2" xfId="44890"/>
    <cellStyle name="Vírgula 8 4 2 4" xfId="12474"/>
    <cellStyle name="Vírgula 8 4 2 4 2" xfId="38982"/>
    <cellStyle name="Vírgula 8 4 2 5" xfId="33018"/>
    <cellStyle name="Vírgula 8 4 2 6" xfId="26484"/>
    <cellStyle name="Vírgula 8 4 3" xfId="8043"/>
    <cellStyle name="Vírgula 8 4 3 2" xfId="19897"/>
    <cellStyle name="Vírgula 8 4 3 2 2" xfId="46376"/>
    <cellStyle name="Vírgula 8 4 3 3" xfId="13970"/>
    <cellStyle name="Vírgula 8 4 3 3 2" xfId="40468"/>
    <cellStyle name="Vírgula 8 4 3 4" xfId="34560"/>
    <cellStyle name="Vírgula 8 4 3 5" xfId="28026"/>
    <cellStyle name="Vírgula 8 4 4" xfId="16933"/>
    <cellStyle name="Vírgula 8 4 4 2" xfId="43422"/>
    <cellStyle name="Vírgula 8 4 4 3" xfId="24712"/>
    <cellStyle name="Vírgula 8 4 5" xfId="11006"/>
    <cellStyle name="Vírgula 8 4 5 2" xfId="37514"/>
    <cellStyle name="Vírgula 8 4 6" xfId="31246"/>
    <cellStyle name="Vírgula 8 4 7" xfId="22940"/>
    <cellStyle name="Vírgula 8 5" xfId="4385"/>
    <cellStyle name="Vírgula 8 5 2" xfId="6157"/>
    <cellStyle name="Vírgula 8 5 2 2" xfId="9344"/>
    <cellStyle name="Vírgula 8 5 2 2 2" xfId="21198"/>
    <cellStyle name="Vírgula 8 5 2 2 2 2" xfId="47677"/>
    <cellStyle name="Vírgula 8 5 2 2 3" xfId="15271"/>
    <cellStyle name="Vírgula 8 5 2 2 3 2" xfId="41769"/>
    <cellStyle name="Vírgula 8 5 2 2 4" xfId="35861"/>
    <cellStyle name="Vírgula 8 5 2 2 5" xfId="29327"/>
    <cellStyle name="Vírgula 8 5 2 3" xfId="18234"/>
    <cellStyle name="Vírgula 8 5 2 3 2" xfId="44723"/>
    <cellStyle name="Vírgula 8 5 2 4" xfId="12307"/>
    <cellStyle name="Vírgula 8 5 2 4 2" xfId="38815"/>
    <cellStyle name="Vírgula 8 5 2 5" xfId="32684"/>
    <cellStyle name="Vírgula 8 5 2 6" xfId="26150"/>
    <cellStyle name="Vírgula 8 5 3" xfId="7876"/>
    <cellStyle name="Vírgula 8 5 3 2" xfId="19730"/>
    <cellStyle name="Vírgula 8 5 3 2 2" xfId="46209"/>
    <cellStyle name="Vírgula 8 5 3 3" xfId="13803"/>
    <cellStyle name="Vírgula 8 5 3 3 2" xfId="40301"/>
    <cellStyle name="Vírgula 8 5 3 4" xfId="34393"/>
    <cellStyle name="Vírgula 8 5 3 5" xfId="27859"/>
    <cellStyle name="Vírgula 8 5 4" xfId="16766"/>
    <cellStyle name="Vírgula 8 5 4 2" xfId="43255"/>
    <cellStyle name="Vírgula 8 5 5" xfId="10839"/>
    <cellStyle name="Vírgula 8 5 5 2" xfId="37347"/>
    <cellStyle name="Vírgula 8 5 6" xfId="30912"/>
    <cellStyle name="Vírgula 8 5 7" xfId="24378"/>
    <cellStyle name="Vírgula 8 6" xfId="4843"/>
    <cellStyle name="Vírgula 8 6 2" xfId="8105"/>
    <cellStyle name="Vírgula 8 6 2 2" xfId="19959"/>
    <cellStyle name="Vírgula 8 6 2 2 2" xfId="46438"/>
    <cellStyle name="Vírgula 8 6 2 3" xfId="14032"/>
    <cellStyle name="Vírgula 8 6 2 3 2" xfId="40530"/>
    <cellStyle name="Vírgula 8 6 2 4" xfId="34622"/>
    <cellStyle name="Vírgula 8 6 2 5" xfId="28088"/>
    <cellStyle name="Vírgula 8 6 3" xfId="16995"/>
    <cellStyle name="Vírgula 8 6 3 2" xfId="43484"/>
    <cellStyle name="Vírgula 8 6 4" xfId="11068"/>
    <cellStyle name="Vírgula 8 6 4 2" xfId="37576"/>
    <cellStyle name="Vírgula 8 6 5" xfId="31370"/>
    <cellStyle name="Vírgula 8 6 6" xfId="24836"/>
    <cellStyle name="Vírgula 8 7" xfId="6629"/>
    <cellStyle name="Vírgula 8 7 2" xfId="18483"/>
    <cellStyle name="Vírgula 8 7 2 2" xfId="44970"/>
    <cellStyle name="Vírgula 8 7 3" xfId="12556"/>
    <cellStyle name="Vírgula 8 7 3 2" xfId="39062"/>
    <cellStyle name="Vírgula 8 7 4" xfId="33154"/>
    <cellStyle name="Vírgula 8 7 5" xfId="26620"/>
    <cellStyle name="Vírgula 8 8" xfId="15519"/>
    <cellStyle name="Vírgula 8 8 2" xfId="42016"/>
    <cellStyle name="Vírgula 8 8 3" xfId="23064"/>
    <cellStyle name="Vírgula 8 9" xfId="9592"/>
    <cellStyle name="Vírgula 8 9 2" xfId="36108"/>
    <cellStyle name="Vírgula 9" xfId="100"/>
    <cellStyle name="Vírgula 9 10" xfId="29634"/>
    <cellStyle name="Vírgula 9 11" xfId="22642"/>
    <cellStyle name="Vírgula 9 2" xfId="4507"/>
    <cellStyle name="Vírgula 9 2 2" xfId="6279"/>
    <cellStyle name="Vírgula 9 2 2 2" xfId="9405"/>
    <cellStyle name="Vírgula 9 2 2 2 2" xfId="21259"/>
    <cellStyle name="Vírgula 9 2 2 2 2 2" xfId="47738"/>
    <cellStyle name="Vírgula 9 2 2 2 3" xfId="15332"/>
    <cellStyle name="Vírgula 9 2 2 2 3 2" xfId="41830"/>
    <cellStyle name="Vírgula 9 2 2 2 4" xfId="35922"/>
    <cellStyle name="Vírgula 9 2 2 2 5" xfId="29388"/>
    <cellStyle name="Vírgula 9 2 2 3" xfId="18295"/>
    <cellStyle name="Vírgula 9 2 2 3 2" xfId="44784"/>
    <cellStyle name="Vírgula 9 2 2 4" xfId="12368"/>
    <cellStyle name="Vírgula 9 2 2 4 2" xfId="38876"/>
    <cellStyle name="Vírgula 9 2 2 5" xfId="32806"/>
    <cellStyle name="Vírgula 9 2 2 6" xfId="26272"/>
    <cellStyle name="Vírgula 9 2 3" xfId="7937"/>
    <cellStyle name="Vírgula 9 2 3 2" xfId="19791"/>
    <cellStyle name="Vírgula 9 2 3 2 2" xfId="46270"/>
    <cellStyle name="Vírgula 9 2 3 3" xfId="13864"/>
    <cellStyle name="Vírgula 9 2 3 3 2" xfId="40362"/>
    <cellStyle name="Vírgula 9 2 3 4" xfId="34454"/>
    <cellStyle name="Vírgula 9 2 3 5" xfId="27920"/>
    <cellStyle name="Vírgula 9 2 4" xfId="16827"/>
    <cellStyle name="Vírgula 9 2 4 2" xfId="43316"/>
    <cellStyle name="Vírgula 9 2 4 3" xfId="24500"/>
    <cellStyle name="Vírgula 9 2 5" xfId="10900"/>
    <cellStyle name="Vírgula 9 2 5 2" xfId="37408"/>
    <cellStyle name="Vírgula 9 2 6" xfId="31034"/>
    <cellStyle name="Vírgula 9 2 7" xfId="22728"/>
    <cellStyle name="Vírgula 9 3" xfId="4631"/>
    <cellStyle name="Vírgula 9 3 2" xfId="6403"/>
    <cellStyle name="Vírgula 9 3 2 2" xfId="9467"/>
    <cellStyle name="Vírgula 9 3 2 2 2" xfId="21321"/>
    <cellStyle name="Vírgula 9 3 2 2 2 2" xfId="47800"/>
    <cellStyle name="Vírgula 9 3 2 2 3" xfId="15394"/>
    <cellStyle name="Vírgula 9 3 2 2 3 2" xfId="41892"/>
    <cellStyle name="Vírgula 9 3 2 2 4" xfId="35984"/>
    <cellStyle name="Vírgula 9 3 2 2 5" xfId="29450"/>
    <cellStyle name="Vírgula 9 3 2 3" xfId="18357"/>
    <cellStyle name="Vírgula 9 3 2 3 2" xfId="44846"/>
    <cellStyle name="Vírgula 9 3 2 4" xfId="12430"/>
    <cellStyle name="Vírgula 9 3 2 4 2" xfId="38938"/>
    <cellStyle name="Vírgula 9 3 2 5" xfId="32930"/>
    <cellStyle name="Vírgula 9 3 2 6" xfId="26396"/>
    <cellStyle name="Vírgula 9 3 3" xfId="7999"/>
    <cellStyle name="Vírgula 9 3 3 2" xfId="19853"/>
    <cellStyle name="Vírgula 9 3 3 2 2" xfId="46332"/>
    <cellStyle name="Vírgula 9 3 3 3" xfId="13926"/>
    <cellStyle name="Vírgula 9 3 3 3 2" xfId="40424"/>
    <cellStyle name="Vírgula 9 3 3 4" xfId="34516"/>
    <cellStyle name="Vírgula 9 3 3 5" xfId="27982"/>
    <cellStyle name="Vírgula 9 3 4" xfId="16889"/>
    <cellStyle name="Vírgula 9 3 4 2" xfId="43378"/>
    <cellStyle name="Vírgula 9 3 4 3" xfId="24624"/>
    <cellStyle name="Vírgula 9 3 5" xfId="10962"/>
    <cellStyle name="Vírgula 9 3 5 2" xfId="37470"/>
    <cellStyle name="Vírgula 9 3 6" xfId="31158"/>
    <cellStyle name="Vírgula 9 3 7" xfId="22852"/>
    <cellStyle name="Vírgula 9 4" xfId="4755"/>
    <cellStyle name="Vírgula 9 4 2" xfId="6527"/>
    <cellStyle name="Vírgula 9 4 2 2" xfId="9529"/>
    <cellStyle name="Vírgula 9 4 2 2 2" xfId="21383"/>
    <cellStyle name="Vírgula 9 4 2 2 2 2" xfId="47862"/>
    <cellStyle name="Vírgula 9 4 2 2 3" xfId="15456"/>
    <cellStyle name="Vírgula 9 4 2 2 3 2" xfId="41954"/>
    <cellStyle name="Vírgula 9 4 2 2 4" xfId="36046"/>
    <cellStyle name="Vírgula 9 4 2 2 5" xfId="29512"/>
    <cellStyle name="Vírgula 9 4 2 3" xfId="18419"/>
    <cellStyle name="Vírgula 9 4 2 3 2" xfId="44908"/>
    <cellStyle name="Vírgula 9 4 2 4" xfId="12492"/>
    <cellStyle name="Vírgula 9 4 2 4 2" xfId="39000"/>
    <cellStyle name="Vírgula 9 4 2 5" xfId="33054"/>
    <cellStyle name="Vírgula 9 4 2 6" xfId="26520"/>
    <cellStyle name="Vírgula 9 4 3" xfId="8061"/>
    <cellStyle name="Vírgula 9 4 3 2" xfId="19915"/>
    <cellStyle name="Vírgula 9 4 3 2 2" xfId="46394"/>
    <cellStyle name="Vírgula 9 4 3 3" xfId="13988"/>
    <cellStyle name="Vírgula 9 4 3 3 2" xfId="40486"/>
    <cellStyle name="Vírgula 9 4 3 4" xfId="34578"/>
    <cellStyle name="Vírgula 9 4 3 5" xfId="28044"/>
    <cellStyle name="Vírgula 9 4 4" xfId="16951"/>
    <cellStyle name="Vírgula 9 4 4 2" xfId="43440"/>
    <cellStyle name="Vírgula 9 4 4 3" xfId="24748"/>
    <cellStyle name="Vírgula 9 4 5" xfId="11024"/>
    <cellStyle name="Vírgula 9 4 5 2" xfId="37532"/>
    <cellStyle name="Vírgula 9 4 6" xfId="31282"/>
    <cellStyle name="Vírgula 9 4 7" xfId="22976"/>
    <cellStyle name="Vírgula 9 5" xfId="4421"/>
    <cellStyle name="Vírgula 9 5 2" xfId="6193"/>
    <cellStyle name="Vírgula 9 5 2 2" xfId="9362"/>
    <cellStyle name="Vírgula 9 5 2 2 2" xfId="21216"/>
    <cellStyle name="Vírgula 9 5 2 2 2 2" xfId="47695"/>
    <cellStyle name="Vírgula 9 5 2 2 3" xfId="15289"/>
    <cellStyle name="Vírgula 9 5 2 2 3 2" xfId="41787"/>
    <cellStyle name="Vírgula 9 5 2 2 4" xfId="35879"/>
    <cellStyle name="Vírgula 9 5 2 2 5" xfId="29345"/>
    <cellStyle name="Vírgula 9 5 2 3" xfId="18252"/>
    <cellStyle name="Vírgula 9 5 2 3 2" xfId="44741"/>
    <cellStyle name="Vírgula 9 5 2 4" xfId="12325"/>
    <cellStyle name="Vírgula 9 5 2 4 2" xfId="38833"/>
    <cellStyle name="Vírgula 9 5 2 5" xfId="32720"/>
    <cellStyle name="Vírgula 9 5 2 6" xfId="26186"/>
    <cellStyle name="Vírgula 9 5 3" xfId="7894"/>
    <cellStyle name="Vírgula 9 5 3 2" xfId="19748"/>
    <cellStyle name="Vírgula 9 5 3 2 2" xfId="46227"/>
    <cellStyle name="Vírgula 9 5 3 3" xfId="13821"/>
    <cellStyle name="Vírgula 9 5 3 3 2" xfId="40319"/>
    <cellStyle name="Vírgula 9 5 3 4" xfId="34411"/>
    <cellStyle name="Vírgula 9 5 3 5" xfId="27877"/>
    <cellStyle name="Vírgula 9 5 4" xfId="16784"/>
    <cellStyle name="Vírgula 9 5 4 2" xfId="43273"/>
    <cellStyle name="Vírgula 9 5 5" xfId="10857"/>
    <cellStyle name="Vírgula 9 5 5 2" xfId="37365"/>
    <cellStyle name="Vírgula 9 5 6" xfId="30948"/>
    <cellStyle name="Vírgula 9 5 7" xfId="24414"/>
    <cellStyle name="Vírgula 9 6" xfId="4879"/>
    <cellStyle name="Vírgula 9 6 2" xfId="8123"/>
    <cellStyle name="Vírgula 9 6 2 2" xfId="19977"/>
    <cellStyle name="Vírgula 9 6 2 2 2" xfId="46456"/>
    <cellStyle name="Vírgula 9 6 2 3" xfId="14050"/>
    <cellStyle name="Vírgula 9 6 2 3 2" xfId="40548"/>
    <cellStyle name="Vírgula 9 6 2 4" xfId="34640"/>
    <cellStyle name="Vírgula 9 6 2 5" xfId="28106"/>
    <cellStyle name="Vírgula 9 6 3" xfId="17013"/>
    <cellStyle name="Vírgula 9 6 3 2" xfId="43502"/>
    <cellStyle name="Vírgula 9 6 4" xfId="11086"/>
    <cellStyle name="Vírgula 9 6 4 2" xfId="37594"/>
    <cellStyle name="Vírgula 9 6 5" xfId="31406"/>
    <cellStyle name="Vírgula 9 6 6" xfId="24872"/>
    <cellStyle name="Vírgula 9 7" xfId="6647"/>
    <cellStyle name="Vírgula 9 7 2" xfId="18501"/>
    <cellStyle name="Vírgula 9 7 2 2" xfId="44988"/>
    <cellStyle name="Vírgula 9 7 3" xfId="12574"/>
    <cellStyle name="Vírgula 9 7 3 2" xfId="39080"/>
    <cellStyle name="Vírgula 9 7 4" xfId="33172"/>
    <cellStyle name="Vírgula 9 7 5" xfId="26638"/>
    <cellStyle name="Vírgula 9 8" xfId="15537"/>
    <cellStyle name="Vírgula 9 8 2" xfId="42034"/>
    <cellStyle name="Vírgula 9 8 3" xfId="23100"/>
    <cellStyle name="Vírgula 9 9" xfId="9610"/>
    <cellStyle name="Vírgula 9 9 2" xfId="36126"/>
  </cellStyles>
  <dxfs count="1781">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194983</xdr:colOff>
      <xdr:row>4</xdr:row>
      <xdr:rowOff>265019</xdr:rowOff>
    </xdr:to>
    <xdr:sp macro="" textlink="">
      <xdr:nvSpPr>
        <xdr:cNvPr id="4124" name="CommandButton1" hidden="1">
          <a:extLst>
            <a:ext uri="{63B3BB69-23CF-44E3-9099-C40C66FF867C}">
              <a14:compatExt xmlns:a14="http://schemas.microsoft.com/office/drawing/2010/main" spid="_x0000_s4124"/>
            </a:ext>
            <a:ext uri="{FF2B5EF4-FFF2-40B4-BE49-F238E27FC236}">
              <a16:creationId xmlns:a16="http://schemas.microsoft.com/office/drawing/2014/main" xmlns="" xmlns:a14="http://schemas.microsoft.com/office/drawing/2010/main" xmlns:mc="http://schemas.openxmlformats.org/markup-compatibility/2006" id="{AB4325E4-263B-4A6E-BB84-9450B2F7E73C}"/>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490258</xdr:colOff>
      <xdr:row>1</xdr:row>
      <xdr:rowOff>276225</xdr:rowOff>
    </xdr:to>
    <xdr:sp macro="" textlink="">
      <xdr:nvSpPr>
        <xdr:cNvPr id="4126" name="CommandButton2" hidden="1">
          <a:extLst>
            <a:ext uri="{63B3BB69-23CF-44E3-9099-C40C66FF867C}">
              <a14:compatExt xmlns:a14="http://schemas.microsoft.com/office/drawing/2010/main" spid="_x0000_s4126"/>
            </a:ext>
            <a:ext uri="{FF2B5EF4-FFF2-40B4-BE49-F238E27FC236}">
              <a16:creationId xmlns:a16="http://schemas.microsoft.com/office/drawing/2014/main" xmlns="" xmlns:a14="http://schemas.microsoft.com/office/drawing/2010/main" xmlns:mc="http://schemas.openxmlformats.org/markup-compatibility/2006" id="{88E27A7A-2301-4D25-A570-C6ED4980A2E4}"/>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490258</xdr:colOff>
      <xdr:row>4</xdr:row>
      <xdr:rowOff>141194</xdr:rowOff>
    </xdr:to>
    <xdr:sp macro="" textlink="">
      <xdr:nvSpPr>
        <xdr:cNvPr id="4127" name="CommandButton3" hidden="1">
          <a:extLst>
            <a:ext uri="{63B3BB69-23CF-44E3-9099-C40C66FF867C}">
              <a14:compatExt xmlns:a14="http://schemas.microsoft.com/office/drawing/2010/main" spid="_x0000_s4127"/>
            </a:ext>
            <a:ext uri="{FF2B5EF4-FFF2-40B4-BE49-F238E27FC236}">
              <a16:creationId xmlns:a16="http://schemas.microsoft.com/office/drawing/2014/main" xmlns="" xmlns:a14="http://schemas.microsoft.com/office/drawing/2010/main" xmlns:mc="http://schemas.openxmlformats.org/markup-compatibility/2006" id="{F09C3939-A3F5-4FDB-AAE7-4576911F7713}"/>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5148" name="CommandButton1" hidden="1">
          <a:extLst>
            <a:ext uri="{63B3BB69-23CF-44E3-9099-C40C66FF867C}">
              <a14:compatExt xmlns:a14="http://schemas.microsoft.com/office/drawing/2010/main" spid="_x0000_s5148"/>
            </a:ext>
            <a:ext uri="{FF2B5EF4-FFF2-40B4-BE49-F238E27FC236}">
              <a16:creationId xmlns:a16="http://schemas.microsoft.com/office/drawing/2014/main" xmlns="" xmlns:a14="http://schemas.microsoft.com/office/drawing/2010/main" xmlns:mc="http://schemas.openxmlformats.org/markup-compatibility/2006" id="{872414FF-4BDB-4464-9C9F-C29C5EF0D15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169068</xdr:rowOff>
    </xdr:to>
    <xdr:sp macro="" textlink="">
      <xdr:nvSpPr>
        <xdr:cNvPr id="5149" name="CommandButton2" hidden="1">
          <a:extLst>
            <a:ext uri="{63B3BB69-23CF-44E3-9099-C40C66FF867C}">
              <a14:compatExt xmlns:a14="http://schemas.microsoft.com/office/drawing/2010/main" spid="_x0000_s5149"/>
            </a:ext>
            <a:ext uri="{FF2B5EF4-FFF2-40B4-BE49-F238E27FC236}">
              <a16:creationId xmlns:a16="http://schemas.microsoft.com/office/drawing/2014/main" xmlns="" xmlns:a14="http://schemas.microsoft.com/office/drawing/2010/main" xmlns:mc="http://schemas.openxmlformats.org/markup-compatibility/2006" id="{16360958-FAF6-441B-B969-3858981F094C}"/>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6154" name="CommandButton1" hidden="1">
          <a:extLst>
            <a:ext uri="{63B3BB69-23CF-44E3-9099-C40C66FF867C}">
              <a14:compatExt xmlns:a14="http://schemas.microsoft.com/office/drawing/2010/main" spid="_x0000_s6154"/>
            </a:ext>
            <a:ext uri="{FF2B5EF4-FFF2-40B4-BE49-F238E27FC236}">
              <a16:creationId xmlns:a16="http://schemas.microsoft.com/office/drawing/2014/main" xmlns="" xmlns:a14="http://schemas.microsoft.com/office/drawing/2010/main" xmlns:mc="http://schemas.openxmlformats.org/markup-compatibility/2006" id="{72E545A2-22EB-468B-BF42-70C4D731381E}"/>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6155" name="CommandButton2" hidden="1">
          <a:extLst>
            <a:ext uri="{63B3BB69-23CF-44E3-9099-C40C66FF867C}">
              <a14:compatExt xmlns:a14="http://schemas.microsoft.com/office/drawing/2010/main" spid="_x0000_s6155"/>
            </a:ext>
            <a:ext uri="{FF2B5EF4-FFF2-40B4-BE49-F238E27FC236}">
              <a16:creationId xmlns:a16="http://schemas.microsoft.com/office/drawing/2014/main" xmlns="" xmlns:a14="http://schemas.microsoft.com/office/drawing/2010/main" xmlns:mc="http://schemas.openxmlformats.org/markup-compatibility/2006" id="{2C0BAA92-CC07-4C00-800B-121223C9431E}"/>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0</xdr:row>
      <xdr:rowOff>19050</xdr:rowOff>
    </xdr:from>
    <xdr:to>
      <xdr:col>10</xdr:col>
      <xdr:colOff>588169</xdr:colOff>
      <xdr:row>1</xdr:row>
      <xdr:rowOff>76200</xdr:rowOff>
    </xdr:to>
    <xdr:sp macro="" textlink="">
      <xdr:nvSpPr>
        <xdr:cNvPr id="11266" name="CommandButton1" hidden="1">
          <a:extLst>
            <a:ext uri="{63B3BB69-23CF-44E3-9099-C40C66FF867C}">
              <a14:compatExt xmlns:a14="http://schemas.microsoft.com/office/drawing/2010/main" spid="_x0000_s11266"/>
            </a:ext>
            <a:ext uri="{FF2B5EF4-FFF2-40B4-BE49-F238E27FC236}">
              <a16:creationId xmlns:a16="http://schemas.microsoft.com/office/drawing/2014/main" xmlns="" xmlns:a14="http://schemas.microsoft.com/office/drawing/2010/main" xmlns:mc="http://schemas.openxmlformats.org/markup-compatibility/2006" id="{69B3AF1F-C095-4A14-B4FF-2E7D9086F075}"/>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0</xdr:colOff>
      <xdr:row>1</xdr:row>
      <xdr:rowOff>95250</xdr:rowOff>
    </xdr:from>
    <xdr:to>
      <xdr:col>10</xdr:col>
      <xdr:colOff>597694</xdr:colOff>
      <xdr:row>3</xdr:row>
      <xdr:rowOff>190500</xdr:rowOff>
    </xdr:to>
    <xdr:sp macro="" textlink="">
      <xdr:nvSpPr>
        <xdr:cNvPr id="11267" name="CommandButton2" hidden="1">
          <a:extLst>
            <a:ext uri="{63B3BB69-23CF-44E3-9099-C40C66FF867C}">
              <a14:compatExt xmlns:a14="http://schemas.microsoft.com/office/drawing/2010/main" spid="_x0000_s11267"/>
            </a:ext>
            <a:ext uri="{FF2B5EF4-FFF2-40B4-BE49-F238E27FC236}">
              <a16:creationId xmlns:a16="http://schemas.microsoft.com/office/drawing/2014/main" xmlns="" xmlns:a14="http://schemas.microsoft.com/office/drawing/2010/main" xmlns:mc="http://schemas.openxmlformats.org/markup-compatibility/2006" id="{447176A3-217E-484D-A638-F6CFD4D0A4F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xmlns="" id="{656868C2-726C-4F85-8760-4FE08709ADA2}"/>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denverimper.com.br/files/produtos/0000001-0000500/122/e5fe48d2b8810574e94921c5fb6cea0c.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vedacit.com.br/produtos/primer-eco-vedacit" TargetMode="External"/><Relationship Id="rId11" Type="http://schemas.openxmlformats.org/officeDocument/2006/relationships/vmlDrawing" Target="../drawings/vmlDrawing1.vml"/><Relationship Id="rId5" Type="http://schemas.openxmlformats.org/officeDocument/2006/relationships/hyperlink" Target="http://www.bautechbrasil.com.br/produtos/pinturas-especiais-e-complementos/bautech-resina-acr%C3%ADlica-multiuso" TargetMode="External"/><Relationship Id="rId10" Type="http://schemas.openxmlformats.org/officeDocument/2006/relationships/drawing" Target="../drawings/drawing1.xml"/><Relationship Id="rId4" Type="http://schemas.openxmlformats.org/officeDocument/2006/relationships/hyperlink" Target="http://www.bautechbrasil.com.br/produtos/selantes-especiais/bautech-selante-acr%C3%ADlico"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filterMode="1">
    <pageSetUpPr fitToPage="1"/>
  </sheetPr>
  <dimension ref="A1:J5145"/>
  <sheetViews>
    <sheetView zoomScale="90" zoomScaleNormal="90" workbookViewId="0">
      <pane ySplit="5" topLeftCell="A6" activePane="bottomLeft" state="frozen"/>
      <selection pane="bottomLeft" activeCell="L11" sqref="L11"/>
    </sheetView>
  </sheetViews>
  <sheetFormatPr defaultRowHeight="15" x14ac:dyDescent="0.25"/>
  <cols>
    <col min="1" max="1" width="14.7109375" customWidth="1"/>
    <col min="2" max="2" width="50.7109375" customWidth="1"/>
    <col min="3" max="3" width="65.7109375" style="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6" t="str">
        <f>Orçamentária!A1</f>
        <v>Reforma do Centro de Treinamento da SPOL</v>
      </c>
      <c r="B1" s="6"/>
      <c r="C1" s="6"/>
      <c r="D1" s="6"/>
      <c r="E1" s="7"/>
      <c r="F1" s="6"/>
      <c r="G1" s="6"/>
      <c r="H1" s="6"/>
      <c r="I1" s="8"/>
      <c r="J1" s="9"/>
    </row>
    <row r="2" spans="1:10" ht="24.95" customHeight="1" x14ac:dyDescent="0.25">
      <c r="A2" s="10" t="s">
        <v>0</v>
      </c>
      <c r="B2" s="11"/>
      <c r="C2" s="131"/>
      <c r="D2" s="11"/>
      <c r="E2" s="12"/>
      <c r="F2" s="11"/>
      <c r="G2" s="11"/>
      <c r="H2" s="11"/>
      <c r="I2" s="13"/>
      <c r="J2" s="9"/>
    </row>
    <row r="3" spans="1:10" ht="20.100000000000001" customHeight="1" x14ac:dyDescent="0.25">
      <c r="A3" s="14" t="str">
        <f>Orçamentária!A3</f>
        <v>Data: Maio de 2021</v>
      </c>
      <c r="B3" s="14"/>
      <c r="C3" s="132"/>
      <c r="D3" s="14"/>
      <c r="E3" s="15"/>
      <c r="F3" s="14"/>
      <c r="G3" s="14"/>
      <c r="H3" s="14"/>
      <c r="J3" s="9"/>
    </row>
    <row r="4" spans="1:10" ht="15.75" thickBot="1" x14ac:dyDescent="0.3">
      <c r="A4" s="16"/>
      <c r="B4" s="16"/>
      <c r="C4" s="16"/>
      <c r="D4" s="16"/>
      <c r="E4" s="17"/>
      <c r="F4" s="16"/>
      <c r="G4" s="18"/>
      <c r="H4" s="16"/>
      <c r="I4" s="16"/>
      <c r="J4" s="19"/>
    </row>
    <row r="5" spans="1:10" ht="30.75" thickBot="1" x14ac:dyDescent="0.3">
      <c r="A5" s="20" t="s">
        <v>1</v>
      </c>
      <c r="B5" s="21" t="s">
        <v>2</v>
      </c>
      <c r="C5" s="21" t="s">
        <v>3</v>
      </c>
      <c r="D5" s="21" t="s">
        <v>4</v>
      </c>
      <c r="E5" s="22" t="s">
        <v>5</v>
      </c>
      <c r="F5" s="21" t="s">
        <v>6</v>
      </c>
      <c r="G5" s="21" t="s">
        <v>7</v>
      </c>
      <c r="H5" s="23" t="s">
        <v>8</v>
      </c>
      <c r="I5" s="24"/>
      <c r="J5" s="25" t="s">
        <v>9</v>
      </c>
    </row>
    <row r="6" spans="1:10" ht="15.75" thickBot="1" x14ac:dyDescent="0.3">
      <c r="A6" s="172" t="s">
        <v>10</v>
      </c>
      <c r="B6" s="174" t="str">
        <f>INDEX(Orçamentária!A:B,MATCH(Composições!A6,Orçamentária!A:A,0),2)</f>
        <v>Engenheiro(a) /Arquiteto(a) júnior</v>
      </c>
      <c r="C6" s="41"/>
      <c r="D6" s="26" t="str">
        <f>TRIM(INDEX(Orçamentária!C:C,MATCH(Composições!A6,Orçamentária!A:A,0),1))</f>
        <v>hh</v>
      </c>
      <c r="E6" s="27"/>
      <c r="F6" s="28" t="s">
        <v>568</v>
      </c>
      <c r="G6" s="28" t="str">
        <f>IF(ISNUMBER(F6),E6*F6,"")</f>
        <v/>
      </c>
      <c r="H6" s="29"/>
      <c r="I6" s="30"/>
      <c r="J6" s="155">
        <v>246</v>
      </c>
    </row>
    <row r="7" spans="1:10" x14ac:dyDescent="0.25">
      <c r="A7" s="176"/>
      <c r="B7" s="175"/>
      <c r="C7" s="32"/>
      <c r="D7" s="32"/>
      <c r="E7" s="33"/>
      <c r="F7" s="31" t="s">
        <v>568</v>
      </c>
      <c r="G7" s="34" t="str">
        <f>IF(ISNUMBER(F7),E7*F7,"")</f>
        <v/>
      </c>
      <c r="H7" s="35"/>
      <c r="I7" s="31"/>
      <c r="J7" s="155">
        <v>246</v>
      </c>
    </row>
    <row r="8" spans="1:10" x14ac:dyDescent="0.25">
      <c r="A8" s="176"/>
      <c r="B8" s="175"/>
      <c r="C8" s="36" t="s">
        <v>11</v>
      </c>
      <c r="D8" s="36" t="s">
        <v>12</v>
      </c>
      <c r="E8" s="37">
        <v>1</v>
      </c>
      <c r="F8" s="31">
        <v>88.283500000000004</v>
      </c>
      <c r="G8" s="34">
        <f>IF(ISNUMBER(F8),E8*F8,"")</f>
        <v>88.283500000000004</v>
      </c>
      <c r="H8" s="39">
        <f>SUM(G8:G8)</f>
        <v>88.283500000000004</v>
      </c>
      <c r="I8" s="40"/>
      <c r="J8" s="155">
        <v>246</v>
      </c>
    </row>
    <row r="9" spans="1:10" ht="15.75" thickBot="1" x14ac:dyDescent="0.3">
      <c r="A9" s="177"/>
      <c r="B9" s="178"/>
      <c r="C9" s="36"/>
      <c r="D9" s="36"/>
      <c r="E9" s="37"/>
      <c r="F9" s="31" t="s">
        <v>568</v>
      </c>
      <c r="G9" s="34" t="str">
        <f>IF(ISNUMBER(F9),E9*F9,"")</f>
        <v/>
      </c>
      <c r="H9" s="35"/>
      <c r="I9" s="31"/>
      <c r="J9" s="155">
        <v>246</v>
      </c>
    </row>
    <row r="10" spans="1:10" ht="15.75" thickBot="1" x14ac:dyDescent="0.3">
      <c r="A10" s="187" t="s">
        <v>13</v>
      </c>
      <c r="B10" s="174" t="str">
        <f>INDEX(Orçamentária!A:B,MATCH(Composições!A10,Orçamentária!A:A,0),2)</f>
        <v>Mestre de obras</v>
      </c>
      <c r="C10" s="41"/>
      <c r="D10" s="26" t="str">
        <f>TRIM(INDEX(Orçamentária!C:C,MATCH(Composições!A10,Orçamentária!A:A,0),1))</f>
        <v>hh</v>
      </c>
      <c r="E10" s="27"/>
      <c r="F10" s="42" t="s">
        <v>568</v>
      </c>
      <c r="G10" s="28" t="str">
        <f>IF(ISNUMBER(F10),E10*F10,"")</f>
        <v/>
      </c>
      <c r="H10" s="29"/>
      <c r="I10" s="30"/>
      <c r="J10" s="155">
        <v>492</v>
      </c>
    </row>
    <row r="11" spans="1:10" x14ac:dyDescent="0.25">
      <c r="A11" s="188"/>
      <c r="B11" s="175"/>
      <c r="C11" s="32"/>
      <c r="D11" s="32"/>
      <c r="E11" s="33"/>
      <c r="F11" s="43" t="s">
        <v>568</v>
      </c>
      <c r="G11" s="31" t="str">
        <f>IF(ISNUMBER(F11),E11*F11,"")</f>
        <v/>
      </c>
      <c r="H11" s="35"/>
      <c r="I11" s="31"/>
      <c r="J11" s="155">
        <v>492</v>
      </c>
    </row>
    <row r="12" spans="1:10" x14ac:dyDescent="0.25">
      <c r="A12" s="188"/>
      <c r="B12" s="175"/>
      <c r="C12" s="36" t="s">
        <v>14</v>
      </c>
      <c r="D12" s="36" t="s">
        <v>12</v>
      </c>
      <c r="E12" s="37">
        <v>1</v>
      </c>
      <c r="F12" s="31">
        <v>26.248499999999996</v>
      </c>
      <c r="G12" s="34">
        <f>IF(ISNUMBER(F12),E12*F12,"")</f>
        <v>26.248499999999996</v>
      </c>
      <c r="H12" s="39">
        <f>SUM(G12:G12)</f>
        <v>26.248499999999996</v>
      </c>
      <c r="I12" s="40"/>
      <c r="J12" s="155">
        <v>492</v>
      </c>
    </row>
    <row r="13" spans="1:10" ht="15.75" thickBot="1" x14ac:dyDescent="0.3">
      <c r="A13" s="188"/>
      <c r="B13" s="175"/>
      <c r="C13" s="36"/>
      <c r="D13" s="36"/>
      <c r="E13" s="37"/>
      <c r="F13" s="31" t="s">
        <v>568</v>
      </c>
      <c r="G13" s="31" t="str">
        <f>IF(ISNUMBER(F13),E13*F13,"")</f>
        <v/>
      </c>
      <c r="H13" s="35"/>
      <c r="I13" s="31"/>
      <c r="J13" s="155">
        <v>492</v>
      </c>
    </row>
    <row r="14" spans="1:10" ht="15.75" hidden="1" thickBot="1" x14ac:dyDescent="0.3">
      <c r="A14" s="172" t="s">
        <v>15</v>
      </c>
      <c r="B14" s="174" t="str">
        <f>INDEX(Orçamentária!A:B,MATCH(Composições!A14,Orçamentária!A:A,0),2)</f>
        <v>Planejamento físico-financeiro</v>
      </c>
      <c r="C14" s="41"/>
      <c r="D14" s="26" t="str">
        <f>TRIM(INDEX(Orçamentária!C:C,MATCH(Composições!A14,Orçamentária!A:A,0),1))</f>
        <v>un</v>
      </c>
      <c r="E14" s="27"/>
      <c r="F14" s="42" t="s">
        <v>568</v>
      </c>
      <c r="G14" s="28" t="str">
        <f>IF(ISNUMBER(F14),E14*F14,"")</f>
        <v/>
      </c>
      <c r="H14" s="29"/>
      <c r="I14" s="30"/>
      <c r="J14" s="155">
        <v>0</v>
      </c>
    </row>
    <row r="15" spans="1:10" ht="15.75" hidden="1" thickBot="1" x14ac:dyDescent="0.3">
      <c r="A15" s="176"/>
      <c r="B15" s="175"/>
      <c r="C15" s="32"/>
      <c r="D15" s="32"/>
      <c r="E15" s="33"/>
      <c r="F15" s="43" t="s">
        <v>568</v>
      </c>
      <c r="G15" s="31" t="str">
        <f>IF(ISNUMBER(F15),E15*F15,"")</f>
        <v/>
      </c>
      <c r="H15" s="35"/>
      <c r="I15" s="31"/>
      <c r="J15" s="155">
        <v>0</v>
      </c>
    </row>
    <row r="16" spans="1:10" ht="15.75" hidden="1" thickBot="1" x14ac:dyDescent="0.3">
      <c r="A16" s="176"/>
      <c r="B16" s="175"/>
      <c r="C16" s="36" t="s">
        <v>16</v>
      </c>
      <c r="D16" s="36" t="s">
        <v>12</v>
      </c>
      <c r="E16" s="37">
        <v>16</v>
      </c>
      <c r="F16" s="31">
        <v>100.3295</v>
      </c>
      <c r="G16" s="31">
        <f>IF(ISNUMBER(F16),E16*F16,"")</f>
        <v>1605.2719999999999</v>
      </c>
      <c r="H16" s="39">
        <f>SUM(G16:G16)</f>
        <v>1605.2719999999999</v>
      </c>
      <c r="I16" s="40"/>
      <c r="J16" s="155">
        <v>0</v>
      </c>
    </row>
    <row r="17" spans="1:10" ht="15.75" hidden="1" thickBot="1" x14ac:dyDescent="0.3">
      <c r="A17" s="177"/>
      <c r="B17" s="178"/>
      <c r="C17" s="36"/>
      <c r="D17" s="36"/>
      <c r="E17" s="37"/>
      <c r="F17" s="31" t="s">
        <v>568</v>
      </c>
      <c r="G17" s="31" t="str">
        <f>IF(ISNUMBER(F17),E17*F17,"")</f>
        <v/>
      </c>
      <c r="H17" s="35"/>
      <c r="I17" s="31"/>
      <c r="J17" s="155">
        <v>0</v>
      </c>
    </row>
    <row r="18" spans="1:10" ht="15.75" thickBot="1" x14ac:dyDescent="0.3">
      <c r="A18" s="172" t="s">
        <v>17</v>
      </c>
      <c r="B18" s="174" t="str">
        <f>INDEX(Orçamentária!A:B,MATCH(Composições!A18,Orçamentária!A:A,0),2)</f>
        <v>Projetos de segurança do trabalho</v>
      </c>
      <c r="C18" s="41"/>
      <c r="D18" s="26" t="str">
        <f>TRIM(INDEX(Orçamentária!C:C,MATCH(Composições!A18,Orçamentária!A:A,0),1))</f>
        <v>un</v>
      </c>
      <c r="E18" s="27"/>
      <c r="F18" s="42" t="s">
        <v>568</v>
      </c>
      <c r="G18" s="28" t="str">
        <f>IF(ISNUMBER(F18),E18*F18,"")</f>
        <v/>
      </c>
      <c r="H18" s="29"/>
      <c r="I18" s="30"/>
      <c r="J18" s="155">
        <v>1</v>
      </c>
    </row>
    <row r="19" spans="1:10" x14ac:dyDescent="0.25">
      <c r="A19" s="176"/>
      <c r="B19" s="175"/>
      <c r="C19" s="32"/>
      <c r="D19" s="32"/>
      <c r="E19" s="33"/>
      <c r="F19" s="43" t="s">
        <v>568</v>
      </c>
      <c r="G19" s="31" t="str">
        <f>IF(ISNUMBER(F19),E19*F19,"")</f>
        <v/>
      </c>
      <c r="H19" s="35"/>
      <c r="I19" s="31"/>
      <c r="J19" s="155">
        <v>1</v>
      </c>
    </row>
    <row r="20" spans="1:10" x14ac:dyDescent="0.25">
      <c r="A20" s="176"/>
      <c r="B20" s="175"/>
      <c r="C20" s="36" t="s">
        <v>18</v>
      </c>
      <c r="D20" s="36" t="s">
        <v>12</v>
      </c>
      <c r="E20" s="37">
        <v>20</v>
      </c>
      <c r="F20" s="31">
        <v>100.6525</v>
      </c>
      <c r="G20" s="31">
        <f>IF(ISNUMBER(F20),E20*F20,"")</f>
        <v>2013.0500000000002</v>
      </c>
      <c r="H20" s="39">
        <f>SUM(G20:G21)</f>
        <v>2246.9900000000002</v>
      </c>
      <c r="I20" s="40"/>
      <c r="J20" s="155">
        <v>1</v>
      </c>
    </row>
    <row r="21" spans="1:10" x14ac:dyDescent="0.25">
      <c r="A21" s="176"/>
      <c r="B21" s="175"/>
      <c r="C21" s="36" t="s">
        <v>19</v>
      </c>
      <c r="D21" s="36" t="s">
        <v>20</v>
      </c>
      <c r="E21" s="37">
        <v>1</v>
      </c>
      <c r="F21" s="34">
        <v>233.94</v>
      </c>
      <c r="G21" s="31">
        <f>IF(ISNUMBER(F21),E21*F21,"")</f>
        <v>233.94</v>
      </c>
      <c r="H21" s="35"/>
      <c r="I21" s="31"/>
      <c r="J21" s="155">
        <v>1</v>
      </c>
    </row>
    <row r="22" spans="1:10" ht="15.75" thickBot="1" x14ac:dyDescent="0.3">
      <c r="A22" s="177"/>
      <c r="B22" s="178"/>
      <c r="C22" s="36"/>
      <c r="D22" s="36"/>
      <c r="E22" s="37"/>
      <c r="F22" s="31" t="s">
        <v>568</v>
      </c>
      <c r="G22" s="31" t="str">
        <f>IF(ISNUMBER(F22),E22*F22,"")</f>
        <v/>
      </c>
      <c r="H22" s="35"/>
      <c r="I22" s="31"/>
      <c r="J22" s="155">
        <v>1</v>
      </c>
    </row>
    <row r="23" spans="1:10" ht="15.75" thickBot="1" x14ac:dyDescent="0.3">
      <c r="A23" s="172" t="s">
        <v>21</v>
      </c>
      <c r="B23" s="174" t="str">
        <f>INDEX(Orçamentária!A:B,MATCH(Composições!A23,Orçamentária!A:A,0),2)</f>
        <v>Demolição de alvenarias</v>
      </c>
      <c r="C23" s="41"/>
      <c r="D23" s="26" t="str">
        <f>TRIM(INDEX(Orçamentária!C:C,MATCH(Composições!A23,Orçamentária!A:A,0),1))</f>
        <v>m3</v>
      </c>
      <c r="E23" s="27"/>
      <c r="F23" s="42" t="s">
        <v>568</v>
      </c>
      <c r="G23" s="28" t="str">
        <f>IF(ISNUMBER(F23),E23*F23,"")</f>
        <v/>
      </c>
      <c r="H23" s="29"/>
      <c r="I23" s="30"/>
      <c r="J23" s="155">
        <v>22.73</v>
      </c>
    </row>
    <row r="24" spans="1:10" x14ac:dyDescent="0.25">
      <c r="A24" s="176"/>
      <c r="B24" s="175"/>
      <c r="C24" s="32"/>
      <c r="D24" s="32"/>
      <c r="E24" s="33"/>
      <c r="F24" s="43" t="s">
        <v>568</v>
      </c>
      <c r="G24" s="31" t="str">
        <f>IF(ISNUMBER(F24),E24*F24,"")</f>
        <v/>
      </c>
      <c r="H24" s="35"/>
      <c r="I24" s="31"/>
      <c r="J24" s="155">
        <v>22.73</v>
      </c>
    </row>
    <row r="25" spans="1:10" x14ac:dyDescent="0.25">
      <c r="A25" s="176"/>
      <c r="B25" s="175"/>
      <c r="C25" s="36" t="s">
        <v>22</v>
      </c>
      <c r="D25" s="36" t="s">
        <v>12</v>
      </c>
      <c r="E25" s="37">
        <v>0.22500000000000001</v>
      </c>
      <c r="F25" s="31">
        <v>22.087499999999999</v>
      </c>
      <c r="G25" s="34">
        <f>IF(ISNUMBER(F25),E25*F25,"")</f>
        <v>4.9696875</v>
      </c>
      <c r="H25" s="39">
        <f>SUM(G25:G26)</f>
        <v>42.890662700000007</v>
      </c>
      <c r="I25" s="40"/>
      <c r="J25" s="155">
        <v>22.73</v>
      </c>
    </row>
    <row r="26" spans="1:10" x14ac:dyDescent="0.25">
      <c r="A26" s="176"/>
      <c r="B26" s="175"/>
      <c r="C26" s="36" t="s">
        <v>23</v>
      </c>
      <c r="D26" s="36" t="s">
        <v>12</v>
      </c>
      <c r="E26" s="37">
        <v>2.3248000000000002</v>
      </c>
      <c r="F26" s="31">
        <v>16.311500000000002</v>
      </c>
      <c r="G26" s="34">
        <f>IF(ISNUMBER(F26),E26*F26,"")</f>
        <v>37.920975200000008</v>
      </c>
      <c r="H26" s="44"/>
      <c r="I26" s="40"/>
      <c r="J26" s="155">
        <v>22.73</v>
      </c>
    </row>
    <row r="27" spans="1:10" ht="15.75" thickBot="1" x14ac:dyDescent="0.3">
      <c r="A27" s="177"/>
      <c r="B27" s="178"/>
      <c r="C27" s="36"/>
      <c r="D27" s="36"/>
      <c r="E27" s="37"/>
      <c r="F27" s="31" t="s">
        <v>568</v>
      </c>
      <c r="G27" s="31" t="str">
        <f>IF(ISNUMBER(F27),E27*F27,"")</f>
        <v/>
      </c>
      <c r="H27" s="35"/>
      <c r="I27" s="31"/>
      <c r="J27" s="155">
        <v>22.73</v>
      </c>
    </row>
    <row r="28" spans="1:10" ht="15.75" hidden="1" thickBot="1" x14ac:dyDescent="0.3">
      <c r="A28" s="172" t="s">
        <v>24</v>
      </c>
      <c r="B28" s="174" t="str">
        <f>INDEX(Orçamentária!A:B,MATCH(Composições!A28,Orçamentária!A:A,0),2)</f>
        <v>Demolição de concreto simples</v>
      </c>
      <c r="C28" s="41"/>
      <c r="D28" s="26" t="str">
        <f>TRIM(INDEX(Orçamentária!C:C,MATCH(Composições!A28,Orçamentária!A:A,0),1))</f>
        <v>m3</v>
      </c>
      <c r="E28" s="27"/>
      <c r="F28" s="42" t="s">
        <v>568</v>
      </c>
      <c r="G28" s="28" t="str">
        <f>IF(ISNUMBER(F28),E28*F28,"")</f>
        <v/>
      </c>
      <c r="H28" s="29"/>
      <c r="I28" s="30"/>
      <c r="J28" s="155">
        <v>0</v>
      </c>
    </row>
    <row r="29" spans="1:10" ht="15.75" hidden="1" thickBot="1" x14ac:dyDescent="0.3">
      <c r="A29" s="176"/>
      <c r="B29" s="175"/>
      <c r="C29" s="32"/>
      <c r="D29" s="32"/>
      <c r="E29" s="33"/>
      <c r="F29" s="43" t="s">
        <v>568</v>
      </c>
      <c r="G29" s="31" t="str">
        <f>IF(ISNUMBER(F29),E29*F29,"")</f>
        <v/>
      </c>
      <c r="H29" s="35"/>
      <c r="I29" s="31"/>
      <c r="J29" s="155">
        <v>0</v>
      </c>
    </row>
    <row r="30" spans="1:10" ht="15.75" hidden="1" thickBot="1" x14ac:dyDescent="0.3">
      <c r="A30" s="176"/>
      <c r="B30" s="175"/>
      <c r="C30" s="36" t="s">
        <v>22</v>
      </c>
      <c r="D30" s="36" t="s">
        <v>12</v>
      </c>
      <c r="E30" s="37">
        <v>1.3</v>
      </c>
      <c r="F30" s="31">
        <v>22.087499999999999</v>
      </c>
      <c r="G30" s="34">
        <f>IF(ISNUMBER(F30),E30*F30,"")</f>
        <v>28.713749999999997</v>
      </c>
      <c r="H30" s="39">
        <f>SUM(G30:G31)</f>
        <v>240.76325000000003</v>
      </c>
      <c r="I30" s="40"/>
      <c r="J30" s="155">
        <v>0</v>
      </c>
    </row>
    <row r="31" spans="1:10" ht="15.75" hidden="1" thickBot="1" x14ac:dyDescent="0.3">
      <c r="A31" s="176"/>
      <c r="B31" s="175"/>
      <c r="C31" s="36" t="s">
        <v>23</v>
      </c>
      <c r="D31" s="36" t="s">
        <v>12</v>
      </c>
      <c r="E31" s="37">
        <v>13</v>
      </c>
      <c r="F31" s="31">
        <v>16.311500000000002</v>
      </c>
      <c r="G31" s="34">
        <f>IF(ISNUMBER(F31),E31*F31,"")</f>
        <v>212.04950000000002</v>
      </c>
      <c r="H31" s="35"/>
      <c r="I31" s="31"/>
      <c r="J31" s="155">
        <v>0</v>
      </c>
    </row>
    <row r="32" spans="1:10" ht="15.75" hidden="1" thickBot="1" x14ac:dyDescent="0.3">
      <c r="A32" s="177"/>
      <c r="B32" s="178"/>
      <c r="C32" s="36"/>
      <c r="D32" s="36"/>
      <c r="E32" s="37"/>
      <c r="F32" s="31" t="s">
        <v>568</v>
      </c>
      <c r="G32" s="31" t="str">
        <f>IF(ISNUMBER(F32),E32*F32,"")</f>
        <v/>
      </c>
      <c r="H32" s="35"/>
      <c r="I32" s="31"/>
      <c r="J32" s="155">
        <v>0</v>
      </c>
    </row>
    <row r="33" spans="1:10" ht="15.75" thickBot="1" x14ac:dyDescent="0.3">
      <c r="A33" s="172" t="s">
        <v>25</v>
      </c>
      <c r="B33" s="174" t="str">
        <f>INDEX(Orçamentária!A:B,MATCH(Composições!A33,Orçamentária!A:A,0),2)</f>
        <v>Demolição de contrapiso</v>
      </c>
      <c r="C33" s="41"/>
      <c r="D33" s="26" t="str">
        <f>TRIM(INDEX(Orçamentária!C:C,MATCH(Composições!A33,Orçamentária!A:A,0),1))</f>
        <v>m2</v>
      </c>
      <c r="E33" s="27"/>
      <c r="F33" s="42" t="s">
        <v>568</v>
      </c>
      <c r="G33" s="28" t="str">
        <f>IF(ISNUMBER(F33),E33*F33,"")</f>
        <v/>
      </c>
      <c r="H33" s="29"/>
      <c r="I33" s="30"/>
      <c r="J33" s="155">
        <v>6.1</v>
      </c>
    </row>
    <row r="34" spans="1:10" x14ac:dyDescent="0.25">
      <c r="A34" s="176"/>
      <c r="B34" s="175"/>
      <c r="C34" s="32"/>
      <c r="D34" s="32"/>
      <c r="E34" s="33"/>
      <c r="F34" s="43" t="s">
        <v>568</v>
      </c>
      <c r="G34" s="31" t="str">
        <f>IF(ISNUMBER(F34),E34*F34,"")</f>
        <v/>
      </c>
      <c r="H34" s="35"/>
      <c r="I34" s="31"/>
      <c r="J34" s="155">
        <v>6.1</v>
      </c>
    </row>
    <row r="35" spans="1:10" x14ac:dyDescent="0.25">
      <c r="A35" s="176"/>
      <c r="B35" s="175"/>
      <c r="C35" s="36" t="s">
        <v>23</v>
      </c>
      <c r="D35" s="36" t="s">
        <v>12</v>
      </c>
      <c r="E35" s="37">
        <v>0.7</v>
      </c>
      <c r="F35" s="31">
        <v>16.311500000000002</v>
      </c>
      <c r="G35" s="34">
        <f>IF(ISNUMBER(F35),E35*F35,"")</f>
        <v>11.418050000000001</v>
      </c>
      <c r="H35" s="39">
        <f>SUM(G35:G35)</f>
        <v>11.418050000000001</v>
      </c>
      <c r="I35" s="40"/>
      <c r="J35" s="155">
        <v>6.1</v>
      </c>
    </row>
    <row r="36" spans="1:10" ht="15.75" thickBot="1" x14ac:dyDescent="0.3">
      <c r="A36" s="177"/>
      <c r="B36" s="178"/>
      <c r="C36" s="36"/>
      <c r="D36" s="36"/>
      <c r="E36" s="37"/>
      <c r="F36" s="31" t="s">
        <v>568</v>
      </c>
      <c r="G36" s="31" t="str">
        <f>IF(ISNUMBER(F36),E36*F36,"")</f>
        <v/>
      </c>
      <c r="H36" s="35"/>
      <c r="I36" s="31"/>
      <c r="J36" s="155">
        <v>6.1</v>
      </c>
    </row>
    <row r="37" spans="1:10" ht="15.75" hidden="1" thickBot="1" x14ac:dyDescent="0.3">
      <c r="A37" s="172" t="s">
        <v>26</v>
      </c>
      <c r="B37" s="174" t="str">
        <f>INDEX(Orçamentária!A:B,MATCH(Composições!A37,Orçamentária!A:A,0),2)</f>
        <v>Demolição de fechamento ou parede em gesso acartonado</v>
      </c>
      <c r="C37" s="41"/>
      <c r="D37" s="26" t="str">
        <f>TRIM(INDEX(Orçamentária!C:C,MATCH(Composições!A37,Orçamentária!A:A,0),1))</f>
        <v>m2</v>
      </c>
      <c r="E37" s="27"/>
      <c r="F37" s="42" t="s">
        <v>568</v>
      </c>
      <c r="G37" s="28" t="str">
        <f>IF(ISNUMBER(F37),E37*F37,"")</f>
        <v/>
      </c>
      <c r="H37" s="29"/>
      <c r="I37" s="30"/>
      <c r="J37" s="155">
        <v>0</v>
      </c>
    </row>
    <row r="38" spans="1:10" ht="15.75" hidden="1" thickBot="1" x14ac:dyDescent="0.3">
      <c r="A38" s="176"/>
      <c r="B38" s="175"/>
      <c r="C38" s="32"/>
      <c r="D38" s="32"/>
      <c r="E38" s="33"/>
      <c r="F38" s="43" t="s">
        <v>568</v>
      </c>
      <c r="G38" s="31" t="str">
        <f>IF(ISNUMBER(F38),E38*F38,"")</f>
        <v/>
      </c>
      <c r="H38" s="35"/>
      <c r="I38" s="31"/>
      <c r="J38" s="155">
        <v>0</v>
      </c>
    </row>
    <row r="39" spans="1:10" ht="15.75" hidden="1" thickBot="1" x14ac:dyDescent="0.3">
      <c r="A39" s="176"/>
      <c r="B39" s="175"/>
      <c r="C39" s="36" t="s">
        <v>27</v>
      </c>
      <c r="D39" s="36" t="s">
        <v>12</v>
      </c>
      <c r="E39" s="37">
        <v>0.1186</v>
      </c>
      <c r="F39" s="31">
        <v>16.852999999999998</v>
      </c>
      <c r="G39" s="34">
        <f>IF(ISNUMBER(F39),E39*F39,"")</f>
        <v>1.9987657999999997</v>
      </c>
      <c r="H39" s="39">
        <f>SUM(G39:G40)</f>
        <v>5.79771415</v>
      </c>
      <c r="I39" s="40"/>
      <c r="J39" s="155">
        <v>0</v>
      </c>
    </row>
    <row r="40" spans="1:10" ht="15.75" hidden="1" thickBot="1" x14ac:dyDescent="0.3">
      <c r="A40" s="176"/>
      <c r="B40" s="175"/>
      <c r="C40" s="36" t="s">
        <v>23</v>
      </c>
      <c r="D40" s="36" t="s">
        <v>12</v>
      </c>
      <c r="E40" s="37">
        <v>0.2329</v>
      </c>
      <c r="F40" s="31">
        <v>16.311500000000002</v>
      </c>
      <c r="G40" s="34">
        <f>IF(ISNUMBER(F40),E40*F40,"")</f>
        <v>3.7989483500000003</v>
      </c>
      <c r="H40" s="45"/>
      <c r="I40" s="46"/>
      <c r="J40" s="155">
        <v>0</v>
      </c>
    </row>
    <row r="41" spans="1:10" ht="15.75" hidden="1" thickBot="1" x14ac:dyDescent="0.3">
      <c r="A41" s="177"/>
      <c r="B41" s="178"/>
      <c r="C41" s="36"/>
      <c r="D41" s="36"/>
      <c r="E41" s="37"/>
      <c r="F41" s="31" t="s">
        <v>568</v>
      </c>
      <c r="G41" s="31" t="str">
        <f>IF(ISNUMBER(F41),E41*F41,"")</f>
        <v/>
      </c>
      <c r="H41" s="35"/>
      <c r="I41" s="31"/>
      <c r="J41" s="155">
        <v>0</v>
      </c>
    </row>
    <row r="42" spans="1:10" ht="15.75" thickBot="1" x14ac:dyDescent="0.3">
      <c r="A42" s="172" t="s">
        <v>28</v>
      </c>
      <c r="B42" s="174" t="str">
        <f>INDEX(Orçamentária!A:B,MATCH(Composições!A42,Orçamentária!A:A,0),2)</f>
        <v>Demolição de forro de gesso</v>
      </c>
      <c r="C42" s="41"/>
      <c r="D42" s="26" t="str">
        <f>TRIM(INDEX(Orçamentária!C:C,MATCH(Composições!A42,Orçamentária!A:A,0),1))</f>
        <v>m2</v>
      </c>
      <c r="E42" s="27"/>
      <c r="F42" s="42" t="s">
        <v>568</v>
      </c>
      <c r="G42" s="28" t="str">
        <f>IF(ISNUMBER(F42),E42*F42,"")</f>
        <v/>
      </c>
      <c r="H42" s="29"/>
      <c r="I42" s="30"/>
      <c r="J42" s="155">
        <v>196.2</v>
      </c>
    </row>
    <row r="43" spans="1:10" x14ac:dyDescent="0.25">
      <c r="A43" s="176"/>
      <c r="B43" s="175"/>
      <c r="C43" s="32"/>
      <c r="D43" s="32"/>
      <c r="E43" s="33"/>
      <c r="F43" s="43" t="s">
        <v>568</v>
      </c>
      <c r="G43" s="31" t="str">
        <f>IF(ISNUMBER(F43),E43*F43,"")</f>
        <v/>
      </c>
      <c r="H43" s="35"/>
      <c r="I43" s="31"/>
      <c r="J43" s="155">
        <v>196.2</v>
      </c>
    </row>
    <row r="44" spans="1:10" x14ac:dyDescent="0.25">
      <c r="A44" s="176"/>
      <c r="B44" s="175"/>
      <c r="C44" s="36" t="s">
        <v>27</v>
      </c>
      <c r="D44" s="36" t="s">
        <v>12</v>
      </c>
      <c r="E44" s="37">
        <v>2.58E-2</v>
      </c>
      <c r="F44" s="31">
        <v>16.852999999999998</v>
      </c>
      <c r="G44" s="34">
        <f>IF(ISNUMBER(F44),E44*F44,"")</f>
        <v>0.43480739999999996</v>
      </c>
      <c r="H44" s="39">
        <f>SUM(G44:G45)</f>
        <v>1.26180045</v>
      </c>
      <c r="I44" s="40"/>
      <c r="J44" s="155">
        <v>196.2</v>
      </c>
    </row>
    <row r="45" spans="1:10" x14ac:dyDescent="0.25">
      <c r="A45" s="176"/>
      <c r="B45" s="175"/>
      <c r="C45" s="36" t="s">
        <v>23</v>
      </c>
      <c r="D45" s="36" t="s">
        <v>12</v>
      </c>
      <c r="E45" s="37">
        <v>5.0700000000000002E-2</v>
      </c>
      <c r="F45" s="31">
        <v>16.311500000000002</v>
      </c>
      <c r="G45" s="34">
        <f>IF(ISNUMBER(F45),E45*F45,"")</f>
        <v>0.82699305000000012</v>
      </c>
      <c r="H45" s="35"/>
      <c r="I45" s="31"/>
      <c r="J45" s="155">
        <v>196.2</v>
      </c>
    </row>
    <row r="46" spans="1:10" ht="15.75" thickBot="1" x14ac:dyDescent="0.3">
      <c r="A46" s="177"/>
      <c r="B46" s="178"/>
      <c r="C46" s="36"/>
      <c r="D46" s="36"/>
      <c r="E46" s="37"/>
      <c r="F46" s="31" t="s">
        <v>568</v>
      </c>
      <c r="G46" s="31" t="str">
        <f>IF(ISNUMBER(F46),E46*F46,"")</f>
        <v/>
      </c>
      <c r="H46" s="35"/>
      <c r="I46" s="31"/>
      <c r="J46" s="155">
        <v>196.2</v>
      </c>
    </row>
    <row r="47" spans="1:10" ht="15.75" thickBot="1" x14ac:dyDescent="0.3">
      <c r="A47" s="172" t="s">
        <v>29</v>
      </c>
      <c r="B47" s="174" t="str">
        <f>INDEX(Orçamentária!A:B,MATCH(Composições!A47,Orçamentária!A:A,0),2)</f>
        <v>Demolição de infraestrutura elétrica (eletrodutos, eletrocalhas, cabos)</v>
      </c>
      <c r="C47" s="41"/>
      <c r="D47" s="26" t="str">
        <f>TRIM(INDEX(Orçamentária!C:C,MATCH(Composições!A47,Orçamentária!A:A,0),1))</f>
        <v>m</v>
      </c>
      <c r="E47" s="27"/>
      <c r="F47" s="42" t="s">
        <v>568</v>
      </c>
      <c r="G47" s="28" t="str">
        <f>IF(ISNUMBER(F47),E47*F47,"")</f>
        <v/>
      </c>
      <c r="H47" s="29"/>
      <c r="I47" s="30"/>
      <c r="J47" s="155">
        <v>110</v>
      </c>
    </row>
    <row r="48" spans="1:10" x14ac:dyDescent="0.25">
      <c r="A48" s="176"/>
      <c r="B48" s="175"/>
      <c r="C48" s="32"/>
      <c r="D48" s="32"/>
      <c r="E48" s="33"/>
      <c r="F48" s="43" t="s">
        <v>568</v>
      </c>
      <c r="G48" s="31" t="str">
        <f>IF(ISNUMBER(F48),E48*F48,"")</f>
        <v/>
      </c>
      <c r="H48" s="35"/>
      <c r="I48" s="31"/>
      <c r="J48" s="155">
        <v>110</v>
      </c>
    </row>
    <row r="49" spans="1:10" x14ac:dyDescent="0.25">
      <c r="A49" s="176"/>
      <c r="B49" s="175"/>
      <c r="C49" s="36" t="s">
        <v>30</v>
      </c>
      <c r="D49" s="36" t="s">
        <v>12</v>
      </c>
      <c r="E49" s="37">
        <f>ROUND(0.0096*5,4)</f>
        <v>4.8000000000000001E-2</v>
      </c>
      <c r="F49" s="31">
        <v>22.268000000000001</v>
      </c>
      <c r="G49" s="34">
        <f>IF(ISNUMBER(F49),E49*F49,"")</f>
        <v>1.068864</v>
      </c>
      <c r="H49" s="39">
        <f>SUM(G49:G50)</f>
        <v>2.6021450000000002</v>
      </c>
      <c r="I49" s="40"/>
      <c r="J49" s="155">
        <v>110</v>
      </c>
    </row>
    <row r="50" spans="1:10" x14ac:dyDescent="0.25">
      <c r="A50" s="176"/>
      <c r="B50" s="175"/>
      <c r="C50" s="36" t="s">
        <v>23</v>
      </c>
      <c r="D50" s="36" t="s">
        <v>12</v>
      </c>
      <c r="E50" s="37">
        <f>ROUND(0.0188*5,4)</f>
        <v>9.4E-2</v>
      </c>
      <c r="F50" s="31">
        <v>16.311500000000002</v>
      </c>
      <c r="G50" s="34">
        <f>IF(ISNUMBER(F50),E50*F50,"")</f>
        <v>1.5332810000000001</v>
      </c>
      <c r="H50" s="35"/>
      <c r="I50" s="31"/>
      <c r="J50" s="155">
        <v>110</v>
      </c>
    </row>
    <row r="51" spans="1:10" ht="15.75" thickBot="1" x14ac:dyDescent="0.3">
      <c r="A51" s="177"/>
      <c r="B51" s="178"/>
      <c r="C51" s="36"/>
      <c r="D51" s="36"/>
      <c r="E51" s="37"/>
      <c r="F51" s="31" t="s">
        <v>568</v>
      </c>
      <c r="G51" s="31" t="str">
        <f>IF(ISNUMBER(F51),E51*F51,"")</f>
        <v/>
      </c>
      <c r="H51" s="35"/>
      <c r="I51" s="31"/>
      <c r="J51" s="155">
        <v>110</v>
      </c>
    </row>
    <row r="52" spans="1:10" ht="15.75" thickBot="1" x14ac:dyDescent="0.3">
      <c r="A52" s="172" t="s">
        <v>31</v>
      </c>
      <c r="B52" s="174" t="str">
        <f>INDEX(Orçamentária!A:B,MATCH(Composições!A52,Orçamentária!A:A,0),2)</f>
        <v>Demolição de revestimento cerâmico, granito, mármore ou granitina</v>
      </c>
      <c r="C52" s="41"/>
      <c r="D52" s="26" t="str">
        <f>TRIM(INDEX(Orçamentária!C:C,MATCH(Composições!A52,Orçamentária!A:A,0),1))</f>
        <v>m2</v>
      </c>
      <c r="E52" s="27"/>
      <c r="F52" s="42" t="s">
        <v>568</v>
      </c>
      <c r="G52" s="28" t="str">
        <f>IF(ISNUMBER(F52),E52*F52,"")</f>
        <v/>
      </c>
      <c r="H52" s="29"/>
      <c r="I52" s="30"/>
      <c r="J52" s="155">
        <v>155.5</v>
      </c>
    </row>
    <row r="53" spans="1:10" x14ac:dyDescent="0.25">
      <c r="A53" s="176"/>
      <c r="B53" s="175"/>
      <c r="C53" s="32"/>
      <c r="D53" s="32"/>
      <c r="E53" s="33"/>
      <c r="F53" s="43" t="s">
        <v>568</v>
      </c>
      <c r="G53" s="31" t="str">
        <f>IF(ISNUMBER(F53),E53*F53,"")</f>
        <v/>
      </c>
      <c r="H53" s="35"/>
      <c r="I53" s="31"/>
      <c r="J53" s="155">
        <v>155.5</v>
      </c>
    </row>
    <row r="54" spans="1:10" ht="25.5" x14ac:dyDescent="0.25">
      <c r="A54" s="176"/>
      <c r="B54" s="175"/>
      <c r="C54" s="36" t="s">
        <v>32</v>
      </c>
      <c r="D54" s="36" t="s">
        <v>33</v>
      </c>
      <c r="E54" s="37">
        <v>6.9900000000000004E-2</v>
      </c>
      <c r="F54" s="34">
        <v>20.253999999999998</v>
      </c>
      <c r="G54" s="34">
        <f>IF(ISNUMBER(F54),E54*F54,"")</f>
        <v>1.4157545999999999</v>
      </c>
      <c r="H54" s="39">
        <f>SUM(G54:G57)</f>
        <v>9.4933034500000009</v>
      </c>
      <c r="I54" s="40"/>
      <c r="J54" s="155">
        <v>155.5</v>
      </c>
    </row>
    <row r="55" spans="1:10" ht="25.5" x14ac:dyDescent="0.25">
      <c r="A55" s="176"/>
      <c r="B55" s="175"/>
      <c r="C55" s="36" t="s">
        <v>34</v>
      </c>
      <c r="D55" s="36" t="s">
        <v>35</v>
      </c>
      <c r="E55" s="37">
        <v>4.82E-2</v>
      </c>
      <c r="F55" s="34">
        <v>18.829000000000001</v>
      </c>
      <c r="G55" s="34">
        <f>IF(ISNUMBER(F55),E55*F55,"")</f>
        <v>0.90755780000000008</v>
      </c>
      <c r="H55" s="35"/>
      <c r="I55" s="31"/>
      <c r="J55" s="155">
        <v>155.5</v>
      </c>
    </row>
    <row r="56" spans="1:10" x14ac:dyDescent="0.25">
      <c r="A56" s="176"/>
      <c r="B56" s="175"/>
      <c r="C56" s="36" t="s">
        <v>36</v>
      </c>
      <c r="D56" s="36" t="s">
        <v>12</v>
      </c>
      <c r="E56" s="37">
        <v>0.1055</v>
      </c>
      <c r="F56" s="31">
        <v>22.011500000000002</v>
      </c>
      <c r="G56" s="34">
        <f>IF(ISNUMBER(F56),E56*F56,"")</f>
        <v>2.3222132499999999</v>
      </c>
      <c r="H56" s="35"/>
      <c r="I56" s="31"/>
      <c r="J56" s="155">
        <v>155.5</v>
      </c>
    </row>
    <row r="57" spans="1:10" x14ac:dyDescent="0.25">
      <c r="A57" s="176"/>
      <c r="B57" s="175"/>
      <c r="C57" s="36" t="s">
        <v>23</v>
      </c>
      <c r="D57" s="36" t="s">
        <v>12</v>
      </c>
      <c r="E57" s="37">
        <v>0.29720000000000002</v>
      </c>
      <c r="F57" s="31">
        <v>16.311500000000002</v>
      </c>
      <c r="G57" s="34">
        <f>IF(ISNUMBER(F57),E57*F57,"")</f>
        <v>4.8477778000000011</v>
      </c>
      <c r="H57" s="35"/>
      <c r="I57" s="31"/>
      <c r="J57" s="155">
        <v>155.5</v>
      </c>
    </row>
    <row r="58" spans="1:10" ht="15.75" thickBot="1" x14ac:dyDescent="0.3">
      <c r="A58" s="177"/>
      <c r="B58" s="178"/>
      <c r="C58" s="36"/>
      <c r="D58" s="36"/>
      <c r="E58" s="37"/>
      <c r="F58" s="31" t="s">
        <v>568</v>
      </c>
      <c r="G58" s="31" t="str">
        <f>IF(ISNUMBER(F58),E58*F58,"")</f>
        <v/>
      </c>
      <c r="H58" s="35"/>
      <c r="I58" s="31"/>
      <c r="J58" s="155">
        <v>155.5</v>
      </c>
    </row>
    <row r="59" spans="1:10" ht="15.75" hidden="1" thickBot="1" x14ac:dyDescent="0.3">
      <c r="A59" s="172" t="s">
        <v>37</v>
      </c>
      <c r="B59" s="174" t="str">
        <f>INDEX(Orçamentária!A:B,MATCH(Composições!A59,Orçamentária!A:A,0),2)</f>
        <v>Demolição de revestimento em argamassa</v>
      </c>
      <c r="C59" s="41"/>
      <c r="D59" s="26" t="str">
        <f>TRIM(INDEX(Orçamentária!C:C,MATCH(Composições!A59,Orçamentária!A:A,0),1))</f>
        <v>m2</v>
      </c>
      <c r="E59" s="27"/>
      <c r="F59" s="42" t="s">
        <v>568</v>
      </c>
      <c r="G59" s="28" t="str">
        <f>IF(ISNUMBER(F59),E59*F59,"")</f>
        <v/>
      </c>
      <c r="H59" s="29"/>
      <c r="I59" s="30"/>
      <c r="J59" s="155">
        <v>0</v>
      </c>
    </row>
    <row r="60" spans="1:10" ht="15.75" hidden="1" thickBot="1" x14ac:dyDescent="0.3">
      <c r="A60" s="176"/>
      <c r="B60" s="175"/>
      <c r="C60" s="32"/>
      <c r="D60" s="32"/>
      <c r="E60" s="33"/>
      <c r="F60" s="43" t="s">
        <v>568</v>
      </c>
      <c r="G60" s="31" t="str">
        <f>IF(ISNUMBER(F60),E60*F60,"")</f>
        <v/>
      </c>
      <c r="H60" s="35"/>
      <c r="I60" s="31"/>
      <c r="J60" s="155">
        <v>0</v>
      </c>
    </row>
    <row r="61" spans="1:10" ht="15.75" hidden="1" thickBot="1" x14ac:dyDescent="0.3">
      <c r="A61" s="176"/>
      <c r="B61" s="175"/>
      <c r="C61" s="36" t="s">
        <v>22</v>
      </c>
      <c r="D61" s="36" t="s">
        <v>12</v>
      </c>
      <c r="E61" s="37">
        <v>3.7400000000000003E-2</v>
      </c>
      <c r="F61" s="31">
        <v>22.087499999999999</v>
      </c>
      <c r="G61" s="34">
        <f>IF(ISNUMBER(F61),E61*F61,"")</f>
        <v>0.82607249999999999</v>
      </c>
      <c r="H61" s="39">
        <f>SUM(G61:G62)</f>
        <v>2.54367345</v>
      </c>
      <c r="I61" s="40"/>
      <c r="J61" s="155">
        <v>0</v>
      </c>
    </row>
    <row r="62" spans="1:10" ht="15.75" hidden="1" thickBot="1" x14ac:dyDescent="0.3">
      <c r="A62" s="176"/>
      <c r="B62" s="175"/>
      <c r="C62" s="36" t="s">
        <v>23</v>
      </c>
      <c r="D62" s="36" t="s">
        <v>12</v>
      </c>
      <c r="E62" s="37">
        <v>0.1053</v>
      </c>
      <c r="F62" s="31">
        <v>16.311500000000002</v>
      </c>
      <c r="G62" s="34">
        <f>IF(ISNUMBER(F62),E62*F62,"")</f>
        <v>1.7176009500000002</v>
      </c>
      <c r="H62" s="35"/>
      <c r="I62" s="31"/>
      <c r="J62" s="155">
        <v>0</v>
      </c>
    </row>
    <row r="63" spans="1:10" ht="15.75" hidden="1" thickBot="1" x14ac:dyDescent="0.3">
      <c r="A63" s="177"/>
      <c r="B63" s="178"/>
      <c r="C63" s="36"/>
      <c r="D63" s="36"/>
      <c r="E63" s="37"/>
      <c r="F63" s="31" t="s">
        <v>568</v>
      </c>
      <c r="G63" s="31" t="str">
        <f>IF(ISNUMBER(F63),E63*F63,"")</f>
        <v/>
      </c>
      <c r="H63" s="35"/>
      <c r="I63" s="31"/>
      <c r="J63" s="155">
        <v>0</v>
      </c>
    </row>
    <row r="64" spans="1:10" ht="15.75" hidden="1" thickBot="1" x14ac:dyDescent="0.3">
      <c r="A64" s="172" t="s">
        <v>38</v>
      </c>
      <c r="B64" s="174" t="str">
        <f>INDEX(Orçamentária!A:B,MATCH(Composições!A64,Orçamentária!A:A,0),2)</f>
        <v>Demolição de tubulação hidrossanitária embutida com conexões e acessórios</v>
      </c>
      <c r="C64" s="41"/>
      <c r="D64" s="26" t="str">
        <f>TRIM(INDEX(Orçamentária!C:C,MATCH(Composições!A64,Orçamentária!A:A,0),1))</f>
        <v>m</v>
      </c>
      <c r="E64" s="27"/>
      <c r="F64" s="42" t="s">
        <v>568</v>
      </c>
      <c r="G64" s="28" t="str">
        <f>IF(ISNUMBER(F64),E64*F64,"")</f>
        <v/>
      </c>
      <c r="H64" s="29"/>
      <c r="I64" s="30"/>
      <c r="J64" s="155">
        <v>0</v>
      </c>
    </row>
    <row r="65" spans="1:10" ht="15.75" hidden="1" thickBot="1" x14ac:dyDescent="0.3">
      <c r="A65" s="176"/>
      <c r="B65" s="175"/>
      <c r="C65" s="32"/>
      <c r="D65" s="32"/>
      <c r="E65" s="33"/>
      <c r="F65" s="43" t="s">
        <v>568</v>
      </c>
      <c r="G65" s="31" t="str">
        <f>IF(ISNUMBER(F65),E65*F65,"")</f>
        <v/>
      </c>
      <c r="H65" s="35"/>
      <c r="I65" s="31"/>
      <c r="J65" s="155">
        <v>0</v>
      </c>
    </row>
    <row r="66" spans="1:10" ht="15.75" hidden="1" thickBot="1" x14ac:dyDescent="0.3">
      <c r="A66" s="176"/>
      <c r="B66" s="175"/>
      <c r="C66" s="36" t="s">
        <v>39</v>
      </c>
      <c r="D66" s="47" t="s">
        <v>12</v>
      </c>
      <c r="E66" s="37">
        <v>7.1000000000000004E-3</v>
      </c>
      <c r="F66" s="31">
        <v>21.622</v>
      </c>
      <c r="G66" s="34">
        <f>IF(ISNUMBER(F66),E66*F66,"")</f>
        <v>0.15351620000000002</v>
      </c>
      <c r="H66" s="39">
        <f>SUM(G66:G67)</f>
        <v>0.38187720000000003</v>
      </c>
      <c r="I66" s="40"/>
      <c r="J66" s="155">
        <v>0</v>
      </c>
    </row>
    <row r="67" spans="1:10" ht="15.75" hidden="1" thickBot="1" x14ac:dyDescent="0.3">
      <c r="A67" s="176"/>
      <c r="B67" s="175"/>
      <c r="C67" s="36" t="s">
        <v>23</v>
      </c>
      <c r="D67" s="47" t="s">
        <v>12</v>
      </c>
      <c r="E67" s="37">
        <v>1.4E-2</v>
      </c>
      <c r="F67" s="31">
        <v>16.311500000000002</v>
      </c>
      <c r="G67" s="34">
        <f>IF(ISNUMBER(F67),E67*F67,"")</f>
        <v>0.22836100000000004</v>
      </c>
      <c r="H67" s="35"/>
      <c r="I67" s="31"/>
      <c r="J67" s="155">
        <v>0</v>
      </c>
    </row>
    <row r="68" spans="1:10" ht="15.75" hidden="1" thickBot="1" x14ac:dyDescent="0.3">
      <c r="A68" s="177"/>
      <c r="B68" s="178"/>
      <c r="C68" s="36"/>
      <c r="D68" s="36"/>
      <c r="E68" s="37"/>
      <c r="F68" s="31" t="s">
        <v>568</v>
      </c>
      <c r="G68" s="31" t="str">
        <f>IF(ISNUMBER(F68),E68*F68,"")</f>
        <v/>
      </c>
      <c r="H68" s="35"/>
      <c r="I68" s="31"/>
      <c r="J68" s="155">
        <v>0</v>
      </c>
    </row>
    <row r="69" spans="1:10" ht="15.75" hidden="1" thickBot="1" x14ac:dyDescent="0.3">
      <c r="A69" s="172" t="s">
        <v>40</v>
      </c>
      <c r="B69" s="174" t="str">
        <f>INDEX(Orçamentária!A:B,MATCH(Composições!A69,Orçamentária!A:A,0),2)</f>
        <v>Demolição em concreto armado</v>
      </c>
      <c r="C69" s="41"/>
      <c r="D69" s="26" t="str">
        <f>TRIM(INDEX(Orçamentária!C:C,MATCH(Composições!A69,Orçamentária!A:A,0),1))</f>
        <v>m3</v>
      </c>
      <c r="E69" s="27"/>
      <c r="F69" s="42" t="s">
        <v>568</v>
      </c>
      <c r="G69" s="28" t="str">
        <f>IF(ISNUMBER(F69),E69*F69,"")</f>
        <v/>
      </c>
      <c r="H69" s="29"/>
      <c r="I69" s="30"/>
      <c r="J69" s="155">
        <v>0</v>
      </c>
    </row>
    <row r="70" spans="1:10" ht="15.75" hidden="1" thickBot="1" x14ac:dyDescent="0.3">
      <c r="A70" s="176"/>
      <c r="B70" s="175"/>
      <c r="C70" s="32"/>
      <c r="D70" s="32"/>
      <c r="E70" s="33"/>
      <c r="F70" s="43" t="s">
        <v>568</v>
      </c>
      <c r="G70" s="31" t="str">
        <f>IF(ISNUMBER(F70),E70*F70,"")</f>
        <v/>
      </c>
      <c r="H70" s="35"/>
      <c r="I70" s="31"/>
      <c r="J70" s="155">
        <v>0</v>
      </c>
    </row>
    <row r="71" spans="1:10" ht="26.25" hidden="1" thickBot="1" x14ac:dyDescent="0.3">
      <c r="A71" s="176"/>
      <c r="B71" s="175"/>
      <c r="C71" s="36" t="s">
        <v>32</v>
      </c>
      <c r="D71" s="36" t="s">
        <v>33</v>
      </c>
      <c r="E71" s="37">
        <v>3.2467999999999999</v>
      </c>
      <c r="F71" s="34">
        <v>20.253999999999998</v>
      </c>
      <c r="G71" s="34">
        <f>IF(ISNUMBER(F71),E71*F71,"")</f>
        <v>65.760687199999992</v>
      </c>
      <c r="H71" s="39">
        <f>SUM(G71:G75)</f>
        <v>221.34799550000002</v>
      </c>
      <c r="I71" s="40"/>
      <c r="J71" s="155">
        <v>0</v>
      </c>
    </row>
    <row r="72" spans="1:10" ht="26.25" hidden="1" thickBot="1" x14ac:dyDescent="0.3">
      <c r="A72" s="176"/>
      <c r="B72" s="175"/>
      <c r="C72" s="36" t="s">
        <v>34</v>
      </c>
      <c r="D72" s="36" t="s">
        <v>35</v>
      </c>
      <c r="E72" s="37">
        <v>0.92020000000000002</v>
      </c>
      <c r="F72" s="34">
        <v>18.829000000000001</v>
      </c>
      <c r="G72" s="34">
        <f>IF(ISNUMBER(F72),E72*F72,"")</f>
        <v>17.326445800000002</v>
      </c>
      <c r="H72" s="35"/>
      <c r="I72" s="31"/>
      <c r="J72" s="155">
        <v>0</v>
      </c>
    </row>
    <row r="73" spans="1:10" ht="26.25" hidden="1" thickBot="1" x14ac:dyDescent="0.3">
      <c r="A73" s="176"/>
      <c r="B73" s="175"/>
      <c r="C73" s="36" t="s">
        <v>41</v>
      </c>
      <c r="D73" s="36" t="s">
        <v>42</v>
      </c>
      <c r="E73" s="37">
        <v>0.28349999999999997</v>
      </c>
      <c r="F73" s="34">
        <v>59.593499999999992</v>
      </c>
      <c r="G73" s="31">
        <f>IF(ISNUMBER(F73),E73*F73,"")</f>
        <v>16.894757249999998</v>
      </c>
      <c r="H73" s="35"/>
      <c r="I73" s="31"/>
      <c r="J73" s="155">
        <v>0</v>
      </c>
    </row>
    <row r="74" spans="1:10" ht="15.75" hidden="1" thickBot="1" x14ac:dyDescent="0.3">
      <c r="A74" s="176"/>
      <c r="B74" s="175"/>
      <c r="C74" s="36" t="s">
        <v>22</v>
      </c>
      <c r="D74" s="36" t="s">
        <v>12</v>
      </c>
      <c r="E74" s="37">
        <v>0.63660000000000005</v>
      </c>
      <c r="F74" s="31">
        <v>22.087499999999999</v>
      </c>
      <c r="G74" s="34">
        <f>IF(ISNUMBER(F74),E74*F74,"")</f>
        <v>14.060902500000001</v>
      </c>
      <c r="H74" s="35"/>
      <c r="I74" s="31"/>
      <c r="J74" s="155">
        <v>0</v>
      </c>
    </row>
    <row r="75" spans="1:10" ht="15.75" hidden="1" thickBot="1" x14ac:dyDescent="0.3">
      <c r="A75" s="176"/>
      <c r="B75" s="175"/>
      <c r="C75" s="36" t="s">
        <v>23</v>
      </c>
      <c r="D75" s="36" t="s">
        <v>12</v>
      </c>
      <c r="E75" s="37">
        <v>6.5785</v>
      </c>
      <c r="F75" s="31">
        <v>16.311500000000002</v>
      </c>
      <c r="G75" s="34">
        <f>IF(ISNUMBER(F75),E75*F75,"")</f>
        <v>107.30520275000002</v>
      </c>
      <c r="H75" s="35"/>
      <c r="I75" s="31"/>
      <c r="J75" s="155">
        <v>0</v>
      </c>
    </row>
    <row r="76" spans="1:10" ht="15.75" hidden="1" thickBot="1" x14ac:dyDescent="0.3">
      <c r="A76" s="177"/>
      <c r="B76" s="178"/>
      <c r="C76" s="36"/>
      <c r="D76" s="36"/>
      <c r="E76" s="37"/>
      <c r="F76" s="31" t="s">
        <v>568</v>
      </c>
      <c r="G76" s="31" t="str">
        <f>IF(ISNUMBER(F76),E76*F76,"")</f>
        <v/>
      </c>
      <c r="H76" s="35"/>
      <c r="I76" s="31"/>
      <c r="J76" s="155">
        <v>0</v>
      </c>
    </row>
    <row r="77" spans="1:10" ht="15.75" thickBot="1" x14ac:dyDescent="0.3">
      <c r="A77" s="187" t="s">
        <v>43</v>
      </c>
      <c r="B77" s="174" t="str">
        <f>INDEX(Orçamentária!A:B,MATCH(Composições!A77,Orçamentária!A:A,0),2)</f>
        <v>Remoção de armários</v>
      </c>
      <c r="C77" s="41"/>
      <c r="D77" s="26" t="str">
        <f>TRIM(INDEX(Orçamentária!C:C,MATCH(Composições!A77,Orçamentária!A:A,0),1))</f>
        <v>m2</v>
      </c>
      <c r="E77" s="27"/>
      <c r="F77" s="42" t="s">
        <v>568</v>
      </c>
      <c r="G77" s="28" t="str">
        <f>IF(ISNUMBER(F77),E77*F77,"")</f>
        <v/>
      </c>
      <c r="H77" s="29"/>
      <c r="I77" s="30"/>
      <c r="J77" s="155">
        <v>3.09</v>
      </c>
    </row>
    <row r="78" spans="1:10" x14ac:dyDescent="0.25">
      <c r="A78" s="188"/>
      <c r="B78" s="175"/>
      <c r="C78" s="32"/>
      <c r="D78" s="32"/>
      <c r="E78" s="33"/>
      <c r="F78" s="43" t="s">
        <v>568</v>
      </c>
      <c r="G78" s="31" t="str">
        <f>IF(ISNUMBER(F78),E78*F78,"")</f>
        <v/>
      </c>
      <c r="H78" s="35"/>
      <c r="I78" s="31"/>
      <c r="J78" s="155">
        <v>3.09</v>
      </c>
    </row>
    <row r="79" spans="1:10" x14ac:dyDescent="0.25">
      <c r="A79" s="188"/>
      <c r="B79" s="175"/>
      <c r="C79" s="36" t="s">
        <v>44</v>
      </c>
      <c r="D79" s="36" t="s">
        <v>12</v>
      </c>
      <c r="E79" s="37">
        <v>0.35</v>
      </c>
      <c r="F79" s="31">
        <v>21.916499999999999</v>
      </c>
      <c r="G79" s="34">
        <f>IF(ISNUMBER(F79),E79*F79,"")</f>
        <v>7.670774999999999</v>
      </c>
      <c r="H79" s="39">
        <f>SUM(G79:G80)</f>
        <v>13.379799999999999</v>
      </c>
      <c r="I79" s="40"/>
      <c r="J79" s="155">
        <v>3.09</v>
      </c>
    </row>
    <row r="80" spans="1:10" x14ac:dyDescent="0.25">
      <c r="A80" s="188"/>
      <c r="B80" s="175"/>
      <c r="C80" s="36" t="s">
        <v>23</v>
      </c>
      <c r="D80" s="36" t="s">
        <v>12</v>
      </c>
      <c r="E80" s="37">
        <v>0.35</v>
      </c>
      <c r="F80" s="31">
        <v>16.311500000000002</v>
      </c>
      <c r="G80" s="34">
        <f>IF(ISNUMBER(F80),E80*F80,"")</f>
        <v>5.7090250000000005</v>
      </c>
      <c r="H80" s="45"/>
      <c r="I80" s="46"/>
      <c r="J80" s="155">
        <v>3.09</v>
      </c>
    </row>
    <row r="81" spans="1:10" ht="15.75" thickBot="1" x14ac:dyDescent="0.3">
      <c r="A81" s="188"/>
      <c r="B81" s="175"/>
      <c r="C81" s="36"/>
      <c r="D81" s="36"/>
      <c r="E81" s="37"/>
      <c r="F81" s="31" t="s">
        <v>568</v>
      </c>
      <c r="G81" s="31" t="str">
        <f>IF(ISNUMBER(F81),E81*F81,"")</f>
        <v/>
      </c>
      <c r="H81" s="35"/>
      <c r="I81" s="31"/>
      <c r="J81" s="155">
        <v>3.09</v>
      </c>
    </row>
    <row r="82" spans="1:10" ht="15.75" thickBot="1" x14ac:dyDescent="0.3">
      <c r="A82" s="172" t="s">
        <v>45</v>
      </c>
      <c r="B82" s="174" t="str">
        <f>INDEX(Orçamentária!A:B,MATCH(Composições!A82,Orçamentária!A:A,0),2)</f>
        <v>Remoção de bancadas</v>
      </c>
      <c r="C82" s="41"/>
      <c r="D82" s="26" t="str">
        <f>TRIM(INDEX(Orçamentária!C:C,MATCH(Composições!A82,Orçamentária!A:A,0),1))</f>
        <v>m2</v>
      </c>
      <c r="E82" s="27"/>
      <c r="F82" s="42" t="s">
        <v>568</v>
      </c>
      <c r="G82" s="28" t="str">
        <f>IF(ISNUMBER(F82),E82*F82,"")</f>
        <v/>
      </c>
      <c r="H82" s="29"/>
      <c r="I82" s="30"/>
      <c r="J82" s="155">
        <v>5.5</v>
      </c>
    </row>
    <row r="83" spans="1:10" x14ac:dyDescent="0.25">
      <c r="A83" s="176"/>
      <c r="B83" s="175"/>
      <c r="C83" s="32"/>
      <c r="D83" s="32"/>
      <c r="E83" s="33"/>
      <c r="F83" s="43" t="s">
        <v>568</v>
      </c>
      <c r="G83" s="31" t="str">
        <f>IF(ISNUMBER(F83),E83*F83,"")</f>
        <v/>
      </c>
      <c r="H83" s="35"/>
      <c r="I83" s="31"/>
      <c r="J83" s="155">
        <v>5.5</v>
      </c>
    </row>
    <row r="84" spans="1:10" x14ac:dyDescent="0.25">
      <c r="A84" s="176"/>
      <c r="B84" s="175"/>
      <c r="C84" s="36" t="s">
        <v>22</v>
      </c>
      <c r="D84" s="36" t="s">
        <v>12</v>
      </c>
      <c r="E84" s="37">
        <v>0.15</v>
      </c>
      <c r="F84" s="31">
        <v>22.087499999999999</v>
      </c>
      <c r="G84" s="34">
        <f>IF(ISNUMBER(F84),E84*F84,"")</f>
        <v>3.3131249999999999</v>
      </c>
      <c r="H84" s="39">
        <f>SUM(G84:G85)</f>
        <v>19.624625000000002</v>
      </c>
      <c r="I84" s="40"/>
      <c r="J84" s="155">
        <v>5.5</v>
      </c>
    </row>
    <row r="85" spans="1:10" x14ac:dyDescent="0.25">
      <c r="A85" s="176"/>
      <c r="B85" s="175"/>
      <c r="C85" s="36" t="s">
        <v>23</v>
      </c>
      <c r="D85" s="36" t="s">
        <v>12</v>
      </c>
      <c r="E85" s="37">
        <v>1</v>
      </c>
      <c r="F85" s="31">
        <v>16.311500000000002</v>
      </c>
      <c r="G85" s="34">
        <f>IF(ISNUMBER(F85),E85*F85,"")</f>
        <v>16.311500000000002</v>
      </c>
      <c r="H85" s="35"/>
      <c r="I85" s="31"/>
      <c r="J85" s="155">
        <v>5.5</v>
      </c>
    </row>
    <row r="86" spans="1:10" ht="15.75" thickBot="1" x14ac:dyDescent="0.3">
      <c r="A86" s="177"/>
      <c r="B86" s="178"/>
      <c r="C86" s="36"/>
      <c r="D86" s="36"/>
      <c r="E86" s="37"/>
      <c r="F86" s="31" t="s">
        <v>568</v>
      </c>
      <c r="G86" s="31" t="str">
        <f>IF(ISNUMBER(F86),E86*F86,"")</f>
        <v/>
      </c>
      <c r="H86" s="35"/>
      <c r="I86" s="31"/>
      <c r="J86" s="155">
        <v>5.5</v>
      </c>
    </row>
    <row r="87" spans="1:10" ht="15.75" thickBot="1" x14ac:dyDescent="0.3">
      <c r="A87" s="172" t="s">
        <v>46</v>
      </c>
      <c r="B87" s="174" t="str">
        <f>INDEX(Orçamentária!A:B,MATCH(Composições!A87,Orçamentária!A:A,0),2)</f>
        <v>Remoção de batentes de madeira</v>
      </c>
      <c r="C87" s="41"/>
      <c r="D87" s="26" t="str">
        <f>TRIM(INDEX(Orçamentária!C:C,MATCH(Composições!A87,Orçamentária!A:A,0),1))</f>
        <v>un</v>
      </c>
      <c r="E87" s="27"/>
      <c r="F87" s="42" t="s">
        <v>568</v>
      </c>
      <c r="G87" s="28" t="str">
        <f>IF(ISNUMBER(F87),E87*F87,"")</f>
        <v/>
      </c>
      <c r="H87" s="29"/>
      <c r="I87" s="30"/>
      <c r="J87" s="155">
        <v>4</v>
      </c>
    </row>
    <row r="88" spans="1:10" x14ac:dyDescent="0.25">
      <c r="A88" s="176"/>
      <c r="B88" s="175"/>
      <c r="C88" s="32"/>
      <c r="D88" s="32"/>
      <c r="E88" s="33"/>
      <c r="F88" s="43" t="s">
        <v>568</v>
      </c>
      <c r="G88" s="31" t="str">
        <f>IF(ISNUMBER(F88),E88*F88,"")</f>
        <v/>
      </c>
      <c r="H88" s="35"/>
      <c r="I88" s="31"/>
      <c r="J88" s="155">
        <v>4</v>
      </c>
    </row>
    <row r="89" spans="1:10" x14ac:dyDescent="0.25">
      <c r="A89" s="176"/>
      <c r="B89" s="175"/>
      <c r="C89" s="36" t="s">
        <v>22</v>
      </c>
      <c r="D89" s="36" t="s">
        <v>12</v>
      </c>
      <c r="E89" s="37">
        <f>0.08/2</f>
        <v>0.04</v>
      </c>
      <c r="F89" s="31">
        <v>22.087499999999999</v>
      </c>
      <c r="G89" s="34">
        <f>IF(ISNUMBER(F89),E89*F89,"")</f>
        <v>0.88349999999999995</v>
      </c>
      <c r="H89" s="39">
        <f>SUM(G89:G90)</f>
        <v>7.408100000000001</v>
      </c>
      <c r="I89" s="40"/>
      <c r="J89" s="155">
        <v>4</v>
      </c>
    </row>
    <row r="90" spans="1:10" x14ac:dyDescent="0.25">
      <c r="A90" s="176"/>
      <c r="B90" s="175"/>
      <c r="C90" s="36" t="s">
        <v>23</v>
      </c>
      <c r="D90" s="36" t="s">
        <v>12</v>
      </c>
      <c r="E90" s="37">
        <f>0.8/2</f>
        <v>0.4</v>
      </c>
      <c r="F90" s="31">
        <v>16.311500000000002</v>
      </c>
      <c r="G90" s="34">
        <f>IF(ISNUMBER(F90),E90*F90,"")</f>
        <v>6.5246000000000013</v>
      </c>
      <c r="H90" s="35"/>
      <c r="I90" s="31"/>
      <c r="J90" s="155">
        <v>4</v>
      </c>
    </row>
    <row r="91" spans="1:10" ht="15.75" thickBot="1" x14ac:dyDescent="0.3">
      <c r="A91" s="176"/>
      <c r="B91" s="175"/>
      <c r="C91" s="36"/>
      <c r="D91" s="36"/>
      <c r="E91" s="37"/>
      <c r="F91" s="34" t="s">
        <v>568</v>
      </c>
      <c r="G91" s="34" t="str">
        <f>IF(ISNUMBER(F91),E91*F91,"")</f>
        <v/>
      </c>
      <c r="H91" s="35"/>
      <c r="I91" s="31"/>
      <c r="J91" s="155">
        <v>4</v>
      </c>
    </row>
    <row r="92" spans="1:10" ht="15.75" hidden="1" thickBot="1" x14ac:dyDescent="0.3">
      <c r="A92" s="172" t="s">
        <v>47</v>
      </c>
      <c r="B92" s="174" t="str">
        <f>INDEX(Orçamentária!A:B,MATCH(Composições!A92,Orçamentária!A:A,0),2)</f>
        <v>Remoção de canaleta em alumínio</v>
      </c>
      <c r="C92" s="41"/>
      <c r="D92" s="26" t="str">
        <f>TRIM(INDEX(Orçamentária!C:C,MATCH(Composições!A92,Orçamentária!A:A,0),1))</f>
        <v>m</v>
      </c>
      <c r="E92" s="27"/>
      <c r="F92" s="42" t="s">
        <v>568</v>
      </c>
      <c r="G92" s="28" t="str">
        <f>IF(ISNUMBER(F92),E92*F92,"")</f>
        <v/>
      </c>
      <c r="H92" s="29"/>
      <c r="I92" s="30"/>
      <c r="J92" s="155">
        <v>0</v>
      </c>
    </row>
    <row r="93" spans="1:10" ht="15.75" hidden="1" thickBot="1" x14ac:dyDescent="0.3">
      <c r="A93" s="176"/>
      <c r="B93" s="175"/>
      <c r="C93" s="32"/>
      <c r="D93" s="32"/>
      <c r="E93" s="33"/>
      <c r="F93" s="43" t="s">
        <v>568</v>
      </c>
      <c r="G93" s="31" t="str">
        <f>IF(ISNUMBER(F93),E93*F93,"")</f>
        <v/>
      </c>
      <c r="H93" s="35"/>
      <c r="I93" s="31"/>
      <c r="J93" s="155">
        <v>0</v>
      </c>
    </row>
    <row r="94" spans="1:10" ht="15.75" hidden="1" thickBot="1" x14ac:dyDescent="0.3">
      <c r="A94" s="176"/>
      <c r="B94" s="175"/>
      <c r="C94" s="36" t="s">
        <v>30</v>
      </c>
      <c r="D94" s="47" t="s">
        <v>12</v>
      </c>
      <c r="E94" s="37">
        <f>0.75*0.1</f>
        <v>7.5000000000000011E-2</v>
      </c>
      <c r="F94" s="31">
        <v>22.268000000000001</v>
      </c>
      <c r="G94" s="34">
        <f>IF(ISNUMBER(F94),E94*F94,"")</f>
        <v>1.6701000000000004</v>
      </c>
      <c r="H94" s="39">
        <f>SUM(G94:G95)</f>
        <v>4.1168250000000013</v>
      </c>
      <c r="I94" s="40"/>
      <c r="J94" s="155">
        <v>0</v>
      </c>
    </row>
    <row r="95" spans="1:10" ht="15.75" hidden="1" thickBot="1" x14ac:dyDescent="0.3">
      <c r="A95" s="176"/>
      <c r="B95" s="175"/>
      <c r="C95" s="36" t="s">
        <v>23</v>
      </c>
      <c r="D95" s="47" t="s">
        <v>12</v>
      </c>
      <c r="E95" s="37">
        <f>0.75*0.2</f>
        <v>0.15000000000000002</v>
      </c>
      <c r="F95" s="31">
        <v>16.311500000000002</v>
      </c>
      <c r="G95" s="34">
        <f>IF(ISNUMBER(F95),E95*F95,"")</f>
        <v>2.4467250000000007</v>
      </c>
      <c r="H95" s="35"/>
      <c r="I95" s="31"/>
      <c r="J95" s="155">
        <v>0</v>
      </c>
    </row>
    <row r="96" spans="1:10" ht="15.75" hidden="1" thickBot="1" x14ac:dyDescent="0.3">
      <c r="A96" s="177"/>
      <c r="B96" s="178"/>
      <c r="C96" s="36"/>
      <c r="D96" s="36"/>
      <c r="E96" s="37"/>
      <c r="F96" s="31" t="s">
        <v>568</v>
      </c>
      <c r="G96" s="31" t="str">
        <f>IF(ISNUMBER(F96),E96*F96,"")</f>
        <v/>
      </c>
      <c r="H96" s="35"/>
      <c r="I96" s="31"/>
      <c r="J96" s="155">
        <v>0</v>
      </c>
    </row>
    <row r="97" spans="1:10" ht="15.75" hidden="1" thickBot="1" x14ac:dyDescent="0.3">
      <c r="A97" s="172" t="s">
        <v>48</v>
      </c>
      <c r="B97" s="174" t="str">
        <f>INDEX(Orçamentária!A:B,MATCH(Composições!A97,Orçamentária!A:A,0),2)</f>
        <v>Remoção de carpete</v>
      </c>
      <c r="C97" s="41"/>
      <c r="D97" s="26" t="str">
        <f>TRIM(INDEX(Orçamentária!C:C,MATCH(Composições!A97,Orçamentária!A:A,0),1))</f>
        <v>m2</v>
      </c>
      <c r="E97" s="27"/>
      <c r="F97" s="42" t="s">
        <v>568</v>
      </c>
      <c r="G97" s="28" t="str">
        <f>IF(ISNUMBER(F97),E97*F97,"")</f>
        <v/>
      </c>
      <c r="H97" s="29"/>
      <c r="I97" s="30"/>
      <c r="J97" s="155">
        <v>0</v>
      </c>
    </row>
    <row r="98" spans="1:10" ht="15.75" hidden="1" thickBot="1" x14ac:dyDescent="0.3">
      <c r="A98" s="176"/>
      <c r="B98" s="175"/>
      <c r="C98" s="32"/>
      <c r="D98" s="32"/>
      <c r="E98" s="33"/>
      <c r="F98" s="43" t="s">
        <v>568</v>
      </c>
      <c r="G98" s="31" t="str">
        <f>IF(ISNUMBER(F98),E98*F98,"")</f>
        <v/>
      </c>
      <c r="H98" s="35"/>
      <c r="I98" s="31"/>
      <c r="J98" s="155">
        <v>0</v>
      </c>
    </row>
    <row r="99" spans="1:10" ht="15.75" hidden="1" thickBot="1" x14ac:dyDescent="0.3">
      <c r="A99" s="176"/>
      <c r="B99" s="175"/>
      <c r="C99" s="36" t="s">
        <v>22</v>
      </c>
      <c r="D99" s="36" t="s">
        <v>12</v>
      </c>
      <c r="E99" s="37">
        <v>0.01</v>
      </c>
      <c r="F99" s="31">
        <v>22.087499999999999</v>
      </c>
      <c r="G99" s="34">
        <f>IF(ISNUMBER(F99),E99*F99,"")</f>
        <v>0.22087499999999999</v>
      </c>
      <c r="H99" s="39">
        <f>SUM(G99:G100)</f>
        <v>1.8520250000000003</v>
      </c>
      <c r="I99" s="40"/>
      <c r="J99" s="155">
        <v>0</v>
      </c>
    </row>
    <row r="100" spans="1:10" ht="15.75" hidden="1" thickBot="1" x14ac:dyDescent="0.3">
      <c r="A100" s="176"/>
      <c r="B100" s="175"/>
      <c r="C100" s="36" t="s">
        <v>23</v>
      </c>
      <c r="D100" s="36" t="s">
        <v>12</v>
      </c>
      <c r="E100" s="37">
        <v>0.1</v>
      </c>
      <c r="F100" s="31">
        <v>16.311500000000002</v>
      </c>
      <c r="G100" s="34">
        <f>IF(ISNUMBER(F100),E100*F100,"")</f>
        <v>1.6311500000000003</v>
      </c>
      <c r="H100" s="35"/>
      <c r="I100" s="31"/>
      <c r="J100" s="155">
        <v>0</v>
      </c>
    </row>
    <row r="101" spans="1:10" ht="15.75" hidden="1" thickBot="1" x14ac:dyDescent="0.3">
      <c r="A101" s="177"/>
      <c r="B101" s="178"/>
      <c r="C101" s="36"/>
      <c r="D101" s="36"/>
      <c r="E101" s="37"/>
      <c r="F101" s="31" t="s">
        <v>568</v>
      </c>
      <c r="G101" s="31" t="str">
        <f>IF(ISNUMBER(F101),E101*F101,"")</f>
        <v/>
      </c>
      <c r="H101" s="35"/>
      <c r="I101" s="31"/>
      <c r="J101" s="155">
        <v>0</v>
      </c>
    </row>
    <row r="102" spans="1:10" ht="15.75" hidden="1" thickBot="1" x14ac:dyDescent="0.3">
      <c r="A102" s="172" t="s">
        <v>49</v>
      </c>
      <c r="B102" s="174" t="str">
        <f>INDEX(Orçamentária!A:B,MATCH(Composições!A102,Orçamentária!A:A,0),2)</f>
        <v>Remoção de cortinas</v>
      </c>
      <c r="C102" s="41"/>
      <c r="D102" s="26" t="str">
        <f>TRIM(INDEX(Orçamentária!C:C,MATCH(Composições!A102,Orçamentária!A:A,0),1))</f>
        <v>m</v>
      </c>
      <c r="E102" s="27"/>
      <c r="F102" s="42" t="s">
        <v>568</v>
      </c>
      <c r="G102" s="28" t="str">
        <f>IF(ISNUMBER(F102),E102*F102,"")</f>
        <v/>
      </c>
      <c r="H102" s="29"/>
      <c r="I102" s="30"/>
      <c r="J102" s="155">
        <v>0</v>
      </c>
    </row>
    <row r="103" spans="1:10" ht="15.75" hidden="1" thickBot="1" x14ac:dyDescent="0.3">
      <c r="A103" s="176"/>
      <c r="B103" s="175"/>
      <c r="C103" s="32"/>
      <c r="D103" s="32"/>
      <c r="E103" s="33"/>
      <c r="F103" s="43" t="s">
        <v>568</v>
      </c>
      <c r="G103" s="31" t="str">
        <f>IF(ISNUMBER(F103),E103*F103,"")</f>
        <v/>
      </c>
      <c r="H103" s="35"/>
      <c r="I103" s="31"/>
      <c r="J103" s="155">
        <v>0</v>
      </c>
    </row>
    <row r="104" spans="1:10" ht="15.75" hidden="1" thickBot="1" x14ac:dyDescent="0.3">
      <c r="A104" s="176"/>
      <c r="B104" s="175"/>
      <c r="C104" s="36" t="s">
        <v>50</v>
      </c>
      <c r="D104" s="36" t="s">
        <v>12</v>
      </c>
      <c r="E104" s="37">
        <f>ROUND(1/6,4)</f>
        <v>0.16669999999999999</v>
      </c>
      <c r="F104" s="31">
        <v>19.3705</v>
      </c>
      <c r="G104" s="34">
        <f>IF(ISNUMBER(F104),E104*F104,"")</f>
        <v>3.2290623499999995</v>
      </c>
      <c r="H104" s="39">
        <f>SUM(G104:G104)</f>
        <v>3.2290623499999995</v>
      </c>
      <c r="I104" s="40"/>
      <c r="J104" s="155">
        <v>0</v>
      </c>
    </row>
    <row r="105" spans="1:10" ht="15.75" hidden="1" thickBot="1" x14ac:dyDescent="0.3">
      <c r="A105" s="177"/>
      <c r="B105" s="178"/>
      <c r="C105" s="36"/>
      <c r="D105" s="36"/>
      <c r="E105" s="37"/>
      <c r="F105" s="31" t="s">
        <v>568</v>
      </c>
      <c r="G105" s="31" t="str">
        <f>IF(ISNUMBER(F105),E105*F105,"")</f>
        <v/>
      </c>
      <c r="H105" s="35"/>
      <c r="I105" s="31"/>
      <c r="J105" s="155">
        <v>0</v>
      </c>
    </row>
    <row r="106" spans="1:10" ht="15.75" hidden="1" thickBot="1" x14ac:dyDescent="0.3">
      <c r="A106" s="172" t="s">
        <v>51</v>
      </c>
      <c r="B106" s="174" t="str">
        <f>INDEX(Orçamentária!A:B,MATCH(Composições!A106,Orçamentária!A:A,0),2)</f>
        <v>Remoção de difusores, grelhas e acessórios de climatização</v>
      </c>
      <c r="C106" s="41"/>
      <c r="D106" s="26" t="str">
        <f>TRIM(INDEX(Orçamentária!C:C,MATCH(Composições!A106,Orçamentária!A:A,0),1))</f>
        <v>un</v>
      </c>
      <c r="E106" s="27"/>
      <c r="F106" s="42" t="s">
        <v>568</v>
      </c>
      <c r="G106" s="28" t="str">
        <f>IF(ISNUMBER(F106),E106*F106,"")</f>
        <v/>
      </c>
      <c r="H106" s="29"/>
      <c r="I106" s="30"/>
      <c r="J106" s="155">
        <v>0</v>
      </c>
    </row>
    <row r="107" spans="1:10" ht="15.75" hidden="1" thickBot="1" x14ac:dyDescent="0.3">
      <c r="A107" s="176"/>
      <c r="B107" s="175"/>
      <c r="C107" s="32"/>
      <c r="D107" s="32"/>
      <c r="E107" s="33"/>
      <c r="F107" s="43" t="s">
        <v>568</v>
      </c>
      <c r="G107" s="31" t="str">
        <f>IF(ISNUMBER(F107),E107*F107,"")</f>
        <v/>
      </c>
      <c r="H107" s="35"/>
      <c r="I107" s="31"/>
      <c r="J107" s="155">
        <v>0</v>
      </c>
    </row>
    <row r="108" spans="1:10" ht="15.75" hidden="1" thickBot="1" x14ac:dyDescent="0.3">
      <c r="A108" s="176"/>
      <c r="B108" s="175"/>
      <c r="C108" s="36" t="s">
        <v>52</v>
      </c>
      <c r="D108" s="47" t="s">
        <v>12</v>
      </c>
      <c r="E108" s="37">
        <v>0.6</v>
      </c>
      <c r="F108" s="31">
        <v>17.470500000000001</v>
      </c>
      <c r="G108" s="31">
        <f>IF(ISNUMBER(F108),E108*F108,"")</f>
        <v>10.4823</v>
      </c>
      <c r="H108" s="39">
        <f>SUM(G108:G109)</f>
        <v>20.269200000000001</v>
      </c>
      <c r="I108" s="40"/>
      <c r="J108" s="155">
        <v>0</v>
      </c>
    </row>
    <row r="109" spans="1:10" ht="15.75" hidden="1" thickBot="1" x14ac:dyDescent="0.3">
      <c r="A109" s="176"/>
      <c r="B109" s="175"/>
      <c r="C109" s="36" t="s">
        <v>23</v>
      </c>
      <c r="D109" s="47" t="s">
        <v>12</v>
      </c>
      <c r="E109" s="37">
        <v>0.6</v>
      </c>
      <c r="F109" s="31">
        <v>16.311500000000002</v>
      </c>
      <c r="G109" s="31">
        <f>IF(ISNUMBER(F109),E109*F109,"")</f>
        <v>9.786900000000001</v>
      </c>
      <c r="H109" s="35"/>
      <c r="I109" s="31"/>
      <c r="J109" s="155">
        <v>0</v>
      </c>
    </row>
    <row r="110" spans="1:10" ht="15.75" hidden="1" thickBot="1" x14ac:dyDescent="0.3">
      <c r="A110" s="177"/>
      <c r="B110" s="178"/>
      <c r="C110" s="36"/>
      <c r="D110" s="36"/>
      <c r="E110" s="37"/>
      <c r="F110" s="31" t="s">
        <v>568</v>
      </c>
      <c r="G110" s="31" t="str">
        <f>IF(ISNUMBER(F110),E110*F110,"")</f>
        <v/>
      </c>
      <c r="H110" s="35"/>
      <c r="I110" s="31"/>
      <c r="J110" s="155">
        <v>0</v>
      </c>
    </row>
    <row r="111" spans="1:10" ht="15.75" thickBot="1" x14ac:dyDescent="0.3">
      <c r="A111" s="172" t="s">
        <v>53</v>
      </c>
      <c r="B111" s="174" t="str">
        <f>INDEX(Orçamentária!A:B,MATCH(Composições!A111,Orçamentária!A:A,0),2)</f>
        <v>Remoção de divisória de mármore ou granito</v>
      </c>
      <c r="C111" s="41"/>
      <c r="D111" s="26" t="str">
        <f>TRIM(INDEX(Orçamentária!C:C,MATCH(Composições!A111,Orçamentária!A:A,0),1))</f>
        <v>m2</v>
      </c>
      <c r="E111" s="27"/>
      <c r="F111" s="42" t="s">
        <v>568</v>
      </c>
      <c r="G111" s="28" t="str">
        <f>IF(ISNUMBER(F111),E111*F111,"")</f>
        <v/>
      </c>
      <c r="H111" s="29"/>
      <c r="I111" s="30"/>
      <c r="J111" s="155">
        <v>6.46</v>
      </c>
    </row>
    <row r="112" spans="1:10" x14ac:dyDescent="0.25">
      <c r="A112" s="176"/>
      <c r="B112" s="175"/>
      <c r="C112" s="32"/>
      <c r="D112" s="32"/>
      <c r="E112" s="33"/>
      <c r="F112" s="43" t="s">
        <v>568</v>
      </c>
      <c r="G112" s="31" t="str">
        <f>IF(ISNUMBER(F112),E112*F112,"")</f>
        <v/>
      </c>
      <c r="H112" s="35"/>
      <c r="I112" s="31"/>
      <c r="J112" s="155">
        <v>6.46</v>
      </c>
    </row>
    <row r="113" spans="1:10" x14ac:dyDescent="0.25">
      <c r="A113" s="176"/>
      <c r="B113" s="175"/>
      <c r="C113" s="36" t="s">
        <v>54</v>
      </c>
      <c r="D113" s="36" t="s">
        <v>12</v>
      </c>
      <c r="E113" s="37">
        <v>0.6</v>
      </c>
      <c r="F113" s="31">
        <v>18.420500000000001</v>
      </c>
      <c r="G113" s="34">
        <f>IF(ISNUMBER(F113),E113*F113,"")</f>
        <v>11.052300000000001</v>
      </c>
      <c r="H113" s="39">
        <f>SUM(G113:G114)</f>
        <v>30.626100000000001</v>
      </c>
      <c r="I113" s="40"/>
      <c r="J113" s="155">
        <v>6.46</v>
      </c>
    </row>
    <row r="114" spans="1:10" x14ac:dyDescent="0.25">
      <c r="A114" s="176"/>
      <c r="B114" s="175"/>
      <c r="C114" s="36" t="s">
        <v>23</v>
      </c>
      <c r="D114" s="36" t="s">
        <v>12</v>
      </c>
      <c r="E114" s="37">
        <v>1.2</v>
      </c>
      <c r="F114" s="31">
        <v>16.311500000000002</v>
      </c>
      <c r="G114" s="34">
        <f>IF(ISNUMBER(F114),E114*F114,"")</f>
        <v>19.573800000000002</v>
      </c>
      <c r="H114" s="35"/>
      <c r="I114" s="31"/>
      <c r="J114" s="155">
        <v>6.46</v>
      </c>
    </row>
    <row r="115" spans="1:10" ht="15.75" thickBot="1" x14ac:dyDescent="0.3">
      <c r="A115" s="177"/>
      <c r="B115" s="178"/>
      <c r="C115" s="36"/>
      <c r="D115" s="36"/>
      <c r="E115" s="37"/>
      <c r="F115" s="31" t="s">
        <v>568</v>
      </c>
      <c r="G115" s="31" t="str">
        <f>IF(ISNUMBER(F115),E115*F115,"")</f>
        <v/>
      </c>
      <c r="H115" s="35"/>
      <c r="I115" s="31"/>
      <c r="J115" s="155">
        <v>6.46</v>
      </c>
    </row>
    <row r="116" spans="1:10" ht="15.75" hidden="1" thickBot="1" x14ac:dyDescent="0.3">
      <c r="A116" s="172" t="s">
        <v>55</v>
      </c>
      <c r="B116" s="174" t="str">
        <f>INDEX(Orçamentária!A:B,MATCH(Composições!A116,Orçamentária!A:A,0),2)</f>
        <v>Remoção de divisórias de MDF e gesso acartonado</v>
      </c>
      <c r="C116" s="41"/>
      <c r="D116" s="26" t="str">
        <f>TRIM(INDEX(Orçamentária!C:C,MATCH(Composições!A116,Orçamentária!A:A,0),1))</f>
        <v>m2</v>
      </c>
      <c r="E116" s="27"/>
      <c r="F116" s="42" t="s">
        <v>568</v>
      </c>
      <c r="G116" s="28" t="str">
        <f>IF(ISNUMBER(F116),E116*F116,"")</f>
        <v/>
      </c>
      <c r="H116" s="29"/>
      <c r="I116" s="30"/>
      <c r="J116" s="155">
        <v>0</v>
      </c>
    </row>
    <row r="117" spans="1:10" ht="15.75" hidden="1" thickBot="1" x14ac:dyDescent="0.3">
      <c r="A117" s="176"/>
      <c r="B117" s="175"/>
      <c r="C117" s="32"/>
      <c r="D117" s="32"/>
      <c r="E117" s="33"/>
      <c r="F117" s="43" t="s">
        <v>568</v>
      </c>
      <c r="G117" s="31" t="str">
        <f>IF(ISNUMBER(F117),E117*F117,"")</f>
        <v/>
      </c>
      <c r="H117" s="35"/>
      <c r="I117" s="31"/>
      <c r="J117" s="155">
        <v>0</v>
      </c>
    </row>
    <row r="118" spans="1:10" ht="15.75" hidden="1" thickBot="1" x14ac:dyDescent="0.3">
      <c r="A118" s="176"/>
      <c r="B118" s="175"/>
      <c r="C118" s="36" t="s">
        <v>44</v>
      </c>
      <c r="D118" s="36" t="s">
        <v>12</v>
      </c>
      <c r="E118" s="37">
        <v>1.2</v>
      </c>
      <c r="F118" s="31">
        <v>21.916499999999999</v>
      </c>
      <c r="G118" s="34">
        <f>IF(ISNUMBER(F118),E118*F118,"")</f>
        <v>26.299799999999998</v>
      </c>
      <c r="H118" s="39">
        <f>SUM(G118:G118)</f>
        <v>26.299799999999998</v>
      </c>
      <c r="I118" s="40"/>
      <c r="J118" s="155">
        <v>0</v>
      </c>
    </row>
    <row r="119" spans="1:10" ht="15.75" hidden="1" thickBot="1" x14ac:dyDescent="0.3">
      <c r="A119" s="177"/>
      <c r="B119" s="178"/>
      <c r="C119" s="36"/>
      <c r="D119" s="36"/>
      <c r="E119" s="37"/>
      <c r="F119" s="31" t="s">
        <v>568</v>
      </c>
      <c r="G119" s="31" t="str">
        <f>IF(ISNUMBER(F119),E119*F119,"")</f>
        <v/>
      </c>
      <c r="H119" s="35"/>
      <c r="I119" s="31"/>
      <c r="J119" s="155">
        <v>0</v>
      </c>
    </row>
    <row r="120" spans="1:10" ht="15.75" thickBot="1" x14ac:dyDescent="0.3">
      <c r="A120" s="172" t="s">
        <v>56</v>
      </c>
      <c r="B120" s="174" t="str">
        <f>INDEX(Orçamentária!A:B,MATCH(Composições!A120,Orçamentária!A:A,0),2)</f>
        <v>Remoção de dutos/tubulações</v>
      </c>
      <c r="C120" s="41"/>
      <c r="D120" s="26" t="str">
        <f>TRIM(INDEX(Orçamentária!C:C,MATCH(Composições!A120,Orçamentária!A:A,0),1))</f>
        <v>m</v>
      </c>
      <c r="E120" s="27"/>
      <c r="F120" s="42" t="s">
        <v>568</v>
      </c>
      <c r="G120" s="28" t="str">
        <f>IF(ISNUMBER(F120),E120*F120,"")</f>
        <v/>
      </c>
      <c r="H120" s="29"/>
      <c r="I120" s="30"/>
      <c r="J120" s="155">
        <v>20</v>
      </c>
    </row>
    <row r="121" spans="1:10" x14ac:dyDescent="0.25">
      <c r="A121" s="176"/>
      <c r="B121" s="175"/>
      <c r="C121" s="32"/>
      <c r="D121" s="32"/>
      <c r="E121" s="33"/>
      <c r="F121" s="43" t="s">
        <v>568</v>
      </c>
      <c r="G121" s="31" t="str">
        <f>IF(ISNUMBER(F121),E121*F121,"")</f>
        <v/>
      </c>
      <c r="H121" s="35"/>
      <c r="I121" s="31"/>
      <c r="J121" s="155">
        <v>20</v>
      </c>
    </row>
    <row r="122" spans="1:10" x14ac:dyDescent="0.25">
      <c r="A122" s="176"/>
      <c r="B122" s="175"/>
      <c r="C122" s="36" t="s">
        <v>39</v>
      </c>
      <c r="D122" s="47" t="s">
        <v>12</v>
      </c>
      <c r="E122" s="37">
        <v>0.17499999999999999</v>
      </c>
      <c r="F122" s="31">
        <v>21.622</v>
      </c>
      <c r="G122" s="34">
        <f>IF(ISNUMBER(F122),E122*F122,"")</f>
        <v>3.7838499999999997</v>
      </c>
      <c r="H122" s="39">
        <f>SUM(G122:G123)</f>
        <v>8.6773000000000007</v>
      </c>
      <c r="I122" s="40"/>
      <c r="J122" s="155">
        <v>20</v>
      </c>
    </row>
    <row r="123" spans="1:10" x14ac:dyDescent="0.25">
      <c r="A123" s="176"/>
      <c r="B123" s="175"/>
      <c r="C123" s="36" t="s">
        <v>23</v>
      </c>
      <c r="D123" s="47" t="s">
        <v>12</v>
      </c>
      <c r="E123" s="37">
        <v>0.3</v>
      </c>
      <c r="F123" s="31">
        <v>16.311500000000002</v>
      </c>
      <c r="G123" s="34">
        <f>IF(ISNUMBER(F123),E123*F123,"")</f>
        <v>4.8934500000000005</v>
      </c>
      <c r="H123" s="35"/>
      <c r="I123" s="31"/>
      <c r="J123" s="155">
        <v>20</v>
      </c>
    </row>
    <row r="124" spans="1:10" ht="15.75" thickBot="1" x14ac:dyDescent="0.3">
      <c r="A124" s="177"/>
      <c r="B124" s="178"/>
      <c r="C124" s="36"/>
      <c r="D124" s="36"/>
      <c r="E124" s="37"/>
      <c r="F124" s="31" t="s">
        <v>568</v>
      </c>
      <c r="G124" s="31" t="str">
        <f>IF(ISNUMBER(F124),E124*F124,"")</f>
        <v/>
      </c>
      <c r="H124" s="35"/>
      <c r="I124" s="31"/>
      <c r="J124" s="155">
        <v>20</v>
      </c>
    </row>
    <row r="125" spans="1:10" ht="15.75" thickBot="1" x14ac:dyDescent="0.3">
      <c r="A125" s="172" t="s">
        <v>57</v>
      </c>
      <c r="B125" s="174" t="str">
        <f>INDEX(Orçamentária!A:B,MATCH(Composições!A125,Orçamentária!A:A,0),2)</f>
        <v>Remoção de esquadrias metálicas</v>
      </c>
      <c r="C125" s="41"/>
      <c r="D125" s="26" t="str">
        <f>TRIM(INDEX(Orçamentária!C:C,MATCH(Composições!A125,Orçamentária!A:A,0),1))</f>
        <v>m2</v>
      </c>
      <c r="E125" s="27"/>
      <c r="F125" s="42" t="s">
        <v>568</v>
      </c>
      <c r="G125" s="28" t="str">
        <f>IF(ISNUMBER(F125),E125*F125,"")</f>
        <v/>
      </c>
      <c r="H125" s="29"/>
      <c r="I125" s="30"/>
      <c r="J125" s="155">
        <v>15.23</v>
      </c>
    </row>
    <row r="126" spans="1:10" x14ac:dyDescent="0.25">
      <c r="A126" s="176"/>
      <c r="B126" s="175"/>
      <c r="C126" s="32"/>
      <c r="D126" s="32"/>
      <c r="E126" s="33"/>
      <c r="F126" s="43" t="s">
        <v>568</v>
      </c>
      <c r="G126" s="31" t="str">
        <f>IF(ISNUMBER(F126),E126*F126,"")</f>
        <v/>
      </c>
      <c r="H126" s="35"/>
      <c r="I126" s="31"/>
      <c r="J126" s="155">
        <v>15.23</v>
      </c>
    </row>
    <row r="127" spans="1:10" x14ac:dyDescent="0.25">
      <c r="A127" s="176"/>
      <c r="B127" s="175"/>
      <c r="C127" s="36" t="s">
        <v>22</v>
      </c>
      <c r="D127" s="36" t="s">
        <v>12</v>
      </c>
      <c r="E127" s="37">
        <v>0.05</v>
      </c>
      <c r="F127" s="31">
        <v>22.087499999999999</v>
      </c>
      <c r="G127" s="34">
        <f>IF(ISNUMBER(F127),E127*F127,"")</f>
        <v>1.1043749999999999</v>
      </c>
      <c r="H127" s="39">
        <f>SUM(G127:G128)</f>
        <v>9.2601250000000004</v>
      </c>
      <c r="I127" s="40"/>
      <c r="J127" s="155">
        <v>15.23</v>
      </c>
    </row>
    <row r="128" spans="1:10" x14ac:dyDescent="0.25">
      <c r="A128" s="176"/>
      <c r="B128" s="175"/>
      <c r="C128" s="36" t="s">
        <v>23</v>
      </c>
      <c r="D128" s="36" t="s">
        <v>12</v>
      </c>
      <c r="E128" s="37">
        <v>0.5</v>
      </c>
      <c r="F128" s="31">
        <v>16.311500000000002</v>
      </c>
      <c r="G128" s="34">
        <f>IF(ISNUMBER(F128),E128*F128,"")</f>
        <v>8.1557500000000012</v>
      </c>
      <c r="H128" s="45"/>
      <c r="I128" s="46"/>
      <c r="J128" s="155">
        <v>15.23</v>
      </c>
    </row>
    <row r="129" spans="1:10" ht="15.75" thickBot="1" x14ac:dyDescent="0.3">
      <c r="A129" s="177"/>
      <c r="B129" s="178"/>
      <c r="C129" s="36"/>
      <c r="D129" s="36"/>
      <c r="E129" s="37"/>
      <c r="F129" s="31" t="s">
        <v>568</v>
      </c>
      <c r="G129" s="31" t="str">
        <f>IF(ISNUMBER(F129),E129*F129,"")</f>
        <v/>
      </c>
      <c r="H129" s="35"/>
      <c r="I129" s="31"/>
      <c r="J129" s="155">
        <v>15.23</v>
      </c>
    </row>
    <row r="130" spans="1:10" ht="15.75" thickBot="1" x14ac:dyDescent="0.3">
      <c r="A130" s="172" t="s">
        <v>58</v>
      </c>
      <c r="B130" s="174" t="str">
        <f>INDEX(Orçamentária!A:B,MATCH(Composições!A130,Orçamentária!A:A,0),2)</f>
        <v>Remoção de exaustor</v>
      </c>
      <c r="C130" s="41"/>
      <c r="D130" s="26" t="str">
        <f>TRIM(INDEX(Orçamentária!C:C,MATCH(Composições!A130,Orçamentária!A:A,0),1))</f>
        <v>un</v>
      </c>
      <c r="E130" s="27"/>
      <c r="F130" s="42" t="s">
        <v>568</v>
      </c>
      <c r="G130" s="28" t="str">
        <f>IF(ISNUMBER(F130),E130*F130,"")</f>
        <v/>
      </c>
      <c r="H130" s="29"/>
      <c r="I130" s="30"/>
      <c r="J130" s="155">
        <v>1</v>
      </c>
    </row>
    <row r="131" spans="1:10" x14ac:dyDescent="0.25">
      <c r="A131" s="176"/>
      <c r="B131" s="175"/>
      <c r="C131" s="32"/>
      <c r="D131" s="32"/>
      <c r="E131" s="33"/>
      <c r="F131" s="43" t="s">
        <v>568</v>
      </c>
      <c r="G131" s="31" t="str">
        <f>IF(ISNUMBER(F131),E131*F131,"")</f>
        <v/>
      </c>
      <c r="H131" s="35"/>
      <c r="I131" s="31"/>
      <c r="J131" s="155">
        <v>1</v>
      </c>
    </row>
    <row r="132" spans="1:10" x14ac:dyDescent="0.25">
      <c r="A132" s="176"/>
      <c r="B132" s="175"/>
      <c r="C132" s="36" t="s">
        <v>30</v>
      </c>
      <c r="D132" s="36" t="s">
        <v>12</v>
      </c>
      <c r="E132" s="37">
        <v>0.3</v>
      </c>
      <c r="F132" s="31">
        <v>22.268000000000001</v>
      </c>
      <c r="G132" s="31">
        <f>IF(ISNUMBER(F132),E132*F132,"")</f>
        <v>6.6803999999999997</v>
      </c>
      <c r="H132" s="39">
        <f>SUM(G132:G132)</f>
        <v>6.6803999999999997</v>
      </c>
      <c r="I132" s="40"/>
      <c r="J132" s="155">
        <v>1</v>
      </c>
    </row>
    <row r="133" spans="1:10" ht="15.75" thickBot="1" x14ac:dyDescent="0.3">
      <c r="A133" s="177"/>
      <c r="B133" s="178"/>
      <c r="C133" s="36"/>
      <c r="D133" s="36"/>
      <c r="E133" s="37"/>
      <c r="F133" s="31" t="s">
        <v>568</v>
      </c>
      <c r="G133" s="31" t="str">
        <f>IF(ISNUMBER(F133),E133*F133,"")</f>
        <v/>
      </c>
      <c r="H133" s="35"/>
      <c r="I133" s="31"/>
      <c r="J133" s="155">
        <v>1</v>
      </c>
    </row>
    <row r="134" spans="1:10" ht="15.75" thickBot="1" x14ac:dyDescent="0.3">
      <c r="A134" s="172" t="s">
        <v>59</v>
      </c>
      <c r="B134" s="174" t="str">
        <f>INDEX(Orçamentária!A:B,MATCH(Composições!A134,Orçamentária!A:A,0),2)</f>
        <v>Remoção de fechadura/puxador de porta</v>
      </c>
      <c r="C134" s="41"/>
      <c r="D134" s="26" t="str">
        <f>TRIM(INDEX(Orçamentária!C:C,MATCH(Composições!A134,Orçamentária!A:A,0),1))</f>
        <v>un</v>
      </c>
      <c r="E134" s="27"/>
      <c r="F134" s="42" t="s">
        <v>568</v>
      </c>
      <c r="G134" s="28" t="str">
        <f>IF(ISNUMBER(F134),E134*F134,"")</f>
        <v/>
      </c>
      <c r="H134" s="29"/>
      <c r="I134" s="30"/>
      <c r="J134" s="155">
        <v>17</v>
      </c>
    </row>
    <row r="135" spans="1:10" x14ac:dyDescent="0.25">
      <c r="A135" s="176"/>
      <c r="B135" s="175"/>
      <c r="C135" s="32"/>
      <c r="D135" s="32"/>
      <c r="E135" s="33"/>
      <c r="F135" s="43" t="s">
        <v>568</v>
      </c>
      <c r="G135" s="31" t="str">
        <f>IF(ISNUMBER(F135),E135*F135,"")</f>
        <v/>
      </c>
      <c r="H135" s="35"/>
      <c r="I135" s="31"/>
      <c r="J135" s="155">
        <v>17</v>
      </c>
    </row>
    <row r="136" spans="1:10" x14ac:dyDescent="0.25">
      <c r="A136" s="176"/>
      <c r="B136" s="175"/>
      <c r="C136" s="36" t="s">
        <v>44</v>
      </c>
      <c r="D136" s="36" t="s">
        <v>12</v>
      </c>
      <c r="E136" s="37">
        <f>0.25</f>
        <v>0.25</v>
      </c>
      <c r="F136" s="31">
        <v>21.916499999999999</v>
      </c>
      <c r="G136" s="34">
        <f>IF(ISNUMBER(F136),E136*F136,"")</f>
        <v>5.4791249999999998</v>
      </c>
      <c r="H136" s="39">
        <f>SUM(G136:G136)</f>
        <v>5.4791249999999998</v>
      </c>
      <c r="I136" s="40"/>
      <c r="J136" s="155">
        <v>17</v>
      </c>
    </row>
    <row r="137" spans="1:10" ht="15.75" thickBot="1" x14ac:dyDescent="0.3">
      <c r="A137" s="176"/>
      <c r="B137" s="175"/>
      <c r="C137" s="36"/>
      <c r="D137" s="36"/>
      <c r="E137" s="37"/>
      <c r="F137" s="31" t="s">
        <v>568</v>
      </c>
      <c r="G137" s="31" t="str">
        <f>IF(ISNUMBER(F137),E137*F137,"")</f>
        <v/>
      </c>
      <c r="H137" s="35"/>
      <c r="I137" s="31"/>
      <c r="J137" s="155">
        <v>17</v>
      </c>
    </row>
    <row r="138" spans="1:10" ht="15.75" thickBot="1" x14ac:dyDescent="0.3">
      <c r="A138" s="172" t="s">
        <v>60</v>
      </c>
      <c r="B138" s="174" t="str">
        <f>INDEX(Orçamentária!A:B,MATCH(Composições!A138,Orçamentária!A:A,0),2)</f>
        <v>Remoção de folha de porta e dobradiças</v>
      </c>
      <c r="C138" s="41"/>
      <c r="D138" s="26" t="str">
        <f>TRIM(INDEX(Orçamentária!C:C,MATCH(Composições!A138,Orçamentária!A:A,0),1))</f>
        <v>un</v>
      </c>
      <c r="E138" s="27"/>
      <c r="F138" s="42" t="s">
        <v>568</v>
      </c>
      <c r="G138" s="28" t="str">
        <f>IF(ISNUMBER(F138),E138*F138,"")</f>
        <v/>
      </c>
      <c r="H138" s="29"/>
      <c r="I138" s="30"/>
      <c r="J138" s="155">
        <v>11</v>
      </c>
    </row>
    <row r="139" spans="1:10" x14ac:dyDescent="0.25">
      <c r="A139" s="176"/>
      <c r="B139" s="175"/>
      <c r="C139" s="32"/>
      <c r="D139" s="32"/>
      <c r="E139" s="33"/>
      <c r="F139" s="43" t="s">
        <v>568</v>
      </c>
      <c r="G139" s="31" t="str">
        <f>IF(ISNUMBER(F139),E139*F139,"")</f>
        <v/>
      </c>
      <c r="H139" s="35"/>
      <c r="I139" s="31"/>
      <c r="J139" s="155">
        <v>11</v>
      </c>
    </row>
    <row r="140" spans="1:10" x14ac:dyDescent="0.25">
      <c r="A140" s="176"/>
      <c r="B140" s="175"/>
      <c r="C140" s="36" t="s">
        <v>22</v>
      </c>
      <c r="D140" s="36" t="s">
        <v>12</v>
      </c>
      <c r="E140" s="37">
        <v>0.13150000000000001</v>
      </c>
      <c r="F140" s="31">
        <v>22.087499999999999</v>
      </c>
      <c r="G140" s="34">
        <f>IF(ISNUMBER(F140),E140*F140,"")</f>
        <v>2.9045062499999998</v>
      </c>
      <c r="H140" s="39">
        <f>SUM(G140:G141)</f>
        <v>7.1161355500000001</v>
      </c>
      <c r="I140" s="40"/>
      <c r="J140" s="155">
        <v>11</v>
      </c>
    </row>
    <row r="141" spans="1:10" x14ac:dyDescent="0.25">
      <c r="A141" s="176"/>
      <c r="B141" s="175"/>
      <c r="C141" s="36" t="s">
        <v>23</v>
      </c>
      <c r="D141" s="47" t="s">
        <v>12</v>
      </c>
      <c r="E141" s="37">
        <v>0.25819999999999999</v>
      </c>
      <c r="F141" s="31">
        <v>16.311500000000002</v>
      </c>
      <c r="G141" s="34">
        <f>IF(ISNUMBER(F141),E141*F141,"")</f>
        <v>4.2116293000000002</v>
      </c>
      <c r="H141" s="45"/>
      <c r="I141" s="46"/>
      <c r="J141" s="155">
        <v>11</v>
      </c>
    </row>
    <row r="142" spans="1:10" ht="15.75" thickBot="1" x14ac:dyDescent="0.3">
      <c r="A142" s="177"/>
      <c r="B142" s="178"/>
      <c r="C142" s="36"/>
      <c r="D142" s="36"/>
      <c r="E142" s="37"/>
      <c r="F142" s="31" t="s">
        <v>568</v>
      </c>
      <c r="G142" s="31" t="str">
        <f>IF(ISNUMBER(F142),E142*F142,"")</f>
        <v/>
      </c>
      <c r="H142" s="35"/>
      <c r="I142" s="31"/>
      <c r="J142" s="155">
        <v>11</v>
      </c>
    </row>
    <row r="143" spans="1:10" ht="15.75" thickBot="1" x14ac:dyDescent="0.3">
      <c r="A143" s="172" t="s">
        <v>61</v>
      </c>
      <c r="B143" s="174" t="str">
        <f>INDEX(Orçamentária!A:B,MATCH(Composições!A143,Orçamentária!A:A,0),2)</f>
        <v>Remoção de laminado melamínico (LDAP), em PVC ou vinílico</v>
      </c>
      <c r="C143" s="41"/>
      <c r="D143" s="26" t="str">
        <f>TRIM(INDEX(Orçamentária!C:C,MATCH(Composições!A143,Orçamentária!A:A,0),1))</f>
        <v>m2</v>
      </c>
      <c r="E143" s="27"/>
      <c r="F143" s="42" t="s">
        <v>568</v>
      </c>
      <c r="G143" s="28" t="str">
        <f>IF(ISNUMBER(F143),E143*F143,"")</f>
        <v/>
      </c>
      <c r="H143" s="29"/>
      <c r="I143" s="30"/>
      <c r="J143" s="155">
        <v>207.11</v>
      </c>
    </row>
    <row r="144" spans="1:10" x14ac:dyDescent="0.25">
      <c r="A144" s="176"/>
      <c r="B144" s="175"/>
      <c r="C144" s="32"/>
      <c r="D144" s="32"/>
      <c r="E144" s="33"/>
      <c r="F144" s="43" t="s">
        <v>568</v>
      </c>
      <c r="G144" s="31" t="str">
        <f>IF(ISNUMBER(F144),E144*F144,"")</f>
        <v/>
      </c>
      <c r="H144" s="35"/>
      <c r="I144" s="31"/>
      <c r="J144" s="155">
        <v>207.11</v>
      </c>
    </row>
    <row r="145" spans="1:10" x14ac:dyDescent="0.25">
      <c r="A145" s="176"/>
      <c r="B145" s="175"/>
      <c r="C145" s="36" t="s">
        <v>22</v>
      </c>
      <c r="D145" s="36" t="s">
        <v>12</v>
      </c>
      <c r="E145" s="37">
        <v>0.09</v>
      </c>
      <c r="F145" s="31">
        <v>22.087499999999999</v>
      </c>
      <c r="G145" s="34">
        <f>IF(ISNUMBER(F145),E145*F145,"")</f>
        <v>1.9878749999999998</v>
      </c>
      <c r="H145" s="39">
        <f>SUM(G145:G146)</f>
        <v>16.668225000000003</v>
      </c>
      <c r="I145" s="40"/>
      <c r="J145" s="155">
        <v>207.11</v>
      </c>
    </row>
    <row r="146" spans="1:10" x14ac:dyDescent="0.25">
      <c r="A146" s="176"/>
      <c r="B146" s="175"/>
      <c r="C146" s="36" t="s">
        <v>23</v>
      </c>
      <c r="D146" s="36" t="s">
        <v>12</v>
      </c>
      <c r="E146" s="37">
        <v>0.9</v>
      </c>
      <c r="F146" s="31">
        <v>16.311500000000002</v>
      </c>
      <c r="G146" s="34">
        <f>IF(ISNUMBER(F146),E146*F146,"")</f>
        <v>14.680350000000002</v>
      </c>
      <c r="H146" s="35"/>
      <c r="I146" s="31"/>
      <c r="J146" s="155">
        <v>207.11</v>
      </c>
    </row>
    <row r="147" spans="1:10" ht="15.75" thickBot="1" x14ac:dyDescent="0.3">
      <c r="A147" s="177"/>
      <c r="B147" s="178"/>
      <c r="C147" s="36"/>
      <c r="D147" s="36"/>
      <c r="E147" s="37"/>
      <c r="F147" s="31" t="s">
        <v>568</v>
      </c>
      <c r="G147" s="31" t="str">
        <f>IF(ISNUMBER(F147),E147*F147,"")</f>
        <v/>
      </c>
      <c r="H147" s="35"/>
      <c r="I147" s="31"/>
      <c r="J147" s="155">
        <v>207.11</v>
      </c>
    </row>
    <row r="148" spans="1:10" ht="15.75" hidden="1" thickBot="1" x14ac:dyDescent="0.3">
      <c r="A148" s="172" t="s">
        <v>62</v>
      </c>
      <c r="B148" s="174" t="str">
        <f>INDEX(Orçamentária!A:B,MATCH(Composições!A148,Orçamentária!A:A,0),2)</f>
        <v>Remoção de louças</v>
      </c>
      <c r="C148" s="41"/>
      <c r="D148" s="26" t="str">
        <f>TRIM(INDEX(Orçamentária!C:C,MATCH(Composições!A148,Orçamentária!A:A,0),1))</f>
        <v>un</v>
      </c>
      <c r="E148" s="27"/>
      <c r="F148" s="42" t="s">
        <v>568</v>
      </c>
      <c r="G148" s="28" t="str">
        <f>IF(ISNUMBER(F148),E148*F148,"")</f>
        <v/>
      </c>
      <c r="H148" s="29"/>
      <c r="I148" s="30"/>
      <c r="J148" s="155">
        <v>0</v>
      </c>
    </row>
    <row r="149" spans="1:10" ht="15.75" hidden="1" thickBot="1" x14ac:dyDescent="0.3">
      <c r="A149" s="176"/>
      <c r="B149" s="175"/>
      <c r="C149" s="32"/>
      <c r="D149" s="32"/>
      <c r="E149" s="33"/>
      <c r="F149" s="43" t="s">
        <v>568</v>
      </c>
      <c r="G149" s="31" t="str">
        <f>IF(ISNUMBER(F149),E149*F149,"")</f>
        <v/>
      </c>
      <c r="H149" s="35"/>
      <c r="I149" s="31"/>
      <c r="J149" s="155">
        <v>0</v>
      </c>
    </row>
    <row r="150" spans="1:10" ht="15.75" hidden="1" thickBot="1" x14ac:dyDescent="0.3">
      <c r="A150" s="176"/>
      <c r="B150" s="175"/>
      <c r="C150" s="36" t="s">
        <v>39</v>
      </c>
      <c r="D150" s="47" t="s">
        <v>12</v>
      </c>
      <c r="E150" s="37">
        <v>0.17549999999999999</v>
      </c>
      <c r="F150" s="31">
        <v>21.622</v>
      </c>
      <c r="G150" s="34">
        <f>IF(ISNUMBER(F150),E150*F150,"")</f>
        <v>3.7946609999999996</v>
      </c>
      <c r="H150" s="39">
        <f>SUM(G150:G151)</f>
        <v>9.4188662000000001</v>
      </c>
      <c r="I150" s="40"/>
      <c r="J150" s="155">
        <v>0</v>
      </c>
    </row>
    <row r="151" spans="1:10" ht="15.75" hidden="1" thickBot="1" x14ac:dyDescent="0.3">
      <c r="A151" s="176"/>
      <c r="B151" s="175"/>
      <c r="C151" s="36" t="s">
        <v>23</v>
      </c>
      <c r="D151" s="36" t="s">
        <v>12</v>
      </c>
      <c r="E151" s="37">
        <v>0.3448</v>
      </c>
      <c r="F151" s="31">
        <v>16.311500000000002</v>
      </c>
      <c r="G151" s="34">
        <f>IF(ISNUMBER(F151),E151*F151,"")</f>
        <v>5.6242052000000005</v>
      </c>
      <c r="H151" s="44"/>
      <c r="I151" s="40"/>
      <c r="J151" s="155">
        <v>0</v>
      </c>
    </row>
    <row r="152" spans="1:10" ht="15.75" hidden="1" thickBot="1" x14ac:dyDescent="0.3">
      <c r="A152" s="177"/>
      <c r="B152" s="178"/>
      <c r="C152" s="36"/>
      <c r="D152" s="36"/>
      <c r="E152" s="37"/>
      <c r="F152" s="31" t="s">
        <v>568</v>
      </c>
      <c r="G152" s="31" t="str">
        <f>IF(ISNUMBER(F152),E152*F152,"")</f>
        <v/>
      </c>
      <c r="H152" s="35"/>
      <c r="I152" s="31"/>
      <c r="J152" s="155">
        <v>0</v>
      </c>
    </row>
    <row r="153" spans="1:10" ht="15.75" thickBot="1" x14ac:dyDescent="0.3">
      <c r="A153" s="172" t="s">
        <v>63</v>
      </c>
      <c r="B153" s="174" t="str">
        <f>INDEX(Orçamentária!A:B,MATCH(Composições!A153,Orçamentária!A:A,0),2)</f>
        <v>Remoção de luminária</v>
      </c>
      <c r="C153" s="41"/>
      <c r="D153" s="26" t="str">
        <f>TRIM(INDEX(Orçamentária!C:C,MATCH(Composições!A153,Orçamentária!A:A,0),1))</f>
        <v>un</v>
      </c>
      <c r="E153" s="27"/>
      <c r="F153" s="42" t="s">
        <v>568</v>
      </c>
      <c r="G153" s="28" t="str">
        <f>IF(ISNUMBER(F153),E153*F153,"")</f>
        <v/>
      </c>
      <c r="H153" s="29"/>
      <c r="I153" s="30"/>
      <c r="J153" s="155">
        <v>83</v>
      </c>
    </row>
    <row r="154" spans="1:10" x14ac:dyDescent="0.25">
      <c r="A154" s="173"/>
      <c r="B154" s="175"/>
      <c r="C154" s="32"/>
      <c r="D154" s="32"/>
      <c r="E154" s="33"/>
      <c r="F154" s="43" t="s">
        <v>568</v>
      </c>
      <c r="G154" s="31" t="str">
        <f>IF(ISNUMBER(F154),E154*F154,"")</f>
        <v/>
      </c>
      <c r="H154" s="35"/>
      <c r="I154" s="31"/>
      <c r="J154" s="155">
        <v>83</v>
      </c>
    </row>
    <row r="155" spans="1:10" x14ac:dyDescent="0.25">
      <c r="A155" s="173"/>
      <c r="B155" s="175"/>
      <c r="C155" s="36" t="s">
        <v>30</v>
      </c>
      <c r="D155" s="47" t="s">
        <v>12</v>
      </c>
      <c r="E155" s="37">
        <f>0.0183*5</f>
        <v>9.1499999999999998E-2</v>
      </c>
      <c r="F155" s="31">
        <v>22.268000000000001</v>
      </c>
      <c r="G155" s="34">
        <f>IF(ISNUMBER(F155),E155*F155,"")</f>
        <v>2.0375220000000001</v>
      </c>
      <c r="H155" s="39">
        <f>SUM(G155:G156)</f>
        <v>4.9654362499999998</v>
      </c>
      <c r="I155" s="40"/>
      <c r="J155" s="155">
        <v>83</v>
      </c>
    </row>
    <row r="156" spans="1:10" x14ac:dyDescent="0.25">
      <c r="A156" s="173"/>
      <c r="B156" s="175"/>
      <c r="C156" s="36" t="s">
        <v>23</v>
      </c>
      <c r="D156" s="47" t="s">
        <v>12</v>
      </c>
      <c r="E156" s="37">
        <f>0.0359*5</f>
        <v>0.17949999999999999</v>
      </c>
      <c r="F156" s="31">
        <v>16.311500000000002</v>
      </c>
      <c r="G156" s="34">
        <f>IF(ISNUMBER(F156),E156*F156,"")</f>
        <v>2.9279142500000002</v>
      </c>
      <c r="H156" s="45"/>
      <c r="I156" s="46"/>
      <c r="J156" s="155">
        <v>83</v>
      </c>
    </row>
    <row r="157" spans="1:10" x14ac:dyDescent="0.25">
      <c r="A157" s="173"/>
      <c r="B157" s="175"/>
      <c r="C157" s="36"/>
      <c r="D157" s="36"/>
      <c r="E157" s="37"/>
      <c r="F157" s="31" t="s">
        <v>568</v>
      </c>
      <c r="G157" s="31" t="str">
        <f>IF(ISNUMBER(F157),E157*F157,"")</f>
        <v/>
      </c>
      <c r="H157" s="35"/>
      <c r="I157" s="31"/>
      <c r="J157" s="155">
        <v>83</v>
      </c>
    </row>
    <row r="158" spans="1:10" x14ac:dyDescent="0.25">
      <c r="A158" s="173"/>
      <c r="B158" s="175"/>
      <c r="C158" s="48" t="s">
        <v>64</v>
      </c>
      <c r="D158" s="36"/>
      <c r="E158" s="37"/>
      <c r="F158" s="31" t="s">
        <v>568</v>
      </c>
      <c r="G158" s="31" t="str">
        <f>IF(ISNUMBER(F158),E158*F158,"")</f>
        <v/>
      </c>
      <c r="H158" s="35"/>
      <c r="I158" s="31"/>
      <c r="J158" s="155">
        <v>83</v>
      </c>
    </row>
    <row r="159" spans="1:10" ht="15.75" thickBot="1" x14ac:dyDescent="0.3">
      <c r="A159" s="185"/>
      <c r="B159" s="178"/>
      <c r="C159" s="36"/>
      <c r="D159" s="36"/>
      <c r="E159" s="37"/>
      <c r="F159" s="31" t="s">
        <v>568</v>
      </c>
      <c r="G159" s="31" t="str">
        <f>IF(ISNUMBER(F159),E159*F159,"")</f>
        <v/>
      </c>
      <c r="H159" s="35"/>
      <c r="I159" s="31"/>
      <c r="J159" s="155">
        <v>83</v>
      </c>
    </row>
    <row r="160" spans="1:10" ht="15.75" hidden="1" thickBot="1" x14ac:dyDescent="0.3">
      <c r="A160" s="172" t="s">
        <v>65</v>
      </c>
      <c r="B160" s="174" t="str">
        <f>INDEX(Orçamentária!A:B,MATCH(Composições!A160,Orçamentária!A:A,0),2)</f>
        <v>Remoção de metais e acessórios</v>
      </c>
      <c r="C160" s="41"/>
      <c r="D160" s="26" t="str">
        <f>TRIM(INDEX(Orçamentária!C:C,MATCH(Composições!A160,Orçamentária!A:A,0),1))</f>
        <v>un</v>
      </c>
      <c r="E160" s="27"/>
      <c r="F160" s="42" t="s">
        <v>568</v>
      </c>
      <c r="G160" s="28" t="str">
        <f>IF(ISNUMBER(F160),E160*F160,"")</f>
        <v/>
      </c>
      <c r="H160" s="29"/>
      <c r="I160" s="30"/>
      <c r="J160" s="155">
        <v>0</v>
      </c>
    </row>
    <row r="161" spans="1:10" ht="15.75" hidden="1" thickBot="1" x14ac:dyDescent="0.3">
      <c r="A161" s="176"/>
      <c r="B161" s="175"/>
      <c r="C161" s="32"/>
      <c r="D161" s="32"/>
      <c r="E161" s="33"/>
      <c r="F161" s="43" t="s">
        <v>568</v>
      </c>
      <c r="G161" s="31" t="str">
        <f>IF(ISNUMBER(F161),E161*F161,"")</f>
        <v/>
      </c>
      <c r="H161" s="35"/>
      <c r="I161" s="31"/>
      <c r="J161" s="155">
        <v>0</v>
      </c>
    </row>
    <row r="162" spans="1:10" ht="15.75" hidden="1" thickBot="1" x14ac:dyDescent="0.3">
      <c r="A162" s="176"/>
      <c r="B162" s="175"/>
      <c r="C162" s="36" t="s">
        <v>39</v>
      </c>
      <c r="D162" s="47" t="s">
        <v>12</v>
      </c>
      <c r="E162" s="37">
        <v>0.128</v>
      </c>
      <c r="F162" s="31">
        <v>21.622</v>
      </c>
      <c r="G162" s="34">
        <f>IF(ISNUMBER(F162),E162*F162,"")</f>
        <v>2.7676159999999999</v>
      </c>
      <c r="H162" s="39">
        <f>SUM(G162:G163)</f>
        <v>6.8683271000000001</v>
      </c>
      <c r="I162" s="40"/>
      <c r="J162" s="155">
        <v>0</v>
      </c>
    </row>
    <row r="163" spans="1:10" ht="15.75" hidden="1" thickBot="1" x14ac:dyDescent="0.3">
      <c r="A163" s="176"/>
      <c r="B163" s="175"/>
      <c r="C163" s="36" t="s">
        <v>23</v>
      </c>
      <c r="D163" s="36" t="s">
        <v>12</v>
      </c>
      <c r="E163" s="37">
        <v>0.25140000000000001</v>
      </c>
      <c r="F163" s="31">
        <v>16.311500000000002</v>
      </c>
      <c r="G163" s="34">
        <f>IF(ISNUMBER(F163),E163*F163,"")</f>
        <v>4.1007111000000007</v>
      </c>
      <c r="H163" s="44"/>
      <c r="I163" s="40"/>
      <c r="J163" s="155">
        <v>0</v>
      </c>
    </row>
    <row r="164" spans="1:10" ht="15.75" hidden="1" thickBot="1" x14ac:dyDescent="0.3">
      <c r="A164" s="177"/>
      <c r="B164" s="178"/>
      <c r="C164" s="36"/>
      <c r="D164" s="36"/>
      <c r="E164" s="37"/>
      <c r="F164" s="31" t="s">
        <v>568</v>
      </c>
      <c r="G164" s="31" t="str">
        <f>IF(ISNUMBER(F164),E164*F164,"")</f>
        <v/>
      </c>
      <c r="H164" s="35"/>
      <c r="I164" s="31"/>
      <c r="J164" s="155">
        <v>0</v>
      </c>
    </row>
    <row r="165" spans="1:10" ht="15.75" hidden="1" thickBot="1" x14ac:dyDescent="0.3">
      <c r="A165" s="172" t="s">
        <v>66</v>
      </c>
      <c r="B165" s="174" t="str">
        <f>INDEX(Orçamentária!A:B,MATCH(Composições!A165,Orçamentária!A:A,0),2)</f>
        <v>Remoção de painéis de vidro temperado</v>
      </c>
      <c r="C165" s="41"/>
      <c r="D165" s="26" t="str">
        <f>TRIM(INDEX(Orçamentária!C:C,MATCH(Composições!A165,Orçamentária!A:A,0),1))</f>
        <v>m2</v>
      </c>
      <c r="E165" s="27"/>
      <c r="F165" s="42" t="s">
        <v>568</v>
      </c>
      <c r="G165" s="28" t="str">
        <f>IF(ISNUMBER(F165),E165*F165,"")</f>
        <v/>
      </c>
      <c r="H165" s="29"/>
      <c r="I165" s="30"/>
      <c r="J165" s="155">
        <v>0</v>
      </c>
    </row>
    <row r="166" spans="1:10" ht="15.75" hidden="1" thickBot="1" x14ac:dyDescent="0.3">
      <c r="A166" s="176"/>
      <c r="B166" s="175"/>
      <c r="C166" s="32"/>
      <c r="D166" s="32"/>
      <c r="E166" s="33"/>
      <c r="F166" s="43" t="s">
        <v>568</v>
      </c>
      <c r="G166" s="31" t="str">
        <f>IF(ISNUMBER(F166),E166*F166,"")</f>
        <v/>
      </c>
      <c r="H166" s="35"/>
      <c r="I166" s="31"/>
      <c r="J166" s="155">
        <v>0</v>
      </c>
    </row>
    <row r="167" spans="1:10" ht="15.75" hidden="1" thickBot="1" x14ac:dyDescent="0.3">
      <c r="A167" s="176"/>
      <c r="B167" s="175"/>
      <c r="C167" s="36" t="s">
        <v>23</v>
      </c>
      <c r="D167" s="36" t="s">
        <v>12</v>
      </c>
      <c r="E167" s="37">
        <v>0.33800000000000002</v>
      </c>
      <c r="F167" s="31">
        <v>16.311500000000002</v>
      </c>
      <c r="G167" s="34">
        <f>IF(ISNUMBER(F167),E167*F167,"")</f>
        <v>5.5132870000000009</v>
      </c>
      <c r="H167" s="39">
        <f>SUM(G167:G168)</f>
        <v>12.660859000000002</v>
      </c>
      <c r="I167" s="40"/>
      <c r="J167" s="155">
        <v>0</v>
      </c>
    </row>
    <row r="168" spans="1:10" ht="15.75" hidden="1" thickBot="1" x14ac:dyDescent="0.3">
      <c r="A168" s="176"/>
      <c r="B168" s="175"/>
      <c r="C168" s="36" t="s">
        <v>68</v>
      </c>
      <c r="D168" s="36" t="s">
        <v>12</v>
      </c>
      <c r="E168" s="37">
        <v>0.34799999999999998</v>
      </c>
      <c r="F168" s="31">
        <v>20.539000000000001</v>
      </c>
      <c r="G168" s="34">
        <f>IF(ISNUMBER(F168),E168*F168,"")</f>
        <v>7.1475720000000003</v>
      </c>
      <c r="H168" s="35"/>
      <c r="I168" s="31"/>
      <c r="J168" s="155">
        <v>0</v>
      </c>
    </row>
    <row r="169" spans="1:10" ht="15.75" hidden="1" thickBot="1" x14ac:dyDescent="0.3">
      <c r="A169" s="177"/>
      <c r="B169" s="178"/>
      <c r="C169" s="36"/>
      <c r="D169" s="36"/>
      <c r="E169" s="37"/>
      <c r="F169" s="31" t="s">
        <v>568</v>
      </c>
      <c r="G169" s="31" t="str">
        <f>IF(ISNUMBER(F169),E169*F169,"")</f>
        <v/>
      </c>
      <c r="H169" s="35"/>
      <c r="I169" s="31"/>
      <c r="J169" s="155">
        <v>0</v>
      </c>
    </row>
    <row r="170" spans="1:10" ht="15.75" hidden="1" thickBot="1" x14ac:dyDescent="0.3">
      <c r="A170" s="172" t="s">
        <v>67</v>
      </c>
      <c r="B170" s="174" t="str">
        <f>INDEX(Orçamentária!A:B,MATCH(Composições!A170,Orçamentária!A:A,0),2)</f>
        <v>Remoção de película</v>
      </c>
      <c r="C170" s="41"/>
      <c r="D170" s="26" t="str">
        <f>TRIM(INDEX(Orçamentária!C:C,MATCH(Composições!A170,Orçamentária!A:A,0),1))</f>
        <v>m2</v>
      </c>
      <c r="E170" s="27"/>
      <c r="F170" s="42" t="s">
        <v>568</v>
      </c>
      <c r="G170" s="28" t="str">
        <f>IF(ISNUMBER(F170),E170*F170,"")</f>
        <v/>
      </c>
      <c r="H170" s="29"/>
      <c r="I170" s="30"/>
      <c r="J170" s="155">
        <v>0</v>
      </c>
    </row>
    <row r="171" spans="1:10" ht="15.75" hidden="1" thickBot="1" x14ac:dyDescent="0.3">
      <c r="A171" s="176"/>
      <c r="B171" s="175"/>
      <c r="C171" s="32"/>
      <c r="D171" s="32"/>
      <c r="E171" s="33"/>
      <c r="F171" s="43" t="s">
        <v>568</v>
      </c>
      <c r="G171" s="31" t="str">
        <f>IF(ISNUMBER(F171),E171*F171,"")</f>
        <v/>
      </c>
      <c r="H171" s="35"/>
      <c r="I171" s="31"/>
      <c r="J171" s="155">
        <v>0</v>
      </c>
    </row>
    <row r="172" spans="1:10" ht="15.75" hidden="1" thickBot="1" x14ac:dyDescent="0.3">
      <c r="A172" s="176"/>
      <c r="B172" s="175"/>
      <c r="C172" s="36" t="s">
        <v>68</v>
      </c>
      <c r="D172" s="36" t="s">
        <v>12</v>
      </c>
      <c r="E172" s="37">
        <v>0.4</v>
      </c>
      <c r="F172" s="31">
        <v>20.539000000000001</v>
      </c>
      <c r="G172" s="34">
        <f>IF(ISNUMBER(F172),E172*F172,"")</f>
        <v>8.2156000000000002</v>
      </c>
      <c r="H172" s="39">
        <f>SUM(G172:G172)</f>
        <v>8.2156000000000002</v>
      </c>
      <c r="I172" s="40"/>
      <c r="J172" s="155">
        <v>0</v>
      </c>
    </row>
    <row r="173" spans="1:10" ht="15.75" hidden="1" thickBot="1" x14ac:dyDescent="0.3">
      <c r="A173" s="177"/>
      <c r="B173" s="178"/>
      <c r="C173" s="36"/>
      <c r="D173" s="36"/>
      <c r="E173" s="37"/>
      <c r="F173" s="31" t="s">
        <v>568</v>
      </c>
      <c r="G173" s="31" t="str">
        <f>IF(ISNUMBER(F173),E173*F173,"")</f>
        <v/>
      </c>
      <c r="H173" s="35"/>
      <c r="I173" s="31"/>
      <c r="J173" s="155">
        <v>0</v>
      </c>
    </row>
    <row r="174" spans="1:10" ht="15.75" hidden="1" thickBot="1" x14ac:dyDescent="0.3">
      <c r="A174" s="172" t="s">
        <v>69</v>
      </c>
      <c r="B174" s="174" t="str">
        <f>INDEX(Orçamentária!A:B,MATCH(Composições!A174,Orçamentária!A:A,0),2)</f>
        <v>Remoção de persianas</v>
      </c>
      <c r="C174" s="41"/>
      <c r="D174" s="26" t="str">
        <f>TRIM(INDEX(Orçamentária!C:C,MATCH(Composições!A174,Orçamentária!A:A,0),1))</f>
        <v>m</v>
      </c>
      <c r="E174" s="27"/>
      <c r="F174" s="42" t="s">
        <v>568</v>
      </c>
      <c r="G174" s="28" t="str">
        <f>IF(ISNUMBER(F174),E174*F174,"")</f>
        <v/>
      </c>
      <c r="H174" s="29"/>
      <c r="I174" s="30"/>
      <c r="J174" s="155">
        <v>0</v>
      </c>
    </row>
    <row r="175" spans="1:10" ht="15.75" hidden="1" thickBot="1" x14ac:dyDescent="0.3">
      <c r="A175" s="176"/>
      <c r="B175" s="175"/>
      <c r="C175" s="32"/>
      <c r="D175" s="32"/>
      <c r="E175" s="33"/>
      <c r="F175" s="43" t="s">
        <v>568</v>
      </c>
      <c r="G175" s="31" t="str">
        <f>IF(ISNUMBER(F175),E175*F175,"")</f>
        <v/>
      </c>
      <c r="H175" s="35"/>
      <c r="I175" s="31"/>
      <c r="J175" s="155">
        <v>0</v>
      </c>
    </row>
    <row r="176" spans="1:10" ht="15.75" hidden="1" thickBot="1" x14ac:dyDescent="0.3">
      <c r="A176" s="176"/>
      <c r="B176" s="175"/>
      <c r="C176" s="36" t="s">
        <v>50</v>
      </c>
      <c r="D176" s="36" t="s">
        <v>12</v>
      </c>
      <c r="E176" s="37">
        <f>ROUND(1/6,4)</f>
        <v>0.16669999999999999</v>
      </c>
      <c r="F176" s="31">
        <v>19.3705</v>
      </c>
      <c r="G176" s="34">
        <f>IF(ISNUMBER(F176),E176*F176,"")</f>
        <v>3.2290623499999995</v>
      </c>
      <c r="H176" s="39">
        <f>SUM(G176:G176)</f>
        <v>3.2290623499999995</v>
      </c>
      <c r="I176" s="40"/>
      <c r="J176" s="155">
        <v>0</v>
      </c>
    </row>
    <row r="177" spans="1:10" ht="15.75" hidden="1" thickBot="1" x14ac:dyDescent="0.3">
      <c r="A177" s="177"/>
      <c r="B177" s="178"/>
      <c r="C177" s="36"/>
      <c r="D177" s="36"/>
      <c r="E177" s="37"/>
      <c r="F177" s="31" t="s">
        <v>568</v>
      </c>
      <c r="G177" s="31" t="str">
        <f>IF(ISNUMBER(F177),E177*F177,"")</f>
        <v/>
      </c>
      <c r="H177" s="35"/>
      <c r="I177" s="31"/>
      <c r="J177" s="155">
        <v>0</v>
      </c>
    </row>
    <row r="178" spans="1:10" ht="15.75" thickBot="1" x14ac:dyDescent="0.3">
      <c r="A178" s="172" t="s">
        <v>70</v>
      </c>
      <c r="B178" s="174" t="str">
        <f>INDEX(Orçamentária!A:B,MATCH(Composições!A178,Orçamentária!A:A,0),2)</f>
        <v>Remoção de pintura ou textura</v>
      </c>
      <c r="C178" s="41"/>
      <c r="D178" s="26" t="str">
        <f>TRIM(INDEX(Orçamentária!C:C,MATCH(Composições!A178,Orçamentária!A:A,0),1))</f>
        <v>m2</v>
      </c>
      <c r="E178" s="27"/>
      <c r="F178" s="42" t="s">
        <v>568</v>
      </c>
      <c r="G178" s="28" t="str">
        <f>IF(ISNUMBER(F178),E178*F178,"")</f>
        <v/>
      </c>
      <c r="H178" s="29"/>
      <c r="I178" s="30"/>
      <c r="J178" s="155">
        <v>116.63</v>
      </c>
    </row>
    <row r="179" spans="1:10" x14ac:dyDescent="0.25">
      <c r="A179" s="176"/>
      <c r="B179" s="175"/>
      <c r="C179" s="32"/>
      <c r="D179" s="32"/>
      <c r="E179" s="33"/>
      <c r="F179" s="43" t="s">
        <v>568</v>
      </c>
      <c r="G179" s="31" t="str">
        <f>IF(ISNUMBER(F179),E179*F179,"")</f>
        <v/>
      </c>
      <c r="H179" s="35"/>
      <c r="I179" s="31"/>
      <c r="J179" s="155">
        <v>116.63</v>
      </c>
    </row>
    <row r="180" spans="1:10" x14ac:dyDescent="0.25">
      <c r="A180" s="176"/>
      <c r="B180" s="175"/>
      <c r="C180" s="36" t="s">
        <v>23</v>
      </c>
      <c r="D180" s="36" t="s">
        <v>12</v>
      </c>
      <c r="E180" s="37">
        <v>0.4</v>
      </c>
      <c r="F180" s="31">
        <v>16.311500000000002</v>
      </c>
      <c r="G180" s="34">
        <f>IF(ISNUMBER(F180),E180*F180,"")</f>
        <v>6.5246000000000013</v>
      </c>
      <c r="H180" s="39">
        <f>SUM(G180:G180)</f>
        <v>6.5246000000000013</v>
      </c>
      <c r="I180" s="40"/>
      <c r="J180" s="155">
        <v>116.63</v>
      </c>
    </row>
    <row r="181" spans="1:10" ht="15.75" thickBot="1" x14ac:dyDescent="0.3">
      <c r="A181" s="177"/>
      <c r="B181" s="178"/>
      <c r="C181" s="36"/>
      <c r="D181" s="36"/>
      <c r="E181" s="37"/>
      <c r="F181" s="31" t="s">
        <v>568</v>
      </c>
      <c r="G181" s="31" t="str">
        <f>IF(ISNUMBER(F181),E181*F181,"")</f>
        <v/>
      </c>
      <c r="H181" s="35"/>
      <c r="I181" s="31"/>
      <c r="J181" s="155">
        <v>116.63</v>
      </c>
    </row>
    <row r="182" spans="1:10" ht="15.75" hidden="1" thickBot="1" x14ac:dyDescent="0.3">
      <c r="A182" s="172" t="s">
        <v>71</v>
      </c>
      <c r="B182" s="174" t="str">
        <f>INDEX(Orçamentária!A:B,MATCH(Composições!A182,Orçamentária!A:A,0),2)</f>
        <v>Remoção de placas de forro</v>
      </c>
      <c r="C182" s="41"/>
      <c r="D182" s="26" t="str">
        <f>TRIM(INDEX(Orçamentária!C:C,MATCH(Composições!A182,Orçamentária!A:A,0),1))</f>
        <v>m2</v>
      </c>
      <c r="E182" s="27"/>
      <c r="F182" s="42" t="s">
        <v>568</v>
      </c>
      <c r="G182" s="28" t="str">
        <f>IF(ISNUMBER(F182),E182*F182,"")</f>
        <v/>
      </c>
      <c r="H182" s="29"/>
      <c r="I182" s="30"/>
      <c r="J182" s="155">
        <v>0</v>
      </c>
    </row>
    <row r="183" spans="1:10" ht="15.75" hidden="1" thickBot="1" x14ac:dyDescent="0.3">
      <c r="A183" s="176"/>
      <c r="B183" s="175"/>
      <c r="C183" s="32"/>
      <c r="D183" s="32"/>
      <c r="E183" s="33"/>
      <c r="F183" s="43" t="s">
        <v>568</v>
      </c>
      <c r="G183" s="31" t="str">
        <f>IF(ISNUMBER(F183),E183*F183,"")</f>
        <v/>
      </c>
      <c r="H183" s="35"/>
      <c r="I183" s="31"/>
      <c r="J183" s="155">
        <v>0</v>
      </c>
    </row>
    <row r="184" spans="1:10" ht="15.75" hidden="1" thickBot="1" x14ac:dyDescent="0.3">
      <c r="A184" s="176"/>
      <c r="B184" s="175"/>
      <c r="C184" s="36" t="s">
        <v>27</v>
      </c>
      <c r="D184" s="36" t="s">
        <v>12</v>
      </c>
      <c r="E184" s="37">
        <f>0.0258*3</f>
        <v>7.7399999999999997E-2</v>
      </c>
      <c r="F184" s="31">
        <v>16.852999999999998</v>
      </c>
      <c r="G184" s="34">
        <f>IF(ISNUMBER(F184),E184*F184,"")</f>
        <v>1.3044221999999999</v>
      </c>
      <c r="H184" s="39">
        <f>SUM(G184:G185)</f>
        <v>3.7854013500000003</v>
      </c>
      <c r="I184" s="40"/>
      <c r="J184" s="155">
        <v>0</v>
      </c>
    </row>
    <row r="185" spans="1:10" ht="15.75" hidden="1" thickBot="1" x14ac:dyDescent="0.3">
      <c r="A185" s="176"/>
      <c r="B185" s="175"/>
      <c r="C185" s="36" t="s">
        <v>23</v>
      </c>
      <c r="D185" s="36" t="s">
        <v>12</v>
      </c>
      <c r="E185" s="37">
        <f>0.0507*3</f>
        <v>0.15210000000000001</v>
      </c>
      <c r="F185" s="31">
        <v>16.311500000000002</v>
      </c>
      <c r="G185" s="34">
        <f>IF(ISNUMBER(F185),E185*F185,"")</f>
        <v>2.4809791500000005</v>
      </c>
      <c r="H185" s="35"/>
      <c r="I185" s="31"/>
      <c r="J185" s="155">
        <v>0</v>
      </c>
    </row>
    <row r="186" spans="1:10" ht="15.75" hidden="1" thickBot="1" x14ac:dyDescent="0.3">
      <c r="A186" s="176"/>
      <c r="B186" s="175"/>
      <c r="C186" s="36"/>
      <c r="D186" s="36"/>
      <c r="E186" s="37"/>
      <c r="F186" s="31" t="s">
        <v>568</v>
      </c>
      <c r="G186" s="34" t="str">
        <f>IF(ISNUMBER(F186),E186*F186,"")</f>
        <v/>
      </c>
      <c r="H186" s="35"/>
      <c r="I186" s="31"/>
      <c r="J186" s="155">
        <v>0</v>
      </c>
    </row>
    <row r="187" spans="1:10" ht="15.75" hidden="1" thickBot="1" x14ac:dyDescent="0.3">
      <c r="A187" s="176"/>
      <c r="B187" s="175"/>
      <c r="C187" s="48" t="s">
        <v>72</v>
      </c>
      <c r="D187" s="36"/>
      <c r="E187" s="37"/>
      <c r="F187" s="31" t="s">
        <v>568</v>
      </c>
      <c r="G187" s="34" t="str">
        <f>IF(ISNUMBER(F187),E187*F187,"")</f>
        <v/>
      </c>
      <c r="H187" s="35"/>
      <c r="I187" s="31"/>
      <c r="J187" s="155">
        <v>0</v>
      </c>
    </row>
    <row r="188" spans="1:10" ht="15.75" hidden="1" thickBot="1" x14ac:dyDescent="0.3">
      <c r="A188" s="177"/>
      <c r="B188" s="178"/>
      <c r="C188" s="36"/>
      <c r="D188" s="36"/>
      <c r="E188" s="37"/>
      <c r="F188" s="31" t="s">
        <v>568</v>
      </c>
      <c r="G188" s="31" t="str">
        <f>IF(ISNUMBER(F188),E188*F188,"")</f>
        <v/>
      </c>
      <c r="H188" s="35"/>
      <c r="I188" s="31"/>
      <c r="J188" s="155">
        <v>0</v>
      </c>
    </row>
    <row r="189" spans="1:10" ht="15.75" hidden="1" thickBot="1" x14ac:dyDescent="0.3">
      <c r="A189" s="172" t="s">
        <v>73</v>
      </c>
      <c r="B189" s="174" t="str">
        <f>INDEX(Orçamentária!A:B,MATCH(Composições!A189,Orçamentária!A:A,0),2)</f>
        <v>Remoção de quadros de elétricos ou de telecomunicações</v>
      </c>
      <c r="C189" s="41"/>
      <c r="D189" s="26" t="str">
        <f>TRIM(INDEX(Orçamentária!C:C,MATCH(Composições!A189,Orçamentária!A:A,0),1))</f>
        <v>un</v>
      </c>
      <c r="E189" s="27"/>
      <c r="F189" s="42" t="s">
        <v>568</v>
      </c>
      <c r="G189" s="28" t="str">
        <f>IF(ISNUMBER(F189),E189*F189,"")</f>
        <v/>
      </c>
      <c r="H189" s="29"/>
      <c r="I189" s="30"/>
      <c r="J189" s="155">
        <v>0</v>
      </c>
    </row>
    <row r="190" spans="1:10" ht="15.75" hidden="1" thickBot="1" x14ac:dyDescent="0.3">
      <c r="A190" s="176"/>
      <c r="B190" s="175"/>
      <c r="C190" s="32"/>
      <c r="D190" s="32"/>
      <c r="E190" s="33"/>
      <c r="F190" s="43" t="s">
        <v>568</v>
      </c>
      <c r="G190" s="31" t="str">
        <f>IF(ISNUMBER(F190),E190*F190,"")</f>
        <v/>
      </c>
      <c r="H190" s="35"/>
      <c r="I190" s="31"/>
      <c r="J190" s="155">
        <v>0</v>
      </c>
    </row>
    <row r="191" spans="1:10" ht="15.75" hidden="1" thickBot="1" x14ac:dyDescent="0.3">
      <c r="A191" s="176"/>
      <c r="B191" s="175"/>
      <c r="C191" s="36" t="s">
        <v>74</v>
      </c>
      <c r="D191" s="36" t="s">
        <v>12</v>
      </c>
      <c r="E191" s="37">
        <v>0.5</v>
      </c>
      <c r="F191" s="31">
        <v>17.366</v>
      </c>
      <c r="G191" s="34">
        <f>IF(ISNUMBER(F191),E191*F191,"")</f>
        <v>8.6829999999999998</v>
      </c>
      <c r="H191" s="39">
        <f>SUM(G191:G194)</f>
        <v>58.216000000000001</v>
      </c>
      <c r="I191" s="40"/>
      <c r="J191" s="155">
        <v>0</v>
      </c>
    </row>
    <row r="192" spans="1:10" ht="15.75" hidden="1" thickBot="1" x14ac:dyDescent="0.3">
      <c r="A192" s="176"/>
      <c r="B192" s="175"/>
      <c r="C192" s="36" t="s">
        <v>30</v>
      </c>
      <c r="D192" s="36" t="s">
        <v>12</v>
      </c>
      <c r="E192" s="37">
        <v>0.5</v>
      </c>
      <c r="F192" s="31">
        <v>22.268000000000001</v>
      </c>
      <c r="G192" s="34">
        <f>IF(ISNUMBER(F192),E192*F192,"")</f>
        <v>11.134</v>
      </c>
      <c r="H192" s="35"/>
      <c r="I192" s="31"/>
      <c r="J192" s="155">
        <v>0</v>
      </c>
    </row>
    <row r="193" spans="1:10" ht="15.75" hidden="1" thickBot="1" x14ac:dyDescent="0.3">
      <c r="A193" s="176"/>
      <c r="B193" s="175"/>
      <c r="C193" s="36" t="s">
        <v>22</v>
      </c>
      <c r="D193" s="36" t="s">
        <v>12</v>
      </c>
      <c r="E193" s="37">
        <v>1</v>
      </c>
      <c r="F193" s="31">
        <v>22.087499999999999</v>
      </c>
      <c r="G193" s="34">
        <f>IF(ISNUMBER(F193),E193*F193,"")</f>
        <v>22.087499999999999</v>
      </c>
      <c r="H193" s="35"/>
      <c r="I193" s="31"/>
      <c r="J193" s="155">
        <v>0</v>
      </c>
    </row>
    <row r="194" spans="1:10" ht="15.75" hidden="1" thickBot="1" x14ac:dyDescent="0.3">
      <c r="A194" s="176"/>
      <c r="B194" s="175"/>
      <c r="C194" s="36" t="s">
        <v>23</v>
      </c>
      <c r="D194" s="36" t="s">
        <v>12</v>
      </c>
      <c r="E194" s="37">
        <v>1</v>
      </c>
      <c r="F194" s="31">
        <v>16.311500000000002</v>
      </c>
      <c r="G194" s="34">
        <f>IF(ISNUMBER(F194),E194*F194,"")</f>
        <v>16.311500000000002</v>
      </c>
      <c r="H194" s="35"/>
      <c r="I194" s="31"/>
      <c r="J194" s="155">
        <v>0</v>
      </c>
    </row>
    <row r="195" spans="1:10" ht="15.75" hidden="1" thickBot="1" x14ac:dyDescent="0.3">
      <c r="A195" s="177"/>
      <c r="B195" s="178"/>
      <c r="C195" s="36"/>
      <c r="D195" s="36"/>
      <c r="E195" s="37"/>
      <c r="F195" s="31" t="s">
        <v>568</v>
      </c>
      <c r="G195" s="31" t="str">
        <f>IF(ISNUMBER(F195),E195*F195,"")</f>
        <v/>
      </c>
      <c r="H195" s="35"/>
      <c r="I195" s="31"/>
      <c r="J195" s="155">
        <v>0</v>
      </c>
    </row>
    <row r="196" spans="1:10" ht="15.75" hidden="1" thickBot="1" x14ac:dyDescent="0.3">
      <c r="A196" s="172" t="s">
        <v>75</v>
      </c>
      <c r="B196" s="174" t="str">
        <f>INDEX(Orçamentária!A:B,MATCH(Composições!A196,Orçamentária!A:A,0),2)</f>
        <v>Remoção de revestimento acústico</v>
      </c>
      <c r="C196" s="41"/>
      <c r="D196" s="26" t="str">
        <f>TRIM(INDEX(Orçamentária!C:C,MATCH(Composições!A196,Orçamentária!A:A,0),1))</f>
        <v>m2</v>
      </c>
      <c r="E196" s="27"/>
      <c r="F196" s="42" t="s">
        <v>568</v>
      </c>
      <c r="G196" s="28" t="str">
        <f>IF(ISNUMBER(F196),E196*F196,"")</f>
        <v/>
      </c>
      <c r="H196" s="29"/>
      <c r="I196" s="30"/>
      <c r="J196" s="155">
        <v>0</v>
      </c>
    </row>
    <row r="197" spans="1:10" ht="15.75" hidden="1" thickBot="1" x14ac:dyDescent="0.3">
      <c r="A197" s="176"/>
      <c r="B197" s="175"/>
      <c r="C197" s="32"/>
      <c r="D197" s="32"/>
      <c r="E197" s="33"/>
      <c r="F197" s="43" t="s">
        <v>568</v>
      </c>
      <c r="G197" s="31" t="str">
        <f>IF(ISNUMBER(F197),E197*F197,"")</f>
        <v/>
      </c>
      <c r="H197" s="35"/>
      <c r="I197" s="31"/>
      <c r="J197" s="155">
        <v>0</v>
      </c>
    </row>
    <row r="198" spans="1:10" ht="15.75" hidden="1" thickBot="1" x14ac:dyDescent="0.3">
      <c r="A198" s="176"/>
      <c r="B198" s="175"/>
      <c r="C198" s="36" t="s">
        <v>23</v>
      </c>
      <c r="D198" s="36" t="s">
        <v>12</v>
      </c>
      <c r="E198" s="37">
        <v>0.2</v>
      </c>
      <c r="F198" s="31">
        <v>16.311500000000002</v>
      </c>
      <c r="G198" s="34">
        <f>IF(ISNUMBER(F198),E198*F198,"")</f>
        <v>3.2623000000000006</v>
      </c>
      <c r="H198" s="39">
        <f>SUM(G198:G198)</f>
        <v>3.2623000000000006</v>
      </c>
      <c r="I198" s="40"/>
      <c r="J198" s="155">
        <v>0</v>
      </c>
    </row>
    <row r="199" spans="1:10" ht="15.75" hidden="1" thickBot="1" x14ac:dyDescent="0.3">
      <c r="A199" s="177"/>
      <c r="B199" s="178"/>
      <c r="C199" s="36"/>
      <c r="D199" s="36"/>
      <c r="E199" s="37"/>
      <c r="F199" s="31" t="s">
        <v>568</v>
      </c>
      <c r="G199" s="31" t="str">
        <f>IF(ISNUMBER(F199),E199*F199,"")</f>
        <v/>
      </c>
      <c r="H199" s="35"/>
      <c r="I199" s="31"/>
      <c r="J199" s="155">
        <v>0</v>
      </c>
    </row>
    <row r="200" spans="1:10" ht="15.75" hidden="1" thickBot="1" x14ac:dyDescent="0.3">
      <c r="A200" s="172" t="s">
        <v>76</v>
      </c>
      <c r="B200" s="174" t="str">
        <f>INDEX(Orçamentária!A:B,MATCH(Composições!A200,Orçamentária!A:A,0),2)</f>
        <v>Remoção de rodapé/rodabanca de mármore ou granito</v>
      </c>
      <c r="C200" s="41"/>
      <c r="D200" s="26" t="str">
        <f>TRIM(INDEX(Orçamentária!C:C,MATCH(Composições!A200,Orçamentária!A:A,0),1))</f>
        <v>m</v>
      </c>
      <c r="E200" s="27"/>
      <c r="F200" s="42" t="s">
        <v>568</v>
      </c>
      <c r="G200" s="28" t="str">
        <f>IF(ISNUMBER(F200),E200*F200,"")</f>
        <v/>
      </c>
      <c r="H200" s="29"/>
      <c r="I200" s="30"/>
      <c r="J200" s="155">
        <v>0</v>
      </c>
    </row>
    <row r="201" spans="1:10" ht="15.75" hidden="1" thickBot="1" x14ac:dyDescent="0.3">
      <c r="A201" s="176"/>
      <c r="B201" s="175"/>
      <c r="C201" s="32"/>
      <c r="D201" s="32"/>
      <c r="E201" s="33"/>
      <c r="F201" s="43" t="s">
        <v>568</v>
      </c>
      <c r="G201" s="31" t="str">
        <f>IF(ISNUMBER(F201),E201*F201,"")</f>
        <v/>
      </c>
      <c r="H201" s="35"/>
      <c r="I201" s="31"/>
      <c r="J201" s="155">
        <v>0</v>
      </c>
    </row>
    <row r="202" spans="1:10" ht="15.75" hidden="1" thickBot="1" x14ac:dyDescent="0.3">
      <c r="A202" s="176"/>
      <c r="B202" s="175"/>
      <c r="C202" s="36" t="s">
        <v>23</v>
      </c>
      <c r="D202" s="36" t="s">
        <v>12</v>
      </c>
      <c r="E202" s="37">
        <f>0.437*0.2</f>
        <v>8.7400000000000005E-2</v>
      </c>
      <c r="F202" s="31">
        <v>16.311500000000002</v>
      </c>
      <c r="G202" s="34">
        <f>IF(ISNUMBER(F202),E202*F202,"")</f>
        <v>1.4256251000000002</v>
      </c>
      <c r="H202" s="39">
        <f>SUM(G202:G202)</f>
        <v>1.4256251000000002</v>
      </c>
      <c r="I202" s="40"/>
      <c r="J202" s="155">
        <v>0</v>
      </c>
    </row>
    <row r="203" spans="1:10" ht="15.75" hidden="1" thickBot="1" x14ac:dyDescent="0.3">
      <c r="A203" s="176"/>
      <c r="B203" s="175"/>
      <c r="C203" s="36"/>
      <c r="D203" s="36"/>
      <c r="E203" s="37"/>
      <c r="F203" s="31" t="s">
        <v>568</v>
      </c>
      <c r="G203" s="34" t="str">
        <f>IF(ISNUMBER(F203),E203*F203,"")</f>
        <v/>
      </c>
      <c r="H203" s="35"/>
      <c r="I203" s="31"/>
      <c r="J203" s="155">
        <v>0</v>
      </c>
    </row>
    <row r="204" spans="1:10" ht="15.75" hidden="1" thickBot="1" x14ac:dyDescent="0.3">
      <c r="A204" s="172" t="s">
        <v>77</v>
      </c>
      <c r="B204" s="174" t="str">
        <f>INDEX(Orçamentária!A:B,MATCH(Composições!A204,Orçamentária!A:A,0),2)</f>
        <v>Remoção de rodapés de madeira</v>
      </c>
      <c r="C204" s="41"/>
      <c r="D204" s="26" t="str">
        <f>TRIM(INDEX(Orçamentária!C:C,MATCH(Composições!A204,Orçamentária!A:A,0),1))</f>
        <v>m2</v>
      </c>
      <c r="E204" s="27"/>
      <c r="F204" s="42" t="s">
        <v>568</v>
      </c>
      <c r="G204" s="28" t="str">
        <f>IF(ISNUMBER(F204),E204*F204,"")</f>
        <v/>
      </c>
      <c r="H204" s="29"/>
      <c r="I204" s="30"/>
      <c r="J204" s="155">
        <v>0</v>
      </c>
    </row>
    <row r="205" spans="1:10" ht="15.75" hidden="1" thickBot="1" x14ac:dyDescent="0.3">
      <c r="A205" s="176"/>
      <c r="B205" s="175"/>
      <c r="C205" s="32"/>
      <c r="D205" s="32"/>
      <c r="E205" s="33"/>
      <c r="F205" s="43" t="s">
        <v>568</v>
      </c>
      <c r="G205" s="31" t="str">
        <f>IF(ISNUMBER(F205),E205*F205,"")</f>
        <v/>
      </c>
      <c r="H205" s="35"/>
      <c r="I205" s="31"/>
      <c r="J205" s="155">
        <v>0</v>
      </c>
    </row>
    <row r="206" spans="1:10" ht="15.75" hidden="1" thickBot="1" x14ac:dyDescent="0.3">
      <c r="A206" s="176"/>
      <c r="B206" s="175"/>
      <c r="C206" s="36" t="s">
        <v>78</v>
      </c>
      <c r="D206" s="36" t="s">
        <v>12</v>
      </c>
      <c r="E206" s="37">
        <v>0.25</v>
      </c>
      <c r="F206" s="31">
        <v>21.878499999999999</v>
      </c>
      <c r="G206" s="31">
        <f>IF(ISNUMBER(F206),E206*F206,"")</f>
        <v>5.4696249999999997</v>
      </c>
      <c r="H206" s="39">
        <f>SUM(G206:G207)</f>
        <v>5.8774125000000002</v>
      </c>
      <c r="I206" s="40"/>
      <c r="J206" s="155">
        <v>0</v>
      </c>
    </row>
    <row r="207" spans="1:10" ht="15.75" hidden="1" thickBot="1" x14ac:dyDescent="0.3">
      <c r="A207" s="176"/>
      <c r="B207" s="175"/>
      <c r="C207" s="36" t="s">
        <v>23</v>
      </c>
      <c r="D207" s="47" t="s">
        <v>12</v>
      </c>
      <c r="E207" s="37">
        <v>2.5000000000000001E-2</v>
      </c>
      <c r="F207" s="31">
        <v>16.311500000000002</v>
      </c>
      <c r="G207" s="34">
        <f>IF(ISNUMBER(F207),E207*F207,"")</f>
        <v>0.40778750000000008</v>
      </c>
      <c r="H207" s="35"/>
      <c r="I207" s="31"/>
      <c r="J207" s="155">
        <v>0</v>
      </c>
    </row>
    <row r="208" spans="1:10" ht="15.75" hidden="1" thickBot="1" x14ac:dyDescent="0.3">
      <c r="A208" s="177"/>
      <c r="B208" s="178"/>
      <c r="C208" s="36"/>
      <c r="D208" s="36"/>
      <c r="E208" s="37"/>
      <c r="F208" s="31" t="s">
        <v>568</v>
      </c>
      <c r="G208" s="31" t="str">
        <f>IF(ISNUMBER(F208),E208*F208,"")</f>
        <v/>
      </c>
      <c r="H208" s="35"/>
      <c r="I208" s="31"/>
      <c r="J208" s="155">
        <v>0</v>
      </c>
    </row>
    <row r="209" spans="1:10" ht="15.75" hidden="1" thickBot="1" x14ac:dyDescent="0.3">
      <c r="A209" s="172" t="s">
        <v>79</v>
      </c>
      <c r="B209" s="174" t="str">
        <f>INDEX(Orçamentária!A:B,MATCH(Composições!A209,Orçamentária!A:A,0),2)</f>
        <v>Remoção de soleira de mármore ou granito</v>
      </c>
      <c r="C209" s="41"/>
      <c r="D209" s="26" t="str">
        <f>TRIM(INDEX(Orçamentária!C:C,MATCH(Composições!A209,Orçamentária!A:A,0),1))</f>
        <v>m</v>
      </c>
      <c r="E209" s="27"/>
      <c r="F209" s="42" t="s">
        <v>568</v>
      </c>
      <c r="G209" s="28" t="str">
        <f>IF(ISNUMBER(F209),E209*F209,"")</f>
        <v/>
      </c>
      <c r="H209" s="29"/>
      <c r="I209" s="30"/>
      <c r="J209" s="155">
        <v>0</v>
      </c>
    </row>
    <row r="210" spans="1:10" ht="15.75" hidden="1" thickBot="1" x14ac:dyDescent="0.3">
      <c r="A210" s="176"/>
      <c r="B210" s="175"/>
      <c r="C210" s="32"/>
      <c r="D210" s="32"/>
      <c r="E210" s="33"/>
      <c r="F210" s="43" t="s">
        <v>568</v>
      </c>
      <c r="G210" s="31" t="str">
        <f>IF(ISNUMBER(F210),E210*F210,"")</f>
        <v/>
      </c>
      <c r="H210" s="35"/>
      <c r="I210" s="31"/>
      <c r="J210" s="155">
        <v>0</v>
      </c>
    </row>
    <row r="211" spans="1:10" ht="15.75" hidden="1" thickBot="1" x14ac:dyDescent="0.3">
      <c r="A211" s="176"/>
      <c r="B211" s="175"/>
      <c r="C211" s="36" t="s">
        <v>23</v>
      </c>
      <c r="D211" s="36" t="s">
        <v>12</v>
      </c>
      <c r="E211" s="37">
        <v>0.55000000000000004</v>
      </c>
      <c r="F211" s="31">
        <v>16.311500000000002</v>
      </c>
      <c r="G211" s="34">
        <f>IF(ISNUMBER(F211),E211*F211,"")</f>
        <v>8.971325000000002</v>
      </c>
      <c r="H211" s="39">
        <f>SUM(G211:G211)</f>
        <v>8.971325000000002</v>
      </c>
      <c r="I211" s="40"/>
      <c r="J211" s="155">
        <v>0</v>
      </c>
    </row>
    <row r="212" spans="1:10" ht="15.75" hidden="1" thickBot="1" x14ac:dyDescent="0.3">
      <c r="A212" s="177"/>
      <c r="B212" s="178"/>
      <c r="C212" s="36"/>
      <c r="D212" s="36"/>
      <c r="E212" s="37"/>
      <c r="F212" s="31" t="s">
        <v>568</v>
      </c>
      <c r="G212" s="31" t="str">
        <f>IF(ISNUMBER(F212),E212*F212,"")</f>
        <v/>
      </c>
      <c r="H212" s="35"/>
      <c r="I212" s="31"/>
      <c r="J212" s="155">
        <v>0</v>
      </c>
    </row>
    <row r="213" spans="1:10" ht="15.75" thickBot="1" x14ac:dyDescent="0.3">
      <c r="A213" s="172" t="s">
        <v>80</v>
      </c>
      <c r="B213" s="174" t="str">
        <f>INDEX(Orçamentária!A:B,MATCH(Composições!A213,Orçamentária!A:A,0),2)</f>
        <v>Remoção de split/fancolete/ACJ (equipamento unitário)</v>
      </c>
      <c r="C213" s="41"/>
      <c r="D213" s="26" t="str">
        <f>TRIM(INDEX(Orçamentária!C:C,MATCH(Composições!A213,Orçamentária!A:A,0),1))</f>
        <v>un</v>
      </c>
      <c r="E213" s="27"/>
      <c r="F213" s="42" t="s">
        <v>568</v>
      </c>
      <c r="G213" s="28" t="str">
        <f>IF(ISNUMBER(F213),E213*F213,"")</f>
        <v/>
      </c>
      <c r="H213" s="29"/>
      <c r="I213" s="30"/>
      <c r="J213" s="155">
        <v>3</v>
      </c>
    </row>
    <row r="214" spans="1:10" x14ac:dyDescent="0.25">
      <c r="A214" s="176"/>
      <c r="B214" s="175"/>
      <c r="C214" s="32"/>
      <c r="D214" s="32"/>
      <c r="E214" s="33"/>
      <c r="F214" s="43" t="s">
        <v>568</v>
      </c>
      <c r="G214" s="31" t="str">
        <f>IF(ISNUMBER(F214),E214*F214,"")</f>
        <v/>
      </c>
      <c r="H214" s="35"/>
      <c r="I214" s="31"/>
      <c r="J214" s="155">
        <v>3</v>
      </c>
    </row>
    <row r="215" spans="1:10" x14ac:dyDescent="0.25">
      <c r="A215" s="176"/>
      <c r="B215" s="175"/>
      <c r="C215" s="36" t="s">
        <v>81</v>
      </c>
      <c r="D215" s="47" t="s">
        <v>12</v>
      </c>
      <c r="E215" s="37">
        <v>1</v>
      </c>
      <c r="F215" s="31">
        <v>23.065999999999999</v>
      </c>
      <c r="G215" s="31">
        <f>IF(ISNUMBER(F215),E215*F215,"")</f>
        <v>23.065999999999999</v>
      </c>
      <c r="H215" s="39">
        <f>SUM(G215:G216)</f>
        <v>40.536500000000004</v>
      </c>
      <c r="I215" s="40"/>
      <c r="J215" s="155">
        <v>3</v>
      </c>
    </row>
    <row r="216" spans="1:10" x14ac:dyDescent="0.25">
      <c r="A216" s="176"/>
      <c r="B216" s="175"/>
      <c r="C216" s="36" t="s">
        <v>52</v>
      </c>
      <c r="D216" s="47" t="s">
        <v>12</v>
      </c>
      <c r="E216" s="37">
        <v>1</v>
      </c>
      <c r="F216" s="31">
        <v>17.470500000000001</v>
      </c>
      <c r="G216" s="34">
        <f>IF(ISNUMBER(F216),E216*F216,"")</f>
        <v>17.470500000000001</v>
      </c>
      <c r="H216" s="35"/>
      <c r="I216" s="31"/>
      <c r="J216" s="155">
        <v>3</v>
      </c>
    </row>
    <row r="217" spans="1:10" ht="15.75" thickBot="1" x14ac:dyDescent="0.3">
      <c r="A217" s="177"/>
      <c r="B217" s="178"/>
      <c r="C217" s="36"/>
      <c r="D217" s="36"/>
      <c r="E217" s="37"/>
      <c r="F217" s="31" t="s">
        <v>568</v>
      </c>
      <c r="G217" s="31" t="str">
        <f>IF(ISNUMBER(F217),E217*F217,"")</f>
        <v/>
      </c>
      <c r="H217" s="35"/>
      <c r="I217" s="31"/>
      <c r="J217" s="155">
        <v>3</v>
      </c>
    </row>
    <row r="218" spans="1:10" ht="15.75" thickBot="1" x14ac:dyDescent="0.3">
      <c r="A218" s="172" t="s">
        <v>82</v>
      </c>
      <c r="B218" s="174" t="str">
        <f>INDEX(Orçamentária!A:B,MATCH(Composições!A218,Orçamentária!A:A,0),2)</f>
        <v>Remoção de vidro comum / espelho</v>
      </c>
      <c r="C218" s="41"/>
      <c r="D218" s="26" t="str">
        <f>TRIM(INDEX(Orçamentária!C:C,MATCH(Composições!A218,Orçamentária!A:A,0),1))</f>
        <v>m2</v>
      </c>
      <c r="E218" s="27"/>
      <c r="F218" s="42" t="s">
        <v>568</v>
      </c>
      <c r="G218" s="28" t="str">
        <f>IF(ISNUMBER(F218),E218*F218,"")</f>
        <v/>
      </c>
      <c r="H218" s="29"/>
      <c r="I218" s="30"/>
      <c r="J218" s="155">
        <v>4.95</v>
      </c>
    </row>
    <row r="219" spans="1:10" x14ac:dyDescent="0.25">
      <c r="A219" s="176"/>
      <c r="B219" s="175"/>
      <c r="C219" s="32"/>
      <c r="D219" s="32"/>
      <c r="E219" s="33"/>
      <c r="F219" s="43" t="s">
        <v>568</v>
      </c>
      <c r="G219" s="31" t="str">
        <f>IF(ISNUMBER(F219),E219*F219,"")</f>
        <v/>
      </c>
      <c r="H219" s="35"/>
      <c r="I219" s="31"/>
      <c r="J219" s="155">
        <v>4.95</v>
      </c>
    </row>
    <row r="220" spans="1:10" x14ac:dyDescent="0.25">
      <c r="A220" s="176"/>
      <c r="B220" s="175"/>
      <c r="C220" s="36" t="s">
        <v>23</v>
      </c>
      <c r="D220" s="36" t="s">
        <v>12</v>
      </c>
      <c r="E220" s="37">
        <v>0.39</v>
      </c>
      <c r="F220" s="31">
        <v>16.311500000000002</v>
      </c>
      <c r="G220" s="34">
        <f>IF(ISNUMBER(F220),E220*F220,"")</f>
        <v>6.3614850000000009</v>
      </c>
      <c r="H220" s="39">
        <f>SUM(G220:G221)</f>
        <v>14.597624000000003</v>
      </c>
      <c r="I220" s="40"/>
      <c r="J220" s="155">
        <v>4.95</v>
      </c>
    </row>
    <row r="221" spans="1:10" x14ac:dyDescent="0.25">
      <c r="A221" s="176"/>
      <c r="B221" s="175"/>
      <c r="C221" s="36" t="s">
        <v>68</v>
      </c>
      <c r="D221" s="36" t="s">
        <v>12</v>
      </c>
      <c r="E221" s="37">
        <v>0.40100000000000002</v>
      </c>
      <c r="F221" s="31">
        <v>20.539000000000001</v>
      </c>
      <c r="G221" s="34">
        <f>IF(ISNUMBER(F221),E221*F221,"")</f>
        <v>8.2361390000000014</v>
      </c>
      <c r="H221" s="35"/>
      <c r="I221" s="31"/>
      <c r="J221" s="155">
        <v>4.95</v>
      </c>
    </row>
    <row r="222" spans="1:10" ht="15.75" thickBot="1" x14ac:dyDescent="0.3">
      <c r="A222" s="177"/>
      <c r="B222" s="178"/>
      <c r="C222" s="36"/>
      <c r="D222" s="36"/>
      <c r="E222" s="37"/>
      <c r="F222" s="31" t="s">
        <v>568</v>
      </c>
      <c r="G222" s="31" t="str">
        <f>IF(ISNUMBER(F222),E222*F222,"")</f>
        <v/>
      </c>
      <c r="H222" s="35"/>
      <c r="I222" s="31"/>
      <c r="J222" s="155">
        <v>4.95</v>
      </c>
    </row>
    <row r="223" spans="1:10" ht="15.75" thickBot="1" x14ac:dyDescent="0.3">
      <c r="A223" s="187" t="s">
        <v>83</v>
      </c>
      <c r="B223" s="174" t="str">
        <f>INDEX(Orçamentária!A:B,MATCH(Composições!A223,Orçamentária!A:A,0),2)</f>
        <v>Retirada de entulhos</v>
      </c>
      <c r="C223" s="41"/>
      <c r="D223" s="26" t="str">
        <f>TRIM(INDEX(Orçamentária!C:C,MATCH(Composições!A223,Orçamentária!A:A,0),1))</f>
        <v>m3</v>
      </c>
      <c r="E223" s="27"/>
      <c r="F223" s="42" t="s">
        <v>568</v>
      </c>
      <c r="G223" s="28" t="str">
        <f>IF(ISNUMBER(F223),E223*F223,"")</f>
        <v/>
      </c>
      <c r="H223" s="29"/>
      <c r="I223" s="30"/>
      <c r="J223" s="155">
        <v>92.18</v>
      </c>
    </row>
    <row r="224" spans="1:10" x14ac:dyDescent="0.25">
      <c r="A224" s="188"/>
      <c r="B224" s="175"/>
      <c r="C224" s="32"/>
      <c r="D224" s="32"/>
      <c r="E224" s="33"/>
      <c r="F224" s="43" t="s">
        <v>568</v>
      </c>
      <c r="G224" s="31" t="str">
        <f>IF(ISNUMBER(F224),E224*F224,"")</f>
        <v/>
      </c>
      <c r="H224" s="35"/>
      <c r="I224" s="31"/>
      <c r="J224" s="155">
        <v>92.18</v>
      </c>
    </row>
    <row r="225" spans="1:10" x14ac:dyDescent="0.25">
      <c r="A225" s="188"/>
      <c r="B225" s="175"/>
      <c r="C225" s="36" t="s">
        <v>23</v>
      </c>
      <c r="D225" s="36" t="s">
        <v>12</v>
      </c>
      <c r="E225" s="37">
        <v>1</v>
      </c>
      <c r="F225" s="31">
        <v>16.311500000000002</v>
      </c>
      <c r="G225" s="34">
        <f>IF(ISNUMBER(F225),E225*F225,"")</f>
        <v>16.311500000000002</v>
      </c>
      <c r="H225" s="39">
        <f>SUM(G225:G225)</f>
        <v>16.311500000000002</v>
      </c>
      <c r="I225" s="40"/>
      <c r="J225" s="155">
        <v>92.18</v>
      </c>
    </row>
    <row r="226" spans="1:10" ht="15.75" thickBot="1" x14ac:dyDescent="0.3">
      <c r="A226" s="188"/>
      <c r="B226" s="175"/>
      <c r="C226" s="36"/>
      <c r="D226" s="36"/>
      <c r="E226" s="37"/>
      <c r="F226" s="31" t="s">
        <v>568</v>
      </c>
      <c r="G226" s="31" t="str">
        <f>IF(ISNUMBER(F226),E226*F226,"")</f>
        <v/>
      </c>
      <c r="H226" s="35"/>
      <c r="I226" s="31"/>
      <c r="J226" s="155">
        <v>92.18</v>
      </c>
    </row>
    <row r="227" spans="1:10" ht="15.75" hidden="1" thickBot="1" x14ac:dyDescent="0.3">
      <c r="A227" s="187" t="s">
        <v>84</v>
      </c>
      <c r="B227" s="174" t="str">
        <f>INDEX(Orçamentária!A:B,MATCH(Composições!A227,Orçamentária!A:A,0),2)</f>
        <v>Andaime fachadeiro</v>
      </c>
      <c r="C227" s="41"/>
      <c r="D227" s="26" t="str">
        <f>TRIM(INDEX(Orçamentária!C:C,MATCH(Composições!A227,Orçamentária!A:A,0),1))</f>
        <v>m2 x mês</v>
      </c>
      <c r="E227" s="27"/>
      <c r="F227" s="42" t="s">
        <v>568</v>
      </c>
      <c r="G227" s="28" t="str">
        <f>IF(ISNUMBER(F227),E227*F227,"")</f>
        <v/>
      </c>
      <c r="H227" s="29"/>
      <c r="I227" s="30"/>
      <c r="J227" s="155">
        <v>0</v>
      </c>
    </row>
    <row r="228" spans="1:10" ht="15.75" hidden="1" thickBot="1" x14ac:dyDescent="0.3">
      <c r="A228" s="188"/>
      <c r="B228" s="175"/>
      <c r="C228" s="32"/>
      <c r="D228" s="32"/>
      <c r="E228" s="33"/>
      <c r="F228" s="43" t="s">
        <v>568</v>
      </c>
      <c r="G228" s="31" t="str">
        <f>IF(ISNUMBER(F228),E228*F228,"")</f>
        <v/>
      </c>
      <c r="H228" s="35"/>
      <c r="I228" s="31"/>
      <c r="J228" s="155">
        <v>0</v>
      </c>
    </row>
    <row r="229" spans="1:10" ht="39" hidden="1" thickBot="1" x14ac:dyDescent="0.3">
      <c r="A229" s="188"/>
      <c r="B229" s="175"/>
      <c r="C229" s="36" t="s">
        <v>85</v>
      </c>
      <c r="D229" s="36" t="s">
        <v>86</v>
      </c>
      <c r="E229" s="37">
        <v>1</v>
      </c>
      <c r="F229" s="31">
        <v>3.7905000000000002</v>
      </c>
      <c r="G229" s="34">
        <f>IF(ISNUMBER(F229),E229*F229,"")</f>
        <v>3.7905000000000002</v>
      </c>
      <c r="H229" s="39">
        <f>SUM(G229:G229)</f>
        <v>3.7905000000000002</v>
      </c>
      <c r="I229" s="40"/>
      <c r="J229" s="155">
        <v>0</v>
      </c>
    </row>
    <row r="230" spans="1:10" ht="15.75" hidden="1" thickBot="1" x14ac:dyDescent="0.3">
      <c r="A230" s="188"/>
      <c r="B230" s="175"/>
      <c r="C230" s="36"/>
      <c r="D230" s="36"/>
      <c r="E230" s="37"/>
      <c r="F230" s="31" t="s">
        <v>568</v>
      </c>
      <c r="G230" s="31" t="str">
        <f>IF(ISNUMBER(F230),E230*F230,"")</f>
        <v/>
      </c>
      <c r="H230" s="35"/>
      <c r="I230" s="31"/>
      <c r="J230" s="155">
        <v>0</v>
      </c>
    </row>
    <row r="231" spans="1:10" ht="15.75" thickBot="1" x14ac:dyDescent="0.3">
      <c r="A231" s="172" t="s">
        <v>87</v>
      </c>
      <c r="B231" s="174" t="str">
        <f>INDEX(Orçamentária!A:B,MATCH(Composições!A231,Orçamentária!A:A,0),2)</f>
        <v>Andaime tubular (aluguel/mês)</v>
      </c>
      <c r="C231" s="41"/>
      <c r="D231" s="26" t="str">
        <f>TRIM(INDEX(Orçamentária!C:C,MATCH(Composições!A231,Orçamentária!A:A,0),1))</f>
        <v>m x mês</v>
      </c>
      <c r="E231" s="27"/>
      <c r="F231" s="42" t="s">
        <v>568</v>
      </c>
      <c r="G231" s="28" t="str">
        <f>IF(ISNUMBER(F231),E231*F231,"")</f>
        <v/>
      </c>
      <c r="H231" s="29"/>
      <c r="I231" s="30"/>
      <c r="J231" s="155">
        <v>24</v>
      </c>
    </row>
    <row r="232" spans="1:10" x14ac:dyDescent="0.25">
      <c r="A232" s="176"/>
      <c r="B232" s="175"/>
      <c r="C232" s="32"/>
      <c r="D232" s="32"/>
      <c r="E232" s="33"/>
      <c r="F232" s="43" t="s">
        <v>568</v>
      </c>
      <c r="G232" s="31" t="str">
        <f>IF(ISNUMBER(F232),E232*F232,"")</f>
        <v/>
      </c>
      <c r="H232" s="35"/>
      <c r="I232" s="31"/>
      <c r="J232" s="155">
        <v>24</v>
      </c>
    </row>
    <row r="233" spans="1:10" ht="38.25" x14ac:dyDescent="0.25">
      <c r="A233" s="176"/>
      <c r="B233" s="175"/>
      <c r="C233" s="36" t="s">
        <v>3804</v>
      </c>
      <c r="D233" s="47" t="s">
        <v>88</v>
      </c>
      <c r="E233" s="37">
        <v>1</v>
      </c>
      <c r="F233" s="31">
        <v>11.399999999999999</v>
      </c>
      <c r="G233" s="31">
        <f>IF(ISNUMBER(F233),E233*F233,"")</f>
        <v>11.399999999999999</v>
      </c>
      <c r="H233" s="39">
        <f>SUM(G233:G233)</f>
        <v>11.399999999999999</v>
      </c>
      <c r="I233" s="40"/>
      <c r="J233" s="155">
        <v>24</v>
      </c>
    </row>
    <row r="234" spans="1:10" ht="15.75" thickBot="1" x14ac:dyDescent="0.3">
      <c r="A234" s="177"/>
      <c r="B234" s="178"/>
      <c r="C234" s="36"/>
      <c r="D234" s="36"/>
      <c r="E234" s="37"/>
      <c r="F234" s="31" t="s">
        <v>568</v>
      </c>
      <c r="G234" s="31" t="str">
        <f>IF(ISNUMBER(F234),E234*F234,"")</f>
        <v/>
      </c>
      <c r="H234" s="35"/>
      <c r="I234" s="31"/>
      <c r="J234" s="155">
        <v>24</v>
      </c>
    </row>
    <row r="235" spans="1:10" ht="15.75" hidden="1" thickBot="1" x14ac:dyDescent="0.3">
      <c r="A235" s="187" t="s">
        <v>89</v>
      </c>
      <c r="B235" s="174" t="str">
        <f>INDEX(Orçamentária!A:B,MATCH(Composições!A235,Orçamentária!A:A,0),2)</f>
        <v>Corda de poliamida 12 mm tipo bombeiro, para trabalho em altura</v>
      </c>
      <c r="C235" s="41"/>
      <c r="D235" s="26" t="str">
        <f>TRIM(INDEX(Orçamentária!C:C,MATCH(Composições!A235,Orçamentária!A:A,0),1))</f>
        <v>m</v>
      </c>
      <c r="E235" s="27"/>
      <c r="F235" s="42" t="s">
        <v>568</v>
      </c>
      <c r="G235" s="28" t="str">
        <f>IF(ISNUMBER(F235),E235*F235,"")</f>
        <v/>
      </c>
      <c r="H235" s="29"/>
      <c r="I235" s="30"/>
      <c r="J235" s="155">
        <v>0</v>
      </c>
    </row>
    <row r="236" spans="1:10" ht="15.75" hidden="1" thickBot="1" x14ac:dyDescent="0.3">
      <c r="A236" s="188"/>
      <c r="B236" s="175"/>
      <c r="C236" s="32"/>
      <c r="D236" s="32"/>
      <c r="E236" s="33"/>
      <c r="F236" s="43" t="s">
        <v>568</v>
      </c>
      <c r="G236" s="31" t="str">
        <f>IF(ISNUMBER(F236),E236*F236,"")</f>
        <v/>
      </c>
      <c r="H236" s="35"/>
      <c r="I236" s="31"/>
      <c r="J236" s="155">
        <v>0</v>
      </c>
    </row>
    <row r="237" spans="1:10" ht="26.25" hidden="1" thickBot="1" x14ac:dyDescent="0.3">
      <c r="A237" s="188"/>
      <c r="B237" s="175"/>
      <c r="C237" s="36" t="s">
        <v>90</v>
      </c>
      <c r="D237" s="36" t="s">
        <v>91</v>
      </c>
      <c r="E237" s="37">
        <v>0.01</v>
      </c>
      <c r="F237" s="31">
        <v>491.44449999999995</v>
      </c>
      <c r="G237" s="34">
        <f>IF(ISNUMBER(F237),E237*F237,"")</f>
        <v>4.9144449999999997</v>
      </c>
      <c r="H237" s="39">
        <f>SUM(G237:G237)</f>
        <v>4.9144449999999997</v>
      </c>
      <c r="I237" s="40"/>
      <c r="J237" s="155">
        <v>0</v>
      </c>
    </row>
    <row r="238" spans="1:10" ht="15.75" hidden="1" thickBot="1" x14ac:dyDescent="0.3">
      <c r="A238" s="188"/>
      <c r="B238" s="175"/>
      <c r="C238" s="36"/>
      <c r="D238" s="36"/>
      <c r="E238" s="37"/>
      <c r="F238" s="31" t="s">
        <v>568</v>
      </c>
      <c r="G238" s="31" t="str">
        <f>IF(ISNUMBER(F238),E238*F238,"")</f>
        <v/>
      </c>
      <c r="H238" s="35"/>
      <c r="I238" s="31"/>
      <c r="J238" s="155">
        <v>0</v>
      </c>
    </row>
    <row r="239" spans="1:10" ht="15.75" hidden="1" thickBot="1" x14ac:dyDescent="0.3">
      <c r="A239" s="172" t="s">
        <v>92</v>
      </c>
      <c r="B239" s="174" t="str">
        <f>INDEX(Orçamentária!A:B,MATCH(Composições!A239,Orçamentária!A:A,0),2)</f>
        <v>Isolamento de obra com tela plástica com malha de 5mm e estrutura de madeira pontaleteada</v>
      </c>
      <c r="C239" s="41"/>
      <c r="D239" s="26" t="str">
        <f>TRIM(INDEX(Orçamentária!C:C,MATCH(Composições!A239,Orçamentária!A:A,0),1))</f>
        <v>m2</v>
      </c>
      <c r="E239" s="27"/>
      <c r="F239" s="49" t="s">
        <v>568</v>
      </c>
      <c r="G239" s="28" t="str">
        <f>IF(ISNUMBER(F239),E239*F239,"")</f>
        <v/>
      </c>
      <c r="H239" s="29"/>
      <c r="I239" s="30"/>
      <c r="J239" s="155">
        <v>0</v>
      </c>
    </row>
    <row r="240" spans="1:10" ht="15.75" hidden="1" thickBot="1" x14ac:dyDescent="0.3">
      <c r="A240" s="176"/>
      <c r="B240" s="175"/>
      <c r="C240" s="32"/>
      <c r="D240" s="32"/>
      <c r="E240" s="33"/>
      <c r="F240" s="31" t="s">
        <v>568</v>
      </c>
      <c r="G240" s="31" t="str">
        <f>IF(ISNUMBER(F240),E240*F240,"")</f>
        <v/>
      </c>
      <c r="H240" s="35"/>
      <c r="I240" s="31"/>
      <c r="J240" s="155">
        <v>0</v>
      </c>
    </row>
    <row r="241" spans="1:10" ht="15.75" hidden="1" thickBot="1" x14ac:dyDescent="0.3">
      <c r="A241" s="176"/>
      <c r="B241" s="175"/>
      <c r="C241" s="36" t="s">
        <v>23</v>
      </c>
      <c r="D241" s="36" t="s">
        <v>12</v>
      </c>
      <c r="E241" s="37">
        <v>0.15</v>
      </c>
      <c r="F241" s="31">
        <v>16.311500000000002</v>
      </c>
      <c r="G241" s="31">
        <f>IF(ISNUMBER(F241),E241*F241,"")</f>
        <v>2.4467250000000003</v>
      </c>
      <c r="H241" s="39">
        <f>SUM(G241:G245)</f>
        <v>21.45195</v>
      </c>
      <c r="I241" s="40"/>
      <c r="J241" s="155">
        <v>0</v>
      </c>
    </row>
    <row r="242" spans="1:10" ht="15.75" hidden="1" thickBot="1" x14ac:dyDescent="0.3">
      <c r="A242" s="176"/>
      <c r="B242" s="175"/>
      <c r="C242" s="36" t="s">
        <v>78</v>
      </c>
      <c r="D242" s="36" t="s">
        <v>12</v>
      </c>
      <c r="E242" s="37">
        <v>0.3</v>
      </c>
      <c r="F242" s="31">
        <v>21.878499999999999</v>
      </c>
      <c r="G242" s="31">
        <f>IF(ISNUMBER(F242),E242*F242,"")</f>
        <v>6.5635499999999993</v>
      </c>
      <c r="H242" s="35"/>
      <c r="I242" s="31"/>
      <c r="J242" s="155">
        <v>0</v>
      </c>
    </row>
    <row r="243" spans="1:10" ht="26.25" hidden="1" thickBot="1" x14ac:dyDescent="0.3">
      <c r="A243" s="176"/>
      <c r="B243" s="175"/>
      <c r="C243" s="36" t="s">
        <v>3780</v>
      </c>
      <c r="D243" s="36" t="s">
        <v>93</v>
      </c>
      <c r="E243" s="37">
        <v>1.5</v>
      </c>
      <c r="F243" s="34">
        <v>5.6905000000000001</v>
      </c>
      <c r="G243" s="31">
        <f>IF(ISNUMBER(F243),E243*F243,"")</f>
        <v>8.5357500000000002</v>
      </c>
      <c r="H243" s="35"/>
      <c r="I243" s="31"/>
      <c r="J243" s="155">
        <v>0</v>
      </c>
    </row>
    <row r="244" spans="1:10" ht="15.75" hidden="1" thickBot="1" x14ac:dyDescent="0.3">
      <c r="A244" s="176"/>
      <c r="B244" s="175"/>
      <c r="C244" s="36" t="s">
        <v>94</v>
      </c>
      <c r="D244" s="36" t="s">
        <v>42</v>
      </c>
      <c r="E244" s="37">
        <v>0.1</v>
      </c>
      <c r="F244" s="34">
        <v>17.099999999999998</v>
      </c>
      <c r="G244" s="31">
        <f>IF(ISNUMBER(F244),E244*F244,"")</f>
        <v>1.71</v>
      </c>
      <c r="H244" s="35"/>
      <c r="I244" s="31"/>
      <c r="J244" s="155">
        <v>0</v>
      </c>
    </row>
    <row r="245" spans="1:10" ht="26.25" hidden="1" thickBot="1" x14ac:dyDescent="0.3">
      <c r="A245" s="176"/>
      <c r="B245" s="175"/>
      <c r="C245" s="36" t="s">
        <v>3473</v>
      </c>
      <c r="D245" s="36" t="s">
        <v>93</v>
      </c>
      <c r="E245" s="37">
        <v>1.1499999999999999</v>
      </c>
      <c r="F245" s="34">
        <v>1.9094999999999998</v>
      </c>
      <c r="G245" s="31">
        <f>IF(ISNUMBER(F245),E245*F245,"")</f>
        <v>2.1959249999999995</v>
      </c>
      <c r="H245" s="35"/>
      <c r="I245" s="31"/>
      <c r="J245" s="155">
        <v>0</v>
      </c>
    </row>
    <row r="246" spans="1:10" ht="15.75" hidden="1" thickBot="1" x14ac:dyDescent="0.3">
      <c r="A246" s="177"/>
      <c r="B246" s="178"/>
      <c r="C246" s="36"/>
      <c r="D246" s="36"/>
      <c r="E246" s="37"/>
      <c r="F246" s="31" t="s">
        <v>568</v>
      </c>
      <c r="G246" s="31" t="str">
        <f>IF(ISNUMBER(F246),E246*F246,"")</f>
        <v/>
      </c>
      <c r="H246" s="35"/>
      <c r="I246" s="31"/>
      <c r="J246" s="155">
        <v>0</v>
      </c>
    </row>
    <row r="247" spans="1:10" ht="15.75" hidden="1" thickBot="1" x14ac:dyDescent="0.3">
      <c r="A247" s="172" t="s">
        <v>96</v>
      </c>
      <c r="B247" s="174" t="str">
        <f>INDEX(Orçamentária!A:B,MATCH(Composições!A247,Orçamentária!A:A,0),2)</f>
        <v>Tapume</v>
      </c>
      <c r="C247" s="41"/>
      <c r="D247" s="26" t="str">
        <f>TRIM(INDEX(Orçamentária!C:C,MATCH(Composições!A247,Orçamentária!A:A,0),1))</f>
        <v>m2</v>
      </c>
      <c r="E247" s="27"/>
      <c r="F247" s="42" t="s">
        <v>568</v>
      </c>
      <c r="G247" s="28" t="str">
        <f>IF(ISNUMBER(F247),E247*F247,"")</f>
        <v/>
      </c>
      <c r="H247" s="29"/>
      <c r="I247" s="30"/>
      <c r="J247" s="155">
        <v>0</v>
      </c>
    </row>
    <row r="248" spans="1:10" ht="15.75" hidden="1" thickBot="1" x14ac:dyDescent="0.3">
      <c r="A248" s="176"/>
      <c r="B248" s="175"/>
      <c r="C248" s="32"/>
      <c r="D248" s="32"/>
      <c r="E248" s="33"/>
      <c r="F248" s="43" t="s">
        <v>568</v>
      </c>
      <c r="G248" s="31" t="str">
        <f>IF(ISNUMBER(F248),E248*F248,"")</f>
        <v/>
      </c>
      <c r="H248" s="35"/>
      <c r="I248" s="31"/>
      <c r="J248" s="155">
        <v>0</v>
      </c>
    </row>
    <row r="249" spans="1:10" ht="15.75" hidden="1" thickBot="1" x14ac:dyDescent="0.3">
      <c r="A249" s="176"/>
      <c r="B249" s="175"/>
      <c r="C249" s="36" t="s">
        <v>78</v>
      </c>
      <c r="D249" s="36" t="s">
        <v>12</v>
      </c>
      <c r="E249" s="37">
        <v>0.4</v>
      </c>
      <c r="F249" s="31">
        <v>21.878499999999999</v>
      </c>
      <c r="G249" s="31">
        <f>IF(ISNUMBER(F249),E249*F249,"")</f>
        <v>8.7514000000000003</v>
      </c>
      <c r="H249" s="39">
        <f>SUM(G249:G260)</f>
        <v>58.946298249999991</v>
      </c>
      <c r="I249" s="40"/>
      <c r="J249" s="155">
        <v>0</v>
      </c>
    </row>
    <row r="250" spans="1:10" ht="15.75" hidden="1" thickBot="1" x14ac:dyDescent="0.3">
      <c r="A250" s="176"/>
      <c r="B250" s="175"/>
      <c r="C250" s="36" t="s">
        <v>23</v>
      </c>
      <c r="D250" s="36" t="s">
        <v>12</v>
      </c>
      <c r="E250" s="37">
        <v>0.4</v>
      </c>
      <c r="F250" s="31">
        <v>16.311500000000002</v>
      </c>
      <c r="G250" s="31">
        <f>IF(ISNUMBER(F250),E250*F250,"")</f>
        <v>6.5246000000000013</v>
      </c>
      <c r="H250" s="35"/>
      <c r="I250" s="31"/>
      <c r="J250" s="155">
        <v>0</v>
      </c>
    </row>
    <row r="251" spans="1:10" ht="15.75" hidden="1" thickBot="1" x14ac:dyDescent="0.3">
      <c r="A251" s="176"/>
      <c r="B251" s="175"/>
      <c r="C251" s="36" t="s">
        <v>97</v>
      </c>
      <c r="D251" s="36" t="s">
        <v>95</v>
      </c>
      <c r="E251" s="37">
        <v>1.1000000000000001</v>
      </c>
      <c r="F251" s="31">
        <v>0</v>
      </c>
      <c r="G251" s="31">
        <f>IF(ISNUMBER(F251),E251*F251,"")</f>
        <v>0</v>
      </c>
      <c r="H251" s="35"/>
      <c r="I251" s="31"/>
      <c r="J251" s="155">
        <v>0</v>
      </c>
    </row>
    <row r="252" spans="1:10" ht="26.25" hidden="1" thickBot="1" x14ac:dyDescent="0.3">
      <c r="A252" s="176"/>
      <c r="B252" s="175"/>
      <c r="C252" s="36" t="s">
        <v>3780</v>
      </c>
      <c r="D252" s="36" t="s">
        <v>93</v>
      </c>
      <c r="E252" s="37">
        <v>1.6</v>
      </c>
      <c r="F252" s="34">
        <v>5.6905000000000001</v>
      </c>
      <c r="G252" s="31">
        <f>IF(ISNUMBER(F252),E252*F252,"")</f>
        <v>9.1048000000000009</v>
      </c>
      <c r="H252" s="35"/>
      <c r="I252" s="31"/>
      <c r="J252" s="155">
        <v>0</v>
      </c>
    </row>
    <row r="253" spans="1:10" ht="26.25" hidden="1" thickBot="1" x14ac:dyDescent="0.3">
      <c r="A253" s="176"/>
      <c r="B253" s="175"/>
      <c r="C253" s="36" t="s">
        <v>98</v>
      </c>
      <c r="D253" s="36" t="s">
        <v>93</v>
      </c>
      <c r="E253" s="37">
        <v>1.65</v>
      </c>
      <c r="F253" s="34">
        <v>7.3055000000000003</v>
      </c>
      <c r="G253" s="31">
        <f>IF(ISNUMBER(F253),E253*F253,"")</f>
        <v>12.054074999999999</v>
      </c>
      <c r="H253" s="35"/>
      <c r="I253" s="31"/>
      <c r="J253" s="155">
        <v>0</v>
      </c>
    </row>
    <row r="254" spans="1:10" ht="26.25" hidden="1" thickBot="1" x14ac:dyDescent="0.3">
      <c r="A254" s="176"/>
      <c r="B254" s="175"/>
      <c r="C254" s="36" t="s">
        <v>99</v>
      </c>
      <c r="D254" s="36" t="s">
        <v>93</v>
      </c>
      <c r="E254" s="37">
        <v>0.5</v>
      </c>
      <c r="F254" s="34">
        <v>21.355999999999998</v>
      </c>
      <c r="G254" s="31">
        <f>IF(ISNUMBER(F254),E254*F254,"")</f>
        <v>10.677999999999999</v>
      </c>
      <c r="H254" s="35"/>
      <c r="I254" s="31"/>
      <c r="J254" s="155">
        <v>0</v>
      </c>
    </row>
    <row r="255" spans="1:10" ht="15.75" hidden="1" thickBot="1" x14ac:dyDescent="0.3">
      <c r="A255" s="176"/>
      <c r="B255" s="175"/>
      <c r="C255" s="36" t="s">
        <v>100</v>
      </c>
      <c r="D255" s="36" t="s">
        <v>42</v>
      </c>
      <c r="E255" s="37">
        <v>0.1</v>
      </c>
      <c r="F255" s="34">
        <v>17.394499999999997</v>
      </c>
      <c r="G255" s="31">
        <f>IF(ISNUMBER(F255),E255*F255,"")</f>
        <v>1.7394499999999997</v>
      </c>
      <c r="H255" s="35"/>
      <c r="I255" s="31"/>
      <c r="J255" s="155">
        <v>0</v>
      </c>
    </row>
    <row r="256" spans="1:10" ht="15.75" hidden="1" thickBot="1" x14ac:dyDescent="0.3">
      <c r="A256" s="176"/>
      <c r="B256" s="175"/>
      <c r="C256" s="36" t="s">
        <v>101</v>
      </c>
      <c r="D256" s="36" t="s">
        <v>12</v>
      </c>
      <c r="E256" s="37">
        <v>1.5E-3</v>
      </c>
      <c r="F256" s="34">
        <v>18.515499999999999</v>
      </c>
      <c r="G256" s="31">
        <f>IF(ISNUMBER(F256),E256*F256,"")</f>
        <v>2.7773249999999999E-2</v>
      </c>
      <c r="H256" s="35"/>
      <c r="I256" s="31"/>
      <c r="J256" s="155">
        <v>0</v>
      </c>
    </row>
    <row r="257" spans="1:10" ht="15.75" hidden="1" thickBot="1" x14ac:dyDescent="0.3">
      <c r="A257" s="176"/>
      <c r="B257" s="175"/>
      <c r="C257" s="36" t="s">
        <v>102</v>
      </c>
      <c r="D257" s="36" t="s">
        <v>12</v>
      </c>
      <c r="E257" s="37">
        <v>0.4</v>
      </c>
      <c r="F257" s="34">
        <v>23.027999999999999</v>
      </c>
      <c r="G257" s="31">
        <f>IF(ISNUMBER(F257),E257*F257,"")</f>
        <v>9.2111999999999998</v>
      </c>
      <c r="H257" s="35"/>
      <c r="I257" s="31"/>
      <c r="J257" s="155">
        <v>0</v>
      </c>
    </row>
    <row r="258" spans="1:10" ht="15.75" hidden="1" thickBot="1" x14ac:dyDescent="0.3">
      <c r="A258" s="176"/>
      <c r="B258" s="175"/>
      <c r="C258" s="36" t="s">
        <v>103</v>
      </c>
      <c r="D258" s="36" t="s">
        <v>104</v>
      </c>
      <c r="E258" s="37">
        <v>2.2499999999999999E-2</v>
      </c>
      <c r="F258" s="34" t="s">
        <v>568</v>
      </c>
      <c r="G258" s="31" t="str">
        <f>IF(ISNUMBER(F258),E258*F258,"")</f>
        <v/>
      </c>
      <c r="H258" s="35"/>
      <c r="I258" s="31"/>
      <c r="J258" s="155">
        <v>0</v>
      </c>
    </row>
    <row r="259" spans="1:10" ht="15.75" hidden="1" thickBot="1" x14ac:dyDescent="0.3">
      <c r="A259" s="176"/>
      <c r="B259" s="175"/>
      <c r="C259" s="36" t="s">
        <v>105</v>
      </c>
      <c r="D259" s="36" t="s">
        <v>42</v>
      </c>
      <c r="E259" s="37">
        <v>0.6</v>
      </c>
      <c r="F259" s="34">
        <v>1.4249999999999998</v>
      </c>
      <c r="G259" s="31">
        <f>IF(ISNUMBER(F259),E259*F259,"")</f>
        <v>0.85499999999999987</v>
      </c>
      <c r="H259" s="35"/>
      <c r="I259" s="31"/>
      <c r="J259" s="155">
        <v>0</v>
      </c>
    </row>
    <row r="260" spans="1:10" ht="15.75" hidden="1" thickBot="1" x14ac:dyDescent="0.3">
      <c r="A260" s="176"/>
      <c r="B260" s="175"/>
      <c r="C260" s="36" t="s">
        <v>106</v>
      </c>
      <c r="D260" s="36" t="s">
        <v>42</v>
      </c>
      <c r="E260" s="37">
        <v>1.4999999999999999E-2</v>
      </c>
      <c r="F260" s="34" t="s">
        <v>568</v>
      </c>
      <c r="G260" s="31" t="str">
        <f>IF(ISNUMBER(F260),E260*F260,"")</f>
        <v/>
      </c>
      <c r="H260" s="35"/>
      <c r="I260" s="31"/>
      <c r="J260" s="155">
        <v>0</v>
      </c>
    </row>
    <row r="261" spans="1:10" ht="15.75" hidden="1" thickBot="1" x14ac:dyDescent="0.3">
      <c r="A261" s="177"/>
      <c r="B261" s="178"/>
      <c r="C261" s="36"/>
      <c r="D261" s="36"/>
      <c r="E261" s="37"/>
      <c r="F261" s="31" t="s">
        <v>568</v>
      </c>
      <c r="G261" s="31" t="str">
        <f>IF(ISNUMBER(F261),E261*F261,"")</f>
        <v/>
      </c>
      <c r="H261" s="35"/>
      <c r="I261" s="31"/>
      <c r="J261" s="155">
        <v>0</v>
      </c>
    </row>
    <row r="262" spans="1:10" ht="15.75" thickBot="1" x14ac:dyDescent="0.3">
      <c r="A262" s="172" t="s">
        <v>107</v>
      </c>
      <c r="B262" s="174" t="str">
        <f>INDEX(Orçamentária!A:B,MATCH(Composições!A262,Orçamentária!A:A,0),2)</f>
        <v>Limpeza final de obra</v>
      </c>
      <c r="C262" s="41"/>
      <c r="D262" s="26" t="str">
        <f>TRIM(INDEX(Orçamentária!C:C,MATCH(Composições!A262,Orçamentária!A:A,0),1))</f>
        <v>m2</v>
      </c>
      <c r="E262" s="27"/>
      <c r="F262" s="42" t="s">
        <v>568</v>
      </c>
      <c r="G262" s="28" t="str">
        <f>IF(ISNUMBER(F262),E262*F262,"")</f>
        <v/>
      </c>
      <c r="H262" s="29"/>
      <c r="I262" s="30"/>
      <c r="J262" s="155">
        <v>382</v>
      </c>
    </row>
    <row r="263" spans="1:10" x14ac:dyDescent="0.25">
      <c r="A263" s="176"/>
      <c r="B263" s="175"/>
      <c r="C263" s="32"/>
      <c r="D263" s="32"/>
      <c r="E263" s="33"/>
      <c r="F263" s="43" t="s">
        <v>568</v>
      </c>
      <c r="G263" s="31" t="str">
        <f>IF(ISNUMBER(F263),E263*F263,"")</f>
        <v/>
      </c>
      <c r="H263" s="35"/>
      <c r="I263" s="31"/>
      <c r="J263" s="155">
        <v>382</v>
      </c>
    </row>
    <row r="264" spans="1:10" x14ac:dyDescent="0.25">
      <c r="A264" s="176"/>
      <c r="B264" s="175"/>
      <c r="C264" s="36" t="s">
        <v>23</v>
      </c>
      <c r="D264" s="50" t="s">
        <v>12</v>
      </c>
      <c r="E264" s="37">
        <v>2.5000000000000001E-2</v>
      </c>
      <c r="F264" s="31">
        <v>16.311500000000002</v>
      </c>
      <c r="G264" s="31">
        <f>IF(ISNUMBER(F264),E264*F264,"")</f>
        <v>0.40778750000000008</v>
      </c>
      <c r="H264" s="39">
        <f>SUM(G264:G265)</f>
        <v>1.9900030000000002</v>
      </c>
      <c r="I264" s="40"/>
      <c r="J264" s="155">
        <v>382</v>
      </c>
    </row>
    <row r="265" spans="1:10" x14ac:dyDescent="0.25">
      <c r="A265" s="176"/>
      <c r="B265" s="175"/>
      <c r="C265" s="36" t="s">
        <v>23</v>
      </c>
      <c r="D265" s="50" t="s">
        <v>12</v>
      </c>
      <c r="E265" s="37">
        <v>9.7000000000000003E-2</v>
      </c>
      <c r="F265" s="31">
        <v>16.311500000000002</v>
      </c>
      <c r="G265" s="31">
        <f>IF(ISNUMBER(F265),E265*F265,"")</f>
        <v>1.5822155000000002</v>
      </c>
      <c r="H265" s="35"/>
      <c r="I265" s="40"/>
      <c r="J265" s="155">
        <v>382</v>
      </c>
    </row>
    <row r="266" spans="1:10" ht="15.75" thickBot="1" x14ac:dyDescent="0.3">
      <c r="A266" s="177"/>
      <c r="B266" s="178"/>
      <c r="C266" s="36"/>
      <c r="D266" s="36"/>
      <c r="E266" s="37"/>
      <c r="F266" s="31" t="s">
        <v>568</v>
      </c>
      <c r="G266" s="31" t="str">
        <f>IF(ISNUMBER(F266),E266*F266,"")</f>
        <v/>
      </c>
      <c r="H266" s="35"/>
      <c r="I266" s="31"/>
      <c r="J266" s="155">
        <v>382</v>
      </c>
    </row>
    <row r="267" spans="1:10" ht="15.75" thickBot="1" x14ac:dyDescent="0.3">
      <c r="A267" s="172" t="s">
        <v>108</v>
      </c>
      <c r="B267" s="174" t="str">
        <f>INDEX(Orçamentária!A:B,MATCH(Composições!A267,Orçamentária!A:A,0),2)</f>
        <v>Abertura/fechamento rasgo em alvenaria</v>
      </c>
      <c r="C267" s="41"/>
      <c r="D267" s="26" t="str">
        <f>TRIM(INDEX(Orçamentária!C:C,MATCH(Composições!A267,Orçamentária!A:A,0),1))</f>
        <v>m</v>
      </c>
      <c r="E267" s="27"/>
      <c r="F267" s="42" t="s">
        <v>568</v>
      </c>
      <c r="G267" s="28" t="str">
        <f>IF(ISNUMBER(F267),E267*F267,"")</f>
        <v/>
      </c>
      <c r="H267" s="29"/>
      <c r="I267" s="30"/>
      <c r="J267" s="155">
        <v>238.2</v>
      </c>
    </row>
    <row r="268" spans="1:10" x14ac:dyDescent="0.25">
      <c r="A268" s="176"/>
      <c r="B268" s="175"/>
      <c r="C268" s="32"/>
      <c r="D268" s="32"/>
      <c r="E268" s="33"/>
      <c r="F268" s="43" t="s">
        <v>568</v>
      </c>
      <c r="G268" s="31" t="str">
        <f>IF(ISNUMBER(F268),E268*F268,"")</f>
        <v/>
      </c>
      <c r="H268" s="35"/>
      <c r="I268" s="31"/>
      <c r="J268" s="155">
        <v>238.2</v>
      </c>
    </row>
    <row r="269" spans="1:10" x14ac:dyDescent="0.25">
      <c r="A269" s="176"/>
      <c r="B269" s="175"/>
      <c r="C269" s="36" t="s">
        <v>74</v>
      </c>
      <c r="D269" s="36" t="s">
        <v>12</v>
      </c>
      <c r="E269" s="37">
        <v>3.4000000000000002E-2</v>
      </c>
      <c r="F269" s="31">
        <v>17.366</v>
      </c>
      <c r="G269" s="31">
        <f>IF(ISNUMBER(F269),E269*F269,"")</f>
        <v>0.59044400000000008</v>
      </c>
      <c r="H269" s="39">
        <f>SUM(G269:G273)</f>
        <v>16.317289953847002</v>
      </c>
      <c r="I269" s="40"/>
      <c r="J269" s="155">
        <v>238.2</v>
      </c>
    </row>
    <row r="270" spans="1:10" x14ac:dyDescent="0.25">
      <c r="A270" s="176"/>
      <c r="B270" s="175"/>
      <c r="C270" s="36" t="s">
        <v>30</v>
      </c>
      <c r="D270" s="36" t="s">
        <v>12</v>
      </c>
      <c r="E270" s="37">
        <v>0.216</v>
      </c>
      <c r="F270" s="31">
        <v>22.268000000000001</v>
      </c>
      <c r="G270" s="31">
        <f>IF(ISNUMBER(F270),E270*F270,"")</f>
        <v>4.8098879999999999</v>
      </c>
      <c r="H270" s="35"/>
      <c r="I270" s="31"/>
      <c r="J270" s="155">
        <v>238.2</v>
      </c>
    </row>
    <row r="271" spans="1:10" ht="25.5" x14ac:dyDescent="0.25">
      <c r="A271" s="176"/>
      <c r="B271" s="175"/>
      <c r="C271" s="36" t="s">
        <v>109</v>
      </c>
      <c r="D271" s="36" t="s">
        <v>12</v>
      </c>
      <c r="E271" s="37">
        <v>5.5E-2</v>
      </c>
      <c r="F271" s="31">
        <v>16.891000000000002</v>
      </c>
      <c r="G271" s="31">
        <f>IF(ISNUMBER(F271),E271*F271,"")</f>
        <v>0.92900500000000008</v>
      </c>
      <c r="H271" s="35"/>
      <c r="I271" s="31"/>
      <c r="J271" s="155">
        <v>238.2</v>
      </c>
    </row>
    <row r="272" spans="1:10" x14ac:dyDescent="0.25">
      <c r="A272" s="176"/>
      <c r="B272" s="175"/>
      <c r="C272" s="36" t="s">
        <v>39</v>
      </c>
      <c r="D272" s="47" t="s">
        <v>12</v>
      </c>
      <c r="E272" s="37">
        <v>0.39100000000000001</v>
      </c>
      <c r="F272" s="31">
        <v>21.622</v>
      </c>
      <c r="G272" s="31">
        <f>IF(ISNUMBER(F272),E272*F272,"")</f>
        <v>8.4542020000000004</v>
      </c>
      <c r="H272" s="35"/>
      <c r="I272" s="31"/>
      <c r="J272" s="155">
        <v>238.2</v>
      </c>
    </row>
    <row r="273" spans="1:10" ht="25.5" x14ac:dyDescent="0.25">
      <c r="A273" s="176"/>
      <c r="B273" s="175"/>
      <c r="C273" s="36" t="s">
        <v>110</v>
      </c>
      <c r="D273" s="36" t="s">
        <v>111</v>
      </c>
      <c r="E273" s="37">
        <v>3.0000000000000001E-3</v>
      </c>
      <c r="F273" s="34">
        <v>511.25031794899996</v>
      </c>
      <c r="G273" s="34">
        <f>IF(ISNUMBER(F273),E273*F273,"")</f>
        <v>1.533750953847</v>
      </c>
      <c r="H273" s="35"/>
      <c r="I273" s="31"/>
      <c r="J273" s="155">
        <v>238.2</v>
      </c>
    </row>
    <row r="274" spans="1:10" ht="15.75" thickBot="1" x14ac:dyDescent="0.3">
      <c r="A274" s="177"/>
      <c r="B274" s="178"/>
      <c r="C274" s="36"/>
      <c r="D274" s="36"/>
      <c r="E274" s="37"/>
      <c r="F274" s="31" t="s">
        <v>568</v>
      </c>
      <c r="G274" s="31" t="str">
        <f>IF(ISNUMBER(F274),E274*F274,"")</f>
        <v/>
      </c>
      <c r="H274" s="35"/>
      <c r="I274" s="31"/>
      <c r="J274" s="155">
        <v>238.2</v>
      </c>
    </row>
    <row r="275" spans="1:10" ht="15.75" thickBot="1" x14ac:dyDescent="0.3">
      <c r="A275" s="172" t="s">
        <v>112</v>
      </c>
      <c r="B275" s="174" t="str">
        <f>INDEX(Orçamentária!A:B,MATCH(Composições!A275,Orçamentária!A:A,0),2)</f>
        <v>Furo em concreto de até 75mm de diâmetro</v>
      </c>
      <c r="C275" s="41"/>
      <c r="D275" s="26" t="str">
        <f>TRIM(INDEX(Orçamentária!C:C,MATCH(Composições!A275,Orçamentária!A:A,0),1))</f>
        <v>un</v>
      </c>
      <c r="E275" s="27"/>
      <c r="F275" s="42" t="s">
        <v>568</v>
      </c>
      <c r="G275" s="28" t="str">
        <f>IF(ISNUMBER(F275),E275*F275,"")</f>
        <v/>
      </c>
      <c r="H275" s="29"/>
      <c r="I275" s="30"/>
      <c r="J275" s="155">
        <v>5</v>
      </c>
    </row>
    <row r="276" spans="1:10" x14ac:dyDescent="0.25">
      <c r="A276" s="176"/>
      <c r="B276" s="175"/>
      <c r="C276" s="32"/>
      <c r="D276" s="32"/>
      <c r="E276" s="33"/>
      <c r="F276" s="43" t="s">
        <v>568</v>
      </c>
      <c r="G276" s="31" t="str">
        <f>IF(ISNUMBER(F276),E276*F276,"")</f>
        <v/>
      </c>
      <c r="H276" s="35"/>
      <c r="I276" s="31"/>
      <c r="J276" s="155">
        <v>5</v>
      </c>
    </row>
    <row r="277" spans="1:10" ht="25.5" x14ac:dyDescent="0.25">
      <c r="A277" s="176"/>
      <c r="B277" s="175"/>
      <c r="C277" s="36" t="s">
        <v>32</v>
      </c>
      <c r="D277" s="36" t="s">
        <v>33</v>
      </c>
      <c r="E277" s="37">
        <v>0.58699999999999997</v>
      </c>
      <c r="F277" s="34">
        <v>20.253999999999998</v>
      </c>
      <c r="G277" s="34">
        <f>IF(ISNUMBER(F277),E277*F277,"")</f>
        <v>11.889097999999999</v>
      </c>
      <c r="H277" s="39">
        <f>SUM(G277:G280)</f>
        <v>81.712064999999996</v>
      </c>
      <c r="I277" s="40"/>
      <c r="J277" s="155">
        <v>5</v>
      </c>
    </row>
    <row r="278" spans="1:10" ht="25.5" x14ac:dyDescent="0.25">
      <c r="A278" s="176"/>
      <c r="B278" s="175"/>
      <c r="C278" s="36" t="s">
        <v>34</v>
      </c>
      <c r="D278" s="36" t="s">
        <v>35</v>
      </c>
      <c r="E278" s="37">
        <v>1.29</v>
      </c>
      <c r="F278" s="34">
        <v>18.829000000000001</v>
      </c>
      <c r="G278" s="34">
        <f>IF(ISNUMBER(F278),E278*F278,"")</f>
        <v>24.28941</v>
      </c>
      <c r="H278" s="35"/>
      <c r="I278" s="31"/>
      <c r="J278" s="155">
        <v>5</v>
      </c>
    </row>
    <row r="279" spans="1:10" ht="25.5" x14ac:dyDescent="0.25">
      <c r="A279" s="176"/>
      <c r="B279" s="175"/>
      <c r="C279" s="36" t="s">
        <v>109</v>
      </c>
      <c r="D279" s="36" t="s">
        <v>12</v>
      </c>
      <c r="E279" s="37">
        <v>0.29299999999999998</v>
      </c>
      <c r="F279" s="31">
        <v>16.891000000000002</v>
      </c>
      <c r="G279" s="34">
        <f>IF(ISNUMBER(F279),E279*F279,"")</f>
        <v>4.9490630000000007</v>
      </c>
      <c r="H279" s="35"/>
      <c r="I279" s="31"/>
      <c r="J279" s="155">
        <v>5</v>
      </c>
    </row>
    <row r="280" spans="1:10" x14ac:dyDescent="0.25">
      <c r="A280" s="176"/>
      <c r="B280" s="175"/>
      <c r="C280" s="36" t="s">
        <v>39</v>
      </c>
      <c r="D280" s="47" t="s">
        <v>12</v>
      </c>
      <c r="E280" s="37">
        <v>1.877</v>
      </c>
      <c r="F280" s="31">
        <v>21.622</v>
      </c>
      <c r="G280" s="34">
        <f>IF(ISNUMBER(F280),E280*F280,"")</f>
        <v>40.584493999999999</v>
      </c>
      <c r="H280" s="35"/>
      <c r="I280" s="31"/>
      <c r="J280" s="155">
        <v>5</v>
      </c>
    </row>
    <row r="281" spans="1:10" ht="15.75" thickBot="1" x14ac:dyDescent="0.3">
      <c r="A281" s="177"/>
      <c r="B281" s="178"/>
      <c r="C281" s="36"/>
      <c r="D281" s="36"/>
      <c r="E281" s="37"/>
      <c r="F281" s="31" t="s">
        <v>568</v>
      </c>
      <c r="G281" s="31" t="str">
        <f>IF(ISNUMBER(F281),E281*F281,"")</f>
        <v/>
      </c>
      <c r="H281" s="35"/>
      <c r="I281" s="31"/>
      <c r="J281" s="155">
        <v>5</v>
      </c>
    </row>
    <row r="282" spans="1:10" ht="15.75" hidden="1" thickBot="1" x14ac:dyDescent="0.3">
      <c r="A282" s="172" t="s">
        <v>113</v>
      </c>
      <c r="B282" s="174" t="str">
        <f>INDEX(Orçamentária!A:B,MATCH(Composições!A282,Orçamentária!A:A,0),2)</f>
        <v>Furo em concreto para diâmetros maiores que 75mm</v>
      </c>
      <c r="C282" s="41"/>
      <c r="D282" s="26" t="str">
        <f>TRIM(INDEX(Orçamentária!C:C,MATCH(Composições!A282,Orçamentária!A:A,0),1))</f>
        <v>un</v>
      </c>
      <c r="E282" s="27"/>
      <c r="F282" s="42" t="s">
        <v>568</v>
      </c>
      <c r="G282" s="28" t="str">
        <f>IF(ISNUMBER(F282),E282*F282,"")</f>
        <v/>
      </c>
      <c r="H282" s="29"/>
      <c r="I282" s="30"/>
      <c r="J282" s="155">
        <v>0</v>
      </c>
    </row>
    <row r="283" spans="1:10" ht="15.75" hidden="1" thickBot="1" x14ac:dyDescent="0.3">
      <c r="A283" s="176"/>
      <c r="B283" s="175"/>
      <c r="C283" s="32"/>
      <c r="D283" s="32"/>
      <c r="E283" s="33"/>
      <c r="F283" s="43" t="s">
        <v>568</v>
      </c>
      <c r="G283" s="31" t="str">
        <f>IF(ISNUMBER(F283),E283*F283,"")</f>
        <v/>
      </c>
      <c r="H283" s="35"/>
      <c r="I283" s="31"/>
      <c r="J283" s="155">
        <v>0</v>
      </c>
    </row>
    <row r="284" spans="1:10" ht="26.25" hidden="1" thickBot="1" x14ac:dyDescent="0.3">
      <c r="A284" s="176"/>
      <c r="B284" s="175"/>
      <c r="C284" s="36" t="s">
        <v>32</v>
      </c>
      <c r="D284" s="36" t="s">
        <v>33</v>
      </c>
      <c r="E284" s="37">
        <v>0.75</v>
      </c>
      <c r="F284" s="34">
        <v>20.253999999999998</v>
      </c>
      <c r="G284" s="34">
        <f>IF(ISNUMBER(F284),E284*F284,"")</f>
        <v>15.190499999999998</v>
      </c>
      <c r="H284" s="39">
        <f>SUM(G284:G287)</f>
        <v>104.363922</v>
      </c>
      <c r="I284" s="40"/>
      <c r="J284" s="155">
        <v>0</v>
      </c>
    </row>
    <row r="285" spans="1:10" ht="26.25" hidden="1" thickBot="1" x14ac:dyDescent="0.3">
      <c r="A285" s="176"/>
      <c r="B285" s="175"/>
      <c r="C285" s="36" t="s">
        <v>34</v>
      </c>
      <c r="D285" s="36" t="s">
        <v>35</v>
      </c>
      <c r="E285" s="37">
        <v>1.647</v>
      </c>
      <c r="F285" s="34">
        <v>18.829000000000001</v>
      </c>
      <c r="G285" s="34">
        <f>IF(ISNUMBER(F285),E285*F285,"")</f>
        <v>31.011363000000003</v>
      </c>
      <c r="H285" s="35"/>
      <c r="I285" s="31"/>
      <c r="J285" s="155">
        <v>0</v>
      </c>
    </row>
    <row r="286" spans="1:10" ht="26.25" hidden="1" thickBot="1" x14ac:dyDescent="0.3">
      <c r="A286" s="176"/>
      <c r="B286" s="175"/>
      <c r="C286" s="36" t="s">
        <v>109</v>
      </c>
      <c r="D286" s="36" t="s">
        <v>12</v>
      </c>
      <c r="E286" s="37">
        <v>0.375</v>
      </c>
      <c r="F286" s="31">
        <v>16.891000000000002</v>
      </c>
      <c r="G286" s="34">
        <f>IF(ISNUMBER(F286),E286*F286,"")</f>
        <v>6.3341250000000002</v>
      </c>
      <c r="H286" s="35"/>
      <c r="I286" s="31"/>
      <c r="J286" s="155">
        <v>0</v>
      </c>
    </row>
    <row r="287" spans="1:10" ht="15.75" hidden="1" thickBot="1" x14ac:dyDescent="0.3">
      <c r="A287" s="176"/>
      <c r="B287" s="175"/>
      <c r="C287" s="36" t="s">
        <v>39</v>
      </c>
      <c r="D287" s="47" t="s">
        <v>12</v>
      </c>
      <c r="E287" s="37">
        <v>2.3969999999999998</v>
      </c>
      <c r="F287" s="31">
        <v>21.622</v>
      </c>
      <c r="G287" s="34">
        <f>IF(ISNUMBER(F287),E287*F287,"")</f>
        <v>51.827933999999992</v>
      </c>
      <c r="H287" s="35"/>
      <c r="I287" s="31"/>
      <c r="J287" s="155">
        <v>0</v>
      </c>
    </row>
    <row r="288" spans="1:10" ht="15.75" hidden="1" thickBot="1" x14ac:dyDescent="0.3">
      <c r="A288" s="177"/>
      <c r="B288" s="178"/>
      <c r="C288" s="36"/>
      <c r="D288" s="36"/>
      <c r="E288" s="37"/>
      <c r="F288" s="31" t="s">
        <v>568</v>
      </c>
      <c r="G288" s="31" t="str">
        <f>IF(ISNUMBER(F288),E288*F288,"")</f>
        <v/>
      </c>
      <c r="H288" s="35"/>
      <c r="I288" s="31"/>
      <c r="J288" s="155">
        <v>0</v>
      </c>
    </row>
    <row r="289" spans="1:10" ht="15.75" thickBot="1" x14ac:dyDescent="0.3">
      <c r="A289" s="172" t="s">
        <v>114</v>
      </c>
      <c r="B289" s="174" t="str">
        <f>INDEX(Orçamentária!A:B,MATCH(Composições!A289,Orçamentária!A:A,0),2)</f>
        <v>Concreto virado em betoneira, fck = 15 MPa</v>
      </c>
      <c r="C289" s="41"/>
      <c r="D289" s="26" t="str">
        <f>TRIM(INDEX(Orçamentária!C:C,MATCH(Composições!A289,Orçamentária!A:A,0),1))</f>
        <v>m3</v>
      </c>
      <c r="E289" s="27"/>
      <c r="F289" s="42" t="s">
        <v>568</v>
      </c>
      <c r="G289" s="28" t="str">
        <f>IF(ISNUMBER(F289),E289*F289,"")</f>
        <v/>
      </c>
      <c r="H289" s="29"/>
      <c r="I289" s="30"/>
      <c r="J289" s="155">
        <v>0.2</v>
      </c>
    </row>
    <row r="290" spans="1:10" x14ac:dyDescent="0.25">
      <c r="A290" s="176"/>
      <c r="B290" s="175"/>
      <c r="C290" s="32"/>
      <c r="D290" s="32"/>
      <c r="E290" s="33"/>
      <c r="F290" s="43" t="s">
        <v>568</v>
      </c>
      <c r="G290" s="31" t="str">
        <f>IF(ISNUMBER(F290),E290*F290,"")</f>
        <v/>
      </c>
      <c r="H290" s="35"/>
      <c r="I290" s="31"/>
      <c r="J290" s="155">
        <v>0.2</v>
      </c>
    </row>
    <row r="291" spans="1:10" ht="25.5" x14ac:dyDescent="0.25">
      <c r="A291" s="176"/>
      <c r="B291" s="175"/>
      <c r="C291" s="36" t="s">
        <v>115</v>
      </c>
      <c r="D291" s="47" t="s">
        <v>111</v>
      </c>
      <c r="E291" s="37">
        <v>1</v>
      </c>
      <c r="F291" s="31">
        <v>172.94265500000003</v>
      </c>
      <c r="G291" s="34">
        <f>IF(ISNUMBER(F291),E291*F291,"")</f>
        <v>172.94265500000003</v>
      </c>
      <c r="H291" s="39">
        <f>SUM(G291:G300)</f>
        <v>565.53847735720001</v>
      </c>
      <c r="I291" s="40"/>
      <c r="J291" s="155">
        <v>0.2</v>
      </c>
    </row>
    <row r="292" spans="1:10" x14ac:dyDescent="0.25">
      <c r="A292" s="176"/>
      <c r="B292" s="175"/>
      <c r="C292" s="36" t="s">
        <v>116</v>
      </c>
      <c r="D292" s="47" t="s">
        <v>111</v>
      </c>
      <c r="E292" s="37">
        <v>0.80500000000000005</v>
      </c>
      <c r="F292" s="34">
        <v>90.25</v>
      </c>
      <c r="G292" s="34">
        <f>IF(ISNUMBER(F292),E292*F292,"")</f>
        <v>72.651250000000005</v>
      </c>
      <c r="H292" s="35"/>
      <c r="I292" s="31"/>
      <c r="J292" s="155">
        <v>0.2</v>
      </c>
    </row>
    <row r="293" spans="1:10" x14ac:dyDescent="0.25">
      <c r="A293" s="176"/>
      <c r="B293" s="175"/>
      <c r="C293" s="36" t="s">
        <v>117</v>
      </c>
      <c r="D293" s="47" t="s">
        <v>42</v>
      </c>
      <c r="E293" s="37">
        <v>273.06</v>
      </c>
      <c r="F293" s="34">
        <v>0.47499999999999998</v>
      </c>
      <c r="G293" s="34">
        <f>IF(ISNUMBER(F293),E293*F293,"")</f>
        <v>129.70349999999999</v>
      </c>
      <c r="H293" s="35"/>
      <c r="I293" s="31"/>
      <c r="J293" s="155">
        <v>0.2</v>
      </c>
    </row>
    <row r="294" spans="1:10" x14ac:dyDescent="0.25">
      <c r="A294" s="176"/>
      <c r="B294" s="175"/>
      <c r="C294" s="36" t="s">
        <v>118</v>
      </c>
      <c r="D294" s="47" t="s">
        <v>111</v>
      </c>
      <c r="E294" s="37">
        <v>0.57899999999999996</v>
      </c>
      <c r="F294" s="34">
        <v>117.63849999999999</v>
      </c>
      <c r="G294" s="34">
        <f>IF(ISNUMBER(F294),E294*F294,"")</f>
        <v>68.112691499999997</v>
      </c>
      <c r="H294" s="35"/>
      <c r="I294" s="31"/>
      <c r="J294" s="155">
        <v>0.2</v>
      </c>
    </row>
    <row r="295" spans="1:10" ht="25.5" x14ac:dyDescent="0.25">
      <c r="A295" s="176"/>
      <c r="B295" s="175"/>
      <c r="C295" s="36" t="s">
        <v>119</v>
      </c>
      <c r="D295" s="47" t="s">
        <v>12</v>
      </c>
      <c r="E295" s="37">
        <v>1.47</v>
      </c>
      <c r="F295" s="31">
        <v>16.5015</v>
      </c>
      <c r="G295" s="34">
        <f>IF(ISNUMBER(F295),E295*F295,"")</f>
        <v>24.257204999999999</v>
      </c>
      <c r="H295" s="35"/>
      <c r="I295" s="31"/>
      <c r="J295" s="155">
        <v>0.2</v>
      </c>
    </row>
    <row r="296" spans="1:10" x14ac:dyDescent="0.25">
      <c r="A296" s="176"/>
      <c r="B296" s="175"/>
      <c r="C296" s="36" t="s">
        <v>23</v>
      </c>
      <c r="D296" s="36" t="s">
        <v>12</v>
      </c>
      <c r="E296" s="37">
        <v>2.33</v>
      </c>
      <c r="F296" s="31">
        <v>16.311500000000002</v>
      </c>
      <c r="G296" s="34">
        <f>IF(ISNUMBER(F296),E296*F296,"")</f>
        <v>38.005795000000006</v>
      </c>
      <c r="H296" s="35"/>
      <c r="I296" s="31"/>
      <c r="J296" s="155">
        <v>0.2</v>
      </c>
    </row>
    <row r="297" spans="1:10" ht="38.25" x14ac:dyDescent="0.25">
      <c r="A297" s="176"/>
      <c r="B297" s="175"/>
      <c r="C297" s="36" t="s">
        <v>120</v>
      </c>
      <c r="D297" s="47" t="s">
        <v>33</v>
      </c>
      <c r="E297" s="37">
        <v>0.76</v>
      </c>
      <c r="F297" s="34">
        <v>1.2064999999999999</v>
      </c>
      <c r="G297" s="34">
        <f>IF(ISNUMBER(F297),E297*F297,"")</f>
        <v>0.91693999999999998</v>
      </c>
      <c r="H297" s="35"/>
      <c r="I297" s="31"/>
      <c r="J297" s="155">
        <v>0.2</v>
      </c>
    </row>
    <row r="298" spans="1:10" ht="38.25" x14ac:dyDescent="0.25">
      <c r="A298" s="176"/>
      <c r="B298" s="175"/>
      <c r="C298" s="36" t="s">
        <v>121</v>
      </c>
      <c r="D298" s="47" t="s">
        <v>35</v>
      </c>
      <c r="E298" s="37">
        <v>0.71</v>
      </c>
      <c r="F298" s="34">
        <v>0.26600000000000001</v>
      </c>
      <c r="G298" s="34">
        <f>IF(ISNUMBER(F298),E298*F298,"")</f>
        <v>0.18886</v>
      </c>
      <c r="H298" s="35"/>
      <c r="I298" s="31"/>
      <c r="J298" s="155">
        <v>0.2</v>
      </c>
    </row>
    <row r="299" spans="1:10" ht="51" x14ac:dyDescent="0.25">
      <c r="A299" s="176"/>
      <c r="B299" s="175"/>
      <c r="C299" s="36" t="s">
        <v>3611</v>
      </c>
      <c r="D299" s="36" t="s">
        <v>123</v>
      </c>
      <c r="E299" s="37">
        <f>1*(E292+E294)</f>
        <v>1.3839999999999999</v>
      </c>
      <c r="F299" s="34">
        <v>5.5686425499999999</v>
      </c>
      <c r="G299" s="34">
        <f>IF(ISNUMBER(F299),E299*F299,"")</f>
        <v>7.7070012891999991</v>
      </c>
      <c r="H299" s="35"/>
      <c r="I299" s="31"/>
      <c r="J299" s="155">
        <v>0.2</v>
      </c>
    </row>
    <row r="300" spans="1:10" ht="38.25" x14ac:dyDescent="0.25">
      <c r="A300" s="176"/>
      <c r="B300" s="175"/>
      <c r="C300" s="36" t="s">
        <v>124</v>
      </c>
      <c r="D300" s="47" t="s">
        <v>125</v>
      </c>
      <c r="E300" s="37">
        <f>(E292+E294)*20</f>
        <v>27.68</v>
      </c>
      <c r="F300" s="34">
        <v>1.8443850999999998</v>
      </c>
      <c r="G300" s="34">
        <f>IF(ISNUMBER(F300),E300*F300,"")</f>
        <v>51.052579567999992</v>
      </c>
      <c r="H300" s="35"/>
      <c r="I300" s="31"/>
      <c r="J300" s="155">
        <v>0.2</v>
      </c>
    </row>
    <row r="301" spans="1:10" x14ac:dyDescent="0.25">
      <c r="A301" s="176"/>
      <c r="B301" s="175"/>
      <c r="C301" s="51"/>
      <c r="D301" s="47"/>
      <c r="E301" s="37"/>
      <c r="F301" s="34" t="s">
        <v>568</v>
      </c>
      <c r="G301" s="34" t="str">
        <f>IF(ISNUMBER(F301),E301*F301,"")</f>
        <v/>
      </c>
      <c r="H301" s="35"/>
      <c r="I301" s="31"/>
      <c r="J301" s="155">
        <v>0.2</v>
      </c>
    </row>
    <row r="302" spans="1:10" ht="25.5" x14ac:dyDescent="0.25">
      <c r="A302" s="176"/>
      <c r="B302" s="175"/>
      <c r="C302" s="48" t="s">
        <v>126</v>
      </c>
      <c r="D302" s="47"/>
      <c r="E302" s="37"/>
      <c r="F302" s="34" t="s">
        <v>568</v>
      </c>
      <c r="G302" s="34" t="str">
        <f>IF(ISNUMBER(F302),E302*F302,"")</f>
        <v/>
      </c>
      <c r="H302" s="35"/>
      <c r="I302" s="31"/>
      <c r="J302" s="155">
        <v>0.2</v>
      </c>
    </row>
    <row r="303" spans="1:10" ht="15.75" thickBot="1" x14ac:dyDescent="0.3">
      <c r="A303" s="177"/>
      <c r="B303" s="178"/>
      <c r="C303" s="36"/>
      <c r="D303" s="36"/>
      <c r="E303" s="37"/>
      <c r="F303" s="31" t="s">
        <v>568</v>
      </c>
      <c r="G303" s="31" t="str">
        <f>IF(ISNUMBER(F303),E303*F303,"")</f>
        <v/>
      </c>
      <c r="H303" s="35"/>
      <c r="I303" s="31"/>
      <c r="J303" s="155">
        <v>0.2</v>
      </c>
    </row>
    <row r="304" spans="1:10" ht="15.75" hidden="1" thickBot="1" x14ac:dyDescent="0.3">
      <c r="A304" s="172" t="s">
        <v>127</v>
      </c>
      <c r="B304" s="174" t="str">
        <f>INDEX(Orçamentária!A:B,MATCH(Composições!A304,Orçamentária!A:A,0),2)</f>
        <v>Concreto virado em betoneira, fck = 25MPa</v>
      </c>
      <c r="C304" s="41"/>
      <c r="D304" s="26" t="str">
        <f>TRIM(INDEX(Orçamentária!C:C,MATCH(Composições!A304,Orçamentária!A:A,0),1))</f>
        <v>m3</v>
      </c>
      <c r="E304" s="27"/>
      <c r="F304" s="42" t="s">
        <v>568</v>
      </c>
      <c r="G304" s="28" t="str">
        <f>IF(ISNUMBER(F304),E304*F304,"")</f>
        <v/>
      </c>
      <c r="H304" s="29"/>
      <c r="I304" s="30"/>
      <c r="J304" s="155">
        <v>0</v>
      </c>
    </row>
    <row r="305" spans="1:10" ht="15.75" hidden="1" thickBot="1" x14ac:dyDescent="0.3">
      <c r="A305" s="176"/>
      <c r="B305" s="175"/>
      <c r="C305" s="32"/>
      <c r="D305" s="32"/>
      <c r="E305" s="33"/>
      <c r="F305" s="43" t="s">
        <v>568</v>
      </c>
      <c r="G305" s="31" t="str">
        <f>IF(ISNUMBER(F305),E305*F305,"")</f>
        <v/>
      </c>
      <c r="H305" s="35"/>
      <c r="I305" s="31"/>
      <c r="J305" s="155">
        <v>0</v>
      </c>
    </row>
    <row r="306" spans="1:10" ht="26.25" hidden="1" thickBot="1" x14ac:dyDescent="0.3">
      <c r="A306" s="176"/>
      <c r="B306" s="175"/>
      <c r="C306" s="36" t="s">
        <v>115</v>
      </c>
      <c r="D306" s="47" t="s">
        <v>111</v>
      </c>
      <c r="E306" s="37">
        <v>1</v>
      </c>
      <c r="F306" s="31">
        <v>172.94265500000003</v>
      </c>
      <c r="G306" s="31">
        <f>IF(ISNUMBER(F306),E306*F306,"")</f>
        <v>172.94265500000003</v>
      </c>
      <c r="H306" s="39">
        <f>SUM(G306:G315)</f>
        <v>598.95457492779985</v>
      </c>
      <c r="I306" s="40"/>
      <c r="J306" s="155">
        <v>0</v>
      </c>
    </row>
    <row r="307" spans="1:10" ht="15.75" hidden="1" thickBot="1" x14ac:dyDescent="0.3">
      <c r="A307" s="176"/>
      <c r="B307" s="175"/>
      <c r="C307" s="36" t="s">
        <v>116</v>
      </c>
      <c r="D307" s="47" t="s">
        <v>111</v>
      </c>
      <c r="E307" s="37">
        <v>0.72299999999999998</v>
      </c>
      <c r="F307" s="34">
        <v>90.25</v>
      </c>
      <c r="G307" s="31">
        <f>IF(ISNUMBER(F307),E307*F307,"")</f>
        <v>65.250749999999996</v>
      </c>
      <c r="H307" s="35"/>
      <c r="I307" s="31"/>
      <c r="J307" s="155">
        <v>0</v>
      </c>
    </row>
    <row r="308" spans="1:10" ht="15.75" hidden="1" thickBot="1" x14ac:dyDescent="0.3">
      <c r="A308" s="176"/>
      <c r="B308" s="175"/>
      <c r="C308" s="36" t="s">
        <v>117</v>
      </c>
      <c r="D308" s="47" t="s">
        <v>42</v>
      </c>
      <c r="E308" s="37">
        <v>362.66</v>
      </c>
      <c r="F308" s="34">
        <v>0.47499999999999998</v>
      </c>
      <c r="G308" s="31">
        <f>IF(ISNUMBER(F308),E308*F308,"")</f>
        <v>172.26349999999999</v>
      </c>
      <c r="H308" s="35"/>
      <c r="I308" s="31"/>
      <c r="J308" s="155">
        <v>0</v>
      </c>
    </row>
    <row r="309" spans="1:10" ht="15.75" hidden="1" thickBot="1" x14ac:dyDescent="0.3">
      <c r="A309" s="176"/>
      <c r="B309" s="175"/>
      <c r="C309" s="36" t="s">
        <v>118</v>
      </c>
      <c r="D309" s="47" t="s">
        <v>111</v>
      </c>
      <c r="E309" s="37">
        <v>0.59299999999999997</v>
      </c>
      <c r="F309" s="34">
        <v>117.63849999999999</v>
      </c>
      <c r="G309" s="31">
        <f>IF(ISNUMBER(F309),E309*F309,"")</f>
        <v>69.759630499999986</v>
      </c>
      <c r="H309" s="35"/>
      <c r="I309" s="31"/>
      <c r="J309" s="155">
        <v>0</v>
      </c>
    </row>
    <row r="310" spans="1:10" ht="15.75" hidden="1" thickBot="1" x14ac:dyDescent="0.3">
      <c r="A310" s="176"/>
      <c r="B310" s="175"/>
      <c r="C310" s="36" t="s">
        <v>23</v>
      </c>
      <c r="D310" s="47" t="s">
        <v>12</v>
      </c>
      <c r="E310" s="37">
        <f>2.31</f>
        <v>2.31</v>
      </c>
      <c r="F310" s="31">
        <v>16.311500000000002</v>
      </c>
      <c r="G310" s="31">
        <f>IF(ISNUMBER(F310),E310*F310,"")</f>
        <v>37.679565000000004</v>
      </c>
      <c r="H310" s="35"/>
      <c r="I310" s="31"/>
      <c r="J310" s="155">
        <v>0</v>
      </c>
    </row>
    <row r="311" spans="1:10" ht="26.25" hidden="1" thickBot="1" x14ac:dyDescent="0.3">
      <c r="A311" s="176"/>
      <c r="B311" s="175"/>
      <c r="C311" s="36" t="s">
        <v>119</v>
      </c>
      <c r="D311" s="47" t="s">
        <v>12</v>
      </c>
      <c r="E311" s="37">
        <v>1.46</v>
      </c>
      <c r="F311" s="31">
        <v>16.5015</v>
      </c>
      <c r="G311" s="31">
        <f>IF(ISNUMBER(F311),E311*F311,"")</f>
        <v>24.092189999999999</v>
      </c>
      <c r="H311" s="35"/>
      <c r="I311" s="31"/>
      <c r="J311" s="155">
        <v>0</v>
      </c>
    </row>
    <row r="312" spans="1:10" ht="39" hidden="1" thickBot="1" x14ac:dyDescent="0.3">
      <c r="A312" s="176"/>
      <c r="B312" s="175"/>
      <c r="C312" s="36" t="s">
        <v>120</v>
      </c>
      <c r="D312" s="47" t="s">
        <v>33</v>
      </c>
      <c r="E312" s="37">
        <v>0.75</v>
      </c>
      <c r="F312" s="34">
        <v>1.2064999999999999</v>
      </c>
      <c r="G312" s="31">
        <f>IF(ISNUMBER(F312),E312*F312,"")</f>
        <v>0.90487499999999987</v>
      </c>
      <c r="H312" s="35"/>
      <c r="I312" s="31"/>
      <c r="J312" s="155">
        <v>0</v>
      </c>
    </row>
    <row r="313" spans="1:10" ht="39" hidden="1" thickBot="1" x14ac:dyDescent="0.3">
      <c r="A313" s="176"/>
      <c r="B313" s="175"/>
      <c r="C313" s="36" t="s">
        <v>121</v>
      </c>
      <c r="D313" s="36" t="s">
        <v>35</v>
      </c>
      <c r="E313" s="37">
        <v>0.71</v>
      </c>
      <c r="F313" s="34">
        <v>0.26600000000000001</v>
      </c>
      <c r="G313" s="31">
        <f>IF(ISNUMBER(F313),E313*F313,"")</f>
        <v>0.18886</v>
      </c>
      <c r="H313" s="35"/>
      <c r="I313" s="31"/>
      <c r="J313" s="155">
        <v>0</v>
      </c>
    </row>
    <row r="314" spans="1:10" ht="51.75" hidden="1" thickBot="1" x14ac:dyDescent="0.3">
      <c r="A314" s="176"/>
      <c r="B314" s="175"/>
      <c r="C314" s="36" t="s">
        <v>3611</v>
      </c>
      <c r="D314" s="36" t="s">
        <v>123</v>
      </c>
      <c r="E314" s="37">
        <f>1*(E307+E309)</f>
        <v>1.3159999999999998</v>
      </c>
      <c r="F314" s="34">
        <v>5.5686425499999999</v>
      </c>
      <c r="G314" s="34">
        <f>IF(ISNUMBER(F314),E314*F314,"")</f>
        <v>7.3283335957999993</v>
      </c>
      <c r="H314" s="35"/>
      <c r="I314" s="31"/>
      <c r="J314" s="155">
        <v>0</v>
      </c>
    </row>
    <row r="315" spans="1:10" ht="39" hidden="1" thickBot="1" x14ac:dyDescent="0.3">
      <c r="A315" s="176"/>
      <c r="B315" s="175"/>
      <c r="C315" s="36" t="s">
        <v>124</v>
      </c>
      <c r="D315" s="47" t="s">
        <v>125</v>
      </c>
      <c r="E315" s="37">
        <f>(E307+E309)*20</f>
        <v>26.319999999999997</v>
      </c>
      <c r="F315" s="34">
        <v>1.8443850999999998</v>
      </c>
      <c r="G315" s="34">
        <f>IF(ISNUMBER(F315),E315*F315,"")</f>
        <v>48.544215831999985</v>
      </c>
      <c r="H315" s="35"/>
      <c r="I315" s="31"/>
      <c r="J315" s="155">
        <v>0</v>
      </c>
    </row>
    <row r="316" spans="1:10" ht="15.75" hidden="1" thickBot="1" x14ac:dyDescent="0.3">
      <c r="A316" s="176"/>
      <c r="B316" s="175"/>
      <c r="C316" s="51"/>
      <c r="D316" s="47"/>
      <c r="E316" s="37"/>
      <c r="F316" s="34" t="s">
        <v>568</v>
      </c>
      <c r="G316" s="34" t="str">
        <f>IF(ISNUMBER(F316),E316*F316,"")</f>
        <v/>
      </c>
      <c r="H316" s="35"/>
      <c r="I316" s="31"/>
      <c r="J316" s="155">
        <v>0</v>
      </c>
    </row>
    <row r="317" spans="1:10" ht="26.25" hidden="1" thickBot="1" x14ac:dyDescent="0.3">
      <c r="A317" s="176"/>
      <c r="B317" s="175"/>
      <c r="C317" s="48" t="s">
        <v>126</v>
      </c>
      <c r="D317" s="47"/>
      <c r="E317" s="37"/>
      <c r="F317" s="34" t="s">
        <v>568</v>
      </c>
      <c r="G317" s="34" t="str">
        <f>IF(ISNUMBER(F317),E317*F317,"")</f>
        <v/>
      </c>
      <c r="H317" s="35"/>
      <c r="I317" s="31"/>
      <c r="J317" s="155">
        <v>0</v>
      </c>
    </row>
    <row r="318" spans="1:10" ht="15.75" hidden="1" thickBot="1" x14ac:dyDescent="0.3">
      <c r="A318" s="177"/>
      <c r="B318" s="178"/>
      <c r="C318" s="36"/>
      <c r="D318" s="36"/>
      <c r="E318" s="37"/>
      <c r="F318" s="31" t="s">
        <v>568</v>
      </c>
      <c r="G318" s="31" t="str">
        <f>IF(ISNUMBER(F318),E318*F318,"")</f>
        <v/>
      </c>
      <c r="H318" s="35"/>
      <c r="I318" s="31"/>
      <c r="J318" s="155">
        <v>0</v>
      </c>
    </row>
    <row r="319" spans="1:10" ht="15.75" thickBot="1" x14ac:dyDescent="0.3">
      <c r="A319" s="172" t="s">
        <v>128</v>
      </c>
      <c r="B319" s="174" t="str">
        <f>INDEX(Orçamentária!A:B,MATCH(Composições!A319,Orçamentária!A:A,0),2)</f>
        <v>Escoramento metálico</v>
      </c>
      <c r="C319" s="41"/>
      <c r="D319" s="26" t="str">
        <f>TRIM(INDEX(Orçamentária!C:C,MATCH(Composições!A319,Orçamentária!A:A,0),1))</f>
        <v>m2 x mês</v>
      </c>
      <c r="E319" s="27"/>
      <c r="F319" s="42" t="s">
        <v>568</v>
      </c>
      <c r="G319" s="28" t="str">
        <f>IF(ISNUMBER(F319),E319*F319,"")</f>
        <v/>
      </c>
      <c r="H319" s="29"/>
      <c r="I319" s="30"/>
      <c r="J319" s="155">
        <v>19</v>
      </c>
    </row>
    <row r="320" spans="1:10" x14ac:dyDescent="0.25">
      <c r="A320" s="176"/>
      <c r="B320" s="175"/>
      <c r="C320" s="32"/>
      <c r="D320" s="32"/>
      <c r="E320" s="33"/>
      <c r="F320" s="31" t="s">
        <v>568</v>
      </c>
      <c r="G320" s="31" t="str">
        <f>IF(ISNUMBER(F320),E320*F320,"")</f>
        <v/>
      </c>
      <c r="H320" s="35"/>
      <c r="I320" s="31"/>
      <c r="J320" s="155">
        <v>19</v>
      </c>
    </row>
    <row r="321" spans="1:10" ht="38.25" x14ac:dyDescent="0.25">
      <c r="A321" s="176"/>
      <c r="B321" s="175"/>
      <c r="C321" s="36" t="s">
        <v>129</v>
      </c>
      <c r="D321" s="47" t="s">
        <v>130</v>
      </c>
      <c r="E321" s="37">
        <v>0.85</v>
      </c>
      <c r="F321" s="31">
        <v>5.2154999999999996</v>
      </c>
      <c r="G321" s="31">
        <f>IF(ISNUMBER(F321),E321*F321,"")</f>
        <v>4.4331749999999994</v>
      </c>
      <c r="H321" s="39">
        <f>SUM(G321:G323)</f>
        <v>14.386324999999999</v>
      </c>
      <c r="I321" s="40"/>
      <c r="J321" s="155">
        <v>19</v>
      </c>
    </row>
    <row r="322" spans="1:10" x14ac:dyDescent="0.25">
      <c r="A322" s="176"/>
      <c r="B322" s="175"/>
      <c r="C322" s="36" t="s">
        <v>131</v>
      </c>
      <c r="D322" s="47" t="s">
        <v>12</v>
      </c>
      <c r="E322" s="37">
        <v>0.2</v>
      </c>
      <c r="F322" s="31">
        <v>18.468</v>
      </c>
      <c r="G322" s="31">
        <f>IF(ISNUMBER(F322),E322*F322,"")</f>
        <v>3.6936</v>
      </c>
      <c r="H322" s="35"/>
      <c r="I322" s="31"/>
      <c r="J322" s="155">
        <v>19</v>
      </c>
    </row>
    <row r="323" spans="1:10" ht="25.5" x14ac:dyDescent="0.25">
      <c r="A323" s="176"/>
      <c r="B323" s="175"/>
      <c r="C323" s="36" t="s">
        <v>3780</v>
      </c>
      <c r="D323" s="47" t="s">
        <v>93</v>
      </c>
      <c r="E323" s="37">
        <v>1.1000000000000001</v>
      </c>
      <c r="F323" s="31">
        <v>5.6905000000000001</v>
      </c>
      <c r="G323" s="31">
        <f>IF(ISNUMBER(F323),E323*F323,"")</f>
        <v>6.2595500000000008</v>
      </c>
      <c r="H323" s="35"/>
      <c r="I323" s="31"/>
      <c r="J323" s="155">
        <v>19</v>
      </c>
    </row>
    <row r="324" spans="1:10" ht="15.75" thickBot="1" x14ac:dyDescent="0.3">
      <c r="A324" s="176"/>
      <c r="B324" s="175"/>
      <c r="C324" s="36"/>
      <c r="D324" s="36"/>
      <c r="E324" s="37"/>
      <c r="F324" s="31" t="s">
        <v>568</v>
      </c>
      <c r="G324" s="31" t="str">
        <f>IF(ISNUMBER(F324),E324*F324,"")</f>
        <v/>
      </c>
      <c r="H324" s="35"/>
      <c r="I324" s="31"/>
      <c r="J324" s="155">
        <v>19</v>
      </c>
    </row>
    <row r="325" spans="1:10" ht="15.75" hidden="1" thickBot="1" x14ac:dyDescent="0.3">
      <c r="A325" s="172" t="s">
        <v>132</v>
      </c>
      <c r="B325" s="174" t="str">
        <f>INDEX(Orçamentária!A:B,MATCH(Composições!A325,Orçamentária!A:A,0),2)</f>
        <v>Estrutura metálica em aço</v>
      </c>
      <c r="C325" s="41"/>
      <c r="D325" s="26" t="str">
        <f>TRIM(INDEX(Orçamentária!C:C,MATCH(Composições!A325,Orçamentária!A:A,0),1))</f>
        <v>kg</v>
      </c>
      <c r="E325" s="27"/>
      <c r="F325" s="42" t="s">
        <v>568</v>
      </c>
      <c r="G325" s="28" t="str">
        <f>IF(ISNUMBER(F325),E325*F325,"")</f>
        <v/>
      </c>
      <c r="H325" s="29"/>
      <c r="I325" s="30"/>
      <c r="J325" s="155">
        <v>0</v>
      </c>
    </row>
    <row r="326" spans="1:10" ht="15.75" hidden="1" thickBot="1" x14ac:dyDescent="0.3">
      <c r="A326" s="176"/>
      <c r="B326" s="175"/>
      <c r="C326" s="32"/>
      <c r="D326" s="32"/>
      <c r="E326" s="33"/>
      <c r="F326" s="43" t="s">
        <v>568</v>
      </c>
      <c r="G326" s="31" t="str">
        <f>IF(ISNUMBER(F326),E326*F326,"")</f>
        <v/>
      </c>
      <c r="H326" s="35"/>
      <c r="I326" s="31"/>
      <c r="J326" s="155">
        <v>0</v>
      </c>
    </row>
    <row r="327" spans="1:10" ht="26.25" hidden="1" thickBot="1" x14ac:dyDescent="0.3">
      <c r="A327" s="176"/>
      <c r="B327" s="175"/>
      <c r="C327" s="36" t="s">
        <v>133</v>
      </c>
      <c r="D327" s="47" t="s">
        <v>42</v>
      </c>
      <c r="E327" s="37">
        <v>0.01</v>
      </c>
      <c r="F327" s="34">
        <v>42.217999999999996</v>
      </c>
      <c r="G327" s="34">
        <f>IF(ISNUMBER(F327),E327*F327,"")</f>
        <v>0.42218</v>
      </c>
      <c r="H327" s="39">
        <f>SUM(G327:G338)</f>
        <v>11.948054999999998</v>
      </c>
      <c r="I327" s="40"/>
      <c r="J327" s="155">
        <v>0</v>
      </c>
    </row>
    <row r="328" spans="1:10" ht="26.25" hidden="1" thickBot="1" x14ac:dyDescent="0.3">
      <c r="A328" s="176"/>
      <c r="B328" s="175"/>
      <c r="C328" s="36" t="s">
        <v>134</v>
      </c>
      <c r="D328" s="47" t="s">
        <v>42</v>
      </c>
      <c r="E328" s="37">
        <v>0.27</v>
      </c>
      <c r="F328" s="34">
        <v>8.2174999999999994</v>
      </c>
      <c r="G328" s="34">
        <f>IF(ISNUMBER(F328),E328*F328,"")</f>
        <v>2.2187250000000001</v>
      </c>
      <c r="H328" s="35"/>
      <c r="I328" s="31"/>
      <c r="J328" s="155">
        <v>0</v>
      </c>
    </row>
    <row r="329" spans="1:10" ht="15.75" hidden="1" thickBot="1" x14ac:dyDescent="0.3">
      <c r="A329" s="176"/>
      <c r="B329" s="175"/>
      <c r="C329" s="36" t="s">
        <v>135</v>
      </c>
      <c r="D329" s="47" t="s">
        <v>42</v>
      </c>
      <c r="E329" s="37">
        <v>0.33</v>
      </c>
      <c r="F329" s="34">
        <v>0</v>
      </c>
      <c r="G329" s="34">
        <f>IF(ISNUMBER(F329),E329*F329,"")</f>
        <v>0</v>
      </c>
      <c r="H329" s="35"/>
      <c r="I329" s="31"/>
      <c r="J329" s="155">
        <v>0</v>
      </c>
    </row>
    <row r="330" spans="1:10" ht="15.75" hidden="1" thickBot="1" x14ac:dyDescent="0.3">
      <c r="A330" s="176"/>
      <c r="B330" s="175"/>
      <c r="C330" s="36" t="s">
        <v>136</v>
      </c>
      <c r="D330" s="47" t="s">
        <v>42</v>
      </c>
      <c r="E330" s="37">
        <v>2.5000000000000001E-2</v>
      </c>
      <c r="F330" s="34">
        <v>18.885999999999999</v>
      </c>
      <c r="G330" s="34">
        <f>IF(ISNUMBER(F330),E330*F330,"")</f>
        <v>0.47215000000000001</v>
      </c>
      <c r="H330" s="35"/>
      <c r="I330" s="31"/>
      <c r="J330" s="155">
        <v>0</v>
      </c>
    </row>
    <row r="331" spans="1:10" ht="26.25" hidden="1" thickBot="1" x14ac:dyDescent="0.3">
      <c r="A331" s="176"/>
      <c r="B331" s="175"/>
      <c r="C331" s="36" t="s">
        <v>137</v>
      </c>
      <c r="D331" s="47" t="s">
        <v>111</v>
      </c>
      <c r="E331" s="37">
        <v>0.05</v>
      </c>
      <c r="F331" s="34">
        <v>9.2530000000000001</v>
      </c>
      <c r="G331" s="34">
        <f>IF(ISNUMBER(F331),E331*F331,"")</f>
        <v>0.46265000000000001</v>
      </c>
      <c r="H331" s="35"/>
      <c r="I331" s="31"/>
      <c r="J331" s="155">
        <v>0</v>
      </c>
    </row>
    <row r="332" spans="1:10" ht="15.75" hidden="1" thickBot="1" x14ac:dyDescent="0.3">
      <c r="A332" s="176"/>
      <c r="B332" s="175"/>
      <c r="C332" s="36" t="s">
        <v>138</v>
      </c>
      <c r="D332" s="47" t="s">
        <v>42</v>
      </c>
      <c r="E332" s="37">
        <v>0.4</v>
      </c>
      <c r="F332" s="34">
        <v>0</v>
      </c>
      <c r="G332" s="34">
        <f>IF(ISNUMBER(F332),E332*F332,"")</f>
        <v>0</v>
      </c>
      <c r="H332" s="35"/>
      <c r="I332" s="31"/>
      <c r="J332" s="155">
        <v>0</v>
      </c>
    </row>
    <row r="333" spans="1:10" ht="15.75" hidden="1" thickBot="1" x14ac:dyDescent="0.3">
      <c r="A333" s="176"/>
      <c r="B333" s="175"/>
      <c r="C333" s="36" t="s">
        <v>27</v>
      </c>
      <c r="D333" s="47" t="s">
        <v>12</v>
      </c>
      <c r="E333" s="37">
        <f>0.2+0.2</f>
        <v>0.4</v>
      </c>
      <c r="F333" s="31">
        <v>16.852999999999998</v>
      </c>
      <c r="G333" s="34">
        <f>IF(ISNUMBER(F333),E333*F333,"")</f>
        <v>6.7411999999999992</v>
      </c>
      <c r="H333" s="35"/>
      <c r="I333" s="31"/>
      <c r="J333" s="155">
        <v>0</v>
      </c>
    </row>
    <row r="334" spans="1:10" ht="15.75" hidden="1" thickBot="1" x14ac:dyDescent="0.3">
      <c r="A334" s="176"/>
      <c r="B334" s="175"/>
      <c r="C334" s="36" t="s">
        <v>23</v>
      </c>
      <c r="D334" s="47" t="s">
        <v>12</v>
      </c>
      <c r="E334" s="37">
        <v>0.1</v>
      </c>
      <c r="F334" s="31">
        <v>16.311500000000002</v>
      </c>
      <c r="G334" s="34">
        <f>IF(ISNUMBER(F334),E334*F334,"")</f>
        <v>1.6311500000000003</v>
      </c>
      <c r="H334" s="35"/>
      <c r="I334" s="31"/>
      <c r="J334" s="155">
        <v>0</v>
      </c>
    </row>
    <row r="335" spans="1:10" ht="26.25" hidden="1" thickBot="1" x14ac:dyDescent="0.3">
      <c r="A335" s="176"/>
      <c r="B335" s="175"/>
      <c r="C335" s="36" t="s">
        <v>139</v>
      </c>
      <c r="D335" s="47" t="s">
        <v>42</v>
      </c>
      <c r="E335" s="37">
        <v>0.05</v>
      </c>
      <c r="F335" s="34">
        <v>0</v>
      </c>
      <c r="G335" s="34">
        <f>IF(ISNUMBER(F335),E335*F335,"")</f>
        <v>0</v>
      </c>
      <c r="H335" s="35"/>
      <c r="I335" s="31"/>
      <c r="J335" s="155">
        <v>0</v>
      </c>
    </row>
    <row r="336" spans="1:10" ht="39" hidden="1" thickBot="1" x14ac:dyDescent="0.3">
      <c r="A336" s="176"/>
      <c r="B336" s="175"/>
      <c r="C336" s="36" t="s">
        <v>140</v>
      </c>
      <c r="D336" s="47" t="s">
        <v>95</v>
      </c>
      <c r="E336" s="37">
        <v>0.05</v>
      </c>
      <c r="F336" s="34">
        <v>0</v>
      </c>
      <c r="G336" s="34">
        <f>IF(ISNUMBER(F336),E336*F336,"")</f>
        <v>0</v>
      </c>
      <c r="H336" s="35"/>
      <c r="I336" s="31"/>
      <c r="J336" s="155">
        <v>0</v>
      </c>
    </row>
    <row r="337" spans="1:10" ht="15.75" hidden="1" thickBot="1" x14ac:dyDescent="0.3">
      <c r="A337" s="176"/>
      <c r="B337" s="175"/>
      <c r="C337" s="36" t="s">
        <v>141</v>
      </c>
      <c r="D337" s="47" t="s">
        <v>12</v>
      </c>
      <c r="E337" s="37">
        <v>2.5000000000000001E-2</v>
      </c>
      <c r="F337" s="34">
        <v>0</v>
      </c>
      <c r="G337" s="34">
        <f>IF(ISNUMBER(F337),E337*F337,"")</f>
        <v>0</v>
      </c>
      <c r="H337" s="35"/>
      <c r="I337" s="31"/>
      <c r="J337" s="155">
        <v>0</v>
      </c>
    </row>
    <row r="338" spans="1:10" ht="51.75" hidden="1" thickBot="1" x14ac:dyDescent="0.3">
      <c r="A338" s="176"/>
      <c r="B338" s="175"/>
      <c r="C338" s="36" t="s">
        <v>142</v>
      </c>
      <c r="D338" s="47" t="s">
        <v>12</v>
      </c>
      <c r="E338" s="37">
        <v>0.5</v>
      </c>
      <c r="F338" s="34">
        <v>0</v>
      </c>
      <c r="G338" s="34">
        <f>IF(ISNUMBER(F338),E338*F338,"")</f>
        <v>0</v>
      </c>
      <c r="H338" s="35"/>
      <c r="I338" s="31"/>
      <c r="J338" s="155">
        <v>0</v>
      </c>
    </row>
    <row r="339" spans="1:10" ht="15.75" hidden="1" thickBot="1" x14ac:dyDescent="0.3">
      <c r="A339" s="177"/>
      <c r="B339" s="178"/>
      <c r="C339" s="36"/>
      <c r="D339" s="36"/>
      <c r="E339" s="37"/>
      <c r="F339" s="31" t="s">
        <v>568</v>
      </c>
      <c r="G339" s="31" t="str">
        <f>IF(ISNUMBER(F339),E339*F339,"")</f>
        <v/>
      </c>
      <c r="H339" s="35"/>
      <c r="I339" s="31"/>
      <c r="J339" s="155">
        <v>0</v>
      </c>
    </row>
    <row r="340" spans="1:10" ht="15.75" hidden="1" thickBot="1" x14ac:dyDescent="0.3">
      <c r="A340" s="172" t="s">
        <v>143</v>
      </c>
      <c r="B340" s="174" t="str">
        <f>INDEX(Orçamentária!A:B,MATCH(Composições!A340,Orçamentária!A:A,0),2)</f>
        <v>Forma para estruturas de concreto</v>
      </c>
      <c r="C340" s="41"/>
      <c r="D340" s="26" t="str">
        <f>TRIM(INDEX(Orçamentária!C:C,MATCH(Composições!A340,Orçamentária!A:A,0),1))</f>
        <v>m2</v>
      </c>
      <c r="E340" s="27"/>
      <c r="F340" s="42" t="s">
        <v>568</v>
      </c>
      <c r="G340" s="28" t="str">
        <f>IF(ISNUMBER(F340),E340*F340,"")</f>
        <v/>
      </c>
      <c r="H340" s="29"/>
      <c r="I340" s="30"/>
      <c r="J340" s="155">
        <v>0</v>
      </c>
    </row>
    <row r="341" spans="1:10" ht="15.75" hidden="1" thickBot="1" x14ac:dyDescent="0.3">
      <c r="A341" s="176"/>
      <c r="B341" s="175"/>
      <c r="C341" s="32"/>
      <c r="D341" s="32"/>
      <c r="E341" s="33"/>
      <c r="F341" s="43" t="s">
        <v>568</v>
      </c>
      <c r="G341" s="31" t="str">
        <f>IF(ISNUMBER(F341),E341*F341,"")</f>
        <v/>
      </c>
      <c r="H341" s="35"/>
      <c r="I341" s="31"/>
      <c r="J341" s="155">
        <v>0</v>
      </c>
    </row>
    <row r="342" spans="1:10" ht="26.25" hidden="1" thickBot="1" x14ac:dyDescent="0.3">
      <c r="A342" s="176"/>
      <c r="B342" s="175"/>
      <c r="C342" s="36" t="s">
        <v>1218</v>
      </c>
      <c r="D342" s="50" t="s">
        <v>104</v>
      </c>
      <c r="E342" s="37">
        <v>0.01</v>
      </c>
      <c r="F342" s="34">
        <v>5.6144999999999996</v>
      </c>
      <c r="G342" s="34">
        <f>IF(ISNUMBER(F342),E342*F342,"")</f>
        <v>5.6145E-2</v>
      </c>
      <c r="H342" s="39">
        <f>SUM(G342:G348)</f>
        <v>138.83212948650001</v>
      </c>
      <c r="I342" s="40"/>
      <c r="J342" s="155">
        <v>0</v>
      </c>
    </row>
    <row r="343" spans="1:10" ht="26.25" hidden="1" thickBot="1" x14ac:dyDescent="0.3">
      <c r="A343" s="176"/>
      <c r="B343" s="175"/>
      <c r="C343" s="36" t="s">
        <v>144</v>
      </c>
      <c r="D343" s="36" t="s">
        <v>523</v>
      </c>
      <c r="E343" s="37">
        <v>0.47399999999999998</v>
      </c>
      <c r="F343" s="34">
        <v>14.629999999999999</v>
      </c>
      <c r="G343" s="34">
        <f>IF(ISNUMBER(F343),E343*F343,"")</f>
        <v>6.9346199999999989</v>
      </c>
      <c r="H343" s="35"/>
      <c r="I343" s="31"/>
      <c r="J343" s="155">
        <v>0</v>
      </c>
    </row>
    <row r="344" spans="1:10" ht="15.75" hidden="1" thickBot="1" x14ac:dyDescent="0.3">
      <c r="A344" s="176"/>
      <c r="B344" s="175"/>
      <c r="C344" s="36" t="s">
        <v>3462</v>
      </c>
      <c r="D344" s="36" t="s">
        <v>953</v>
      </c>
      <c r="E344" s="37">
        <v>4.9000000000000002E-2</v>
      </c>
      <c r="F344" s="34">
        <v>21.47</v>
      </c>
      <c r="G344" s="34">
        <f>IF(ISNUMBER(F344),E344*F344,"")</f>
        <v>1.05203</v>
      </c>
      <c r="H344" s="35"/>
      <c r="I344" s="31"/>
      <c r="J344" s="155">
        <v>0</v>
      </c>
    </row>
    <row r="345" spans="1:10" ht="15.75" hidden="1" thickBot="1" x14ac:dyDescent="0.3">
      <c r="A345" s="176"/>
      <c r="B345" s="175"/>
      <c r="C345" s="36" t="s">
        <v>839</v>
      </c>
      <c r="D345" s="36" t="s">
        <v>755</v>
      </c>
      <c r="E345" s="37">
        <v>0.20499999999999999</v>
      </c>
      <c r="F345" s="31">
        <v>18.468</v>
      </c>
      <c r="G345" s="34">
        <f>IF(ISNUMBER(F345),E345*F345,"")</f>
        <v>3.7859399999999996</v>
      </c>
      <c r="H345" s="35"/>
      <c r="I345" s="31"/>
      <c r="J345" s="155">
        <v>0</v>
      </c>
    </row>
    <row r="346" spans="1:10" ht="15.75" hidden="1" thickBot="1" x14ac:dyDescent="0.3">
      <c r="A346" s="176"/>
      <c r="B346" s="175"/>
      <c r="C346" s="36" t="s">
        <v>1050</v>
      </c>
      <c r="D346" s="36" t="s">
        <v>755</v>
      </c>
      <c r="E346" s="37">
        <v>1.1200000000000001</v>
      </c>
      <c r="F346" s="31">
        <v>21.878499999999999</v>
      </c>
      <c r="G346" s="34">
        <f>IF(ISNUMBER(F346),E346*F346,"")</f>
        <v>24.503920000000001</v>
      </c>
      <c r="H346" s="35"/>
      <c r="I346" s="31"/>
      <c r="J346" s="155">
        <v>0</v>
      </c>
    </row>
    <row r="347" spans="1:10" ht="26.25" hidden="1" thickBot="1" x14ac:dyDescent="0.3">
      <c r="A347" s="176"/>
      <c r="B347" s="175"/>
      <c r="C347" s="36" t="s">
        <v>3768</v>
      </c>
      <c r="D347" s="36" t="s">
        <v>1049</v>
      </c>
      <c r="E347" s="37">
        <v>0.621</v>
      </c>
      <c r="F347" s="34">
        <v>93.563476499999979</v>
      </c>
      <c r="G347" s="34">
        <f>IF(ISNUMBER(F347),E347*F347,"")</f>
        <v>58.102918906499987</v>
      </c>
      <c r="H347" s="35"/>
      <c r="I347" s="31"/>
      <c r="J347" s="155">
        <v>0</v>
      </c>
    </row>
    <row r="348" spans="1:10" ht="26.25" hidden="1" thickBot="1" x14ac:dyDescent="0.3">
      <c r="A348" s="176"/>
      <c r="B348" s="175"/>
      <c r="C348" s="36" t="s">
        <v>3770</v>
      </c>
      <c r="D348" s="36" t="s">
        <v>523</v>
      </c>
      <c r="E348" s="37">
        <v>1.8160000000000001</v>
      </c>
      <c r="F348" s="34">
        <v>24.447442500000001</v>
      </c>
      <c r="G348" s="34">
        <f>IF(ISNUMBER(F348),E348*F348,"")</f>
        <v>44.396555580000005</v>
      </c>
      <c r="H348" s="35"/>
      <c r="I348" s="31"/>
      <c r="J348" s="155">
        <v>0</v>
      </c>
    </row>
    <row r="349" spans="1:10" ht="15.75" hidden="1" thickBot="1" x14ac:dyDescent="0.3">
      <c r="A349" s="177"/>
      <c r="B349" s="178"/>
      <c r="C349" s="36"/>
      <c r="D349" s="36"/>
      <c r="E349" s="37"/>
      <c r="F349" s="31" t="s">
        <v>568</v>
      </c>
      <c r="G349" s="31" t="str">
        <f>IF(ISNUMBER(F349),E349*F349,"")</f>
        <v/>
      </c>
      <c r="H349" s="35"/>
      <c r="I349" s="31"/>
      <c r="J349" s="155">
        <v>0</v>
      </c>
    </row>
    <row r="350" spans="1:10" ht="15.75" thickBot="1" x14ac:dyDescent="0.3">
      <c r="A350" s="172" t="s">
        <v>145</v>
      </c>
      <c r="B350" s="174" t="str">
        <f>INDEX(Orçamentária!A:B,MATCH(Composições!A350,Orçamentária!A:A,0),2)</f>
        <v>Verga/contraverga/cinta em bloco de concreto canaleta 11,5 x 19 x 39 cm</v>
      </c>
      <c r="C350" s="41"/>
      <c r="D350" s="26" t="str">
        <f>TRIM(INDEX(Orçamentária!C:C,MATCH(Composições!A350,Orçamentária!A:A,0),1))</f>
        <v>m</v>
      </c>
      <c r="E350" s="27"/>
      <c r="F350" s="42" t="s">
        <v>568</v>
      </c>
      <c r="G350" s="28" t="str">
        <f>IF(ISNUMBER(F350),E350*F350,"")</f>
        <v/>
      </c>
      <c r="H350" s="29"/>
      <c r="I350" s="30"/>
      <c r="J350" s="155">
        <v>1</v>
      </c>
    </row>
    <row r="351" spans="1:10" x14ac:dyDescent="0.25">
      <c r="A351" s="173"/>
      <c r="B351" s="175"/>
      <c r="C351" s="32"/>
      <c r="D351" s="32"/>
      <c r="E351" s="33"/>
      <c r="F351" s="43" t="s">
        <v>568</v>
      </c>
      <c r="G351" s="31" t="str">
        <f>IF(ISNUMBER(F351),E351*F351,"")</f>
        <v/>
      </c>
      <c r="H351" s="35"/>
      <c r="I351" s="31"/>
      <c r="J351" s="155">
        <v>1</v>
      </c>
    </row>
    <row r="352" spans="1:10" x14ac:dyDescent="0.25">
      <c r="A352" s="173"/>
      <c r="B352" s="175"/>
      <c r="C352" s="36" t="s">
        <v>23</v>
      </c>
      <c r="D352" s="47" t="s">
        <v>12</v>
      </c>
      <c r="E352" s="37">
        <v>0.4</v>
      </c>
      <c r="F352" s="31">
        <v>16.311500000000002</v>
      </c>
      <c r="G352" s="34">
        <f>IF(ISNUMBER(F352),E352*F352,"")</f>
        <v>6.5246000000000013</v>
      </c>
      <c r="H352" s="39">
        <f>SUM(G352:G360)</f>
        <v>29.209286890999998</v>
      </c>
      <c r="I352" s="40"/>
      <c r="J352" s="155">
        <v>1</v>
      </c>
    </row>
    <row r="353" spans="1:10" x14ac:dyDescent="0.25">
      <c r="A353" s="173"/>
      <c r="B353" s="175"/>
      <c r="C353" s="36" t="s">
        <v>146</v>
      </c>
      <c r="D353" s="47" t="s">
        <v>12</v>
      </c>
      <c r="E353" s="37">
        <v>0.3</v>
      </c>
      <c r="F353" s="31">
        <v>22.087499999999999</v>
      </c>
      <c r="G353" s="34">
        <f>IF(ISNUMBER(F353),E353*F353,"")</f>
        <v>6.6262499999999998</v>
      </c>
      <c r="H353" s="35"/>
      <c r="I353" s="31"/>
      <c r="J353" s="155">
        <v>1</v>
      </c>
    </row>
    <row r="354" spans="1:10" x14ac:dyDescent="0.25">
      <c r="A354" s="173"/>
      <c r="B354" s="175"/>
      <c r="C354" s="36" t="s">
        <v>116</v>
      </c>
      <c r="D354" s="36" t="s">
        <v>111</v>
      </c>
      <c r="E354" s="37">
        <v>0.01</v>
      </c>
      <c r="F354" s="34">
        <v>90.25</v>
      </c>
      <c r="G354" s="34">
        <f>IF(ISNUMBER(F354),E354*F354,"")</f>
        <v>0.90249999999999997</v>
      </c>
      <c r="H354" s="35"/>
      <c r="I354" s="31"/>
      <c r="J354" s="155">
        <v>1</v>
      </c>
    </row>
    <row r="355" spans="1:10" x14ac:dyDescent="0.25">
      <c r="A355" s="173"/>
      <c r="B355" s="175"/>
      <c r="C355" s="36" t="s">
        <v>147</v>
      </c>
      <c r="D355" s="36" t="s">
        <v>111</v>
      </c>
      <c r="E355" s="37">
        <v>0.01</v>
      </c>
      <c r="F355" s="34">
        <v>118.256</v>
      </c>
      <c r="G355" s="34">
        <f>IF(ISNUMBER(F355),E355*F355,"")</f>
        <v>1.1825600000000001</v>
      </c>
      <c r="H355" s="35"/>
      <c r="I355" s="31"/>
      <c r="J355" s="155">
        <v>1</v>
      </c>
    </row>
    <row r="356" spans="1:10" x14ac:dyDescent="0.25">
      <c r="A356" s="173"/>
      <c r="B356" s="175"/>
      <c r="C356" s="36" t="s">
        <v>117</v>
      </c>
      <c r="D356" s="47" t="s">
        <v>42</v>
      </c>
      <c r="E356" s="37">
        <v>2.0099999999999998</v>
      </c>
      <c r="F356" s="34">
        <v>0.47499999999999998</v>
      </c>
      <c r="G356" s="34">
        <f>IF(ISNUMBER(F356),E356*F356,"")</f>
        <v>0.95474999999999988</v>
      </c>
      <c r="H356" s="35"/>
      <c r="I356" s="31"/>
      <c r="J356" s="155">
        <v>1</v>
      </c>
    </row>
    <row r="357" spans="1:10" x14ac:dyDescent="0.25">
      <c r="A357" s="173"/>
      <c r="B357" s="175"/>
      <c r="C357" s="36" t="s">
        <v>148</v>
      </c>
      <c r="D357" s="47" t="s">
        <v>149</v>
      </c>
      <c r="E357" s="37">
        <v>2.5</v>
      </c>
      <c r="F357" s="31">
        <v>3.0590000000000002</v>
      </c>
      <c r="G357" s="34">
        <f>IF(ISNUMBER(F357),E357*F357,"")</f>
        <v>7.6475000000000009</v>
      </c>
      <c r="H357" s="35"/>
      <c r="I357" s="31"/>
      <c r="J357" s="155">
        <v>1</v>
      </c>
    </row>
    <row r="358" spans="1:10" x14ac:dyDescent="0.25">
      <c r="A358" s="173"/>
      <c r="B358" s="175"/>
      <c r="C358" s="36" t="s">
        <v>150</v>
      </c>
      <c r="D358" s="47" t="s">
        <v>42</v>
      </c>
      <c r="E358" s="37">
        <v>0.5</v>
      </c>
      <c r="F358" s="34">
        <v>9.0439999999999987</v>
      </c>
      <c r="G358" s="34">
        <f>IF(ISNUMBER(F358),E358*F358,"")</f>
        <v>4.5219999999999994</v>
      </c>
      <c r="H358" s="35"/>
      <c r="I358" s="31"/>
      <c r="J358" s="155">
        <v>1</v>
      </c>
    </row>
    <row r="359" spans="1:10" ht="51" x14ac:dyDescent="0.25">
      <c r="A359" s="173"/>
      <c r="B359" s="175"/>
      <c r="C359" s="36" t="s">
        <v>3611</v>
      </c>
      <c r="D359" s="36" t="s">
        <v>123</v>
      </c>
      <c r="E359" s="37">
        <f>1*(E354+E355)</f>
        <v>0.02</v>
      </c>
      <c r="F359" s="34">
        <v>5.5686425499999999</v>
      </c>
      <c r="G359" s="34">
        <f>IF(ISNUMBER(F359),E359*F359,"")</f>
        <v>0.11137285099999999</v>
      </c>
      <c r="H359" s="35"/>
      <c r="I359" s="31"/>
      <c r="J359" s="155">
        <v>1</v>
      </c>
    </row>
    <row r="360" spans="1:10" ht="38.25" x14ac:dyDescent="0.25">
      <c r="A360" s="173"/>
      <c r="B360" s="175"/>
      <c r="C360" s="36" t="s">
        <v>124</v>
      </c>
      <c r="D360" s="47" t="s">
        <v>125</v>
      </c>
      <c r="E360" s="37">
        <f>(E354+E355)*20</f>
        <v>0.4</v>
      </c>
      <c r="F360" s="34">
        <v>1.8443850999999998</v>
      </c>
      <c r="G360" s="34">
        <f>IF(ISNUMBER(F360),E360*F360,"")</f>
        <v>0.73775404</v>
      </c>
      <c r="H360" s="35"/>
      <c r="I360" s="31"/>
      <c r="J360" s="155">
        <v>1</v>
      </c>
    </row>
    <row r="361" spans="1:10" x14ac:dyDescent="0.25">
      <c r="A361" s="173"/>
      <c r="B361" s="175"/>
      <c r="C361" s="51"/>
      <c r="D361" s="47"/>
      <c r="E361" s="37"/>
      <c r="F361" s="34" t="s">
        <v>568</v>
      </c>
      <c r="G361" s="34" t="str">
        <f>IF(ISNUMBER(F361),E361*F361,"")</f>
        <v/>
      </c>
      <c r="H361" s="35"/>
      <c r="I361" s="31"/>
      <c r="J361" s="155">
        <v>1</v>
      </c>
    </row>
    <row r="362" spans="1:10" ht="25.5" x14ac:dyDescent="0.25">
      <c r="A362" s="173"/>
      <c r="B362" s="175"/>
      <c r="C362" s="48" t="s">
        <v>126</v>
      </c>
      <c r="D362" s="47"/>
      <c r="E362" s="37"/>
      <c r="F362" s="34" t="s">
        <v>568</v>
      </c>
      <c r="G362" s="34" t="str">
        <f>IF(ISNUMBER(F362),E362*F362,"")</f>
        <v/>
      </c>
      <c r="H362" s="35"/>
      <c r="I362" s="31"/>
      <c r="J362" s="155">
        <v>1</v>
      </c>
    </row>
    <row r="363" spans="1:10" ht="15.75" thickBot="1" x14ac:dyDescent="0.3">
      <c r="A363" s="185"/>
      <c r="B363" s="178"/>
      <c r="C363" s="36"/>
      <c r="D363" s="36"/>
      <c r="E363" s="37"/>
      <c r="F363" s="31" t="s">
        <v>568</v>
      </c>
      <c r="G363" s="31" t="str">
        <f>IF(ISNUMBER(F363),E363*F363,"")</f>
        <v/>
      </c>
      <c r="H363" s="35"/>
      <c r="I363" s="31"/>
      <c r="J363" s="155">
        <v>1</v>
      </c>
    </row>
    <row r="364" spans="1:10" ht="15.75" thickBot="1" x14ac:dyDescent="0.3">
      <c r="A364" s="172" t="s">
        <v>151</v>
      </c>
      <c r="B364" s="174" t="str">
        <f>INDEX(Orçamentária!A:B,MATCH(Composições!A364,Orçamentária!A:A,0),2)</f>
        <v>Impermeabilização de superfície com revestimento bicomponente semi flexível</v>
      </c>
      <c r="C364" s="41"/>
      <c r="D364" s="26" t="str">
        <f>TRIM(INDEX(Orçamentária!C:C,MATCH(Composições!A364,Orçamentária!A:A,0),1))</f>
        <v>m2</v>
      </c>
      <c r="E364" s="27"/>
      <c r="F364" s="42" t="s">
        <v>568</v>
      </c>
      <c r="G364" s="28" t="str">
        <f>IF(ISNUMBER(F364),E364*F364,"")</f>
        <v/>
      </c>
      <c r="H364" s="29"/>
      <c r="I364" s="30"/>
      <c r="J364" s="155">
        <v>52.3</v>
      </c>
    </row>
    <row r="365" spans="1:10" x14ac:dyDescent="0.25">
      <c r="A365" s="176"/>
      <c r="B365" s="175"/>
      <c r="C365" s="32"/>
      <c r="D365" s="32"/>
      <c r="E365" s="33"/>
      <c r="F365" s="43" t="s">
        <v>568</v>
      </c>
      <c r="G365" s="31" t="str">
        <f>IF(ISNUMBER(F365),E365*F365,"")</f>
        <v/>
      </c>
      <c r="H365" s="35"/>
      <c r="I365" s="31"/>
      <c r="J365" s="155">
        <v>52.3</v>
      </c>
    </row>
    <row r="366" spans="1:10" ht="25.5" x14ac:dyDescent="0.25">
      <c r="A366" s="176"/>
      <c r="B366" s="175"/>
      <c r="C366" s="36" t="s">
        <v>152</v>
      </c>
      <c r="D366" s="36" t="s">
        <v>42</v>
      </c>
      <c r="E366" s="37">
        <v>3.2</v>
      </c>
      <c r="F366" s="34">
        <v>2.6789999999999998</v>
      </c>
      <c r="G366" s="31">
        <f>IF(ISNUMBER(F366),E366*F366,"")</f>
        <v>8.5727999999999991</v>
      </c>
      <c r="H366" s="39">
        <f>SUM(G366:G368)</f>
        <v>22.415364</v>
      </c>
      <c r="I366" s="40"/>
      <c r="J366" s="155">
        <v>52.3</v>
      </c>
    </row>
    <row r="367" spans="1:10" x14ac:dyDescent="0.25">
      <c r="A367" s="176"/>
      <c r="B367" s="175"/>
      <c r="C367" s="36" t="s">
        <v>50</v>
      </c>
      <c r="D367" s="50" t="s">
        <v>12</v>
      </c>
      <c r="E367" s="37">
        <v>0.108</v>
      </c>
      <c r="F367" s="31">
        <v>19.3705</v>
      </c>
      <c r="G367" s="31">
        <f>IF(ISNUMBER(F367),E367*F367,"")</f>
        <v>2.0920139999999998</v>
      </c>
      <c r="H367" s="35"/>
      <c r="I367" s="31"/>
      <c r="J367" s="155">
        <v>52.3</v>
      </c>
    </row>
    <row r="368" spans="1:10" x14ac:dyDescent="0.25">
      <c r="A368" s="176"/>
      <c r="B368" s="175"/>
      <c r="C368" s="36" t="s">
        <v>153</v>
      </c>
      <c r="D368" s="50" t="s">
        <v>12</v>
      </c>
      <c r="E368" s="37">
        <v>0.53200000000000003</v>
      </c>
      <c r="F368" s="31">
        <v>22.087499999999999</v>
      </c>
      <c r="G368" s="31">
        <f>IF(ISNUMBER(F368),E368*F368,"")</f>
        <v>11.75055</v>
      </c>
      <c r="H368" s="35"/>
      <c r="I368" s="31"/>
      <c r="J368" s="155">
        <v>52.3</v>
      </c>
    </row>
    <row r="369" spans="1:10" ht="15.75" thickBot="1" x14ac:dyDescent="0.3">
      <c r="A369" s="177"/>
      <c r="B369" s="178"/>
      <c r="C369" s="36"/>
      <c r="D369" s="36"/>
      <c r="E369" s="37"/>
      <c r="F369" s="31" t="s">
        <v>568</v>
      </c>
      <c r="G369" s="31" t="str">
        <f>IF(ISNUMBER(F369),E369*F369,"")</f>
        <v/>
      </c>
      <c r="H369" s="35"/>
      <c r="I369" s="31"/>
      <c r="J369" s="155">
        <v>52.3</v>
      </c>
    </row>
    <row r="370" spans="1:10" ht="15.75" thickBot="1" x14ac:dyDescent="0.3">
      <c r="A370" s="172" t="s">
        <v>154</v>
      </c>
      <c r="B370" s="174" t="str">
        <f>INDEX(Orçamentária!A:B,MATCH(Composições!A370,Orçamentária!A:A,0),2)</f>
        <v>Alvenaria de vedação</v>
      </c>
      <c r="C370" s="41"/>
      <c r="D370" s="26" t="str">
        <f>TRIM(INDEX(Orçamentária!C:C,MATCH(Composições!A370,Orçamentária!A:A,0),1))</f>
        <v>m2</v>
      </c>
      <c r="E370" s="27"/>
      <c r="F370" s="42" t="s">
        <v>568</v>
      </c>
      <c r="G370" s="28" t="str">
        <f>IF(ISNUMBER(F370),E370*F370,"")</f>
        <v/>
      </c>
      <c r="H370" s="29"/>
      <c r="I370" s="30"/>
      <c r="J370" s="155">
        <v>102.13</v>
      </c>
    </row>
    <row r="371" spans="1:10" x14ac:dyDescent="0.25">
      <c r="A371" s="176"/>
      <c r="B371" s="175"/>
      <c r="C371" s="32"/>
      <c r="D371" s="32"/>
      <c r="E371" s="33"/>
      <c r="F371" s="43" t="s">
        <v>568</v>
      </c>
      <c r="G371" s="31" t="str">
        <f>IF(ISNUMBER(F371),E371*F371,"")</f>
        <v/>
      </c>
      <c r="H371" s="35"/>
      <c r="I371" s="31"/>
      <c r="J371" s="155">
        <v>102.13</v>
      </c>
    </row>
    <row r="372" spans="1:10" ht="25.5" x14ac:dyDescent="0.25">
      <c r="A372" s="176"/>
      <c r="B372" s="175"/>
      <c r="C372" s="36" t="s">
        <v>3601</v>
      </c>
      <c r="D372" s="47" t="s">
        <v>155</v>
      </c>
      <c r="E372" s="37">
        <v>2.7900000000000001E-2</v>
      </c>
      <c r="F372" s="34">
        <v>750.5</v>
      </c>
      <c r="G372" s="34">
        <f>IF(ISNUMBER(F372),E372*F372,"")</f>
        <v>20.938950000000002</v>
      </c>
      <c r="H372" s="39">
        <f>SUM(G372:G377)</f>
        <v>68.71591648023761</v>
      </c>
      <c r="I372" s="40"/>
      <c r="J372" s="155">
        <v>102.13</v>
      </c>
    </row>
    <row r="373" spans="1:10" ht="25.5" x14ac:dyDescent="0.25">
      <c r="A373" s="176"/>
      <c r="B373" s="175"/>
      <c r="C373" s="36" t="s">
        <v>156</v>
      </c>
      <c r="D373" s="47" t="s">
        <v>93</v>
      </c>
      <c r="E373" s="37">
        <v>0.42</v>
      </c>
      <c r="F373" s="34">
        <v>3.6479999999999997</v>
      </c>
      <c r="G373" s="34">
        <f>IF(ISNUMBER(F373),E373*F373,"")</f>
        <v>1.5321599999999997</v>
      </c>
      <c r="H373" s="35"/>
      <c r="I373" s="31"/>
      <c r="J373" s="155">
        <v>102.13</v>
      </c>
    </row>
    <row r="374" spans="1:10" x14ac:dyDescent="0.25">
      <c r="A374" s="176"/>
      <c r="B374" s="175"/>
      <c r="C374" s="36" t="s">
        <v>157</v>
      </c>
      <c r="D374" s="47" t="s">
        <v>158</v>
      </c>
      <c r="E374" s="37">
        <v>5.0000000000000001E-3</v>
      </c>
      <c r="F374" s="34">
        <v>36.536999999999999</v>
      </c>
      <c r="G374" s="34">
        <f>IF(ISNUMBER(F374),E374*F374,"")</f>
        <v>0.18268499999999999</v>
      </c>
      <c r="H374" s="35"/>
      <c r="I374" s="31"/>
      <c r="J374" s="155">
        <v>102.13</v>
      </c>
    </row>
    <row r="375" spans="1:10" ht="51" x14ac:dyDescent="0.25">
      <c r="A375" s="176"/>
      <c r="B375" s="175"/>
      <c r="C375" s="36" t="s">
        <v>159</v>
      </c>
      <c r="D375" s="47" t="s">
        <v>111</v>
      </c>
      <c r="E375" s="37">
        <v>9.7999999999999997E-3</v>
      </c>
      <c r="F375" s="34">
        <v>472.33356941199997</v>
      </c>
      <c r="G375" s="34">
        <f>IF(ISNUMBER(F375),E375*F375,"")</f>
        <v>4.6288689802375993</v>
      </c>
      <c r="H375" s="35"/>
      <c r="I375" s="31"/>
      <c r="J375" s="155">
        <v>102.13</v>
      </c>
    </row>
    <row r="376" spans="1:10" x14ac:dyDescent="0.25">
      <c r="A376" s="176"/>
      <c r="B376" s="175"/>
      <c r="C376" s="36" t="s">
        <v>22</v>
      </c>
      <c r="D376" s="47" t="s">
        <v>12</v>
      </c>
      <c r="E376" s="37">
        <v>1.37</v>
      </c>
      <c r="F376" s="31">
        <v>22.087499999999999</v>
      </c>
      <c r="G376" s="31">
        <f>IF(ISNUMBER(F376),E376*F376,"")</f>
        <v>30.259875000000001</v>
      </c>
      <c r="H376" s="35"/>
      <c r="I376" s="31"/>
      <c r="J376" s="155">
        <v>102.13</v>
      </c>
    </row>
    <row r="377" spans="1:10" x14ac:dyDescent="0.25">
      <c r="A377" s="176"/>
      <c r="B377" s="175"/>
      <c r="C377" s="36" t="s">
        <v>23</v>
      </c>
      <c r="D377" s="47" t="s">
        <v>12</v>
      </c>
      <c r="E377" s="37">
        <v>0.68500000000000005</v>
      </c>
      <c r="F377" s="31">
        <v>16.311500000000002</v>
      </c>
      <c r="G377" s="31">
        <f>IF(ISNUMBER(F377),E377*F377,"")</f>
        <v>11.173377500000003</v>
      </c>
      <c r="H377" s="35"/>
      <c r="I377" s="31"/>
      <c r="J377" s="155">
        <v>102.13</v>
      </c>
    </row>
    <row r="378" spans="1:10" ht="15.75" thickBot="1" x14ac:dyDescent="0.3">
      <c r="A378" s="177"/>
      <c r="B378" s="178"/>
      <c r="C378" s="36"/>
      <c r="D378" s="36"/>
      <c r="E378" s="37"/>
      <c r="F378" s="31" t="s">
        <v>568</v>
      </c>
      <c r="G378" s="31" t="str">
        <f>IF(ISNUMBER(F378),E378*F378,"")</f>
        <v/>
      </c>
      <c r="H378" s="35"/>
      <c r="I378" s="31"/>
      <c r="J378" s="155">
        <v>102.13</v>
      </c>
    </row>
    <row r="379" spans="1:10" ht="15.75" thickBot="1" x14ac:dyDescent="0.3">
      <c r="A379" s="172" t="s">
        <v>160</v>
      </c>
      <c r="B379" s="174" t="str">
        <f>INDEX(Orçamentária!A:B,MATCH(Composições!A379,Orçamentária!A:A,0),2)</f>
        <v>Fechamento ou shaft em gesso acartonado tipo drywall</v>
      </c>
      <c r="C379" s="41"/>
      <c r="D379" s="26" t="str">
        <f>TRIM(INDEX(Orçamentária!C:C,MATCH(Composições!A379,Orçamentária!A:A,0),1))</f>
        <v>m2</v>
      </c>
      <c r="E379" s="27"/>
      <c r="F379" s="42" t="s">
        <v>568</v>
      </c>
      <c r="G379" s="28" t="str">
        <f>IF(ISNUMBER(F379),E379*F379,"")</f>
        <v/>
      </c>
      <c r="H379" s="29"/>
      <c r="I379" s="30"/>
      <c r="J379" s="155">
        <v>30</v>
      </c>
    </row>
    <row r="380" spans="1:10" x14ac:dyDescent="0.25">
      <c r="A380" s="176"/>
      <c r="B380" s="175"/>
      <c r="C380" s="32"/>
      <c r="D380" s="32"/>
      <c r="E380" s="33"/>
      <c r="F380" s="43" t="s">
        <v>568</v>
      </c>
      <c r="G380" s="31" t="str">
        <f>IF(ISNUMBER(F380),E380*F380,"")</f>
        <v/>
      </c>
      <c r="H380" s="35"/>
      <c r="I380" s="31"/>
      <c r="J380" s="155">
        <v>30</v>
      </c>
    </row>
    <row r="381" spans="1:10" ht="25.5" x14ac:dyDescent="0.25">
      <c r="A381" s="176"/>
      <c r="B381" s="175"/>
      <c r="C381" s="36" t="s">
        <v>161</v>
      </c>
      <c r="D381" s="36" t="s">
        <v>158</v>
      </c>
      <c r="E381" s="37">
        <v>2.4299999999999999E-2</v>
      </c>
      <c r="F381" s="34">
        <v>42.483999999999995</v>
      </c>
      <c r="G381" s="34">
        <f>IF(ISNUMBER(F381),E381*F381,"")</f>
        <v>1.0323611999999998</v>
      </c>
      <c r="H381" s="39">
        <f>SUM(G381:G391)</f>
        <v>46.912794550000001</v>
      </c>
      <c r="I381" s="40"/>
      <c r="J381" s="155">
        <v>30</v>
      </c>
    </row>
    <row r="382" spans="1:10" ht="25.5" x14ac:dyDescent="0.25">
      <c r="A382" s="176"/>
      <c r="B382" s="175"/>
      <c r="C382" s="36" t="s">
        <v>3778</v>
      </c>
      <c r="D382" s="36" t="s">
        <v>95</v>
      </c>
      <c r="E382" s="37">
        <v>1.0529999999999999</v>
      </c>
      <c r="F382" s="34">
        <v>11.865499999999999</v>
      </c>
      <c r="G382" s="34">
        <f>IF(ISNUMBER(F382),E382*F382,"")</f>
        <v>12.494371499999998</v>
      </c>
      <c r="H382" s="45"/>
      <c r="I382" s="46"/>
      <c r="J382" s="155">
        <v>30</v>
      </c>
    </row>
    <row r="383" spans="1:10" ht="25.5" x14ac:dyDescent="0.25">
      <c r="A383" s="176"/>
      <c r="B383" s="175"/>
      <c r="C383" s="36" t="s">
        <v>162</v>
      </c>
      <c r="D383" s="36" t="s">
        <v>93</v>
      </c>
      <c r="E383" s="37">
        <v>0.76039999999999996</v>
      </c>
      <c r="F383" s="34">
        <v>7.4574999999999996</v>
      </c>
      <c r="G383" s="34">
        <f>IF(ISNUMBER(F383),E383*F383,"")</f>
        <v>5.6706829999999995</v>
      </c>
      <c r="H383" s="45"/>
      <c r="I383" s="46"/>
      <c r="J383" s="155">
        <v>30</v>
      </c>
    </row>
    <row r="384" spans="1:10" ht="25.5" x14ac:dyDescent="0.25">
      <c r="A384" s="176"/>
      <c r="B384" s="175"/>
      <c r="C384" s="36" t="s">
        <v>163</v>
      </c>
      <c r="D384" s="36" t="s">
        <v>93</v>
      </c>
      <c r="E384" s="37">
        <v>1.9910000000000001</v>
      </c>
      <c r="F384" s="34">
        <v>8.4644999999999992</v>
      </c>
      <c r="G384" s="34">
        <f>IF(ISNUMBER(F384),E384*F384,"")</f>
        <v>16.852819499999999</v>
      </c>
      <c r="H384" s="45"/>
      <c r="I384" s="46"/>
      <c r="J384" s="155">
        <v>30</v>
      </c>
    </row>
    <row r="385" spans="1:10" ht="25.5" x14ac:dyDescent="0.25">
      <c r="A385" s="176"/>
      <c r="B385" s="175"/>
      <c r="C385" s="36" t="s">
        <v>164</v>
      </c>
      <c r="D385" s="36" t="s">
        <v>93</v>
      </c>
      <c r="E385" s="37">
        <v>1.2513000000000001</v>
      </c>
      <c r="F385" s="34">
        <v>0.13300000000000001</v>
      </c>
      <c r="G385" s="34">
        <f>IF(ISNUMBER(F385),E385*F385,"")</f>
        <v>0.16642290000000001</v>
      </c>
      <c r="H385" s="45"/>
      <c r="I385" s="46"/>
      <c r="J385" s="155">
        <v>30</v>
      </c>
    </row>
    <row r="386" spans="1:10" ht="25.5" x14ac:dyDescent="0.25">
      <c r="A386" s="176"/>
      <c r="B386" s="175"/>
      <c r="C386" s="36" t="s">
        <v>165</v>
      </c>
      <c r="D386" s="36" t="s">
        <v>93</v>
      </c>
      <c r="E386" s="37">
        <v>0.74070000000000003</v>
      </c>
      <c r="F386" s="34">
        <v>1.7575000000000001</v>
      </c>
      <c r="G386" s="34">
        <f>IF(ISNUMBER(F386),E386*F386,"")</f>
        <v>1.3017802500000002</v>
      </c>
      <c r="H386" s="45"/>
      <c r="I386" s="46"/>
      <c r="J386" s="155">
        <v>30</v>
      </c>
    </row>
    <row r="387" spans="1:10" ht="38.25" x14ac:dyDescent="0.25">
      <c r="A387" s="176"/>
      <c r="B387" s="175"/>
      <c r="C387" s="36" t="s">
        <v>3776</v>
      </c>
      <c r="D387" s="36" t="s">
        <v>42</v>
      </c>
      <c r="E387" s="37">
        <v>0.51639999999999997</v>
      </c>
      <c r="F387" s="34">
        <v>2.3559999999999999</v>
      </c>
      <c r="G387" s="34">
        <f>IF(ISNUMBER(F387),E387*F387,"")</f>
        <v>1.2166383999999999</v>
      </c>
      <c r="H387" s="45"/>
      <c r="I387" s="46"/>
      <c r="J387" s="155">
        <v>30</v>
      </c>
    </row>
    <row r="388" spans="1:10" ht="25.5" x14ac:dyDescent="0.25">
      <c r="A388" s="176"/>
      <c r="B388" s="175"/>
      <c r="C388" s="36" t="s">
        <v>166</v>
      </c>
      <c r="D388" s="36" t="s">
        <v>20</v>
      </c>
      <c r="E388" s="37">
        <v>10.0039</v>
      </c>
      <c r="F388" s="34">
        <v>4.7500000000000001E-2</v>
      </c>
      <c r="G388" s="34">
        <f>IF(ISNUMBER(F388),E388*F388,"")</f>
        <v>0.47518525</v>
      </c>
      <c r="H388" s="45"/>
      <c r="I388" s="46"/>
      <c r="J388" s="155">
        <v>30</v>
      </c>
    </row>
    <row r="389" spans="1:10" ht="25.5" x14ac:dyDescent="0.25">
      <c r="A389" s="176"/>
      <c r="B389" s="175"/>
      <c r="C389" s="36" t="s">
        <v>167</v>
      </c>
      <c r="D389" s="36" t="s">
        <v>20</v>
      </c>
      <c r="E389" s="37">
        <v>0.80759999999999998</v>
      </c>
      <c r="F389" s="34">
        <v>0.11399999999999999</v>
      </c>
      <c r="G389" s="34">
        <f>IF(ISNUMBER(F389),E389*F389,"")</f>
        <v>9.2066399999999993E-2</v>
      </c>
      <c r="H389" s="45"/>
      <c r="I389" s="46"/>
      <c r="J389" s="155">
        <v>30</v>
      </c>
    </row>
    <row r="390" spans="1:10" x14ac:dyDescent="0.25">
      <c r="A390" s="176"/>
      <c r="B390" s="175"/>
      <c r="C390" s="36" t="s">
        <v>27</v>
      </c>
      <c r="D390" s="36" t="s">
        <v>12</v>
      </c>
      <c r="E390" s="37">
        <v>0.36359999999999998</v>
      </c>
      <c r="F390" s="31">
        <v>16.852999999999998</v>
      </c>
      <c r="G390" s="34">
        <f>IF(ISNUMBER(F390),E390*F390,"")</f>
        <v>6.1277507999999985</v>
      </c>
      <c r="H390" s="45"/>
      <c r="I390" s="46"/>
      <c r="J390" s="155">
        <v>30</v>
      </c>
    </row>
    <row r="391" spans="1:10" x14ac:dyDescent="0.25">
      <c r="A391" s="176"/>
      <c r="B391" s="175"/>
      <c r="C391" s="36" t="s">
        <v>23</v>
      </c>
      <c r="D391" s="36" t="s">
        <v>12</v>
      </c>
      <c r="E391" s="37">
        <v>9.0899999999999995E-2</v>
      </c>
      <c r="F391" s="31">
        <v>16.311500000000002</v>
      </c>
      <c r="G391" s="34">
        <f>IF(ISNUMBER(F391),E391*F391,"")</f>
        <v>1.4827153500000001</v>
      </c>
      <c r="H391" s="45"/>
      <c r="I391" s="46"/>
      <c r="J391" s="155">
        <v>30</v>
      </c>
    </row>
    <row r="392" spans="1:10" ht="15.75" thickBot="1" x14ac:dyDescent="0.3">
      <c r="A392" s="177"/>
      <c r="B392" s="178"/>
      <c r="C392" s="36"/>
      <c r="D392" s="36"/>
      <c r="E392" s="37"/>
      <c r="F392" s="31" t="s">
        <v>568</v>
      </c>
      <c r="G392" s="31" t="str">
        <f>IF(ISNUMBER(F392),E392*F392,"")</f>
        <v/>
      </c>
      <c r="H392" s="35"/>
      <c r="I392" s="31"/>
      <c r="J392" s="155">
        <v>30</v>
      </c>
    </row>
    <row r="393" spans="1:10" ht="15.75" thickBot="1" x14ac:dyDescent="0.3">
      <c r="A393" s="172" t="s">
        <v>168</v>
      </c>
      <c r="B393" s="174" t="str">
        <f>INDEX(Orçamentária!A:B,MATCH(Composições!A393,Orçamentária!A:A,0),2)</f>
        <v>Fixação (encunhamento) de Alvenaria de Vedação</v>
      </c>
      <c r="C393" s="41"/>
      <c r="D393" s="26" t="str">
        <f>TRIM(INDEX(Orçamentária!C:C,MATCH(Composições!A393,Orçamentária!A:A,0),1))</f>
        <v>m</v>
      </c>
      <c r="E393" s="27"/>
      <c r="F393" s="42" t="s">
        <v>568</v>
      </c>
      <c r="G393" s="28" t="str">
        <f>IF(ISNUMBER(F393),E393*F393,"")</f>
        <v/>
      </c>
      <c r="H393" s="29"/>
      <c r="I393" s="30"/>
      <c r="J393" s="155">
        <v>91</v>
      </c>
    </row>
    <row r="394" spans="1:10" x14ac:dyDescent="0.25">
      <c r="A394" s="176"/>
      <c r="B394" s="175"/>
      <c r="C394" s="32"/>
      <c r="D394" s="32"/>
      <c r="E394" s="33"/>
      <c r="F394" s="43" t="s">
        <v>568</v>
      </c>
      <c r="G394" s="31" t="str">
        <f>IF(ISNUMBER(F394),E394*F394,"")</f>
        <v/>
      </c>
      <c r="H394" s="35"/>
      <c r="I394" s="31"/>
      <c r="J394" s="155">
        <v>91</v>
      </c>
    </row>
    <row r="395" spans="1:10" x14ac:dyDescent="0.25">
      <c r="A395" s="176"/>
      <c r="B395" s="175"/>
      <c r="C395" s="36" t="s">
        <v>3605</v>
      </c>
      <c r="D395" s="47" t="s">
        <v>20</v>
      </c>
      <c r="E395" s="37">
        <v>11.2</v>
      </c>
      <c r="F395" s="34">
        <v>0.64600000000000002</v>
      </c>
      <c r="G395" s="31">
        <f>IF(ISNUMBER(F395),E395*F395,"")</f>
        <v>7.2351999999999999</v>
      </c>
      <c r="H395" s="39">
        <f>SUM(G395:G398)</f>
        <v>23.0120890648552</v>
      </c>
      <c r="I395" s="40"/>
      <c r="J395" s="155">
        <v>91</v>
      </c>
    </row>
    <row r="396" spans="1:10" ht="51" x14ac:dyDescent="0.25">
      <c r="A396" s="176"/>
      <c r="B396" s="175"/>
      <c r="C396" s="36" t="s">
        <v>169</v>
      </c>
      <c r="D396" s="47" t="s">
        <v>111</v>
      </c>
      <c r="E396" s="37">
        <v>5.1999999999999998E-3</v>
      </c>
      <c r="F396" s="34">
        <v>454.53510862600001</v>
      </c>
      <c r="G396" s="31">
        <f>IF(ISNUMBER(F396),E396*F396,"")</f>
        <v>2.3635825648552</v>
      </c>
      <c r="H396" s="45"/>
      <c r="I396" s="46"/>
      <c r="J396" s="155">
        <v>91</v>
      </c>
    </row>
    <row r="397" spans="1:10" x14ac:dyDescent="0.25">
      <c r="A397" s="176"/>
      <c r="B397" s="175"/>
      <c r="C397" s="36" t="s">
        <v>22</v>
      </c>
      <c r="D397" s="47" t="s">
        <v>12</v>
      </c>
      <c r="E397" s="37">
        <v>0.52900000000000003</v>
      </c>
      <c r="F397" s="31">
        <v>22.087499999999999</v>
      </c>
      <c r="G397" s="31">
        <f>IF(ISNUMBER(F397),E397*F397,"")</f>
        <v>11.6842875</v>
      </c>
      <c r="H397" s="45"/>
      <c r="I397" s="46"/>
      <c r="J397" s="155">
        <v>91</v>
      </c>
    </row>
    <row r="398" spans="1:10" x14ac:dyDescent="0.25">
      <c r="A398" s="176"/>
      <c r="B398" s="175"/>
      <c r="C398" s="36" t="s">
        <v>23</v>
      </c>
      <c r="D398" s="47" t="s">
        <v>12</v>
      </c>
      <c r="E398" s="37">
        <v>0.106</v>
      </c>
      <c r="F398" s="31">
        <v>16.311500000000002</v>
      </c>
      <c r="G398" s="31">
        <f>IF(ISNUMBER(F398),E398*F398,"")</f>
        <v>1.7290190000000003</v>
      </c>
      <c r="H398" s="45"/>
      <c r="I398" s="46"/>
      <c r="J398" s="155">
        <v>91</v>
      </c>
    </row>
    <row r="399" spans="1:10" ht="15.75" thickBot="1" x14ac:dyDescent="0.3">
      <c r="A399" s="176"/>
      <c r="B399" s="175"/>
      <c r="C399" s="36"/>
      <c r="D399" s="47"/>
      <c r="E399" s="37"/>
      <c r="F399" s="34" t="s">
        <v>568</v>
      </c>
      <c r="G399" s="34" t="str">
        <f>IF(ISNUMBER(F399),E399*F399,"")</f>
        <v/>
      </c>
      <c r="H399" s="45"/>
      <c r="I399" s="46"/>
      <c r="J399" s="155">
        <v>91</v>
      </c>
    </row>
    <row r="400" spans="1:10" ht="15.75" hidden="1" thickBot="1" x14ac:dyDescent="0.3">
      <c r="A400" s="172" t="s">
        <v>170</v>
      </c>
      <c r="B400" s="174" t="str">
        <f>INDEX(Orçamentária!A:B,MATCH(Composições!A400,Orçamentária!A:A,0),2)</f>
        <v>Parede em gesso acartonado (drywall)</v>
      </c>
      <c r="C400" s="41"/>
      <c r="D400" s="26" t="str">
        <f>TRIM(INDEX(Orçamentária!C:C,MATCH(Composições!A400,Orçamentária!A:A,0),1))</f>
        <v>m2</v>
      </c>
      <c r="E400" s="27"/>
      <c r="F400" s="42" t="s">
        <v>568</v>
      </c>
      <c r="G400" s="28" t="str">
        <f>IF(ISNUMBER(F400),E400*F400,"")</f>
        <v/>
      </c>
      <c r="H400" s="29"/>
      <c r="I400" s="30"/>
      <c r="J400" s="155">
        <v>0</v>
      </c>
    </row>
    <row r="401" spans="1:10" ht="15.75" hidden="1" thickBot="1" x14ac:dyDescent="0.3">
      <c r="A401" s="176"/>
      <c r="B401" s="175"/>
      <c r="C401" s="32"/>
      <c r="D401" s="32"/>
      <c r="E401" s="33"/>
      <c r="F401" s="43" t="s">
        <v>568</v>
      </c>
      <c r="G401" s="31" t="str">
        <f>IF(ISNUMBER(F401),E401*F401,"")</f>
        <v/>
      </c>
      <c r="H401" s="35"/>
      <c r="I401" s="31"/>
      <c r="J401" s="155">
        <v>0</v>
      </c>
    </row>
    <row r="402" spans="1:10" ht="26.25" hidden="1" thickBot="1" x14ac:dyDescent="0.3">
      <c r="A402" s="176"/>
      <c r="B402" s="175"/>
      <c r="C402" s="36" t="s">
        <v>171</v>
      </c>
      <c r="D402" s="47" t="s">
        <v>158</v>
      </c>
      <c r="E402" s="37">
        <v>2.4299999999999999E-2</v>
      </c>
      <c r="F402" s="34">
        <v>42.483999999999995</v>
      </c>
      <c r="G402" s="31">
        <f>IF(ISNUMBER(F402),E402*F402,"")</f>
        <v>1.0323611999999998</v>
      </c>
      <c r="H402" s="39">
        <f>SUM(G402:G412)</f>
        <v>65.05954539999999</v>
      </c>
      <c r="I402" s="40"/>
      <c r="J402" s="155">
        <v>0</v>
      </c>
    </row>
    <row r="403" spans="1:10" ht="26.25" hidden="1" thickBot="1" x14ac:dyDescent="0.3">
      <c r="A403" s="176"/>
      <c r="B403" s="175"/>
      <c r="C403" s="36" t="s">
        <v>3778</v>
      </c>
      <c r="D403" s="47" t="s">
        <v>95</v>
      </c>
      <c r="E403" s="37">
        <v>2.1059999999999999</v>
      </c>
      <c r="F403" s="34">
        <v>11.865499999999999</v>
      </c>
      <c r="G403" s="31">
        <f>IF(ISNUMBER(F403),E403*F403,"")</f>
        <v>24.988742999999996</v>
      </c>
      <c r="H403" s="35"/>
      <c r="I403" s="31"/>
      <c r="J403" s="155">
        <v>0</v>
      </c>
    </row>
    <row r="404" spans="1:10" ht="26.25" hidden="1" thickBot="1" x14ac:dyDescent="0.3">
      <c r="A404" s="176"/>
      <c r="B404" s="175"/>
      <c r="C404" s="36" t="s">
        <v>172</v>
      </c>
      <c r="D404" s="47" t="s">
        <v>93</v>
      </c>
      <c r="E404" s="37">
        <v>0.76039999999999996</v>
      </c>
      <c r="F404" s="34">
        <v>7.4574999999999996</v>
      </c>
      <c r="G404" s="31">
        <f>IF(ISNUMBER(F404),E404*F404,"")</f>
        <v>5.6706829999999995</v>
      </c>
      <c r="H404" s="35"/>
      <c r="I404" s="31"/>
      <c r="J404" s="155">
        <v>0</v>
      </c>
    </row>
    <row r="405" spans="1:10" ht="26.25" hidden="1" thickBot="1" x14ac:dyDescent="0.3">
      <c r="A405" s="176"/>
      <c r="B405" s="175"/>
      <c r="C405" s="36" t="s">
        <v>173</v>
      </c>
      <c r="D405" s="47" t="s">
        <v>93</v>
      </c>
      <c r="E405" s="37">
        <v>1.9910000000000001</v>
      </c>
      <c r="F405" s="34">
        <v>8.4644999999999992</v>
      </c>
      <c r="G405" s="31">
        <f>IF(ISNUMBER(F405),E405*F405,"")</f>
        <v>16.852819499999999</v>
      </c>
      <c r="H405" s="35"/>
      <c r="I405" s="31"/>
      <c r="J405" s="155">
        <v>0</v>
      </c>
    </row>
    <row r="406" spans="1:10" ht="26.25" hidden="1" thickBot="1" x14ac:dyDescent="0.3">
      <c r="A406" s="176"/>
      <c r="B406" s="175"/>
      <c r="C406" s="36" t="s">
        <v>174</v>
      </c>
      <c r="D406" s="47" t="s">
        <v>93</v>
      </c>
      <c r="E406" s="37">
        <v>2.5026999999999999</v>
      </c>
      <c r="F406" s="34">
        <v>0.13300000000000001</v>
      </c>
      <c r="G406" s="31">
        <f>IF(ISNUMBER(F406),E406*F406,"")</f>
        <v>0.33285910000000002</v>
      </c>
      <c r="H406" s="35"/>
      <c r="I406" s="31"/>
      <c r="J406" s="155">
        <v>0</v>
      </c>
    </row>
    <row r="407" spans="1:10" ht="26.25" hidden="1" thickBot="1" x14ac:dyDescent="0.3">
      <c r="A407" s="176"/>
      <c r="B407" s="175"/>
      <c r="C407" s="36" t="s">
        <v>175</v>
      </c>
      <c r="D407" s="47" t="s">
        <v>93</v>
      </c>
      <c r="E407" s="37">
        <v>0.74070000000000003</v>
      </c>
      <c r="F407" s="34">
        <v>1.7575000000000001</v>
      </c>
      <c r="G407" s="31">
        <f>IF(ISNUMBER(F407),E407*F407,"")</f>
        <v>1.3017802500000002</v>
      </c>
      <c r="H407" s="35"/>
      <c r="I407" s="31"/>
      <c r="J407" s="155">
        <v>0</v>
      </c>
    </row>
    <row r="408" spans="1:10" ht="39" hidden="1" thickBot="1" x14ac:dyDescent="0.3">
      <c r="A408" s="176"/>
      <c r="B408" s="175"/>
      <c r="C408" s="36" t="s">
        <v>3776</v>
      </c>
      <c r="D408" s="47" t="s">
        <v>42</v>
      </c>
      <c r="E408" s="37">
        <v>1.0327</v>
      </c>
      <c r="F408" s="34">
        <v>2.3559999999999999</v>
      </c>
      <c r="G408" s="31">
        <f>IF(ISNUMBER(F408),E408*F408,"")</f>
        <v>2.4330411999999999</v>
      </c>
      <c r="H408" s="35"/>
      <c r="I408" s="31"/>
      <c r="J408" s="155">
        <v>0</v>
      </c>
    </row>
    <row r="409" spans="1:10" ht="26.25" hidden="1" thickBot="1" x14ac:dyDescent="0.3">
      <c r="A409" s="176"/>
      <c r="B409" s="175"/>
      <c r="C409" s="36" t="s">
        <v>176</v>
      </c>
      <c r="D409" s="47" t="s">
        <v>20</v>
      </c>
      <c r="E409" s="37">
        <v>20.0077</v>
      </c>
      <c r="F409" s="34">
        <v>4.7500000000000001E-2</v>
      </c>
      <c r="G409" s="31">
        <f>IF(ISNUMBER(F409),E409*F409,"")</f>
        <v>0.95036575000000001</v>
      </c>
      <c r="H409" s="35"/>
      <c r="I409" s="31"/>
      <c r="J409" s="155">
        <v>0</v>
      </c>
    </row>
    <row r="410" spans="1:10" ht="26.25" hidden="1" thickBot="1" x14ac:dyDescent="0.3">
      <c r="A410" s="176"/>
      <c r="B410" s="175"/>
      <c r="C410" s="36" t="s">
        <v>177</v>
      </c>
      <c r="D410" s="47" t="s">
        <v>20</v>
      </c>
      <c r="E410" s="37">
        <v>0.80759999999999998</v>
      </c>
      <c r="F410" s="34">
        <v>0.11399999999999999</v>
      </c>
      <c r="G410" s="31">
        <f>IF(ISNUMBER(F410),E410*F410,"")</f>
        <v>9.2066399999999993E-2</v>
      </c>
      <c r="H410" s="35"/>
      <c r="I410" s="31"/>
      <c r="J410" s="155">
        <v>0</v>
      </c>
    </row>
    <row r="411" spans="1:10" ht="15.75" hidden="1" thickBot="1" x14ac:dyDescent="0.3">
      <c r="A411" s="176"/>
      <c r="B411" s="175"/>
      <c r="C411" s="36" t="s">
        <v>27</v>
      </c>
      <c r="D411" s="47" t="s">
        <v>12</v>
      </c>
      <c r="E411" s="37">
        <v>0.54490000000000005</v>
      </c>
      <c r="F411" s="31">
        <v>16.852999999999998</v>
      </c>
      <c r="G411" s="31">
        <f>IF(ISNUMBER(F411),E411*F411,"")</f>
        <v>9.1831996999999994</v>
      </c>
      <c r="H411" s="35"/>
      <c r="I411" s="31"/>
      <c r="J411" s="155">
        <v>0</v>
      </c>
    </row>
    <row r="412" spans="1:10" ht="15.75" hidden="1" thickBot="1" x14ac:dyDescent="0.3">
      <c r="A412" s="176"/>
      <c r="B412" s="175"/>
      <c r="C412" s="36" t="s">
        <v>23</v>
      </c>
      <c r="D412" s="47" t="s">
        <v>12</v>
      </c>
      <c r="E412" s="37">
        <v>0.13619999999999999</v>
      </c>
      <c r="F412" s="31">
        <v>16.311500000000002</v>
      </c>
      <c r="G412" s="31">
        <f>IF(ISNUMBER(F412),E412*F412,"")</f>
        <v>2.2216263000000001</v>
      </c>
      <c r="H412" s="35"/>
      <c r="I412" s="31"/>
      <c r="J412" s="155">
        <v>0</v>
      </c>
    </row>
    <row r="413" spans="1:10" ht="15.75" hidden="1" thickBot="1" x14ac:dyDescent="0.3">
      <c r="A413" s="177"/>
      <c r="B413" s="178"/>
      <c r="C413" s="36"/>
      <c r="D413" s="36"/>
      <c r="E413" s="37"/>
      <c r="F413" s="31" t="s">
        <v>568</v>
      </c>
      <c r="G413" s="31" t="str">
        <f>IF(ISNUMBER(F413),E413*F413,"")</f>
        <v/>
      </c>
      <c r="H413" s="35"/>
      <c r="I413" s="31"/>
      <c r="J413" s="155">
        <v>0</v>
      </c>
    </row>
    <row r="414" spans="1:10" ht="15.75" hidden="1" thickBot="1" x14ac:dyDescent="0.3">
      <c r="A414" s="172" t="s">
        <v>178</v>
      </c>
      <c r="B414" s="174" t="str">
        <f>INDEX(Orçamentária!A:B,MATCH(Composições!A414,Orçamentária!A:A,0),2)</f>
        <v>Reparos superficiais em painéis de gesso acartonado</v>
      </c>
      <c r="C414" s="41"/>
      <c r="D414" s="26" t="str">
        <f>TRIM(INDEX(Orçamentária!C:C,MATCH(Composições!A414,Orçamentária!A:A,0),1))</f>
        <v>m2</v>
      </c>
      <c r="E414" s="27"/>
      <c r="F414" s="42" t="s">
        <v>568</v>
      </c>
      <c r="G414" s="28" t="str">
        <f>IF(ISNUMBER(F414),E414*F414,"")</f>
        <v/>
      </c>
      <c r="H414" s="29"/>
      <c r="I414" s="30"/>
      <c r="J414" s="155">
        <v>0</v>
      </c>
    </row>
    <row r="415" spans="1:10" ht="15.75" hidden="1" thickBot="1" x14ac:dyDescent="0.3">
      <c r="A415" s="176"/>
      <c r="B415" s="175"/>
      <c r="C415" s="32"/>
      <c r="D415" s="32"/>
      <c r="E415" s="33"/>
      <c r="F415" s="43" t="s">
        <v>568</v>
      </c>
      <c r="G415" s="31" t="str">
        <f>IF(ISNUMBER(F415),E415*F415,"")</f>
        <v/>
      </c>
      <c r="H415" s="35"/>
      <c r="I415" s="31"/>
      <c r="J415" s="155">
        <v>0</v>
      </c>
    </row>
    <row r="416" spans="1:10" ht="26.25" hidden="1" thickBot="1" x14ac:dyDescent="0.3">
      <c r="A416" s="176"/>
      <c r="B416" s="175"/>
      <c r="C416" s="36" t="s">
        <v>174</v>
      </c>
      <c r="D416" s="47" t="s">
        <v>93</v>
      </c>
      <c r="E416" s="37">
        <v>1.2513000000000001</v>
      </c>
      <c r="F416" s="34">
        <v>0.13300000000000001</v>
      </c>
      <c r="G416" s="31">
        <f>IF(ISNUMBER(F416),E416*F416,"")</f>
        <v>0.16642290000000001</v>
      </c>
      <c r="H416" s="39">
        <f>SUM(G416:G419)</f>
        <v>4.4630562999999999</v>
      </c>
      <c r="I416" s="40"/>
      <c r="J416" s="155">
        <v>0</v>
      </c>
    </row>
    <row r="417" spans="1:10" ht="39" hidden="1" thickBot="1" x14ac:dyDescent="0.3">
      <c r="A417" s="176"/>
      <c r="B417" s="175"/>
      <c r="C417" s="36" t="s">
        <v>3776</v>
      </c>
      <c r="D417" s="47" t="s">
        <v>42</v>
      </c>
      <c r="E417" s="37">
        <v>0.51639999999999997</v>
      </c>
      <c r="F417" s="34">
        <v>2.3559999999999999</v>
      </c>
      <c r="G417" s="31">
        <f>IF(ISNUMBER(F417),E417*F417,"")</f>
        <v>1.2166383999999999</v>
      </c>
      <c r="H417" s="45"/>
      <c r="I417" s="46"/>
      <c r="J417" s="155">
        <v>0</v>
      </c>
    </row>
    <row r="418" spans="1:10" ht="15.75" hidden="1" thickBot="1" x14ac:dyDescent="0.3">
      <c r="A418" s="176"/>
      <c r="B418" s="175"/>
      <c r="C418" s="36" t="s">
        <v>27</v>
      </c>
      <c r="D418" s="47" t="s">
        <v>12</v>
      </c>
      <c r="E418" s="37">
        <f>0.3636/3</f>
        <v>0.12119999999999999</v>
      </c>
      <c r="F418" s="31">
        <v>16.852999999999998</v>
      </c>
      <c r="G418" s="31">
        <f>IF(ISNUMBER(F418),E418*F418,"")</f>
        <v>2.0425835999999995</v>
      </c>
      <c r="H418" s="45"/>
      <c r="I418" s="46"/>
      <c r="J418" s="155">
        <v>0</v>
      </c>
    </row>
    <row r="419" spans="1:10" ht="15.75" hidden="1" thickBot="1" x14ac:dyDescent="0.3">
      <c r="A419" s="176"/>
      <c r="B419" s="175"/>
      <c r="C419" s="36" t="s">
        <v>23</v>
      </c>
      <c r="D419" s="47" t="s">
        <v>12</v>
      </c>
      <c r="E419" s="37">
        <f>ROUND(0.0909*0.7,4)</f>
        <v>6.3600000000000004E-2</v>
      </c>
      <c r="F419" s="31">
        <v>16.311500000000002</v>
      </c>
      <c r="G419" s="31">
        <f>IF(ISNUMBER(F419),E419*F419,"")</f>
        <v>1.0374114000000003</v>
      </c>
      <c r="H419" s="45"/>
      <c r="I419" s="46"/>
      <c r="J419" s="155">
        <v>0</v>
      </c>
    </row>
    <row r="420" spans="1:10" ht="15.75" hidden="1" thickBot="1" x14ac:dyDescent="0.3">
      <c r="A420" s="176"/>
      <c r="B420" s="175"/>
      <c r="C420" s="36"/>
      <c r="D420" s="47"/>
      <c r="E420" s="37"/>
      <c r="F420" s="34" t="s">
        <v>568</v>
      </c>
      <c r="G420" s="34" t="str">
        <f>IF(ISNUMBER(F420),E420*F420,"")</f>
        <v/>
      </c>
      <c r="H420" s="45"/>
      <c r="I420" s="46"/>
      <c r="J420" s="155">
        <v>0</v>
      </c>
    </row>
    <row r="421" spans="1:10" ht="15.75" hidden="1" thickBot="1" x14ac:dyDescent="0.3">
      <c r="A421" s="172" t="s">
        <v>179</v>
      </c>
      <c r="B421" s="174" t="str">
        <f>INDEX(Orçamentária!A:B,MATCH(Composições!A421,Orçamentária!A:A,0),2)</f>
        <v>Sóculo h=10 cm</v>
      </c>
      <c r="C421" s="41"/>
      <c r="D421" s="26" t="str">
        <f>TRIM(INDEX(Orçamentária!C:C,MATCH(Composições!A421,Orçamentária!A:A,0),1))</f>
        <v>m2</v>
      </c>
      <c r="E421" s="27"/>
      <c r="F421" s="42" t="s">
        <v>568</v>
      </c>
      <c r="G421" s="28" t="str">
        <f>IF(ISNUMBER(F421),E421*F421,"")</f>
        <v/>
      </c>
      <c r="H421" s="29"/>
      <c r="I421" s="30"/>
      <c r="J421" s="155">
        <v>0</v>
      </c>
    </row>
    <row r="422" spans="1:10" ht="15.75" hidden="1" thickBot="1" x14ac:dyDescent="0.3">
      <c r="A422" s="176"/>
      <c r="B422" s="175"/>
      <c r="C422" s="32"/>
      <c r="D422" s="32"/>
      <c r="E422" s="33"/>
      <c r="F422" s="43" t="s">
        <v>568</v>
      </c>
      <c r="G422" s="31" t="str">
        <f>IF(ISNUMBER(F422),E422*F422,"")</f>
        <v/>
      </c>
      <c r="H422" s="35"/>
      <c r="I422" s="31"/>
      <c r="J422" s="155">
        <v>0</v>
      </c>
    </row>
    <row r="423" spans="1:10" ht="26.25" hidden="1" thickBot="1" x14ac:dyDescent="0.3">
      <c r="A423" s="176"/>
      <c r="B423" s="175"/>
      <c r="C423" s="36" t="s">
        <v>156</v>
      </c>
      <c r="D423" s="47" t="s">
        <v>93</v>
      </c>
      <c r="E423" s="37">
        <v>0.78500000000000003</v>
      </c>
      <c r="F423" s="34">
        <v>3.6479999999999997</v>
      </c>
      <c r="G423" s="34">
        <f>IF(ISNUMBER(F423),E423*F423,"")</f>
        <v>2.86368</v>
      </c>
      <c r="H423" s="39">
        <f>SUM(G423:G431)</f>
        <v>74.780189950360395</v>
      </c>
      <c r="I423" s="40"/>
      <c r="J423" s="155">
        <v>0</v>
      </c>
    </row>
    <row r="424" spans="1:10" ht="15.75" hidden="1" thickBot="1" x14ac:dyDescent="0.3">
      <c r="A424" s="176"/>
      <c r="B424" s="175"/>
      <c r="C424" s="36" t="s">
        <v>157</v>
      </c>
      <c r="D424" s="47" t="s">
        <v>158</v>
      </c>
      <c r="E424" s="37">
        <v>9.4000000000000004E-3</v>
      </c>
      <c r="F424" s="34">
        <v>36.536999999999999</v>
      </c>
      <c r="G424" s="34">
        <f>IF(ISNUMBER(F424),E424*F424,"")</f>
        <v>0.34344780000000003</v>
      </c>
      <c r="H424" s="35"/>
      <c r="I424" s="31"/>
      <c r="J424" s="155">
        <v>0</v>
      </c>
    </row>
    <row r="425" spans="1:10" ht="26.25" hidden="1" thickBot="1" x14ac:dyDescent="0.3">
      <c r="A425" s="176"/>
      <c r="B425" s="175"/>
      <c r="C425" s="36" t="s">
        <v>180</v>
      </c>
      <c r="D425" s="47" t="s">
        <v>20</v>
      </c>
      <c r="E425" s="37">
        <v>13.35</v>
      </c>
      <c r="F425" s="34">
        <v>1.9379999999999999</v>
      </c>
      <c r="G425" s="34">
        <f>IF(ISNUMBER(F425),E425*F425,"")</f>
        <v>25.872299999999999</v>
      </c>
      <c r="H425" s="35"/>
      <c r="I425" s="31"/>
      <c r="J425" s="155">
        <v>0</v>
      </c>
    </row>
    <row r="426" spans="1:10" ht="51.75" hidden="1" thickBot="1" x14ac:dyDescent="0.3">
      <c r="A426" s="176"/>
      <c r="B426" s="175"/>
      <c r="C426" s="36" t="s">
        <v>159</v>
      </c>
      <c r="D426" s="47" t="s">
        <v>111</v>
      </c>
      <c r="E426" s="37">
        <v>1.04E-2</v>
      </c>
      <c r="F426" s="34">
        <v>472.33356941199997</v>
      </c>
      <c r="G426" s="34">
        <f>IF(ISNUMBER(F426),E426*F426,"")</f>
        <v>4.9122691218847994</v>
      </c>
      <c r="H426" s="35"/>
      <c r="I426" s="31"/>
      <c r="J426" s="155">
        <v>0</v>
      </c>
    </row>
    <row r="427" spans="1:10" ht="15.75" hidden="1" thickBot="1" x14ac:dyDescent="0.3">
      <c r="A427" s="176"/>
      <c r="B427" s="175"/>
      <c r="C427" s="36" t="s">
        <v>22</v>
      </c>
      <c r="D427" s="47" t="s">
        <v>12</v>
      </c>
      <c r="E427" s="37">
        <v>0.59</v>
      </c>
      <c r="F427" s="31">
        <v>22.087499999999999</v>
      </c>
      <c r="G427" s="34">
        <f>IF(ISNUMBER(F427),E427*F427,"")</f>
        <v>13.031624999999998</v>
      </c>
      <c r="H427" s="35"/>
      <c r="I427" s="31"/>
      <c r="J427" s="155">
        <v>0</v>
      </c>
    </row>
    <row r="428" spans="1:10" ht="15.75" hidden="1" thickBot="1" x14ac:dyDescent="0.3">
      <c r="A428" s="176"/>
      <c r="B428" s="175"/>
      <c r="C428" s="36" t="s">
        <v>23</v>
      </c>
      <c r="D428" s="47" t="s">
        <v>12</v>
      </c>
      <c r="E428" s="37">
        <v>0.29499999999999998</v>
      </c>
      <c r="F428" s="31">
        <v>16.311500000000002</v>
      </c>
      <c r="G428" s="34">
        <f>IF(ISNUMBER(F428),E428*F428,"")</f>
        <v>4.8118925000000008</v>
      </c>
      <c r="H428" s="35"/>
      <c r="I428" s="31"/>
      <c r="J428" s="155">
        <v>0</v>
      </c>
    </row>
    <row r="429" spans="1:10" ht="51.75" hidden="1" thickBot="1" x14ac:dyDescent="0.3">
      <c r="A429" s="176"/>
      <c r="B429" s="175"/>
      <c r="C429" s="36" t="s">
        <v>159</v>
      </c>
      <c r="D429" s="47" t="s">
        <v>111</v>
      </c>
      <c r="E429" s="37">
        <v>2.1299999999999999E-2</v>
      </c>
      <c r="F429" s="34">
        <v>472.33356941199997</v>
      </c>
      <c r="G429" s="34">
        <f>IF(ISNUMBER(F429),E429*F429,"")</f>
        <v>10.060705028475599</v>
      </c>
      <c r="H429" s="35"/>
      <c r="I429" s="31"/>
      <c r="J429" s="155">
        <v>0</v>
      </c>
    </row>
    <row r="430" spans="1:10" ht="15.75" hidden="1" thickBot="1" x14ac:dyDescent="0.3">
      <c r="A430" s="176"/>
      <c r="B430" s="175"/>
      <c r="C430" s="36" t="s">
        <v>22</v>
      </c>
      <c r="D430" s="47" t="s">
        <v>12</v>
      </c>
      <c r="E430" s="37">
        <v>0.46</v>
      </c>
      <c r="F430" s="31">
        <v>22.087499999999999</v>
      </c>
      <c r="G430" s="34">
        <f>IF(ISNUMBER(F430),E430*F430,"")</f>
        <v>10.16025</v>
      </c>
      <c r="H430" s="35"/>
      <c r="I430" s="31"/>
      <c r="J430" s="155">
        <v>0</v>
      </c>
    </row>
    <row r="431" spans="1:10" ht="15.75" hidden="1" thickBot="1" x14ac:dyDescent="0.3">
      <c r="A431" s="176"/>
      <c r="B431" s="175"/>
      <c r="C431" s="36" t="s">
        <v>23</v>
      </c>
      <c r="D431" s="47" t="s">
        <v>12</v>
      </c>
      <c r="E431" s="37">
        <v>0.16700000000000001</v>
      </c>
      <c r="F431" s="31">
        <v>16.311500000000002</v>
      </c>
      <c r="G431" s="34">
        <f>IF(ISNUMBER(F431),E431*F431,"")</f>
        <v>2.7240205000000004</v>
      </c>
      <c r="H431" s="35"/>
      <c r="I431" s="31"/>
      <c r="J431" s="155">
        <v>0</v>
      </c>
    </row>
    <row r="432" spans="1:10" ht="15.75" hidden="1" thickBot="1" x14ac:dyDescent="0.3">
      <c r="A432" s="177"/>
      <c r="B432" s="178"/>
      <c r="C432" s="36"/>
      <c r="D432" s="36"/>
      <c r="E432" s="37"/>
      <c r="F432" s="31" t="s">
        <v>568</v>
      </c>
      <c r="G432" s="31" t="str">
        <f>IF(ISNUMBER(F432),E432*F432,"")</f>
        <v/>
      </c>
      <c r="H432" s="35"/>
      <c r="I432" s="31"/>
      <c r="J432" s="155">
        <v>0</v>
      </c>
    </row>
    <row r="433" spans="1:10" ht="15.75" hidden="1" thickBot="1" x14ac:dyDescent="0.3">
      <c r="A433" s="172" t="s">
        <v>181</v>
      </c>
      <c r="B433" s="174" t="str">
        <f>INDEX(Orçamentária!A:B,MATCH(Composições!A433,Orçamentária!A:A,0),2)</f>
        <v>Chapisco colante industrializado em vigas e pilares</v>
      </c>
      <c r="C433" s="41"/>
      <c r="D433" s="26" t="str">
        <f>TRIM(INDEX(Orçamentária!C:C,MATCH(Composições!A433,Orçamentária!A:A,0),1))</f>
        <v>m2</v>
      </c>
      <c r="E433" s="27"/>
      <c r="F433" s="42" t="s">
        <v>568</v>
      </c>
      <c r="G433" s="28" t="str">
        <f>IF(ISNUMBER(F433),E433*F433,"")</f>
        <v/>
      </c>
      <c r="H433" s="29"/>
      <c r="I433" s="30"/>
      <c r="J433" s="155">
        <v>0</v>
      </c>
    </row>
    <row r="434" spans="1:10" ht="15.75" hidden="1" thickBot="1" x14ac:dyDescent="0.3">
      <c r="A434" s="176"/>
      <c r="B434" s="175"/>
      <c r="C434" s="32"/>
      <c r="D434" s="32"/>
      <c r="E434" s="33"/>
      <c r="F434" s="43" t="s">
        <v>568</v>
      </c>
      <c r="G434" s="31" t="str">
        <f>IF(ISNUMBER(F434),E434*F434,"")</f>
        <v/>
      </c>
      <c r="H434" s="35"/>
      <c r="I434" s="31"/>
      <c r="J434" s="155">
        <v>0</v>
      </c>
    </row>
    <row r="435" spans="1:10" ht="39" hidden="1" thickBot="1" x14ac:dyDescent="0.3">
      <c r="A435" s="176"/>
      <c r="B435" s="175"/>
      <c r="C435" s="36" t="s">
        <v>182</v>
      </c>
      <c r="D435" s="36" t="s">
        <v>111</v>
      </c>
      <c r="E435" s="37">
        <v>3.2000000000000002E-3</v>
      </c>
      <c r="F435" s="34">
        <v>1815.67705</v>
      </c>
      <c r="G435" s="34">
        <f>IF(ISNUMBER(F435),E435*F435,"")</f>
        <v>5.8101665599999999</v>
      </c>
      <c r="H435" s="39">
        <f>SUM(G435:G437)</f>
        <v>9.1544962099999996</v>
      </c>
      <c r="I435" s="40"/>
      <c r="J435" s="155">
        <v>0</v>
      </c>
    </row>
    <row r="436" spans="1:10" ht="15.75" hidden="1" thickBot="1" x14ac:dyDescent="0.3">
      <c r="A436" s="176"/>
      <c r="B436" s="175"/>
      <c r="C436" s="36" t="s">
        <v>22</v>
      </c>
      <c r="D436" s="36" t="s">
        <v>12</v>
      </c>
      <c r="E436" s="37">
        <v>0.14099999999999999</v>
      </c>
      <c r="F436" s="31">
        <v>22.087499999999999</v>
      </c>
      <c r="G436" s="34">
        <f>IF(ISNUMBER(F436),E436*F436,"")</f>
        <v>3.1143374999999995</v>
      </c>
      <c r="H436" s="35"/>
      <c r="I436" s="31"/>
      <c r="J436" s="155">
        <v>0</v>
      </c>
    </row>
    <row r="437" spans="1:10" ht="15.75" hidden="1" thickBot="1" x14ac:dyDescent="0.3">
      <c r="A437" s="176"/>
      <c r="B437" s="175"/>
      <c r="C437" s="36" t="s">
        <v>23</v>
      </c>
      <c r="D437" s="36" t="s">
        <v>12</v>
      </c>
      <c r="E437" s="37">
        <v>1.41E-2</v>
      </c>
      <c r="F437" s="31">
        <v>16.311500000000002</v>
      </c>
      <c r="G437" s="34">
        <f>IF(ISNUMBER(F437),E437*F437,"")</f>
        <v>0.22999215000000003</v>
      </c>
      <c r="H437" s="35"/>
      <c r="I437" s="31"/>
      <c r="J437" s="155">
        <v>0</v>
      </c>
    </row>
    <row r="438" spans="1:10" ht="15.75" hidden="1" thickBot="1" x14ac:dyDescent="0.3">
      <c r="A438" s="177"/>
      <c r="B438" s="178"/>
      <c r="C438" s="36"/>
      <c r="D438" s="36"/>
      <c r="E438" s="37"/>
      <c r="F438" s="31" t="s">
        <v>568</v>
      </c>
      <c r="G438" s="31" t="str">
        <f>IF(ISNUMBER(F438),E438*F438,"")</f>
        <v/>
      </c>
      <c r="H438" s="35"/>
      <c r="I438" s="31"/>
      <c r="J438" s="155">
        <v>0</v>
      </c>
    </row>
    <row r="439" spans="1:10" ht="15.75" thickBot="1" x14ac:dyDescent="0.3">
      <c r="A439" s="172" t="s">
        <v>183</v>
      </c>
      <c r="B439" s="174" t="str">
        <f>INDEX(Orçamentária!A:B,MATCH(Composições!A439,Orçamentária!A:A,0),2)</f>
        <v>Chapisco com argamassa traço 1:3</v>
      </c>
      <c r="C439" s="41"/>
      <c r="D439" s="26" t="str">
        <f>TRIM(INDEX(Orçamentária!C:C,MATCH(Composições!A439,Orçamentária!A:A,0),1))</f>
        <v>m2</v>
      </c>
      <c r="E439" s="27"/>
      <c r="F439" s="42" t="s">
        <v>568</v>
      </c>
      <c r="G439" s="28" t="str">
        <f>IF(ISNUMBER(F439),E439*F439,"")</f>
        <v/>
      </c>
      <c r="H439" s="29"/>
      <c r="I439" s="30"/>
      <c r="J439" s="155">
        <v>256.64999999999998</v>
      </c>
    </row>
    <row r="440" spans="1:10" x14ac:dyDescent="0.25">
      <c r="A440" s="176"/>
      <c r="B440" s="175"/>
      <c r="C440" s="32"/>
      <c r="D440" s="32"/>
      <c r="E440" s="33"/>
      <c r="F440" s="43" t="s">
        <v>568</v>
      </c>
      <c r="G440" s="31" t="str">
        <f>IF(ISNUMBER(F440),E440*F440,"")</f>
        <v/>
      </c>
      <c r="H440" s="35"/>
      <c r="I440" s="31"/>
      <c r="J440" s="155">
        <v>256.64999999999998</v>
      </c>
    </row>
    <row r="441" spans="1:10" ht="38.25" x14ac:dyDescent="0.25">
      <c r="A441" s="176"/>
      <c r="B441" s="175"/>
      <c r="C441" s="36" t="s">
        <v>184</v>
      </c>
      <c r="D441" s="36" t="s">
        <v>111</v>
      </c>
      <c r="E441" s="37">
        <v>4.1999999999999997E-3</v>
      </c>
      <c r="F441" s="34">
        <v>526.33683305799991</v>
      </c>
      <c r="G441" s="34">
        <f>IF(ISNUMBER(F441),E441*F441,"")</f>
        <v>2.2106146988435995</v>
      </c>
      <c r="H441" s="39">
        <f>SUM(G441:G443)</f>
        <v>3.8709201988435993</v>
      </c>
      <c r="I441" s="40"/>
      <c r="J441" s="155">
        <v>256.64999999999998</v>
      </c>
    </row>
    <row r="442" spans="1:10" x14ac:dyDescent="0.25">
      <c r="A442" s="176"/>
      <c r="B442" s="175"/>
      <c r="C442" s="36" t="s">
        <v>22</v>
      </c>
      <c r="D442" s="36" t="s">
        <v>12</v>
      </c>
      <c r="E442" s="37">
        <v>7.0000000000000007E-2</v>
      </c>
      <c r="F442" s="31">
        <v>22.087499999999999</v>
      </c>
      <c r="G442" s="31">
        <f>IF(ISNUMBER(F442),E442*F442,"")</f>
        <v>1.546125</v>
      </c>
      <c r="H442" s="35"/>
      <c r="I442" s="31"/>
      <c r="J442" s="155">
        <v>256.64999999999998</v>
      </c>
    </row>
    <row r="443" spans="1:10" x14ac:dyDescent="0.25">
      <c r="A443" s="176"/>
      <c r="B443" s="175"/>
      <c r="C443" s="36" t="s">
        <v>23</v>
      </c>
      <c r="D443" s="36" t="s">
        <v>12</v>
      </c>
      <c r="E443" s="37">
        <v>7.0000000000000001E-3</v>
      </c>
      <c r="F443" s="31">
        <v>16.311500000000002</v>
      </c>
      <c r="G443" s="31">
        <f>IF(ISNUMBER(F443),E443*F443,"")</f>
        <v>0.11418050000000002</v>
      </c>
      <c r="H443" s="35"/>
      <c r="I443" s="31"/>
      <c r="J443" s="155">
        <v>256.64999999999998</v>
      </c>
    </row>
    <row r="444" spans="1:10" ht="15.75" thickBot="1" x14ac:dyDescent="0.3">
      <c r="A444" s="177"/>
      <c r="B444" s="178"/>
      <c r="C444" s="36"/>
      <c r="D444" s="36"/>
      <c r="E444" s="37"/>
      <c r="F444" s="31" t="s">
        <v>568</v>
      </c>
      <c r="G444" s="31" t="str">
        <f>IF(ISNUMBER(F444),E444*F444,"")</f>
        <v/>
      </c>
      <c r="H444" s="35"/>
      <c r="I444" s="31"/>
      <c r="J444" s="155">
        <v>256.64999999999998</v>
      </c>
    </row>
    <row r="445" spans="1:10" ht="15.75" hidden="1" thickBot="1" x14ac:dyDescent="0.3">
      <c r="A445" s="172" t="s">
        <v>185</v>
      </c>
      <c r="B445" s="174" t="str">
        <f>INDEX(Orçamentária!A:B,MATCH(Composições!A445,Orçamentária!A:A,0),2)</f>
        <v>Gesso cola</v>
      </c>
      <c r="C445" s="41"/>
      <c r="D445" s="26" t="str">
        <f>TRIM(INDEX(Orçamentária!C:C,MATCH(Composições!A445,Orçamentária!A:A,0),1))</f>
        <v>m2</v>
      </c>
      <c r="E445" s="27"/>
      <c r="F445" s="42" t="s">
        <v>568</v>
      </c>
      <c r="G445" s="28" t="str">
        <f>IF(ISNUMBER(F445),E445*F445,"")</f>
        <v/>
      </c>
      <c r="H445" s="29"/>
      <c r="I445" s="30"/>
      <c r="J445" s="155">
        <v>0</v>
      </c>
    </row>
    <row r="446" spans="1:10" ht="15.75" hidden="1" thickBot="1" x14ac:dyDescent="0.3">
      <c r="A446" s="173"/>
      <c r="B446" s="175"/>
      <c r="C446" s="32"/>
      <c r="D446" s="32"/>
      <c r="E446" s="33"/>
      <c r="F446" s="43" t="s">
        <v>568</v>
      </c>
      <c r="G446" s="31" t="str">
        <f>IF(ISNUMBER(F446),E446*F446,"")</f>
        <v/>
      </c>
      <c r="H446" s="35"/>
      <c r="I446" s="31"/>
      <c r="J446" s="155">
        <v>0</v>
      </c>
    </row>
    <row r="447" spans="1:10" ht="15.75" hidden="1" thickBot="1" x14ac:dyDescent="0.3">
      <c r="A447" s="173"/>
      <c r="B447" s="175"/>
      <c r="C447" s="36" t="s">
        <v>186</v>
      </c>
      <c r="D447" s="36" t="s">
        <v>12</v>
      </c>
      <c r="E447" s="37">
        <v>0.4</v>
      </c>
      <c r="F447" s="31">
        <v>21.973499999999998</v>
      </c>
      <c r="G447" s="31">
        <f>IF(ISNUMBER(F447),E447*F447,"")</f>
        <v>8.7893999999999988</v>
      </c>
      <c r="H447" s="39">
        <f>SUM(G447:G449)</f>
        <v>10.09432</v>
      </c>
      <c r="I447" s="40"/>
      <c r="J447" s="155">
        <v>0</v>
      </c>
    </row>
    <row r="448" spans="1:10" ht="15.75" hidden="1" thickBot="1" x14ac:dyDescent="0.3">
      <c r="A448" s="173"/>
      <c r="B448" s="175"/>
      <c r="C448" s="36" t="s">
        <v>23</v>
      </c>
      <c r="D448" s="36" t="s">
        <v>12</v>
      </c>
      <c r="E448" s="37">
        <v>0.08</v>
      </c>
      <c r="F448" s="31">
        <v>16.311500000000002</v>
      </c>
      <c r="G448" s="31">
        <f>IF(ISNUMBER(F448),E448*F448,"")</f>
        <v>1.3049200000000003</v>
      </c>
      <c r="H448" s="35"/>
      <c r="I448" s="31"/>
      <c r="J448" s="155">
        <v>0</v>
      </c>
    </row>
    <row r="449" spans="1:10" ht="15.75" hidden="1" thickBot="1" x14ac:dyDescent="0.3">
      <c r="A449" s="173"/>
      <c r="B449" s="175"/>
      <c r="C449" s="36" t="s">
        <v>187</v>
      </c>
      <c r="D449" s="36" t="s">
        <v>42</v>
      </c>
      <c r="E449" s="37">
        <v>0.75</v>
      </c>
      <c r="F449" s="31" t="s">
        <v>568</v>
      </c>
      <c r="G449" s="31" t="str">
        <f>IF(ISNUMBER(F449),E449*F449,"")</f>
        <v/>
      </c>
      <c r="H449" s="35"/>
      <c r="I449" s="31"/>
      <c r="J449" s="155">
        <v>0</v>
      </c>
    </row>
    <row r="450" spans="1:10" ht="15.75" hidden="1" thickBot="1" x14ac:dyDescent="0.3">
      <c r="A450" s="173"/>
      <c r="B450" s="175"/>
      <c r="C450" s="36"/>
      <c r="D450" s="36"/>
      <c r="E450" s="37"/>
      <c r="F450" s="31" t="s">
        <v>568</v>
      </c>
      <c r="G450" s="31" t="str">
        <f>IF(ISNUMBER(F450),E450*F450,"")</f>
        <v/>
      </c>
      <c r="H450" s="35"/>
      <c r="I450" s="31"/>
      <c r="J450" s="155">
        <v>0</v>
      </c>
    </row>
    <row r="451" spans="1:10" ht="26.25" hidden="1" thickBot="1" x14ac:dyDescent="0.3">
      <c r="A451" s="173"/>
      <c r="B451" s="175"/>
      <c r="C451" s="52" t="s">
        <v>188</v>
      </c>
      <c r="D451" s="52"/>
      <c r="E451" s="53"/>
      <c r="F451" s="34" t="s">
        <v>568</v>
      </c>
      <c r="G451" s="31" t="str">
        <f>IF(ISNUMBER(F451),E451*F451,"")</f>
        <v/>
      </c>
      <c r="H451" s="35"/>
      <c r="I451" s="31"/>
      <c r="J451" s="155">
        <v>0</v>
      </c>
    </row>
    <row r="452" spans="1:10" ht="15.75" hidden="1" thickBot="1" x14ac:dyDescent="0.3">
      <c r="A452" s="185"/>
      <c r="B452" s="178"/>
      <c r="C452" s="36"/>
      <c r="D452" s="36"/>
      <c r="E452" s="37"/>
      <c r="F452" s="31" t="s">
        <v>568</v>
      </c>
      <c r="G452" s="31" t="str">
        <f>IF(ISNUMBER(F452),E452*F452,"")</f>
        <v/>
      </c>
      <c r="H452" s="35"/>
      <c r="I452" s="31"/>
      <c r="J452" s="155">
        <v>0</v>
      </c>
    </row>
    <row r="453" spans="1:10" ht="15.75" thickBot="1" x14ac:dyDescent="0.3">
      <c r="A453" s="172" t="s">
        <v>189</v>
      </c>
      <c r="B453" s="174" t="str">
        <f>INDEX(Orçamentária!A:B,MATCH(Composições!A453,Orçamentária!A:A,0),2)</f>
        <v>Reboco com argamassa industrializada e=2,0 cm</v>
      </c>
      <c r="C453" s="41"/>
      <c r="D453" s="26" t="str">
        <f>TRIM(INDEX(Orçamentária!C:C,MATCH(Composições!A453,Orçamentária!A:A,0),1))</f>
        <v>m2</v>
      </c>
      <c r="E453" s="27"/>
      <c r="F453" s="42" t="s">
        <v>568</v>
      </c>
      <c r="G453" s="28" t="str">
        <f>IF(ISNUMBER(F453),E453*F453,"")</f>
        <v/>
      </c>
      <c r="H453" s="29"/>
      <c r="I453" s="30"/>
      <c r="J453" s="155">
        <v>268.83</v>
      </c>
    </row>
    <row r="454" spans="1:10" x14ac:dyDescent="0.25">
      <c r="A454" s="176"/>
      <c r="B454" s="175"/>
      <c r="C454" s="32"/>
      <c r="D454" s="32"/>
      <c r="E454" s="33"/>
      <c r="F454" s="43" t="s">
        <v>568</v>
      </c>
      <c r="G454" s="31" t="str">
        <f>IF(ISNUMBER(F454),E454*F454,"")</f>
        <v/>
      </c>
      <c r="H454" s="35"/>
      <c r="I454" s="31"/>
      <c r="J454" s="155">
        <v>268.83</v>
      </c>
    </row>
    <row r="455" spans="1:10" ht="25.5" x14ac:dyDescent="0.25">
      <c r="A455" s="176"/>
      <c r="B455" s="175"/>
      <c r="C455" s="36" t="s">
        <v>190</v>
      </c>
      <c r="D455" s="36" t="s">
        <v>42</v>
      </c>
      <c r="E455" s="37">
        <f>1890*0.02</f>
        <v>37.800000000000004</v>
      </c>
      <c r="F455" s="34">
        <v>0.46549999999999997</v>
      </c>
      <c r="G455" s="31">
        <f>IF(ISNUMBER(F455),E455*F455,"")</f>
        <v>17.5959</v>
      </c>
      <c r="H455" s="39">
        <f>SUM(G455:G458)</f>
        <v>33.777977700000001</v>
      </c>
      <c r="I455" s="40"/>
      <c r="J455" s="155">
        <v>268.83</v>
      </c>
    </row>
    <row r="456" spans="1:10" x14ac:dyDescent="0.25">
      <c r="A456" s="176"/>
      <c r="B456" s="175"/>
      <c r="C456" s="36" t="s">
        <v>23</v>
      </c>
      <c r="D456" s="36" t="s">
        <v>12</v>
      </c>
      <c r="E456" s="37">
        <f>12.59*0.02</f>
        <v>0.25180000000000002</v>
      </c>
      <c r="F456" s="31">
        <v>16.311500000000002</v>
      </c>
      <c r="G456" s="31">
        <f>IF(ISNUMBER(F456),E456*F456,"")</f>
        <v>4.1072357000000013</v>
      </c>
      <c r="H456" s="45"/>
      <c r="I456" s="46"/>
      <c r="J456" s="155">
        <v>268.83</v>
      </c>
    </row>
    <row r="457" spans="1:10" x14ac:dyDescent="0.25">
      <c r="A457" s="176"/>
      <c r="B457" s="175"/>
      <c r="C457" s="36" t="s">
        <v>22</v>
      </c>
      <c r="D457" s="36" t="s">
        <v>12</v>
      </c>
      <c r="E457" s="37">
        <v>0.43</v>
      </c>
      <c r="F457" s="31">
        <v>22.087499999999999</v>
      </c>
      <c r="G457" s="31">
        <f>IF(ISNUMBER(F457),E457*F457,"")</f>
        <v>9.4976249999999993</v>
      </c>
      <c r="H457" s="35"/>
      <c r="I457" s="31"/>
      <c r="J457" s="155">
        <v>268.83</v>
      </c>
    </row>
    <row r="458" spans="1:10" x14ac:dyDescent="0.25">
      <c r="A458" s="176"/>
      <c r="B458" s="175"/>
      <c r="C458" s="36" t="s">
        <v>23</v>
      </c>
      <c r="D458" s="36" t="s">
        <v>12</v>
      </c>
      <c r="E458" s="37">
        <f>0.158</f>
        <v>0.158</v>
      </c>
      <c r="F458" s="31">
        <v>16.311500000000002</v>
      </c>
      <c r="G458" s="31">
        <f>IF(ISNUMBER(F458),E458*F458,"")</f>
        <v>2.5772170000000005</v>
      </c>
      <c r="H458" s="35"/>
      <c r="I458" s="31"/>
      <c r="J458" s="155">
        <v>268.83</v>
      </c>
    </row>
    <row r="459" spans="1:10" x14ac:dyDescent="0.25">
      <c r="A459" s="176"/>
      <c r="B459" s="175"/>
      <c r="C459" s="36"/>
      <c r="D459" s="36"/>
      <c r="E459" s="37"/>
      <c r="F459" s="31" t="s">
        <v>568</v>
      </c>
      <c r="G459" s="31" t="str">
        <f>IF(ISNUMBER(F459),E459*F459,"")</f>
        <v/>
      </c>
      <c r="H459" s="35"/>
      <c r="I459" s="31"/>
      <c r="J459" s="155">
        <v>268.83</v>
      </c>
    </row>
    <row r="460" spans="1:10" ht="38.25" x14ac:dyDescent="0.25">
      <c r="A460" s="176"/>
      <c r="B460" s="175"/>
      <c r="C460" s="52" t="s">
        <v>191</v>
      </c>
      <c r="D460" s="36"/>
      <c r="E460" s="37"/>
      <c r="F460" s="31" t="s">
        <v>568</v>
      </c>
      <c r="G460" s="31" t="str">
        <f>IF(ISNUMBER(F460),E460*F460,"")</f>
        <v/>
      </c>
      <c r="H460" s="35"/>
      <c r="I460" s="31"/>
      <c r="J460" s="155">
        <v>268.83</v>
      </c>
    </row>
    <row r="461" spans="1:10" ht="30" x14ac:dyDescent="0.25">
      <c r="A461" s="176"/>
      <c r="B461" s="175"/>
      <c r="C461" s="145" t="s">
        <v>192</v>
      </c>
      <c r="D461" s="36"/>
      <c r="E461" s="37"/>
      <c r="F461" s="31" t="s">
        <v>568</v>
      </c>
      <c r="G461" s="31" t="str">
        <f>IF(ISNUMBER(F461),E461*F461,"")</f>
        <v/>
      </c>
      <c r="H461" s="35"/>
      <c r="I461" s="31"/>
      <c r="J461" s="155">
        <v>268.83</v>
      </c>
    </row>
    <row r="462" spans="1:10" ht="15.75" thickBot="1" x14ac:dyDescent="0.3">
      <c r="A462" s="177"/>
      <c r="B462" s="178"/>
      <c r="C462" s="36"/>
      <c r="D462" s="36"/>
      <c r="E462" s="37"/>
      <c r="F462" s="31" t="s">
        <v>568</v>
      </c>
      <c r="G462" s="31" t="str">
        <f>IF(ISNUMBER(F462),E462*F462,"")</f>
        <v/>
      </c>
      <c r="H462" s="35"/>
      <c r="I462" s="31"/>
      <c r="J462" s="155">
        <v>268.83</v>
      </c>
    </row>
    <row r="463" spans="1:10" ht="15.75" thickBot="1" x14ac:dyDescent="0.3">
      <c r="A463" s="172" t="s">
        <v>193</v>
      </c>
      <c r="B463" s="174" t="str">
        <f>INDEX(Orçamentária!A:B,MATCH(Composições!A463,Orçamentária!A:A,0),2)</f>
        <v>Regularização com argamassa industrializada e=0,5 cm</v>
      </c>
      <c r="C463" s="41"/>
      <c r="D463" s="26" t="str">
        <f>TRIM(INDEX(Orçamentária!C:C,MATCH(Composições!A463,Orçamentária!A:A,0),1))</f>
        <v>m2</v>
      </c>
      <c r="E463" s="27"/>
      <c r="F463" s="42" t="s">
        <v>568</v>
      </c>
      <c r="G463" s="28" t="str">
        <f>IF(ISNUMBER(F463),E463*F463,"")</f>
        <v/>
      </c>
      <c r="H463" s="29"/>
      <c r="I463" s="30"/>
      <c r="J463" s="155">
        <v>156</v>
      </c>
    </row>
    <row r="464" spans="1:10" x14ac:dyDescent="0.25">
      <c r="A464" s="176"/>
      <c r="B464" s="175"/>
      <c r="C464" s="32"/>
      <c r="D464" s="32"/>
      <c r="E464" s="33"/>
      <c r="F464" s="43" t="s">
        <v>568</v>
      </c>
      <c r="G464" s="31" t="str">
        <f>IF(ISNUMBER(F464),E464*F464,"")</f>
        <v/>
      </c>
      <c r="H464" s="35"/>
      <c r="I464" s="31"/>
      <c r="J464" s="155">
        <v>156</v>
      </c>
    </row>
    <row r="465" spans="1:10" ht="25.5" x14ac:dyDescent="0.25">
      <c r="A465" s="176"/>
      <c r="B465" s="175"/>
      <c r="C465" s="36" t="s">
        <v>190</v>
      </c>
      <c r="D465" s="36" t="s">
        <v>42</v>
      </c>
      <c r="E465" s="37">
        <f>1890*0.005</f>
        <v>9.4500000000000011</v>
      </c>
      <c r="F465" s="34">
        <v>0.46549999999999997</v>
      </c>
      <c r="G465" s="31">
        <f>IF(ISNUMBER(F465),E465*F465,"")</f>
        <v>4.3989750000000001</v>
      </c>
      <c r="H465" s="39">
        <f>SUM(G465:G468)</f>
        <v>11.680281825</v>
      </c>
      <c r="I465" s="40"/>
      <c r="J465" s="155">
        <v>156</v>
      </c>
    </row>
    <row r="466" spans="1:10" x14ac:dyDescent="0.25">
      <c r="A466" s="176"/>
      <c r="B466" s="175"/>
      <c r="C466" s="36" t="s">
        <v>23</v>
      </c>
      <c r="D466" s="36" t="s">
        <v>12</v>
      </c>
      <c r="E466" s="37">
        <f>12.59*0.005</f>
        <v>6.2950000000000006E-2</v>
      </c>
      <c r="F466" s="31">
        <v>16.311500000000002</v>
      </c>
      <c r="G466" s="31">
        <f>IF(ISNUMBER(F466),E466*F466,"")</f>
        <v>1.0268089250000003</v>
      </c>
      <c r="H466" s="35"/>
      <c r="I466" s="31"/>
      <c r="J466" s="155">
        <v>156</v>
      </c>
    </row>
    <row r="467" spans="1:10" x14ac:dyDescent="0.25">
      <c r="A467" s="176"/>
      <c r="B467" s="175"/>
      <c r="C467" s="36" t="s">
        <v>22</v>
      </c>
      <c r="D467" s="36" t="s">
        <v>12</v>
      </c>
      <c r="E467" s="37">
        <f>0.31*0.7</f>
        <v>0.217</v>
      </c>
      <c r="F467" s="31">
        <v>22.087499999999999</v>
      </c>
      <c r="G467" s="31">
        <f>IF(ISNUMBER(F467),E467*F467,"")</f>
        <v>4.7929874999999997</v>
      </c>
      <c r="H467" s="35"/>
      <c r="I467" s="31"/>
      <c r="J467" s="155">
        <v>156</v>
      </c>
    </row>
    <row r="468" spans="1:10" x14ac:dyDescent="0.25">
      <c r="A468" s="176"/>
      <c r="B468" s="175"/>
      <c r="C468" s="36" t="s">
        <v>23</v>
      </c>
      <c r="D468" s="36" t="s">
        <v>12</v>
      </c>
      <c r="E468" s="37">
        <f>0.128*0.7</f>
        <v>8.9599999999999999E-2</v>
      </c>
      <c r="F468" s="31">
        <v>16.311500000000002</v>
      </c>
      <c r="G468" s="31">
        <f>IF(ISNUMBER(F468),E468*F468,"")</f>
        <v>1.4615104000000001</v>
      </c>
      <c r="H468" s="35"/>
      <c r="I468" s="31"/>
      <c r="J468" s="155">
        <v>156</v>
      </c>
    </row>
    <row r="469" spans="1:10" ht="15.75" thickBot="1" x14ac:dyDescent="0.3">
      <c r="A469" s="177"/>
      <c r="B469" s="178"/>
      <c r="C469" s="36"/>
      <c r="D469" s="36"/>
      <c r="E469" s="37"/>
      <c r="F469" s="31" t="s">
        <v>568</v>
      </c>
      <c r="G469" s="31" t="str">
        <f>IF(ISNUMBER(F469),E469*F469,"")</f>
        <v/>
      </c>
      <c r="H469" s="35"/>
      <c r="I469" s="31"/>
      <c r="J469" s="155">
        <v>156</v>
      </c>
    </row>
    <row r="470" spans="1:10" ht="15.75" thickBot="1" x14ac:dyDescent="0.3">
      <c r="A470" s="172" t="s">
        <v>194</v>
      </c>
      <c r="B470" s="174" t="str">
        <f>INDEX(Orçamentária!A:B,MATCH(Composições!A470,Orçamentária!A:A,0),2)</f>
        <v>Tratamento de trincas superficiais</v>
      </c>
      <c r="C470" s="41"/>
      <c r="D470" s="26" t="str">
        <f>TRIM(INDEX(Orçamentária!C:C,MATCH(Composições!A470,Orçamentária!A:A,0),1))</f>
        <v>m</v>
      </c>
      <c r="E470" s="27"/>
      <c r="F470" s="42" t="s">
        <v>568</v>
      </c>
      <c r="G470" s="28" t="str">
        <f>IF(ISNUMBER(F470),E470*F470,"")</f>
        <v/>
      </c>
      <c r="H470" s="29"/>
      <c r="I470" s="30"/>
      <c r="J470" s="155">
        <v>11</v>
      </c>
    </row>
    <row r="471" spans="1:10" x14ac:dyDescent="0.25">
      <c r="A471" s="176"/>
      <c r="B471" s="175"/>
      <c r="C471" s="32"/>
      <c r="D471" s="32"/>
      <c r="E471" s="33"/>
      <c r="F471" s="43" t="s">
        <v>568</v>
      </c>
      <c r="G471" s="31" t="str">
        <f>IF(ISNUMBER(F471),E471*F471,"")</f>
        <v/>
      </c>
      <c r="H471" s="35"/>
      <c r="I471" s="31"/>
      <c r="J471" s="155">
        <v>11</v>
      </c>
    </row>
    <row r="472" spans="1:10" x14ac:dyDescent="0.25">
      <c r="A472" s="176"/>
      <c r="B472" s="175"/>
      <c r="C472" s="36" t="s">
        <v>23</v>
      </c>
      <c r="D472" s="47" t="s">
        <v>12</v>
      </c>
      <c r="E472" s="37">
        <v>0.6</v>
      </c>
      <c r="F472" s="31">
        <v>16.311500000000002</v>
      </c>
      <c r="G472" s="34">
        <f>IF(ISNUMBER(F472),E472*F472,"")</f>
        <v>9.786900000000001</v>
      </c>
      <c r="H472" s="39">
        <f>SUM(G472:G476)</f>
        <v>21.686263500000003</v>
      </c>
      <c r="I472" s="40"/>
      <c r="J472" s="155">
        <v>11</v>
      </c>
    </row>
    <row r="473" spans="1:10" x14ac:dyDescent="0.25">
      <c r="A473" s="176"/>
      <c r="B473" s="175"/>
      <c r="C473" s="36" t="s">
        <v>22</v>
      </c>
      <c r="D473" s="47" t="s">
        <v>12</v>
      </c>
      <c r="E473" s="37">
        <v>0.155</v>
      </c>
      <c r="F473" s="31">
        <v>22.087499999999999</v>
      </c>
      <c r="G473" s="34">
        <f>IF(ISNUMBER(F473),E473*F473,"")</f>
        <v>3.4235624999999996</v>
      </c>
      <c r="H473" s="35"/>
      <c r="I473" s="31"/>
      <c r="J473" s="155">
        <v>11</v>
      </c>
    </row>
    <row r="474" spans="1:10" x14ac:dyDescent="0.25">
      <c r="A474" s="176"/>
      <c r="B474" s="175"/>
      <c r="C474" s="36" t="s">
        <v>195</v>
      </c>
      <c r="D474" s="47" t="s">
        <v>93</v>
      </c>
      <c r="E474" s="37">
        <v>1.05</v>
      </c>
      <c r="F474" s="34">
        <v>3.6289999999999996</v>
      </c>
      <c r="G474" s="34">
        <f>IF(ISNUMBER(F474),E474*F474,"")</f>
        <v>3.8104499999999999</v>
      </c>
      <c r="H474" s="35"/>
      <c r="I474" s="31"/>
      <c r="J474" s="155">
        <v>11</v>
      </c>
    </row>
    <row r="475" spans="1:10" x14ac:dyDescent="0.25">
      <c r="A475" s="176"/>
      <c r="B475" s="175"/>
      <c r="C475" s="36" t="s">
        <v>196</v>
      </c>
      <c r="D475" s="50" t="s">
        <v>104</v>
      </c>
      <c r="E475" s="37">
        <f>ROUND(1*0.15/(165/18),4)</f>
        <v>1.6400000000000001E-2</v>
      </c>
      <c r="F475" s="34">
        <v>22.2775</v>
      </c>
      <c r="G475" s="34">
        <f>IF(ISNUMBER(F475),E475*F475,"")</f>
        <v>0.36535100000000004</v>
      </c>
      <c r="H475" s="35"/>
      <c r="I475" s="31"/>
      <c r="J475" s="155">
        <v>11</v>
      </c>
    </row>
    <row r="476" spans="1:10" x14ac:dyDescent="0.25">
      <c r="A476" s="176"/>
      <c r="B476" s="175"/>
      <c r="C476" s="36" t="s">
        <v>3825</v>
      </c>
      <c r="D476" s="47" t="s">
        <v>42</v>
      </c>
      <c r="E476" s="37">
        <f>1/5</f>
        <v>0.2</v>
      </c>
      <c r="F476" s="34">
        <v>21.5</v>
      </c>
      <c r="G476" s="34">
        <f>IF(ISNUMBER(F476),E476*F476,"")</f>
        <v>4.3</v>
      </c>
      <c r="H476" s="35"/>
      <c r="I476" s="31"/>
      <c r="J476" s="155">
        <v>11</v>
      </c>
    </row>
    <row r="477" spans="1:10" x14ac:dyDescent="0.25">
      <c r="A477" s="176"/>
      <c r="B477" s="175"/>
      <c r="C477" s="36"/>
      <c r="D477" s="47"/>
      <c r="E477" s="37"/>
      <c r="F477" s="34" t="s">
        <v>568</v>
      </c>
      <c r="G477" s="34" t="str">
        <f>IF(ISNUMBER(F477),E477*F477,"")</f>
        <v/>
      </c>
      <c r="H477" s="35"/>
      <c r="I477" s="31"/>
      <c r="J477" s="155">
        <v>11</v>
      </c>
    </row>
    <row r="478" spans="1:10" ht="38.25" x14ac:dyDescent="0.25">
      <c r="A478" s="176"/>
      <c r="B478" s="175"/>
      <c r="C478" s="52" t="s">
        <v>197</v>
      </c>
      <c r="D478" s="47"/>
      <c r="E478" s="37"/>
      <c r="F478" s="34" t="s">
        <v>568</v>
      </c>
      <c r="G478" s="34" t="str">
        <f>IF(ISNUMBER(F478),E478*F478,"")</f>
        <v/>
      </c>
      <c r="H478" s="35"/>
      <c r="I478" s="31"/>
      <c r="J478" s="155">
        <v>11</v>
      </c>
    </row>
    <row r="479" spans="1:10" ht="30" x14ac:dyDescent="0.25">
      <c r="A479" s="176"/>
      <c r="B479" s="175"/>
      <c r="C479" s="147" t="s">
        <v>198</v>
      </c>
      <c r="D479" s="47"/>
      <c r="E479" s="37"/>
      <c r="F479" s="34" t="s">
        <v>568</v>
      </c>
      <c r="G479" s="34" t="str">
        <f>IF(ISNUMBER(F479),E479*F479,"")</f>
        <v/>
      </c>
      <c r="H479" s="35"/>
      <c r="I479" s="31"/>
      <c r="J479" s="155">
        <v>11</v>
      </c>
    </row>
    <row r="480" spans="1:10" ht="23.25" x14ac:dyDescent="0.25">
      <c r="A480" s="176"/>
      <c r="B480" s="175"/>
      <c r="C480" s="146" t="s">
        <v>199</v>
      </c>
      <c r="D480" s="47"/>
      <c r="E480" s="37"/>
      <c r="F480" s="34" t="s">
        <v>568</v>
      </c>
      <c r="G480" s="34" t="str">
        <f>IF(ISNUMBER(F480),E480*F480,"")</f>
        <v/>
      </c>
      <c r="H480" s="35"/>
      <c r="I480" s="31"/>
      <c r="J480" s="155">
        <v>11</v>
      </c>
    </row>
    <row r="481" spans="1:10" ht="15.75" thickBot="1" x14ac:dyDescent="0.3">
      <c r="A481" s="177"/>
      <c r="B481" s="178"/>
      <c r="C481" s="36"/>
      <c r="D481" s="36"/>
      <c r="E481" s="37"/>
      <c r="F481" s="31" t="s">
        <v>568</v>
      </c>
      <c r="G481" s="31" t="str">
        <f>IF(ISNUMBER(F481),E481*F481,"")</f>
        <v/>
      </c>
      <c r="H481" s="35"/>
      <c r="I481" s="31"/>
      <c r="J481" s="155">
        <v>11</v>
      </c>
    </row>
    <row r="482" spans="1:10" ht="15.75" thickBot="1" x14ac:dyDescent="0.3">
      <c r="A482" s="172" t="s">
        <v>200</v>
      </c>
      <c r="B482" s="174" t="str">
        <f>INDEX(Orçamentária!A:B,MATCH(Composições!A482,Orçamentária!A:A,0),2)</f>
        <v>Aplicação de fundo selador base água</v>
      </c>
      <c r="C482" s="41"/>
      <c r="D482" s="26" t="str">
        <f>TRIM(INDEX(Orçamentária!C:C,MATCH(Composições!A482,Orçamentária!A:A,0),1))</f>
        <v>m2</v>
      </c>
      <c r="E482" s="27"/>
      <c r="F482" s="42" t="s">
        <v>568</v>
      </c>
      <c r="G482" s="28" t="str">
        <f>IF(ISNUMBER(F482),E482*F482,"")</f>
        <v/>
      </c>
      <c r="H482" s="29"/>
      <c r="I482" s="30"/>
      <c r="J482" s="155">
        <v>926.64</v>
      </c>
    </row>
    <row r="483" spans="1:10" x14ac:dyDescent="0.25">
      <c r="A483" s="176"/>
      <c r="B483" s="175"/>
      <c r="C483" s="32"/>
      <c r="D483" s="32"/>
      <c r="E483" s="33"/>
      <c r="F483" s="43" t="s">
        <v>568</v>
      </c>
      <c r="G483" s="31" t="str">
        <f>IF(ISNUMBER(F483),E483*F483,"")</f>
        <v/>
      </c>
      <c r="H483" s="35"/>
      <c r="I483" s="31"/>
      <c r="J483" s="155">
        <v>926.64</v>
      </c>
    </row>
    <row r="484" spans="1:10" x14ac:dyDescent="0.25">
      <c r="A484" s="176"/>
      <c r="B484" s="175"/>
      <c r="C484" s="36" t="s">
        <v>102</v>
      </c>
      <c r="D484" s="47" t="s">
        <v>12</v>
      </c>
      <c r="E484" s="37">
        <v>0.106</v>
      </c>
      <c r="F484" s="31">
        <v>23.027999999999999</v>
      </c>
      <c r="G484" s="34">
        <f>IF(ISNUMBER(F484),E484*F484,"")</f>
        <v>2.4409679999999998</v>
      </c>
      <c r="H484" s="39">
        <f>SUM(G484:G486)</f>
        <v>4.1229785000000003</v>
      </c>
      <c r="I484" s="40"/>
      <c r="J484" s="155">
        <v>926.64</v>
      </c>
    </row>
    <row r="485" spans="1:10" x14ac:dyDescent="0.25">
      <c r="A485" s="176"/>
      <c r="B485" s="175"/>
      <c r="C485" s="36" t="s">
        <v>23</v>
      </c>
      <c r="D485" s="47" t="s">
        <v>12</v>
      </c>
      <c r="E485" s="37">
        <v>2.7E-2</v>
      </c>
      <c r="F485" s="31">
        <v>16.311500000000002</v>
      </c>
      <c r="G485" s="34">
        <f>IF(ISNUMBER(F485),E485*F485,"")</f>
        <v>0.44041050000000004</v>
      </c>
      <c r="H485" s="35"/>
      <c r="I485" s="31"/>
      <c r="J485" s="155">
        <v>926.64</v>
      </c>
    </row>
    <row r="486" spans="1:10" x14ac:dyDescent="0.25">
      <c r="A486" s="176"/>
      <c r="B486" s="175"/>
      <c r="C486" s="36" t="s">
        <v>201</v>
      </c>
      <c r="D486" s="50" t="s">
        <v>104</v>
      </c>
      <c r="E486" s="37">
        <v>0.16</v>
      </c>
      <c r="F486" s="34">
        <v>7.76</v>
      </c>
      <c r="G486" s="34">
        <f>IF(ISNUMBER(F486),E486*F486,"")</f>
        <v>1.2416</v>
      </c>
      <c r="H486" s="35"/>
      <c r="I486" s="31"/>
      <c r="J486" s="155">
        <v>926.64</v>
      </c>
    </row>
    <row r="487" spans="1:10" ht="15.75" thickBot="1" x14ac:dyDescent="0.3">
      <c r="A487" s="177"/>
      <c r="B487" s="178"/>
      <c r="C487" s="36"/>
      <c r="D487" s="36"/>
      <c r="E487" s="37"/>
      <c r="F487" s="31" t="s">
        <v>568</v>
      </c>
      <c r="G487" s="31" t="str">
        <f>IF(ISNUMBER(F487),E487*F487,"")</f>
        <v/>
      </c>
      <c r="H487" s="35"/>
      <c r="I487" s="31"/>
      <c r="J487" s="155">
        <v>926.64</v>
      </c>
    </row>
    <row r="488" spans="1:10" ht="15.75" thickBot="1" x14ac:dyDescent="0.3">
      <c r="A488" s="172" t="s">
        <v>202</v>
      </c>
      <c r="B488" s="174" t="str">
        <f>INDEX(Orçamentária!A:B,MATCH(Composições!A488,Orçamentária!A:A,0),2)</f>
        <v>Fundo anticorrosivo e de aderência (base água)</v>
      </c>
      <c r="C488" s="41"/>
      <c r="D488" s="26" t="str">
        <f>TRIM(INDEX(Orçamentária!C:C,MATCH(Composições!A488,Orçamentária!A:A,0),1))</f>
        <v>m2</v>
      </c>
      <c r="E488" s="27"/>
      <c r="F488" s="42" t="s">
        <v>568</v>
      </c>
      <c r="G488" s="28" t="str">
        <f>IF(ISNUMBER(F488),E488*F488,"")</f>
        <v/>
      </c>
      <c r="H488" s="29"/>
      <c r="I488" s="30"/>
      <c r="J488" s="155">
        <v>25.78</v>
      </c>
    </row>
    <row r="489" spans="1:10" x14ac:dyDescent="0.25">
      <c r="A489" s="176"/>
      <c r="B489" s="175"/>
      <c r="C489" s="32"/>
      <c r="D489" s="32"/>
      <c r="E489" s="33"/>
      <c r="F489" s="43" t="s">
        <v>568</v>
      </c>
      <c r="G489" s="31" t="str">
        <f>IF(ISNUMBER(F489),E489*F489,"")</f>
        <v/>
      </c>
      <c r="H489" s="35"/>
      <c r="I489" s="31"/>
      <c r="J489" s="155">
        <v>25.78</v>
      </c>
    </row>
    <row r="490" spans="1:10" x14ac:dyDescent="0.25">
      <c r="A490" s="176"/>
      <c r="B490" s="175"/>
      <c r="C490" s="36" t="s">
        <v>102</v>
      </c>
      <c r="D490" s="47" t="s">
        <v>12</v>
      </c>
      <c r="E490" s="37">
        <f>2*0.2149</f>
        <v>0.42980000000000002</v>
      </c>
      <c r="F490" s="31">
        <v>23.027999999999999</v>
      </c>
      <c r="G490" s="34">
        <f>IF(ISNUMBER(F490),E490*F490,"")</f>
        <v>9.8974343999999999</v>
      </c>
      <c r="H490" s="39">
        <f>SUM(G490:G491)</f>
        <v>15.967834399999999</v>
      </c>
      <c r="I490" s="40"/>
      <c r="J490" s="155">
        <v>25.78</v>
      </c>
    </row>
    <row r="491" spans="1:10" x14ac:dyDescent="0.25">
      <c r="A491" s="176"/>
      <c r="B491" s="175"/>
      <c r="C491" s="36" t="s">
        <v>203</v>
      </c>
      <c r="D491" s="50" t="s">
        <v>104</v>
      </c>
      <c r="E491" s="37">
        <f>2*(3.6/45)</f>
        <v>0.16</v>
      </c>
      <c r="F491" s="34">
        <v>37.94</v>
      </c>
      <c r="G491" s="34">
        <f>IF(ISNUMBER(F491),E491*F491,"")</f>
        <v>6.0703999999999994</v>
      </c>
      <c r="H491" s="35"/>
      <c r="I491" s="31"/>
      <c r="J491" s="155">
        <v>25.78</v>
      </c>
    </row>
    <row r="492" spans="1:10" x14ac:dyDescent="0.25">
      <c r="A492" s="176"/>
      <c r="B492" s="175"/>
      <c r="C492" s="36"/>
      <c r="D492" s="47"/>
      <c r="E492" s="37"/>
      <c r="F492" s="34" t="s">
        <v>568</v>
      </c>
      <c r="G492" s="34" t="str">
        <f>IF(ISNUMBER(F492),E492*F492,"")</f>
        <v/>
      </c>
      <c r="H492" s="35"/>
      <c r="I492" s="31"/>
      <c r="J492" s="155">
        <v>25.78</v>
      </c>
    </row>
    <row r="493" spans="1:10" ht="25.5" x14ac:dyDescent="0.25">
      <c r="A493" s="176"/>
      <c r="B493" s="175"/>
      <c r="C493" s="52" t="s">
        <v>204</v>
      </c>
      <c r="D493" s="47"/>
      <c r="E493" s="37"/>
      <c r="F493" s="34" t="s">
        <v>568</v>
      </c>
      <c r="G493" s="34" t="str">
        <f>IF(ISNUMBER(F493),E493*F493,"")</f>
        <v/>
      </c>
      <c r="H493" s="35"/>
      <c r="I493" s="31"/>
      <c r="J493" s="155">
        <v>25.78</v>
      </c>
    </row>
    <row r="494" spans="1:10" ht="30" x14ac:dyDescent="0.25">
      <c r="A494" s="176"/>
      <c r="B494" s="175"/>
      <c r="C494" s="147" t="s">
        <v>205</v>
      </c>
      <c r="D494" s="47"/>
      <c r="E494" s="37"/>
      <c r="F494" s="34" t="s">
        <v>568</v>
      </c>
      <c r="G494" s="34" t="str">
        <f>IF(ISNUMBER(F494),E494*F494,"")</f>
        <v/>
      </c>
      <c r="H494" s="35"/>
      <c r="I494" s="31"/>
      <c r="J494" s="155">
        <v>25.78</v>
      </c>
    </row>
    <row r="495" spans="1:10" ht="30.75" thickBot="1" x14ac:dyDescent="0.3">
      <c r="A495" s="177"/>
      <c r="B495" s="178"/>
      <c r="C495" s="147" t="s">
        <v>206</v>
      </c>
      <c r="D495" s="36"/>
      <c r="E495" s="37"/>
      <c r="F495" s="31" t="s">
        <v>568</v>
      </c>
      <c r="G495" s="31" t="str">
        <f>IF(ISNUMBER(F495),E495*F495,"")</f>
        <v/>
      </c>
      <c r="H495" s="35"/>
      <c r="I495" s="31"/>
      <c r="J495" s="155">
        <v>25.78</v>
      </c>
    </row>
    <row r="496" spans="1:10" ht="15.75" thickBot="1" x14ac:dyDescent="0.3">
      <c r="A496" s="172" t="s">
        <v>207</v>
      </c>
      <c r="B496" s="174" t="str">
        <f>INDEX(Orçamentária!A:B,MATCH(Composições!A496,Orçamentária!A:A,0),2)</f>
        <v>Massa acrílica</v>
      </c>
      <c r="C496" s="41"/>
      <c r="D496" s="26" t="str">
        <f>TRIM(INDEX(Orçamentária!C:C,MATCH(Composições!A496,Orçamentária!A:A,0),1))</f>
        <v>m2</v>
      </c>
      <c r="E496" s="27"/>
      <c r="F496" s="42" t="s">
        <v>568</v>
      </c>
      <c r="G496" s="28" t="str">
        <f>IF(ISNUMBER(F496),E496*F496,"")</f>
        <v/>
      </c>
      <c r="H496" s="29"/>
      <c r="I496" s="30"/>
      <c r="J496" s="155">
        <v>212.81</v>
      </c>
    </row>
    <row r="497" spans="1:10" x14ac:dyDescent="0.25">
      <c r="A497" s="176"/>
      <c r="B497" s="175"/>
      <c r="C497" s="32"/>
      <c r="D497" s="32"/>
      <c r="E497" s="33"/>
      <c r="F497" s="43" t="s">
        <v>568</v>
      </c>
      <c r="G497" s="31" t="str">
        <f>IF(ISNUMBER(F497),E497*F497,"")</f>
        <v/>
      </c>
      <c r="H497" s="35"/>
      <c r="I497" s="31"/>
      <c r="J497" s="155">
        <v>212.81</v>
      </c>
    </row>
    <row r="498" spans="1:10" x14ac:dyDescent="0.25">
      <c r="A498" s="176"/>
      <c r="B498" s="175"/>
      <c r="C498" s="36" t="s">
        <v>208</v>
      </c>
      <c r="D498" s="47" t="s">
        <v>20</v>
      </c>
      <c r="E498" s="37">
        <v>0.1</v>
      </c>
      <c r="F498" s="34">
        <v>0.61749999999999994</v>
      </c>
      <c r="G498" s="34">
        <f>IF(ISNUMBER(F498),E498*F498,"")</f>
        <v>6.1749999999999999E-2</v>
      </c>
      <c r="H498" s="39">
        <f>SUM(G498:G501)</f>
        <v>16.063274499999999</v>
      </c>
      <c r="I498" s="40"/>
      <c r="J498" s="155">
        <v>212.81</v>
      </c>
    </row>
    <row r="499" spans="1:10" x14ac:dyDescent="0.25">
      <c r="A499" s="176"/>
      <c r="B499" s="175"/>
      <c r="C499" s="36" t="s">
        <v>209</v>
      </c>
      <c r="D499" s="47" t="s">
        <v>210</v>
      </c>
      <c r="E499" s="37">
        <v>0.24399999999999999</v>
      </c>
      <c r="F499" s="34">
        <v>28.509499999999999</v>
      </c>
      <c r="G499" s="34">
        <f>IF(ISNUMBER(F499),E499*F499,"")</f>
        <v>6.9563179999999996</v>
      </c>
      <c r="H499" s="35"/>
      <c r="I499" s="31"/>
      <c r="J499" s="155">
        <v>212.81</v>
      </c>
    </row>
    <row r="500" spans="1:10" x14ac:dyDescent="0.25">
      <c r="A500" s="176"/>
      <c r="B500" s="175"/>
      <c r="C500" s="36" t="s">
        <v>102</v>
      </c>
      <c r="D500" s="47" t="s">
        <v>12</v>
      </c>
      <c r="E500" s="37">
        <v>0.33400000000000002</v>
      </c>
      <c r="F500" s="31">
        <v>23.027999999999999</v>
      </c>
      <c r="G500" s="34">
        <f>IF(ISNUMBER(F500),E500*F500,"")</f>
        <v>7.6913520000000002</v>
      </c>
      <c r="H500" s="35"/>
      <c r="I500" s="31"/>
      <c r="J500" s="155">
        <v>212.81</v>
      </c>
    </row>
    <row r="501" spans="1:10" x14ac:dyDescent="0.25">
      <c r="A501" s="176"/>
      <c r="B501" s="175"/>
      <c r="C501" s="36" t="s">
        <v>23</v>
      </c>
      <c r="D501" s="47" t="s">
        <v>12</v>
      </c>
      <c r="E501" s="37">
        <v>8.3000000000000004E-2</v>
      </c>
      <c r="F501" s="31">
        <v>16.311500000000002</v>
      </c>
      <c r="G501" s="34">
        <f>IF(ISNUMBER(F501),E501*F501,"")</f>
        <v>1.3538545000000002</v>
      </c>
      <c r="H501" s="35"/>
      <c r="I501" s="31"/>
      <c r="J501" s="155">
        <v>212.81</v>
      </c>
    </row>
    <row r="502" spans="1:10" ht="15.75" thickBot="1" x14ac:dyDescent="0.3">
      <c r="A502" s="177"/>
      <c r="B502" s="178"/>
      <c r="C502" s="36"/>
      <c r="D502" s="36"/>
      <c r="E502" s="37"/>
      <c r="F502" s="31" t="s">
        <v>568</v>
      </c>
      <c r="G502" s="31" t="str">
        <f>IF(ISNUMBER(F502),E502*F502,"")</f>
        <v/>
      </c>
      <c r="H502" s="35"/>
      <c r="I502" s="31"/>
      <c r="J502" s="155">
        <v>212.81</v>
      </c>
    </row>
    <row r="503" spans="1:10" ht="15.75" thickBot="1" x14ac:dyDescent="0.3">
      <c r="A503" s="172" t="s">
        <v>211</v>
      </c>
      <c r="B503" s="174" t="str">
        <f>INDEX(Orçamentária!A:B,MATCH(Composições!A503,Orçamentária!A:A,0),2)</f>
        <v>Massa corrida</v>
      </c>
      <c r="C503" s="41"/>
      <c r="D503" s="26" t="str">
        <f>TRIM(INDEX(Orçamentária!C:C,MATCH(Composições!A503,Orçamentária!A:A,0),1))</f>
        <v>m2</v>
      </c>
      <c r="E503" s="27"/>
      <c r="F503" s="42" t="s">
        <v>568</v>
      </c>
      <c r="G503" s="28" t="str">
        <f>IF(ISNUMBER(F503),E503*F503,"")</f>
        <v/>
      </c>
      <c r="H503" s="29"/>
      <c r="I503" s="30"/>
      <c r="J503" s="155">
        <v>310.61</v>
      </c>
    </row>
    <row r="504" spans="1:10" x14ac:dyDescent="0.25">
      <c r="A504" s="176"/>
      <c r="B504" s="175"/>
      <c r="C504" s="32"/>
      <c r="D504" s="32"/>
      <c r="E504" s="33"/>
      <c r="F504" s="43" t="s">
        <v>568</v>
      </c>
      <c r="G504" s="31" t="str">
        <f>IF(ISNUMBER(F504),E504*F504,"")</f>
        <v/>
      </c>
      <c r="H504" s="35"/>
      <c r="I504" s="31"/>
      <c r="J504" s="155">
        <v>310.61</v>
      </c>
    </row>
    <row r="505" spans="1:10" x14ac:dyDescent="0.25">
      <c r="A505" s="176"/>
      <c r="B505" s="175"/>
      <c r="C505" s="36" t="s">
        <v>208</v>
      </c>
      <c r="D505" s="47" t="s">
        <v>20</v>
      </c>
      <c r="E505" s="37">
        <v>0.1</v>
      </c>
      <c r="F505" s="34">
        <v>0.61749999999999994</v>
      </c>
      <c r="G505" s="34">
        <f>IF(ISNUMBER(F505),E505*F505,"")</f>
        <v>6.1749999999999999E-2</v>
      </c>
      <c r="H505" s="39">
        <f>SUM(G505:G508)</f>
        <v>12.585476500000002</v>
      </c>
      <c r="I505" s="40"/>
      <c r="J505" s="155">
        <v>310.61</v>
      </c>
    </row>
    <row r="506" spans="1:10" x14ac:dyDescent="0.25">
      <c r="A506" s="176"/>
      <c r="B506" s="175"/>
      <c r="C506" s="36" t="s">
        <v>212</v>
      </c>
      <c r="D506" s="47" t="s">
        <v>1331</v>
      </c>
      <c r="E506" s="37">
        <v>0.2445</v>
      </c>
      <c r="F506" s="34">
        <v>14.231</v>
      </c>
      <c r="G506" s="34">
        <f>IF(ISNUMBER(F506),E506*F506,"")</f>
        <v>3.4794795000000001</v>
      </c>
      <c r="H506" s="35"/>
      <c r="I506" s="31"/>
      <c r="J506" s="155">
        <v>310.61</v>
      </c>
    </row>
    <row r="507" spans="1:10" x14ac:dyDescent="0.25">
      <c r="A507" s="176"/>
      <c r="B507" s="175"/>
      <c r="C507" s="36" t="s">
        <v>102</v>
      </c>
      <c r="D507" s="47" t="s">
        <v>12</v>
      </c>
      <c r="E507" s="37">
        <v>0.312</v>
      </c>
      <c r="F507" s="31">
        <v>23.027999999999999</v>
      </c>
      <c r="G507" s="34">
        <f>IF(ISNUMBER(F507),E507*F507,"")</f>
        <v>7.184736</v>
      </c>
      <c r="H507" s="35"/>
      <c r="I507" s="31"/>
      <c r="J507" s="155">
        <v>310.61</v>
      </c>
    </row>
    <row r="508" spans="1:10" x14ac:dyDescent="0.25">
      <c r="A508" s="176"/>
      <c r="B508" s="175"/>
      <c r="C508" s="36" t="s">
        <v>23</v>
      </c>
      <c r="D508" s="47" t="s">
        <v>12</v>
      </c>
      <c r="E508" s="37">
        <v>0.114</v>
      </c>
      <c r="F508" s="31">
        <v>16.311500000000002</v>
      </c>
      <c r="G508" s="34">
        <f>IF(ISNUMBER(F508),E508*F508,"")</f>
        <v>1.8595110000000004</v>
      </c>
      <c r="H508" s="35"/>
      <c r="I508" s="31"/>
      <c r="J508" s="155">
        <v>310.61</v>
      </c>
    </row>
    <row r="509" spans="1:10" ht="15.75" thickBot="1" x14ac:dyDescent="0.3">
      <c r="A509" s="177"/>
      <c r="B509" s="178"/>
      <c r="C509" s="36"/>
      <c r="D509" s="36"/>
      <c r="E509" s="37"/>
      <c r="F509" s="31" t="s">
        <v>568</v>
      </c>
      <c r="G509" s="31" t="str">
        <f>IF(ISNUMBER(F509),E509*F509,"")</f>
        <v/>
      </c>
      <c r="H509" s="35"/>
      <c r="I509" s="31"/>
      <c r="J509" s="155">
        <v>310.61</v>
      </c>
    </row>
    <row r="510" spans="1:10" ht="15.75" thickBot="1" x14ac:dyDescent="0.3">
      <c r="A510" s="172" t="s">
        <v>214</v>
      </c>
      <c r="B510" s="174" t="str">
        <f>INDEX(Orçamentária!A:B,MATCH(Composições!A510,Orçamentária!A:A,0),2)</f>
        <v>Pintura com tinta látex acrílica Premium (paredes)</v>
      </c>
      <c r="C510" s="41"/>
      <c r="D510" s="26" t="str">
        <f>TRIM(INDEX(Orçamentária!C:C,MATCH(Composições!A510,Orçamentária!A:A,0),1))</f>
        <v>m2</v>
      </c>
      <c r="E510" s="27"/>
      <c r="F510" s="42" t="s">
        <v>568</v>
      </c>
      <c r="G510" s="28" t="str">
        <f>IF(ISNUMBER(F510),E510*F510,"")</f>
        <v/>
      </c>
      <c r="H510" s="29"/>
      <c r="I510" s="30"/>
      <c r="J510" s="155">
        <v>583.92999999999995</v>
      </c>
    </row>
    <row r="511" spans="1:10" x14ac:dyDescent="0.25">
      <c r="A511" s="176"/>
      <c r="B511" s="175"/>
      <c r="C511" s="32"/>
      <c r="D511" s="32"/>
      <c r="E511" s="33"/>
      <c r="F511" s="43" t="s">
        <v>568</v>
      </c>
      <c r="G511" s="31" t="str">
        <f>IF(ISNUMBER(F511),E511*F511,"")</f>
        <v/>
      </c>
      <c r="H511" s="35"/>
      <c r="I511" s="31"/>
      <c r="J511" s="155">
        <v>583.92999999999995</v>
      </c>
    </row>
    <row r="512" spans="1:10" x14ac:dyDescent="0.25">
      <c r="A512" s="176"/>
      <c r="B512" s="175"/>
      <c r="C512" s="36" t="s">
        <v>102</v>
      </c>
      <c r="D512" s="47" t="s">
        <v>12</v>
      </c>
      <c r="E512" s="37">
        <v>0.187</v>
      </c>
      <c r="F512" s="31">
        <v>23.027999999999999</v>
      </c>
      <c r="G512" s="34">
        <f>IF(ISNUMBER(F512),E512*F512,"")</f>
        <v>4.3062360000000002</v>
      </c>
      <c r="H512" s="39">
        <f>SUM(G512:G514)</f>
        <v>11.7769695</v>
      </c>
      <c r="I512" s="40"/>
      <c r="J512" s="155">
        <v>583.92999999999995</v>
      </c>
    </row>
    <row r="513" spans="1:10" x14ac:dyDescent="0.25">
      <c r="A513" s="176"/>
      <c r="B513" s="175"/>
      <c r="C513" s="36" t="s">
        <v>23</v>
      </c>
      <c r="D513" s="47" t="s">
        <v>12</v>
      </c>
      <c r="E513" s="37">
        <v>6.9000000000000006E-2</v>
      </c>
      <c r="F513" s="31">
        <v>16.311500000000002</v>
      </c>
      <c r="G513" s="34">
        <f>IF(ISNUMBER(F513),E513*F513,"")</f>
        <v>1.1254935000000001</v>
      </c>
      <c r="H513" s="35"/>
      <c r="I513" s="31"/>
      <c r="J513" s="155">
        <v>583.92999999999995</v>
      </c>
    </row>
    <row r="514" spans="1:10" x14ac:dyDescent="0.25">
      <c r="A514" s="176"/>
      <c r="B514" s="175"/>
      <c r="C514" s="36" t="s">
        <v>215</v>
      </c>
      <c r="D514" s="50" t="s">
        <v>104</v>
      </c>
      <c r="E514" s="37">
        <v>0.33</v>
      </c>
      <c r="F514" s="34">
        <v>19.227999999999998</v>
      </c>
      <c r="G514" s="34">
        <f>IF(ISNUMBER(F514),E514*F514,"")</f>
        <v>6.3452399999999995</v>
      </c>
      <c r="H514" s="35"/>
      <c r="I514" s="31"/>
      <c r="J514" s="155">
        <v>583.92999999999995</v>
      </c>
    </row>
    <row r="515" spans="1:10" ht="15.75" thickBot="1" x14ac:dyDescent="0.3">
      <c r="A515" s="177"/>
      <c r="B515" s="178"/>
      <c r="C515" s="36"/>
      <c r="D515" s="36"/>
      <c r="E515" s="37"/>
      <c r="F515" s="31" t="s">
        <v>568</v>
      </c>
      <c r="G515" s="31" t="str">
        <f>IF(ISNUMBER(F515),E515*F515,"")</f>
        <v/>
      </c>
      <c r="H515" s="35"/>
      <c r="I515" s="31"/>
      <c r="J515" s="155">
        <v>583.92999999999995</v>
      </c>
    </row>
    <row r="516" spans="1:10" ht="15.75" thickBot="1" x14ac:dyDescent="0.3">
      <c r="A516" s="172" t="s">
        <v>216</v>
      </c>
      <c r="B516" s="174" t="str">
        <f>INDEX(Orçamentária!A:B,MATCH(Composições!A516,Orçamentária!A:A,0),2)</f>
        <v>Pintura em verniz sintético</v>
      </c>
      <c r="C516" s="41"/>
      <c r="D516" s="26" t="str">
        <f>TRIM(INDEX(Orçamentária!C:C,MATCH(Composições!A516,Orçamentária!A:A,0),1))</f>
        <v>m2</v>
      </c>
      <c r="E516" s="27"/>
      <c r="F516" s="42" t="s">
        <v>568</v>
      </c>
      <c r="G516" s="28" t="str">
        <f>IF(ISNUMBER(F516),E516*F516,"")</f>
        <v/>
      </c>
      <c r="H516" s="29"/>
      <c r="I516" s="30"/>
      <c r="J516" s="155">
        <v>4.83</v>
      </c>
    </row>
    <row r="517" spans="1:10" x14ac:dyDescent="0.25">
      <c r="A517" s="176"/>
      <c r="B517" s="175"/>
      <c r="C517" s="32"/>
      <c r="D517" s="32"/>
      <c r="E517" s="33"/>
      <c r="F517" s="43" t="s">
        <v>568</v>
      </c>
      <c r="G517" s="31" t="str">
        <f>IF(ISNUMBER(F517),E517*F517,"")</f>
        <v/>
      </c>
      <c r="H517" s="35"/>
      <c r="I517" s="31"/>
      <c r="J517" s="155">
        <v>4.83</v>
      </c>
    </row>
    <row r="518" spans="1:10" x14ac:dyDescent="0.25">
      <c r="A518" s="176"/>
      <c r="B518" s="175"/>
      <c r="C518" s="36" t="s">
        <v>217</v>
      </c>
      <c r="D518" s="50" t="s">
        <v>104</v>
      </c>
      <c r="E518" s="37">
        <f>ROUND(3*3.6/100,4)</f>
        <v>0.108</v>
      </c>
      <c r="F518" s="34">
        <v>42.01</v>
      </c>
      <c r="G518" s="31">
        <f>IF(ISNUMBER(F518),E518*F518,"")</f>
        <v>4.5370799999999996</v>
      </c>
      <c r="H518" s="39">
        <f>SUM(G518:G519)</f>
        <v>20.831692799999999</v>
      </c>
      <c r="I518" s="40"/>
      <c r="J518" s="155">
        <v>4.83</v>
      </c>
    </row>
    <row r="519" spans="1:10" x14ac:dyDescent="0.25">
      <c r="A519" s="176"/>
      <c r="B519" s="175"/>
      <c r="C519" s="36" t="s">
        <v>102</v>
      </c>
      <c r="D519" s="36" t="s">
        <v>12</v>
      </c>
      <c r="E519" s="37">
        <v>0.70760000000000001</v>
      </c>
      <c r="F519" s="31">
        <v>23.027999999999999</v>
      </c>
      <c r="G519" s="31">
        <f>IF(ISNUMBER(F519),E519*F519,"")</f>
        <v>16.294612799999999</v>
      </c>
      <c r="H519" s="35"/>
      <c r="I519" s="31"/>
      <c r="J519" s="155">
        <v>4.83</v>
      </c>
    </row>
    <row r="520" spans="1:10" x14ac:dyDescent="0.25">
      <c r="A520" s="176"/>
      <c r="B520" s="175"/>
      <c r="C520" s="36"/>
      <c r="D520" s="36"/>
      <c r="E520" s="37"/>
      <c r="F520" s="31"/>
      <c r="G520" s="31"/>
      <c r="H520" s="35"/>
      <c r="I520" s="31"/>
      <c r="J520" s="155">
        <v>4.83</v>
      </c>
    </row>
    <row r="521" spans="1:10" x14ac:dyDescent="0.25">
      <c r="A521" s="176"/>
      <c r="B521" s="175"/>
      <c r="C521" s="2" t="s">
        <v>3482</v>
      </c>
      <c r="D521" s="36"/>
      <c r="E521" s="37"/>
      <c r="F521" s="31"/>
      <c r="G521" s="31"/>
      <c r="H521" s="35"/>
      <c r="I521" s="31"/>
      <c r="J521" s="155">
        <v>4.83</v>
      </c>
    </row>
    <row r="522" spans="1:10" ht="15.75" thickBot="1" x14ac:dyDescent="0.3">
      <c r="A522" s="177"/>
      <c r="B522" s="178"/>
      <c r="C522" s="36"/>
      <c r="D522" s="36"/>
      <c r="E522" s="37"/>
      <c r="F522" s="31" t="s">
        <v>568</v>
      </c>
      <c r="G522" s="31" t="str">
        <f>IF(ISNUMBER(F522),E522*F522,"")</f>
        <v/>
      </c>
      <c r="H522" s="35"/>
      <c r="I522" s="31"/>
      <c r="J522" s="155">
        <v>4.83</v>
      </c>
    </row>
    <row r="523" spans="1:10" ht="15.75" thickBot="1" x14ac:dyDescent="0.3">
      <c r="A523" s="172" t="s">
        <v>218</v>
      </c>
      <c r="B523" s="174" t="str">
        <f>INDEX(Orçamentária!A:B,MATCH(Composições!A523,Orçamentária!A:A,0),2)</f>
        <v>Pintura esmalte acetinado (metais e madeiras)</v>
      </c>
      <c r="C523" s="41"/>
      <c r="D523" s="26" t="str">
        <f>TRIM(INDEX(Orçamentária!C:C,MATCH(Composições!A523,Orçamentária!A:A,0),1))</f>
        <v>m2</v>
      </c>
      <c r="E523" s="27"/>
      <c r="F523" s="42" t="s">
        <v>568</v>
      </c>
      <c r="G523" s="28" t="str">
        <f>IF(ISNUMBER(F523),E523*F523,"")</f>
        <v/>
      </c>
      <c r="H523" s="29"/>
      <c r="I523" s="30"/>
      <c r="J523" s="155">
        <v>94.23</v>
      </c>
    </row>
    <row r="524" spans="1:10" x14ac:dyDescent="0.25">
      <c r="A524" s="176"/>
      <c r="B524" s="175"/>
      <c r="C524" s="32"/>
      <c r="D524" s="32"/>
      <c r="E524" s="33"/>
      <c r="F524" s="43" t="s">
        <v>568</v>
      </c>
      <c r="G524" s="31" t="str">
        <f>IF(ISNUMBER(F524),E524*F524,"")</f>
        <v/>
      </c>
      <c r="H524" s="35"/>
      <c r="I524" s="31"/>
      <c r="J524" s="155">
        <v>94.23</v>
      </c>
    </row>
    <row r="525" spans="1:10" x14ac:dyDescent="0.25">
      <c r="A525" s="176"/>
      <c r="B525" s="175"/>
      <c r="C525" s="36" t="s">
        <v>102</v>
      </c>
      <c r="D525" s="47" t="s">
        <v>12</v>
      </c>
      <c r="E525" s="37">
        <v>0.57079999999999997</v>
      </c>
      <c r="F525" s="31">
        <v>23.027999999999999</v>
      </c>
      <c r="G525" s="34">
        <f>IF(ISNUMBER(F525),E525*F525,"")</f>
        <v>13.144382399999998</v>
      </c>
      <c r="H525" s="39">
        <f>SUM(G525:G526)</f>
        <v>17.242622399999998</v>
      </c>
      <c r="I525" s="40"/>
      <c r="J525" s="155">
        <v>94.23</v>
      </c>
    </row>
    <row r="526" spans="1:10" x14ac:dyDescent="0.25">
      <c r="A526" s="176"/>
      <c r="B526" s="175"/>
      <c r="C526" s="36" t="s">
        <v>219</v>
      </c>
      <c r="D526" s="50" t="s">
        <v>104</v>
      </c>
      <c r="E526" s="37">
        <f>ROUND(3*3.6/75,4)</f>
        <v>0.14399999999999999</v>
      </c>
      <c r="F526" s="34">
        <v>28.46</v>
      </c>
      <c r="G526" s="34">
        <f>IF(ISNUMBER(F526),E526*F526,"")</f>
        <v>4.0982399999999997</v>
      </c>
      <c r="H526" s="35"/>
      <c r="I526" s="31"/>
      <c r="J526" s="155">
        <v>94.23</v>
      </c>
    </row>
    <row r="527" spans="1:10" x14ac:dyDescent="0.25">
      <c r="A527" s="176"/>
      <c r="B527" s="175"/>
      <c r="C527" s="36"/>
      <c r="D527" s="50"/>
      <c r="E527" s="37"/>
      <c r="F527" s="34"/>
      <c r="G527" s="34"/>
      <c r="H527" s="35"/>
      <c r="I527" s="31"/>
      <c r="J527" s="155">
        <v>94.23</v>
      </c>
    </row>
    <row r="528" spans="1:10" x14ac:dyDescent="0.25">
      <c r="A528" s="176"/>
      <c r="B528" s="175"/>
      <c r="C528" s="2" t="s">
        <v>3481</v>
      </c>
      <c r="D528" s="50"/>
      <c r="E528" s="37"/>
      <c r="F528" s="34"/>
      <c r="G528" s="34"/>
      <c r="H528" s="35"/>
      <c r="I528" s="31"/>
      <c r="J528" s="155">
        <v>94.23</v>
      </c>
    </row>
    <row r="529" spans="1:10" ht="15.75" thickBot="1" x14ac:dyDescent="0.3">
      <c r="A529" s="177"/>
      <c r="B529" s="178"/>
      <c r="C529" s="36"/>
      <c r="D529" s="36"/>
      <c r="E529" s="37"/>
      <c r="F529" s="31" t="s">
        <v>568</v>
      </c>
      <c r="G529" s="31" t="str">
        <f>IF(ISNUMBER(F529),E529*F529,"")</f>
        <v/>
      </c>
      <c r="H529" s="35"/>
      <c r="I529" s="31"/>
      <c r="J529" s="155">
        <v>94.23</v>
      </c>
    </row>
    <row r="530" spans="1:10" ht="15.75" thickBot="1" x14ac:dyDescent="0.3">
      <c r="A530" s="172" t="s">
        <v>220</v>
      </c>
      <c r="B530" s="174" t="str">
        <f>INDEX(Orçamentária!A:B,MATCH(Composições!A530,Orçamentária!A:A,0),2)</f>
        <v>Pintura tinta látex acrílica standard (tetos)</v>
      </c>
      <c r="C530" s="41"/>
      <c r="D530" s="26" t="str">
        <f>TRIM(INDEX(Orçamentária!C:C,MATCH(Composições!A530,Orçamentária!A:A,0),1))</f>
        <v>m2</v>
      </c>
      <c r="E530" s="27"/>
      <c r="F530" s="42" t="s">
        <v>568</v>
      </c>
      <c r="G530" s="28" t="str">
        <f>IF(ISNUMBER(F530),E530*F530,"")</f>
        <v/>
      </c>
      <c r="H530" s="29"/>
      <c r="I530" s="30"/>
      <c r="J530" s="155">
        <v>370.15</v>
      </c>
    </row>
    <row r="531" spans="1:10" x14ac:dyDescent="0.25">
      <c r="A531" s="176"/>
      <c r="B531" s="175"/>
      <c r="C531" s="32"/>
      <c r="D531" s="32"/>
      <c r="E531" s="33"/>
      <c r="F531" s="43" t="s">
        <v>568</v>
      </c>
      <c r="G531" s="31" t="str">
        <f>IF(ISNUMBER(F531),E531*F531,"")</f>
        <v/>
      </c>
      <c r="H531" s="35"/>
      <c r="I531" s="31"/>
      <c r="J531" s="155">
        <v>370.15</v>
      </c>
    </row>
    <row r="532" spans="1:10" x14ac:dyDescent="0.25">
      <c r="A532" s="176"/>
      <c r="B532" s="175"/>
      <c r="C532" s="36" t="s">
        <v>102</v>
      </c>
      <c r="D532" s="47" t="s">
        <v>12</v>
      </c>
      <c r="E532" s="37">
        <v>0.24399999999999999</v>
      </c>
      <c r="F532" s="31">
        <v>23.027999999999999</v>
      </c>
      <c r="G532" s="34">
        <f>IF(ISNUMBER(F532),E532*F532,"")</f>
        <v>5.6188319999999994</v>
      </c>
      <c r="H532" s="39">
        <f>SUM(G532:G534)</f>
        <v>13.415795499999998</v>
      </c>
      <c r="I532" s="40"/>
      <c r="J532" s="155">
        <v>370.15</v>
      </c>
    </row>
    <row r="533" spans="1:10" x14ac:dyDescent="0.25">
      <c r="A533" s="176"/>
      <c r="B533" s="175"/>
      <c r="C533" s="36" t="s">
        <v>23</v>
      </c>
      <c r="D533" s="47" t="s">
        <v>12</v>
      </c>
      <c r="E533" s="37">
        <v>8.8999999999999996E-2</v>
      </c>
      <c r="F533" s="31">
        <v>16.311500000000002</v>
      </c>
      <c r="G533" s="34">
        <f>IF(ISNUMBER(F533),E533*F533,"")</f>
        <v>1.4517235000000002</v>
      </c>
      <c r="H533" s="35"/>
      <c r="I533" s="31"/>
      <c r="J533" s="155">
        <v>370.15</v>
      </c>
    </row>
    <row r="534" spans="1:10" x14ac:dyDescent="0.25">
      <c r="A534" s="176"/>
      <c r="B534" s="175"/>
      <c r="C534" s="36" t="s">
        <v>215</v>
      </c>
      <c r="D534" s="50" t="s">
        <v>104</v>
      </c>
      <c r="E534" s="37">
        <v>0.33</v>
      </c>
      <c r="F534" s="34">
        <v>19.227999999999998</v>
      </c>
      <c r="G534" s="34">
        <f>IF(ISNUMBER(F534),E534*F534,"")</f>
        <v>6.3452399999999995</v>
      </c>
      <c r="H534" s="35"/>
      <c r="I534" s="31"/>
      <c r="J534" s="155">
        <v>370.15</v>
      </c>
    </row>
    <row r="535" spans="1:10" ht="15.75" thickBot="1" x14ac:dyDescent="0.3">
      <c r="A535" s="177"/>
      <c r="B535" s="178"/>
      <c r="C535" s="36"/>
      <c r="D535" s="36"/>
      <c r="E535" s="37"/>
      <c r="F535" s="31" t="s">
        <v>568</v>
      </c>
      <c r="G535" s="31" t="str">
        <f>IF(ISNUMBER(F535),E535*F535,"")</f>
        <v/>
      </c>
      <c r="H535" s="35"/>
      <c r="I535" s="31"/>
      <c r="J535" s="155">
        <v>370.15</v>
      </c>
    </row>
    <row r="536" spans="1:10" ht="15.75" thickBot="1" x14ac:dyDescent="0.3">
      <c r="A536" s="172" t="s">
        <v>221</v>
      </c>
      <c r="B536" s="174" t="str">
        <f>INDEX(Orçamentária!A:B,MATCH(Composições!A536,Orçamentária!A:A,0),2)</f>
        <v>Cerâmica para revestimento de superfícies internas ou externas – Linha Administrativa</v>
      </c>
      <c r="C536" s="41"/>
      <c r="D536" s="26" t="str">
        <f>TRIM(INDEX(Orçamentária!C:C,MATCH(Composições!A536,Orçamentária!A:A,0),1))</f>
        <v>m2</v>
      </c>
      <c r="E536" s="27"/>
      <c r="F536" s="42" t="s">
        <v>568</v>
      </c>
      <c r="G536" s="28" t="str">
        <f>IF(ISNUMBER(F536),E536*F536,"")</f>
        <v/>
      </c>
      <c r="H536" s="29"/>
      <c r="I536" s="30"/>
      <c r="J536" s="155">
        <v>68.05</v>
      </c>
    </row>
    <row r="537" spans="1:10" x14ac:dyDescent="0.25">
      <c r="A537" s="176"/>
      <c r="B537" s="175"/>
      <c r="C537" s="32"/>
      <c r="D537" s="32"/>
      <c r="E537" s="33"/>
      <c r="F537" s="43" t="s">
        <v>568</v>
      </c>
      <c r="G537" s="31" t="str">
        <f>IF(ISNUMBER(F537),E537*F537,"")</f>
        <v/>
      </c>
      <c r="H537" s="35"/>
      <c r="I537" s="31"/>
      <c r="J537" s="155">
        <v>68.05</v>
      </c>
    </row>
    <row r="538" spans="1:10" ht="25.5" x14ac:dyDescent="0.25">
      <c r="A538" s="176"/>
      <c r="B538" s="175"/>
      <c r="C538" s="36" t="s">
        <v>222</v>
      </c>
      <c r="D538" s="36" t="s">
        <v>95</v>
      </c>
      <c r="E538" s="37">
        <v>1.08</v>
      </c>
      <c r="F538" s="34">
        <v>40.222999999999999</v>
      </c>
      <c r="G538" s="34">
        <f>IF(ISNUMBER(F538),E538*F538,"")</f>
        <v>43.440840000000001</v>
      </c>
      <c r="H538" s="39">
        <f>SUM(G538:G542)</f>
        <v>69.233720000000005</v>
      </c>
      <c r="I538" s="40"/>
      <c r="J538" s="155">
        <v>68.05</v>
      </c>
    </row>
    <row r="539" spans="1:10" x14ac:dyDescent="0.25">
      <c r="A539" s="176"/>
      <c r="B539" s="175"/>
      <c r="C539" s="36" t="s">
        <v>3614</v>
      </c>
      <c r="D539" s="36" t="s">
        <v>42</v>
      </c>
      <c r="E539" s="37">
        <v>6.14</v>
      </c>
      <c r="F539" s="34">
        <v>0.78849999999999998</v>
      </c>
      <c r="G539" s="34">
        <f>IF(ISNUMBER(F539),E539*F539,"")</f>
        <v>4.8413899999999996</v>
      </c>
      <c r="H539" s="35"/>
      <c r="I539" s="31"/>
      <c r="J539" s="155">
        <v>68.05</v>
      </c>
    </row>
    <row r="540" spans="1:10" x14ac:dyDescent="0.25">
      <c r="A540" s="176"/>
      <c r="B540" s="175"/>
      <c r="C540" s="36" t="s">
        <v>3612</v>
      </c>
      <c r="D540" s="36" t="s">
        <v>42</v>
      </c>
      <c r="E540" s="37">
        <v>0.22</v>
      </c>
      <c r="F540" s="34">
        <v>2.508</v>
      </c>
      <c r="G540" s="34">
        <f>IF(ISNUMBER(F540),E540*F540,"")</f>
        <v>0.55176000000000003</v>
      </c>
      <c r="H540" s="35"/>
      <c r="I540" s="31"/>
      <c r="J540" s="155">
        <v>68.05</v>
      </c>
    </row>
    <row r="541" spans="1:10" x14ac:dyDescent="0.25">
      <c r="A541" s="176"/>
      <c r="B541" s="175"/>
      <c r="C541" s="36" t="s">
        <v>36</v>
      </c>
      <c r="D541" s="36" t="s">
        <v>12</v>
      </c>
      <c r="E541" s="37">
        <v>0.66</v>
      </c>
      <c r="F541" s="31">
        <v>22.011500000000002</v>
      </c>
      <c r="G541" s="34">
        <f>IF(ISNUMBER(F541),E541*F541,"")</f>
        <v>14.527590000000002</v>
      </c>
      <c r="H541" s="35"/>
      <c r="I541" s="31"/>
      <c r="J541" s="155">
        <v>68.05</v>
      </c>
    </row>
    <row r="542" spans="1:10" x14ac:dyDescent="0.25">
      <c r="A542" s="176"/>
      <c r="B542" s="175"/>
      <c r="C542" s="36" t="s">
        <v>23</v>
      </c>
      <c r="D542" s="36" t="s">
        <v>12</v>
      </c>
      <c r="E542" s="37">
        <v>0.36</v>
      </c>
      <c r="F542" s="31">
        <v>16.311500000000002</v>
      </c>
      <c r="G542" s="34">
        <f>IF(ISNUMBER(F542),E542*F542,"")</f>
        <v>5.8721400000000008</v>
      </c>
      <c r="H542" s="35"/>
      <c r="I542" s="31"/>
      <c r="J542" s="155">
        <v>68.05</v>
      </c>
    </row>
    <row r="543" spans="1:10" ht="15.75" thickBot="1" x14ac:dyDescent="0.3">
      <c r="A543" s="177"/>
      <c r="B543" s="178"/>
      <c r="C543" s="36"/>
      <c r="D543" s="36"/>
      <c r="E543" s="37"/>
      <c r="F543" s="31" t="s">
        <v>568</v>
      </c>
      <c r="G543" s="31" t="str">
        <f>IF(ISNUMBER(F543),E543*F543,"")</f>
        <v/>
      </c>
      <c r="H543" s="35"/>
      <c r="I543" s="31"/>
      <c r="J543" s="155">
        <v>68.05</v>
      </c>
    </row>
    <row r="544" spans="1:10" ht="15.75" thickBot="1" x14ac:dyDescent="0.3">
      <c r="A544" s="172" t="s">
        <v>223</v>
      </c>
      <c r="B544" s="174" t="str">
        <f>INDEX(Orçamentária!A:B,MATCH(Composições!A544,Orçamentária!A:A,0),2)</f>
        <v>Contrapiso em argamassa</v>
      </c>
      <c r="C544" s="41"/>
      <c r="D544" s="26" t="str">
        <f>TRIM(INDEX(Orçamentária!C:C,MATCH(Composições!A544,Orçamentária!A:A,0),1))</f>
        <v>m2</v>
      </c>
      <c r="E544" s="27"/>
      <c r="F544" s="42" t="s">
        <v>568</v>
      </c>
      <c r="G544" s="28" t="str">
        <f>IF(ISNUMBER(F544),E544*F544,"")</f>
        <v/>
      </c>
      <c r="H544" s="29"/>
      <c r="I544" s="30"/>
      <c r="J544" s="155">
        <v>128.03</v>
      </c>
    </row>
    <row r="545" spans="1:10" x14ac:dyDescent="0.25">
      <c r="A545" s="176"/>
      <c r="B545" s="175"/>
      <c r="C545" s="32"/>
      <c r="D545" s="32"/>
      <c r="E545" s="33"/>
      <c r="F545" s="43" t="s">
        <v>568</v>
      </c>
      <c r="G545" s="31" t="str">
        <f>IF(ISNUMBER(F545),E545*F545,"")</f>
        <v/>
      </c>
      <c r="H545" s="35"/>
      <c r="I545" s="31"/>
      <c r="J545" s="155">
        <v>128.03</v>
      </c>
    </row>
    <row r="546" spans="1:10" ht="25.5" x14ac:dyDescent="0.25">
      <c r="A546" s="176"/>
      <c r="B546" s="175"/>
      <c r="C546" s="36" t="s">
        <v>224</v>
      </c>
      <c r="D546" s="36" t="s">
        <v>111</v>
      </c>
      <c r="E546" s="37">
        <v>5.2999999999999999E-2</v>
      </c>
      <c r="F546" s="34">
        <v>574.90620194499991</v>
      </c>
      <c r="G546" s="34">
        <f>IF(ISNUMBER(F546),E546*F546,"")</f>
        <v>30.470028703084996</v>
      </c>
      <c r="H546" s="39">
        <f>SUM(G546:G550)</f>
        <v>46.864036203084993</v>
      </c>
      <c r="I546" s="40"/>
      <c r="J546" s="155">
        <v>128.03</v>
      </c>
    </row>
    <row r="547" spans="1:10" x14ac:dyDescent="0.25">
      <c r="A547" s="176"/>
      <c r="B547" s="175"/>
      <c r="C547" s="36" t="s">
        <v>22</v>
      </c>
      <c r="D547" s="36" t="s">
        <v>12</v>
      </c>
      <c r="E547" s="37">
        <v>0.36</v>
      </c>
      <c r="F547" s="31">
        <v>22.087499999999999</v>
      </c>
      <c r="G547" s="34">
        <f>IF(ISNUMBER(F547),E547*F547,"")</f>
        <v>7.9514999999999993</v>
      </c>
      <c r="H547" s="35"/>
      <c r="I547" s="31"/>
      <c r="J547" s="155">
        <v>128.03</v>
      </c>
    </row>
    <row r="548" spans="1:10" x14ac:dyDescent="0.25">
      <c r="A548" s="176"/>
      <c r="B548" s="175"/>
      <c r="C548" s="36" t="s">
        <v>23</v>
      </c>
      <c r="D548" s="36" t="s">
        <v>12</v>
      </c>
      <c r="E548" s="37">
        <v>0.18</v>
      </c>
      <c r="F548" s="31">
        <v>16.311500000000002</v>
      </c>
      <c r="G548" s="34">
        <f>IF(ISNUMBER(F548),E548*F548,"")</f>
        <v>2.9360700000000004</v>
      </c>
      <c r="H548" s="35"/>
      <c r="I548" s="31"/>
      <c r="J548" s="155">
        <v>128.03</v>
      </c>
    </row>
    <row r="549" spans="1:10" x14ac:dyDescent="0.25">
      <c r="A549" s="176"/>
      <c r="B549" s="175"/>
      <c r="C549" s="36" t="s">
        <v>117</v>
      </c>
      <c r="D549" s="47" t="s">
        <v>42</v>
      </c>
      <c r="E549" s="37">
        <v>0.5</v>
      </c>
      <c r="F549" s="34">
        <v>0.47499999999999998</v>
      </c>
      <c r="G549" s="34">
        <f>IF(ISNUMBER(F549),E549*F549,"")</f>
        <v>0.23749999999999999</v>
      </c>
      <c r="H549" s="35"/>
      <c r="I549" s="31"/>
      <c r="J549" s="155">
        <v>128.03</v>
      </c>
    </row>
    <row r="550" spans="1:10" x14ac:dyDescent="0.25">
      <c r="A550" s="176"/>
      <c r="B550" s="175"/>
      <c r="C550" s="36" t="s">
        <v>225</v>
      </c>
      <c r="D550" s="50" t="s">
        <v>104</v>
      </c>
      <c r="E550" s="37">
        <v>0.435</v>
      </c>
      <c r="F550" s="34">
        <v>12.112499999999999</v>
      </c>
      <c r="G550" s="34">
        <f>IF(ISNUMBER(F550),E550*F550,"")</f>
        <v>5.2689374999999998</v>
      </c>
      <c r="H550" s="35"/>
      <c r="I550" s="31"/>
      <c r="J550" s="155">
        <v>128.03</v>
      </c>
    </row>
    <row r="551" spans="1:10" ht="15.75" thickBot="1" x14ac:dyDescent="0.3">
      <c r="A551" s="177"/>
      <c r="B551" s="178"/>
      <c r="C551" s="36"/>
      <c r="D551" s="36"/>
      <c r="E551" s="37"/>
      <c r="F551" s="31" t="s">
        <v>568</v>
      </c>
      <c r="G551" s="31" t="str">
        <f>IF(ISNUMBER(F551),E551*F551,"")</f>
        <v/>
      </c>
      <c r="H551" s="35"/>
      <c r="I551" s="31"/>
      <c r="J551" s="155">
        <v>128.03</v>
      </c>
    </row>
    <row r="552" spans="1:10" ht="15.75" thickBot="1" x14ac:dyDescent="0.3">
      <c r="A552" s="172" t="s">
        <v>226</v>
      </c>
      <c r="B552" s="174" t="str">
        <f>INDEX(Orçamentária!A:B,MATCH(Composições!A552,Orçamentária!A:A,0),2)</f>
        <v>Contrapiso em argamassa (e=2cm) ou Regularização de contrapiso existente</v>
      </c>
      <c r="C552" s="41"/>
      <c r="D552" s="26" t="str">
        <f>TRIM(INDEX(Orçamentária!C:C,MATCH(Composições!A552,Orçamentária!A:A,0),1))</f>
        <v>m2</v>
      </c>
      <c r="E552" s="27"/>
      <c r="F552" s="42" t="s">
        <v>568</v>
      </c>
      <c r="G552" s="28" t="str">
        <f>IF(ISNUMBER(F552),E552*F552,"")</f>
        <v/>
      </c>
      <c r="H552" s="29"/>
      <c r="I552" s="30"/>
      <c r="J552" s="155">
        <v>158.6</v>
      </c>
    </row>
    <row r="553" spans="1:10" x14ac:dyDescent="0.25">
      <c r="A553" s="176"/>
      <c r="B553" s="175"/>
      <c r="C553" s="32"/>
      <c r="D553" s="32"/>
      <c r="E553" s="33"/>
      <c r="F553" s="43" t="s">
        <v>568</v>
      </c>
      <c r="G553" s="31" t="str">
        <f>IF(ISNUMBER(F553),E553*F553,"")</f>
        <v/>
      </c>
      <c r="H553" s="35"/>
      <c r="I553" s="31"/>
      <c r="J553" s="155">
        <v>158.6</v>
      </c>
    </row>
    <row r="554" spans="1:10" x14ac:dyDescent="0.25">
      <c r="A554" s="176"/>
      <c r="B554" s="175"/>
      <c r="C554" s="36" t="s">
        <v>117</v>
      </c>
      <c r="D554" s="36" t="s">
        <v>42</v>
      </c>
      <c r="E554" s="37">
        <v>0.5</v>
      </c>
      <c r="F554" s="34">
        <v>0.47499999999999998</v>
      </c>
      <c r="G554" s="34">
        <f>IF(ISNUMBER(F554),E554*F554,"")</f>
        <v>0.23749999999999999</v>
      </c>
      <c r="H554" s="39">
        <f>SUM(G554:G558)</f>
        <v>32.099072260294996</v>
      </c>
      <c r="I554" s="40"/>
      <c r="J554" s="155">
        <v>158.6</v>
      </c>
    </row>
    <row r="555" spans="1:10" x14ac:dyDescent="0.25">
      <c r="A555" s="176"/>
      <c r="B555" s="175"/>
      <c r="C555" s="36" t="s">
        <v>225</v>
      </c>
      <c r="D555" s="50" t="s">
        <v>104</v>
      </c>
      <c r="E555" s="37">
        <v>0.435</v>
      </c>
      <c r="F555" s="34">
        <v>12.112499999999999</v>
      </c>
      <c r="G555" s="34">
        <f>IF(ISNUMBER(F555),E555*F555,"")</f>
        <v>5.2689374999999998</v>
      </c>
      <c r="H555" s="35"/>
      <c r="I555" s="31"/>
      <c r="J555" s="155">
        <v>158.6</v>
      </c>
    </row>
    <row r="556" spans="1:10" ht="25.5" x14ac:dyDescent="0.25">
      <c r="A556" s="176"/>
      <c r="B556" s="175"/>
      <c r="C556" s="36" t="s">
        <v>224</v>
      </c>
      <c r="D556" s="36" t="s">
        <v>111</v>
      </c>
      <c r="E556" s="37">
        <v>3.1E-2</v>
      </c>
      <c r="F556" s="34">
        <v>574.90620194499991</v>
      </c>
      <c r="G556" s="34">
        <f>IF(ISNUMBER(F556),E556*F556,"")</f>
        <v>17.822092260294998</v>
      </c>
      <c r="H556" s="35"/>
      <c r="I556" s="31"/>
      <c r="J556" s="155">
        <v>158.6</v>
      </c>
    </row>
    <row r="557" spans="1:10" x14ac:dyDescent="0.25">
      <c r="A557" s="176"/>
      <c r="B557" s="175"/>
      <c r="C557" s="36" t="s">
        <v>22</v>
      </c>
      <c r="D557" s="47" t="s">
        <v>12</v>
      </c>
      <c r="E557" s="37">
        <v>0.28999999999999998</v>
      </c>
      <c r="F557" s="31">
        <v>22.087499999999999</v>
      </c>
      <c r="G557" s="34">
        <f>IF(ISNUMBER(F557),E557*F557,"")</f>
        <v>6.4053749999999994</v>
      </c>
      <c r="H557" s="35"/>
      <c r="I557" s="31"/>
      <c r="J557" s="155">
        <v>158.6</v>
      </c>
    </row>
    <row r="558" spans="1:10" x14ac:dyDescent="0.25">
      <c r="A558" s="176"/>
      <c r="B558" s="175"/>
      <c r="C558" s="36" t="s">
        <v>23</v>
      </c>
      <c r="D558" s="47" t="s">
        <v>12</v>
      </c>
      <c r="E558" s="37">
        <v>0.14499999999999999</v>
      </c>
      <c r="F558" s="31">
        <v>16.311500000000002</v>
      </c>
      <c r="G558" s="34">
        <f>IF(ISNUMBER(F558),E558*F558,"")</f>
        <v>2.3651675000000001</v>
      </c>
      <c r="H558" s="35"/>
      <c r="I558" s="31"/>
      <c r="J558" s="155">
        <v>158.6</v>
      </c>
    </row>
    <row r="559" spans="1:10" ht="15.75" thickBot="1" x14ac:dyDescent="0.3">
      <c r="A559" s="177"/>
      <c r="B559" s="178"/>
      <c r="C559" s="36"/>
      <c r="D559" s="36"/>
      <c r="E559" s="37"/>
      <c r="F559" s="31" t="s">
        <v>568</v>
      </c>
      <c r="G559" s="31" t="str">
        <f>IF(ISNUMBER(F559),E559*F559,"")</f>
        <v/>
      </c>
      <c r="H559" s="35"/>
      <c r="I559" s="31"/>
      <c r="J559" s="155">
        <v>158.6</v>
      </c>
    </row>
    <row r="560" spans="1:10" ht="15.75" thickBot="1" x14ac:dyDescent="0.3">
      <c r="A560" s="172" t="s">
        <v>227</v>
      </c>
      <c r="B560" s="174" t="str">
        <f>INDEX(Orçamentária!A:B,MATCH(Composições!A560,Orçamentária!A:A,0),2)</f>
        <v>Granito cinza andorinha para piso</v>
      </c>
      <c r="C560" s="41"/>
      <c r="D560" s="26" t="str">
        <f>TRIM(INDEX(Orçamentária!C:C,MATCH(Composições!A560,Orçamentária!A:A,0),1))</f>
        <v>m2</v>
      </c>
      <c r="E560" s="27"/>
      <c r="F560" s="42" t="s">
        <v>568</v>
      </c>
      <c r="G560" s="28" t="str">
        <f>IF(ISNUMBER(F560),E560*F560,"")</f>
        <v/>
      </c>
      <c r="H560" s="29"/>
      <c r="I560" s="30"/>
      <c r="J560" s="155">
        <v>54.67</v>
      </c>
    </row>
    <row r="561" spans="1:10" x14ac:dyDescent="0.25">
      <c r="A561" s="176"/>
      <c r="B561" s="175"/>
      <c r="C561" s="32"/>
      <c r="D561" s="32"/>
      <c r="E561" s="33"/>
      <c r="F561" s="43" t="s">
        <v>568</v>
      </c>
      <c r="G561" s="31" t="str">
        <f>IF(ISNUMBER(F561),E561*F561,"")</f>
        <v/>
      </c>
      <c r="H561" s="35"/>
      <c r="I561" s="31"/>
      <c r="J561" s="155">
        <v>54.67</v>
      </c>
    </row>
    <row r="562" spans="1:10" x14ac:dyDescent="0.25">
      <c r="A562" s="176"/>
      <c r="B562" s="175"/>
      <c r="C562" s="36" t="s">
        <v>3613</v>
      </c>
      <c r="D562" s="36" t="s">
        <v>42</v>
      </c>
      <c r="E562" s="37">
        <v>8.6199999999999992</v>
      </c>
      <c r="F562" s="34">
        <v>1.3109999999999999</v>
      </c>
      <c r="G562" s="34">
        <f>IF(ISNUMBER(F562),E562*F562,"")</f>
        <v>11.300819999999998</v>
      </c>
      <c r="H562" s="39">
        <f>SUM(G562:G566)</f>
        <v>272.32452499999999</v>
      </c>
      <c r="I562" s="40"/>
      <c r="J562" s="155">
        <v>54.67</v>
      </c>
    </row>
    <row r="563" spans="1:10" x14ac:dyDescent="0.25">
      <c r="A563" s="176"/>
      <c r="B563" s="175"/>
      <c r="C563" s="36" t="s">
        <v>54</v>
      </c>
      <c r="D563" s="36" t="s">
        <v>12</v>
      </c>
      <c r="E563" s="37">
        <v>1.1879999999999999</v>
      </c>
      <c r="F563" s="31">
        <v>18.420500000000001</v>
      </c>
      <c r="G563" s="34">
        <f>IF(ISNUMBER(F563),E563*F563,"")</f>
        <v>21.883554</v>
      </c>
      <c r="H563" s="35"/>
      <c r="I563" s="31"/>
      <c r="J563" s="155">
        <v>54.67</v>
      </c>
    </row>
    <row r="564" spans="1:10" x14ac:dyDescent="0.25">
      <c r="A564" s="176"/>
      <c r="B564" s="175"/>
      <c r="C564" s="36" t="s">
        <v>23</v>
      </c>
      <c r="D564" s="36" t="s">
        <v>12</v>
      </c>
      <c r="E564" s="37">
        <v>0.59399999999999997</v>
      </c>
      <c r="F564" s="31">
        <v>16.311500000000002</v>
      </c>
      <c r="G564" s="34">
        <f>IF(ISNUMBER(F564),E564*F564,"")</f>
        <v>9.6890310000000017</v>
      </c>
      <c r="H564" s="35"/>
      <c r="I564" s="31"/>
      <c r="J564" s="155">
        <v>54.67</v>
      </c>
    </row>
    <row r="565" spans="1:10" x14ac:dyDescent="0.25">
      <c r="A565" s="176"/>
      <c r="B565" s="175"/>
      <c r="C565" s="36" t="s">
        <v>3612</v>
      </c>
      <c r="D565" s="36" t="s">
        <v>42</v>
      </c>
      <c r="E565" s="37">
        <v>0.14000000000000001</v>
      </c>
      <c r="F565" s="34">
        <v>2.508</v>
      </c>
      <c r="G565" s="34">
        <f>IF(ISNUMBER(F565),E565*F565,"")</f>
        <v>0.35112000000000004</v>
      </c>
      <c r="H565" s="35"/>
      <c r="I565" s="31"/>
      <c r="J565" s="155">
        <v>54.67</v>
      </c>
    </row>
    <row r="566" spans="1:10" x14ac:dyDescent="0.25">
      <c r="A566" s="176"/>
      <c r="B566" s="175"/>
      <c r="C566" s="36" t="s">
        <v>228</v>
      </c>
      <c r="D566" s="36" t="s">
        <v>95</v>
      </c>
      <c r="E566" s="37">
        <v>1.1599999999999999</v>
      </c>
      <c r="F566" s="34">
        <v>197.5</v>
      </c>
      <c r="G566" s="54">
        <f>IF(ISNUMBER(F566),E566*F566,"")</f>
        <v>229.1</v>
      </c>
      <c r="H566" s="35"/>
      <c r="I566" s="31"/>
      <c r="J566" s="155">
        <v>54.67</v>
      </c>
    </row>
    <row r="567" spans="1:10" ht="15.75" thickBot="1" x14ac:dyDescent="0.3">
      <c r="A567" s="177"/>
      <c r="B567" s="178"/>
      <c r="C567" s="36"/>
      <c r="D567" s="36"/>
      <c r="E567" s="37"/>
      <c r="F567" s="31" t="s">
        <v>568</v>
      </c>
      <c r="G567" s="31" t="str">
        <f>IF(ISNUMBER(F567),E567*F567,"")</f>
        <v/>
      </c>
      <c r="H567" s="35"/>
      <c r="I567" s="31"/>
      <c r="J567" s="155">
        <v>54.67</v>
      </c>
    </row>
    <row r="568" spans="1:10" ht="15.75" thickBot="1" x14ac:dyDescent="0.3">
      <c r="A568" s="172" t="s">
        <v>229</v>
      </c>
      <c r="B568" s="174" t="str">
        <f>INDEX(Orçamentária!A:B,MATCH(Composições!A568,Orçamentária!A:A,0),2)</f>
        <v>Granito Cinza Andorinha para rodapé</v>
      </c>
      <c r="C568" s="41"/>
      <c r="D568" s="26" t="str">
        <f>TRIM(INDEX(Orçamentária!C:C,MATCH(Composições!A568,Orçamentária!A:A,0),1))</f>
        <v>m2</v>
      </c>
      <c r="E568" s="27"/>
      <c r="F568" s="42" t="s">
        <v>568</v>
      </c>
      <c r="G568" s="28" t="str">
        <f>IF(ISNUMBER(F568),E568*F568,"")</f>
        <v/>
      </c>
      <c r="H568" s="29"/>
      <c r="I568" s="30"/>
      <c r="J568" s="155">
        <v>2.7</v>
      </c>
    </row>
    <row r="569" spans="1:10" x14ac:dyDescent="0.25">
      <c r="A569" s="176"/>
      <c r="B569" s="175"/>
      <c r="C569" s="32"/>
      <c r="D569" s="32"/>
      <c r="E569" s="33"/>
      <c r="F569" s="43" t="s">
        <v>568</v>
      </c>
      <c r="G569" s="31" t="str">
        <f>IF(ISNUMBER(F569),E569*F569,"")</f>
        <v/>
      </c>
      <c r="H569" s="35"/>
      <c r="I569" s="31"/>
      <c r="J569" s="155">
        <v>2.7</v>
      </c>
    </row>
    <row r="570" spans="1:10" ht="25.5" x14ac:dyDescent="0.25">
      <c r="A570" s="176"/>
      <c r="B570" s="175"/>
      <c r="C570" s="36" t="s">
        <v>230</v>
      </c>
      <c r="D570" s="36" t="s">
        <v>93</v>
      </c>
      <c r="E570" s="37">
        <f>ROUND(1.04/0.07,4)</f>
        <v>14.857100000000001</v>
      </c>
      <c r="F570" s="34">
        <v>45</v>
      </c>
      <c r="G570" s="34">
        <f>IF(ISNUMBER(F570),E570*F570,"")</f>
        <v>668.56950000000006</v>
      </c>
      <c r="H570" s="39">
        <f>SUM(G570:G574)</f>
        <v>762.41659900000013</v>
      </c>
      <c r="I570" s="40"/>
      <c r="J570" s="155">
        <v>2.7</v>
      </c>
    </row>
    <row r="571" spans="1:10" x14ac:dyDescent="0.25">
      <c r="A571" s="176"/>
      <c r="B571" s="175"/>
      <c r="C571" s="36" t="s">
        <v>3613</v>
      </c>
      <c r="D571" s="36" t="s">
        <v>42</v>
      </c>
      <c r="E571" s="37">
        <f>ROUND(0.8614/0.1,4)</f>
        <v>8.6140000000000008</v>
      </c>
      <c r="F571" s="34">
        <v>1.3109999999999999</v>
      </c>
      <c r="G571" s="34">
        <f>IF(ISNUMBER(F571),E571*F571,"")</f>
        <v>11.292954</v>
      </c>
      <c r="H571" s="45"/>
      <c r="I571" s="46"/>
      <c r="J571" s="155">
        <v>2.7</v>
      </c>
    </row>
    <row r="572" spans="1:10" x14ac:dyDescent="0.25">
      <c r="A572" s="176"/>
      <c r="B572" s="175"/>
      <c r="C572" s="36" t="s">
        <v>54</v>
      </c>
      <c r="D572" s="36" t="s">
        <v>12</v>
      </c>
      <c r="E572" s="37">
        <f>0.299/0.1</f>
        <v>2.9899999999999998</v>
      </c>
      <c r="F572" s="31">
        <v>18.420500000000001</v>
      </c>
      <c r="G572" s="34">
        <f>IF(ISNUMBER(F572),E572*F572,"")</f>
        <v>55.077294999999999</v>
      </c>
      <c r="H572" s="35"/>
      <c r="I572" s="31"/>
      <c r="J572" s="155">
        <v>2.7</v>
      </c>
    </row>
    <row r="573" spans="1:10" x14ac:dyDescent="0.25">
      <c r="A573" s="176"/>
      <c r="B573" s="175"/>
      <c r="C573" s="36" t="s">
        <v>23</v>
      </c>
      <c r="D573" s="36" t="s">
        <v>12</v>
      </c>
      <c r="E573" s="37">
        <f>0.15/0.1</f>
        <v>1.4999999999999998</v>
      </c>
      <c r="F573" s="31">
        <v>16.311500000000002</v>
      </c>
      <c r="G573" s="34">
        <f>IF(ISNUMBER(F573),E573*F573,"")</f>
        <v>24.46725</v>
      </c>
      <c r="H573" s="35"/>
      <c r="I573" s="31"/>
      <c r="J573" s="155">
        <v>2.7</v>
      </c>
    </row>
    <row r="574" spans="1:10" x14ac:dyDescent="0.25">
      <c r="A574" s="176"/>
      <c r="B574" s="175"/>
      <c r="C574" s="36" t="s">
        <v>3612</v>
      </c>
      <c r="D574" s="36" t="s">
        <v>42</v>
      </c>
      <c r="E574" s="37">
        <f>0.12/0.1</f>
        <v>1.2</v>
      </c>
      <c r="F574" s="34">
        <v>2.508</v>
      </c>
      <c r="G574" s="34">
        <f>IF(ISNUMBER(F574),E574*F574,"")</f>
        <v>3.0095999999999998</v>
      </c>
      <c r="H574" s="35"/>
      <c r="I574" s="31"/>
      <c r="J574" s="155">
        <v>2.7</v>
      </c>
    </row>
    <row r="575" spans="1:10" x14ac:dyDescent="0.25">
      <c r="A575" s="176"/>
      <c r="B575" s="175"/>
      <c r="C575" s="36"/>
      <c r="D575" s="36"/>
      <c r="E575" s="37"/>
      <c r="F575" s="34" t="s">
        <v>568</v>
      </c>
      <c r="G575" s="34" t="str">
        <f>IF(ISNUMBER(F575),E575*F575,"")</f>
        <v/>
      </c>
      <c r="H575" s="35"/>
      <c r="I575" s="31"/>
      <c r="J575" s="155">
        <v>2.7</v>
      </c>
    </row>
    <row r="576" spans="1:10" ht="25.5" x14ac:dyDescent="0.25">
      <c r="A576" s="176"/>
      <c r="B576" s="175"/>
      <c r="C576" s="48" t="s">
        <v>231</v>
      </c>
      <c r="D576" s="36"/>
      <c r="E576" s="37"/>
      <c r="F576" s="34" t="s">
        <v>568</v>
      </c>
      <c r="G576" s="34" t="str">
        <f>IF(ISNUMBER(F576),E576*F576,"")</f>
        <v/>
      </c>
      <c r="H576" s="35"/>
      <c r="I576" s="31"/>
      <c r="J576" s="155">
        <v>2.7</v>
      </c>
    </row>
    <row r="577" spans="1:10" ht="15.75" thickBot="1" x14ac:dyDescent="0.3">
      <c r="A577" s="177"/>
      <c r="B577" s="178"/>
      <c r="C577" s="36"/>
      <c r="D577" s="36"/>
      <c r="E577" s="37"/>
      <c r="F577" s="31" t="s">
        <v>568</v>
      </c>
      <c r="G577" s="31" t="str">
        <f>IF(ISNUMBER(F577),E577*F577,"")</f>
        <v/>
      </c>
      <c r="H577" s="35"/>
      <c r="I577" s="31"/>
      <c r="J577" s="155">
        <v>2.7</v>
      </c>
    </row>
    <row r="578" spans="1:10" ht="15.75" thickBot="1" x14ac:dyDescent="0.3">
      <c r="A578" s="172" t="s">
        <v>232</v>
      </c>
      <c r="B578" s="174" t="str">
        <f>INDEX(Orçamentária!A:B,MATCH(Composições!A578,Orçamentária!A:A,0),2)</f>
        <v>Granito Cinza Andorinha para soleira e peitoril</v>
      </c>
      <c r="C578" s="41"/>
      <c r="D578" s="26" t="str">
        <f>TRIM(INDEX(Orçamentária!C:C,MATCH(Composições!A578,Orçamentária!A:A,0),1))</f>
        <v>m2</v>
      </c>
      <c r="E578" s="27"/>
      <c r="F578" s="42" t="s">
        <v>568</v>
      </c>
      <c r="G578" s="28" t="str">
        <f>IF(ISNUMBER(F578),E578*F578,"")</f>
        <v/>
      </c>
      <c r="H578" s="29"/>
      <c r="I578" s="30"/>
      <c r="J578" s="155">
        <v>0.97</v>
      </c>
    </row>
    <row r="579" spans="1:10" x14ac:dyDescent="0.25">
      <c r="A579" s="176"/>
      <c r="B579" s="175"/>
      <c r="C579" s="32"/>
      <c r="D579" s="32"/>
      <c r="E579" s="33"/>
      <c r="F579" s="43" t="s">
        <v>568</v>
      </c>
      <c r="G579" s="31" t="str">
        <f>IF(ISNUMBER(F579),E579*F579,"")</f>
        <v/>
      </c>
      <c r="H579" s="35"/>
      <c r="I579" s="31"/>
      <c r="J579" s="155">
        <v>0.97</v>
      </c>
    </row>
    <row r="580" spans="1:10" ht="25.5" x14ac:dyDescent="0.25">
      <c r="A580" s="176"/>
      <c r="B580" s="175"/>
      <c r="C580" s="36" t="s">
        <v>233</v>
      </c>
      <c r="D580" s="36" t="s">
        <v>93</v>
      </c>
      <c r="E580" s="37">
        <f>ROUND(1/0.15,4)</f>
        <v>6.6666999999999996</v>
      </c>
      <c r="F580" s="34">
        <v>60</v>
      </c>
      <c r="G580" s="34">
        <f>IF(ISNUMBER(F580),E580*F580,"")</f>
        <v>400.00199999999995</v>
      </c>
      <c r="H580" s="39">
        <f>SUM(G580:G583)</f>
        <v>508.13756734999998</v>
      </c>
      <c r="I580" s="40"/>
      <c r="J580" s="155">
        <v>0.97</v>
      </c>
    </row>
    <row r="581" spans="1:10" x14ac:dyDescent="0.25">
      <c r="A581" s="176"/>
      <c r="B581" s="175"/>
      <c r="C581" s="36" t="s">
        <v>3613</v>
      </c>
      <c r="D581" s="36" t="s">
        <v>42</v>
      </c>
      <c r="E581" s="37">
        <f>1.29/0.15</f>
        <v>8.6000000000000014</v>
      </c>
      <c r="F581" s="34">
        <v>1.3109999999999999</v>
      </c>
      <c r="G581" s="34">
        <f>IF(ISNUMBER(F581),E581*F581,"")</f>
        <v>11.274600000000001</v>
      </c>
      <c r="H581" s="35"/>
      <c r="I581" s="31"/>
      <c r="J581" s="155">
        <v>0.97</v>
      </c>
    </row>
    <row r="582" spans="1:10" x14ac:dyDescent="0.25">
      <c r="A582" s="176"/>
      <c r="B582" s="175"/>
      <c r="C582" s="36" t="s">
        <v>54</v>
      </c>
      <c r="D582" s="36" t="s">
        <v>12</v>
      </c>
      <c r="E582" s="37">
        <f>ROUND(0.547/0.15,4)</f>
        <v>3.6467000000000001</v>
      </c>
      <c r="F582" s="31">
        <v>18.420500000000001</v>
      </c>
      <c r="G582" s="34">
        <f>IF(ISNUMBER(F582),E582*F582,"")</f>
        <v>67.174037350000006</v>
      </c>
      <c r="H582" s="35"/>
      <c r="I582" s="31"/>
      <c r="J582" s="155">
        <v>0.97</v>
      </c>
    </row>
    <row r="583" spans="1:10" x14ac:dyDescent="0.25">
      <c r="A583" s="176"/>
      <c r="B583" s="175"/>
      <c r="C583" s="36" t="s">
        <v>23</v>
      </c>
      <c r="D583" s="36" t="s">
        <v>12</v>
      </c>
      <c r="E583" s="37">
        <f>ROUND(0.273/0.15,4)</f>
        <v>1.82</v>
      </c>
      <c r="F583" s="31">
        <v>16.311500000000002</v>
      </c>
      <c r="G583" s="34">
        <f>IF(ISNUMBER(F583),E583*F583,"")</f>
        <v>29.686930000000004</v>
      </c>
      <c r="H583" s="35"/>
      <c r="I583" s="31"/>
      <c r="J583" s="155">
        <v>0.97</v>
      </c>
    </row>
    <row r="584" spans="1:10" x14ac:dyDescent="0.25">
      <c r="A584" s="176"/>
      <c r="B584" s="175"/>
      <c r="C584" s="36"/>
      <c r="D584" s="36"/>
      <c r="E584" s="37"/>
      <c r="F584" s="31" t="s">
        <v>568</v>
      </c>
      <c r="G584" s="34" t="str">
        <f>IF(ISNUMBER(F584),E584*F584,"")</f>
        <v/>
      </c>
      <c r="H584" s="35"/>
      <c r="I584" s="31"/>
      <c r="J584" s="155">
        <v>0.97</v>
      </c>
    </row>
    <row r="585" spans="1:10" ht="25.5" x14ac:dyDescent="0.25">
      <c r="A585" s="176"/>
      <c r="B585" s="175"/>
      <c r="C585" s="48" t="s">
        <v>234</v>
      </c>
      <c r="D585" s="36"/>
      <c r="E585" s="37"/>
      <c r="F585" s="31" t="s">
        <v>568</v>
      </c>
      <c r="G585" s="34" t="str">
        <f>IF(ISNUMBER(F585),E585*F585,"")</f>
        <v/>
      </c>
      <c r="H585" s="35"/>
      <c r="I585" s="31"/>
      <c r="J585" s="155">
        <v>0.97</v>
      </c>
    </row>
    <row r="586" spans="1:10" ht="15.75" thickBot="1" x14ac:dyDescent="0.3">
      <c r="A586" s="177"/>
      <c r="B586" s="178"/>
      <c r="C586" s="36"/>
      <c r="D586" s="36"/>
      <c r="E586" s="37"/>
      <c r="F586" s="31" t="s">
        <v>568</v>
      </c>
      <c r="G586" s="31" t="str">
        <f>IF(ISNUMBER(F586),E586*F586,"")</f>
        <v/>
      </c>
      <c r="H586" s="35"/>
      <c r="I586" s="31"/>
      <c r="J586" s="155">
        <v>0.97</v>
      </c>
    </row>
    <row r="587" spans="1:10" ht="15.75" hidden="1" thickBot="1" x14ac:dyDescent="0.3">
      <c r="A587" s="172" t="s">
        <v>235</v>
      </c>
      <c r="B587" s="174" t="str">
        <f>INDEX(Orçamentária!A:B,MATCH(Composições!A587,Orçamentária!A:A,0),2)</f>
        <v>Granito Preto São Gabriel para piso</v>
      </c>
      <c r="C587" s="41"/>
      <c r="D587" s="26" t="str">
        <f>TRIM(INDEX(Orçamentária!C:C,MATCH(Composições!A587,Orçamentária!A:A,0),1))</f>
        <v>m2</v>
      </c>
      <c r="E587" s="27"/>
      <c r="F587" s="42" t="s">
        <v>568</v>
      </c>
      <c r="G587" s="28" t="str">
        <f>IF(ISNUMBER(F587),E587*F587,"")</f>
        <v/>
      </c>
      <c r="H587" s="29"/>
      <c r="I587" s="30"/>
      <c r="J587" s="155">
        <v>0</v>
      </c>
    </row>
    <row r="588" spans="1:10" ht="15.75" hidden="1" thickBot="1" x14ac:dyDescent="0.3">
      <c r="A588" s="176"/>
      <c r="B588" s="175"/>
      <c r="C588" s="32"/>
      <c r="D588" s="32"/>
      <c r="E588" s="33"/>
      <c r="F588" s="43" t="s">
        <v>568</v>
      </c>
      <c r="G588" s="31" t="str">
        <f>IF(ISNUMBER(F588),E588*F588,"")</f>
        <v/>
      </c>
      <c r="H588" s="35"/>
      <c r="I588" s="31"/>
      <c r="J588" s="155">
        <v>0</v>
      </c>
    </row>
    <row r="589" spans="1:10" ht="15.75" hidden="1" thickBot="1" x14ac:dyDescent="0.3">
      <c r="A589" s="176"/>
      <c r="B589" s="175"/>
      <c r="C589" s="36" t="s">
        <v>3613</v>
      </c>
      <c r="D589" s="36" t="s">
        <v>42</v>
      </c>
      <c r="E589" s="37">
        <v>8.6199999999999992</v>
      </c>
      <c r="F589" s="34">
        <v>1.3109999999999999</v>
      </c>
      <c r="G589" s="34">
        <f>IF(ISNUMBER(F589),E589*F589,"")</f>
        <v>11.300819999999998</v>
      </c>
      <c r="H589" s="39">
        <f>SUM(G589:G593)</f>
        <v>43.224525</v>
      </c>
      <c r="I589" s="40"/>
      <c r="J589" s="155">
        <v>0</v>
      </c>
    </row>
    <row r="590" spans="1:10" ht="15.75" hidden="1" thickBot="1" x14ac:dyDescent="0.3">
      <c r="A590" s="176"/>
      <c r="B590" s="175"/>
      <c r="C590" s="36" t="s">
        <v>54</v>
      </c>
      <c r="D590" s="36" t="s">
        <v>12</v>
      </c>
      <c r="E590" s="37">
        <v>1.1879999999999999</v>
      </c>
      <c r="F590" s="31">
        <v>18.420500000000001</v>
      </c>
      <c r="G590" s="34">
        <f>IF(ISNUMBER(F590),E590*F590,"")</f>
        <v>21.883554</v>
      </c>
      <c r="H590" s="35"/>
      <c r="I590" s="31"/>
      <c r="J590" s="155">
        <v>0</v>
      </c>
    </row>
    <row r="591" spans="1:10" ht="15.75" hidden="1" thickBot="1" x14ac:dyDescent="0.3">
      <c r="A591" s="176"/>
      <c r="B591" s="175"/>
      <c r="C591" s="36" t="s">
        <v>23</v>
      </c>
      <c r="D591" s="36" t="s">
        <v>12</v>
      </c>
      <c r="E591" s="37">
        <v>0.59399999999999997</v>
      </c>
      <c r="F591" s="31">
        <v>16.311500000000002</v>
      </c>
      <c r="G591" s="34">
        <f>IF(ISNUMBER(F591),E591*F591,"")</f>
        <v>9.6890310000000017</v>
      </c>
      <c r="H591" s="35"/>
      <c r="I591" s="31"/>
      <c r="J591" s="155">
        <v>0</v>
      </c>
    </row>
    <row r="592" spans="1:10" ht="15.75" hidden="1" thickBot="1" x14ac:dyDescent="0.3">
      <c r="A592" s="176"/>
      <c r="B592" s="175"/>
      <c r="C592" s="36" t="s">
        <v>3612</v>
      </c>
      <c r="D592" s="36" t="s">
        <v>42</v>
      </c>
      <c r="E592" s="37">
        <v>0.14000000000000001</v>
      </c>
      <c r="F592" s="34">
        <v>2.508</v>
      </c>
      <c r="G592" s="34">
        <f>IF(ISNUMBER(F592),E592*F592,"")</f>
        <v>0.35112000000000004</v>
      </c>
      <c r="H592" s="35"/>
      <c r="I592" s="31"/>
      <c r="J592" s="155">
        <v>0</v>
      </c>
    </row>
    <row r="593" spans="1:10" ht="15.75" hidden="1" thickBot="1" x14ac:dyDescent="0.3">
      <c r="A593" s="176"/>
      <c r="B593" s="175"/>
      <c r="C593" s="36" t="s">
        <v>236</v>
      </c>
      <c r="D593" s="36" t="s">
        <v>95</v>
      </c>
      <c r="E593" s="37">
        <v>1.1599999999999999</v>
      </c>
      <c r="F593" s="34" t="s">
        <v>568</v>
      </c>
      <c r="G593" s="54" t="str">
        <f>IF(ISNUMBER(F593),E593*F593,"")</f>
        <v/>
      </c>
      <c r="H593" s="35"/>
      <c r="I593" s="31"/>
      <c r="J593" s="155">
        <v>0</v>
      </c>
    </row>
    <row r="594" spans="1:10" ht="15.75" hidden="1" thickBot="1" x14ac:dyDescent="0.3">
      <c r="A594" s="177"/>
      <c r="B594" s="178"/>
      <c r="C594" s="36"/>
      <c r="D594" s="36"/>
      <c r="E594" s="37"/>
      <c r="F594" s="31" t="s">
        <v>568</v>
      </c>
      <c r="G594" s="31" t="str">
        <f>IF(ISNUMBER(F594),E594*F594,"")</f>
        <v/>
      </c>
      <c r="H594" s="35"/>
      <c r="I594" s="31"/>
      <c r="J594" s="155">
        <v>0</v>
      </c>
    </row>
    <row r="595" spans="1:10" ht="15.75" hidden="1" thickBot="1" x14ac:dyDescent="0.3">
      <c r="A595" s="172" t="s">
        <v>237</v>
      </c>
      <c r="B595" s="174" t="str">
        <f>INDEX(Orçamentária!A:B,MATCH(Composições!A595,Orçamentária!A:A,0),2)</f>
        <v>Granito Preto São Gabriel para rodapé</v>
      </c>
      <c r="C595" s="41"/>
      <c r="D595" s="26" t="str">
        <f>TRIM(INDEX(Orçamentária!C:C,MATCH(Composições!A595,Orçamentária!A:A,0),1))</f>
        <v>m2</v>
      </c>
      <c r="E595" s="27"/>
      <c r="F595" s="42" t="s">
        <v>568</v>
      </c>
      <c r="G595" s="28" t="str">
        <f>IF(ISNUMBER(F595),E595*F595,"")</f>
        <v/>
      </c>
      <c r="H595" s="29"/>
      <c r="I595" s="30"/>
      <c r="J595" s="155">
        <v>0</v>
      </c>
    </row>
    <row r="596" spans="1:10" ht="15.75" hidden="1" thickBot="1" x14ac:dyDescent="0.3">
      <c r="A596" s="176"/>
      <c r="B596" s="175"/>
      <c r="C596" s="32"/>
      <c r="D596" s="32"/>
      <c r="E596" s="33"/>
      <c r="F596" s="43" t="s">
        <v>568</v>
      </c>
      <c r="G596" s="31" t="str">
        <f>IF(ISNUMBER(F596),E596*F596,"")</f>
        <v/>
      </c>
      <c r="H596" s="35"/>
      <c r="I596" s="31"/>
      <c r="J596" s="155">
        <v>0</v>
      </c>
    </row>
    <row r="597" spans="1:10" ht="26.25" hidden="1" thickBot="1" x14ac:dyDescent="0.3">
      <c r="A597" s="176"/>
      <c r="B597" s="175"/>
      <c r="C597" s="36" t="s">
        <v>238</v>
      </c>
      <c r="D597" s="36" t="s">
        <v>93</v>
      </c>
      <c r="E597" s="37">
        <f>ROUND(1.04/0.07,2)</f>
        <v>14.86</v>
      </c>
      <c r="F597" s="34" t="s">
        <v>568</v>
      </c>
      <c r="G597" s="34" t="str">
        <f>IF(ISNUMBER(F597),E597*F597,"")</f>
        <v/>
      </c>
      <c r="H597" s="39">
        <f>SUM(G597:G601)</f>
        <v>93.847099000000014</v>
      </c>
      <c r="I597" s="40"/>
      <c r="J597" s="155">
        <v>0</v>
      </c>
    </row>
    <row r="598" spans="1:10" ht="15.75" hidden="1" thickBot="1" x14ac:dyDescent="0.3">
      <c r="A598" s="176"/>
      <c r="B598" s="175"/>
      <c r="C598" s="36" t="s">
        <v>3613</v>
      </c>
      <c r="D598" s="36" t="s">
        <v>42</v>
      </c>
      <c r="E598" s="37">
        <f>ROUND(0.8614/0.1,4)</f>
        <v>8.6140000000000008</v>
      </c>
      <c r="F598" s="34">
        <v>1.3109999999999999</v>
      </c>
      <c r="G598" s="34">
        <f>IF(ISNUMBER(F598),E598*F598,"")</f>
        <v>11.292954</v>
      </c>
      <c r="H598" s="35"/>
      <c r="I598" s="31"/>
      <c r="J598" s="155">
        <v>0</v>
      </c>
    </row>
    <row r="599" spans="1:10" ht="15.75" hidden="1" thickBot="1" x14ac:dyDescent="0.3">
      <c r="A599" s="176"/>
      <c r="B599" s="175"/>
      <c r="C599" s="36" t="s">
        <v>54</v>
      </c>
      <c r="D599" s="36" t="s">
        <v>12</v>
      </c>
      <c r="E599" s="37">
        <f>0.299/0.1</f>
        <v>2.9899999999999998</v>
      </c>
      <c r="F599" s="31">
        <v>18.420500000000001</v>
      </c>
      <c r="G599" s="34">
        <f>IF(ISNUMBER(F599),E599*F599,"")</f>
        <v>55.077294999999999</v>
      </c>
      <c r="H599" s="35"/>
      <c r="I599" s="31"/>
      <c r="J599" s="155">
        <v>0</v>
      </c>
    </row>
    <row r="600" spans="1:10" ht="15.75" hidden="1" thickBot="1" x14ac:dyDescent="0.3">
      <c r="A600" s="176"/>
      <c r="B600" s="175"/>
      <c r="C600" s="36" t="s">
        <v>23</v>
      </c>
      <c r="D600" s="36" t="s">
        <v>12</v>
      </c>
      <c r="E600" s="37">
        <f>0.15/0.1</f>
        <v>1.4999999999999998</v>
      </c>
      <c r="F600" s="31">
        <v>16.311500000000002</v>
      </c>
      <c r="G600" s="34">
        <f>IF(ISNUMBER(F600),E600*F600,"")</f>
        <v>24.46725</v>
      </c>
      <c r="H600" s="35"/>
      <c r="I600" s="31"/>
      <c r="J600" s="155">
        <v>0</v>
      </c>
    </row>
    <row r="601" spans="1:10" ht="15.75" hidden="1" thickBot="1" x14ac:dyDescent="0.3">
      <c r="A601" s="176"/>
      <c r="B601" s="175"/>
      <c r="C601" s="36" t="s">
        <v>3612</v>
      </c>
      <c r="D601" s="36" t="s">
        <v>42</v>
      </c>
      <c r="E601" s="37">
        <f>0.12/0.1</f>
        <v>1.2</v>
      </c>
      <c r="F601" s="34">
        <v>2.508</v>
      </c>
      <c r="G601" s="34">
        <f>IF(ISNUMBER(F601),E601*F601,"")</f>
        <v>3.0095999999999998</v>
      </c>
      <c r="H601" s="35"/>
      <c r="I601" s="31"/>
      <c r="J601" s="155">
        <v>0</v>
      </c>
    </row>
    <row r="602" spans="1:10" ht="15.75" hidden="1" thickBot="1" x14ac:dyDescent="0.3">
      <c r="A602" s="176"/>
      <c r="B602" s="175"/>
      <c r="C602" s="36"/>
      <c r="D602" s="36"/>
      <c r="E602" s="37"/>
      <c r="F602" s="34" t="s">
        <v>568</v>
      </c>
      <c r="G602" s="34" t="str">
        <f>IF(ISNUMBER(F602),E602*F602,"")</f>
        <v/>
      </c>
      <c r="H602" s="35"/>
      <c r="I602" s="31"/>
      <c r="J602" s="155">
        <v>0</v>
      </c>
    </row>
    <row r="603" spans="1:10" ht="26.25" hidden="1" thickBot="1" x14ac:dyDescent="0.3">
      <c r="A603" s="176"/>
      <c r="B603" s="175"/>
      <c r="C603" s="48" t="s">
        <v>231</v>
      </c>
      <c r="D603" s="36"/>
      <c r="E603" s="37"/>
      <c r="F603" s="34" t="s">
        <v>568</v>
      </c>
      <c r="G603" s="34" t="str">
        <f>IF(ISNUMBER(F603),E603*F603,"")</f>
        <v/>
      </c>
      <c r="H603" s="35"/>
      <c r="I603" s="31"/>
      <c r="J603" s="155">
        <v>0</v>
      </c>
    </row>
    <row r="604" spans="1:10" ht="15.75" hidden="1" thickBot="1" x14ac:dyDescent="0.3">
      <c r="A604" s="177"/>
      <c r="B604" s="178"/>
      <c r="C604" s="36"/>
      <c r="D604" s="36"/>
      <c r="E604" s="37"/>
      <c r="F604" s="31" t="s">
        <v>568</v>
      </c>
      <c r="G604" s="31" t="str">
        <f>IF(ISNUMBER(F604),E604*F604,"")</f>
        <v/>
      </c>
      <c r="H604" s="35"/>
      <c r="I604" s="31"/>
      <c r="J604" s="155">
        <v>0</v>
      </c>
    </row>
    <row r="605" spans="1:10" ht="15.75" hidden="1" thickBot="1" x14ac:dyDescent="0.3">
      <c r="A605" s="172" t="s">
        <v>239</v>
      </c>
      <c r="B605" s="174" t="str">
        <f>INDEX(Orçamentária!A:B,MATCH(Composições!A605,Orçamentária!A:A,0),2)</f>
        <v>Granito Preto São Gabriel para soleira e peitoril</v>
      </c>
      <c r="C605" s="41"/>
      <c r="D605" s="26" t="str">
        <f>TRIM(INDEX(Orçamentária!C:C,MATCH(Composições!A605,Orçamentária!A:A,0),1))</f>
        <v>m2</v>
      </c>
      <c r="E605" s="27"/>
      <c r="F605" s="42" t="s">
        <v>568</v>
      </c>
      <c r="G605" s="28" t="str">
        <f>IF(ISNUMBER(F605),E605*F605,"")</f>
        <v/>
      </c>
      <c r="H605" s="29"/>
      <c r="I605" s="30"/>
      <c r="J605" s="155">
        <v>0</v>
      </c>
    </row>
    <row r="606" spans="1:10" ht="15.75" hidden="1" thickBot="1" x14ac:dyDescent="0.3">
      <c r="A606" s="176"/>
      <c r="B606" s="175"/>
      <c r="C606" s="32"/>
      <c r="D606" s="32"/>
      <c r="E606" s="33"/>
      <c r="F606" s="43" t="s">
        <v>568</v>
      </c>
      <c r="G606" s="31" t="str">
        <f>IF(ISNUMBER(F606),E606*F606,"")</f>
        <v/>
      </c>
      <c r="H606" s="35"/>
      <c r="I606" s="31"/>
      <c r="J606" s="155">
        <v>0</v>
      </c>
    </row>
    <row r="607" spans="1:10" ht="26.25" hidden="1" thickBot="1" x14ac:dyDescent="0.3">
      <c r="A607" s="176"/>
      <c r="B607" s="175"/>
      <c r="C607" s="36" t="s">
        <v>240</v>
      </c>
      <c r="D607" s="36" t="s">
        <v>93</v>
      </c>
      <c r="E607" s="37">
        <f>ROUND(1/0.15,4)</f>
        <v>6.6666999999999996</v>
      </c>
      <c r="F607" s="34" t="s">
        <v>568</v>
      </c>
      <c r="G607" s="34" t="str">
        <f>IF(ISNUMBER(F607),E607*F607,"")</f>
        <v/>
      </c>
      <c r="H607" s="39">
        <f>SUM(G607:G610)</f>
        <v>108.13556735000002</v>
      </c>
      <c r="I607" s="40"/>
      <c r="J607" s="155">
        <v>0</v>
      </c>
    </row>
    <row r="608" spans="1:10" ht="15.75" hidden="1" thickBot="1" x14ac:dyDescent="0.3">
      <c r="A608" s="176"/>
      <c r="B608" s="175"/>
      <c r="C608" s="36" t="s">
        <v>3613</v>
      </c>
      <c r="D608" s="36" t="s">
        <v>42</v>
      </c>
      <c r="E608" s="37">
        <f>ROUND(1.29/0.15,4)</f>
        <v>8.6</v>
      </c>
      <c r="F608" s="34">
        <v>1.3109999999999999</v>
      </c>
      <c r="G608" s="34">
        <f>IF(ISNUMBER(F608),E608*F608,"")</f>
        <v>11.2746</v>
      </c>
      <c r="H608" s="35"/>
      <c r="I608" s="31"/>
      <c r="J608" s="155">
        <v>0</v>
      </c>
    </row>
    <row r="609" spans="1:10" ht="15.75" hidden="1" thickBot="1" x14ac:dyDescent="0.3">
      <c r="A609" s="176"/>
      <c r="B609" s="175"/>
      <c r="C609" s="36" t="s">
        <v>54</v>
      </c>
      <c r="D609" s="36" t="s">
        <v>12</v>
      </c>
      <c r="E609" s="37">
        <f>ROUND(0.547/0.15,4)</f>
        <v>3.6467000000000001</v>
      </c>
      <c r="F609" s="31">
        <v>18.420500000000001</v>
      </c>
      <c r="G609" s="34">
        <f>IF(ISNUMBER(F609),E609*F609,"")</f>
        <v>67.174037350000006</v>
      </c>
      <c r="H609" s="35"/>
      <c r="I609" s="31"/>
      <c r="J609" s="155">
        <v>0</v>
      </c>
    </row>
    <row r="610" spans="1:10" ht="15.75" hidden="1" thickBot="1" x14ac:dyDescent="0.3">
      <c r="A610" s="176"/>
      <c r="B610" s="175"/>
      <c r="C610" s="36" t="s">
        <v>23</v>
      </c>
      <c r="D610" s="36" t="s">
        <v>12</v>
      </c>
      <c r="E610" s="37">
        <f>ROUND(0.273/0.15,4)</f>
        <v>1.82</v>
      </c>
      <c r="F610" s="31">
        <v>16.311500000000002</v>
      </c>
      <c r="G610" s="34">
        <f>IF(ISNUMBER(F610),E610*F610,"")</f>
        <v>29.686930000000004</v>
      </c>
      <c r="H610" s="35"/>
      <c r="I610" s="31"/>
      <c r="J610" s="155">
        <v>0</v>
      </c>
    </row>
    <row r="611" spans="1:10" ht="15.75" hidden="1" thickBot="1" x14ac:dyDescent="0.3">
      <c r="A611" s="176"/>
      <c r="B611" s="175"/>
      <c r="C611" s="36"/>
      <c r="D611" s="36"/>
      <c r="E611" s="37"/>
      <c r="F611" s="31" t="s">
        <v>568</v>
      </c>
      <c r="G611" s="34" t="str">
        <f>IF(ISNUMBER(F611),E611*F611,"")</f>
        <v/>
      </c>
      <c r="H611" s="35"/>
      <c r="I611" s="31"/>
      <c r="J611" s="155">
        <v>0</v>
      </c>
    </row>
    <row r="612" spans="1:10" ht="26.25" hidden="1" thickBot="1" x14ac:dyDescent="0.3">
      <c r="A612" s="176"/>
      <c r="B612" s="175"/>
      <c r="C612" s="48" t="s">
        <v>234</v>
      </c>
      <c r="D612" s="36"/>
      <c r="E612" s="37"/>
      <c r="F612" s="31" t="s">
        <v>568</v>
      </c>
      <c r="G612" s="34" t="str">
        <f>IF(ISNUMBER(F612),E612*F612,"")</f>
        <v/>
      </c>
      <c r="H612" s="35"/>
      <c r="I612" s="31"/>
      <c r="J612" s="155">
        <v>0</v>
      </c>
    </row>
    <row r="613" spans="1:10" ht="15.75" hidden="1" thickBot="1" x14ac:dyDescent="0.3">
      <c r="A613" s="177"/>
      <c r="B613" s="178"/>
      <c r="C613" s="36"/>
      <c r="D613" s="36"/>
      <c r="E613" s="37"/>
      <c r="F613" s="31" t="s">
        <v>568</v>
      </c>
      <c r="G613" s="31" t="str">
        <f>IF(ISNUMBER(F613),E613*F613,"")</f>
        <v/>
      </c>
      <c r="H613" s="35"/>
      <c r="I613" s="31"/>
      <c r="J613" s="155">
        <v>0</v>
      </c>
    </row>
    <row r="614" spans="1:10" ht="15.75" hidden="1" thickBot="1" x14ac:dyDescent="0.3">
      <c r="A614" s="172" t="s">
        <v>241</v>
      </c>
      <c r="B614" s="174" t="str">
        <f>INDEX(Orçamentária!A:B,MATCH(Composições!A614,Orçamentária!A:A,0),2)</f>
        <v>Instalação de rodapé de madeira reaproveitado</v>
      </c>
      <c r="C614" s="41"/>
      <c r="D614" s="26" t="str">
        <f>TRIM(INDEX(Orçamentária!C:C,MATCH(Composições!A614,Orçamentária!A:A,0),1))</f>
        <v>m</v>
      </c>
      <c r="E614" s="27"/>
      <c r="F614" s="42" t="s">
        <v>568</v>
      </c>
      <c r="G614" s="28" t="str">
        <f>IF(ISNUMBER(F614),E614*F614,"")</f>
        <v/>
      </c>
      <c r="H614" s="29"/>
      <c r="I614" s="30"/>
      <c r="J614" s="155">
        <v>0</v>
      </c>
    </row>
    <row r="615" spans="1:10" ht="15.75" hidden="1" thickBot="1" x14ac:dyDescent="0.3">
      <c r="A615" s="176"/>
      <c r="B615" s="175"/>
      <c r="C615" s="32"/>
      <c r="D615" s="32"/>
      <c r="E615" s="33"/>
      <c r="F615" s="43" t="s">
        <v>568</v>
      </c>
      <c r="G615" s="31" t="str">
        <f>IF(ISNUMBER(F615),E615*F615,"")</f>
        <v/>
      </c>
      <c r="H615" s="35"/>
      <c r="I615" s="31"/>
      <c r="J615" s="155">
        <v>0</v>
      </c>
    </row>
    <row r="616" spans="1:10" ht="15.75" hidden="1" thickBot="1" x14ac:dyDescent="0.3">
      <c r="A616" s="176"/>
      <c r="B616" s="175"/>
      <c r="C616" s="36" t="s">
        <v>1309</v>
      </c>
      <c r="D616" s="47" t="s">
        <v>104</v>
      </c>
      <c r="E616" s="37">
        <v>4.0300000000000002E-2</v>
      </c>
      <c r="F616" s="31">
        <v>17.499000000000002</v>
      </c>
      <c r="G616" s="34">
        <f>IF(ISNUMBER(F616),E616*F616,"")</f>
        <v>0.70520970000000016</v>
      </c>
      <c r="H616" s="39">
        <f>SUM(G616:G618)</f>
        <v>12.4571068</v>
      </c>
      <c r="I616" s="40"/>
      <c r="J616" s="155">
        <v>0</v>
      </c>
    </row>
    <row r="617" spans="1:10" ht="15.75" hidden="1" thickBot="1" x14ac:dyDescent="0.3">
      <c r="A617" s="176"/>
      <c r="B617" s="175"/>
      <c r="C617" s="36" t="s">
        <v>756</v>
      </c>
      <c r="D617" s="47" t="s">
        <v>755</v>
      </c>
      <c r="E617" s="37">
        <v>0.15140000000000001</v>
      </c>
      <c r="F617" s="34">
        <v>16.311500000000002</v>
      </c>
      <c r="G617" s="34">
        <f>IF(ISNUMBER(F617),E617*F617,"")</f>
        <v>2.4695611000000004</v>
      </c>
      <c r="H617" s="35"/>
      <c r="I617" s="31"/>
      <c r="J617" s="155">
        <v>0</v>
      </c>
    </row>
    <row r="618" spans="1:10" ht="15.75" hidden="1" thickBot="1" x14ac:dyDescent="0.3">
      <c r="A618" s="176"/>
      <c r="B618" s="175"/>
      <c r="C618" s="36" t="s">
        <v>1287</v>
      </c>
      <c r="D618" s="47" t="s">
        <v>755</v>
      </c>
      <c r="E618" s="37">
        <v>0.36349999999999999</v>
      </c>
      <c r="F618" s="34">
        <v>25.535999999999998</v>
      </c>
      <c r="G618" s="34">
        <f>IF(ISNUMBER(F618),E618*F618,"")</f>
        <v>9.282335999999999</v>
      </c>
      <c r="H618" s="35"/>
      <c r="I618" s="31"/>
      <c r="J618" s="155">
        <v>0</v>
      </c>
    </row>
    <row r="619" spans="1:10" ht="15.75" hidden="1" thickBot="1" x14ac:dyDescent="0.3">
      <c r="A619" s="176"/>
      <c r="B619" s="175"/>
      <c r="C619" s="36"/>
      <c r="D619" s="36"/>
      <c r="E619" s="37"/>
      <c r="F619" s="31" t="s">
        <v>568</v>
      </c>
      <c r="G619" s="31" t="str">
        <f>IF(ISNUMBER(F619),E619*F619,"")</f>
        <v/>
      </c>
      <c r="H619" s="35"/>
      <c r="I619" s="31"/>
      <c r="J619" s="155">
        <v>0</v>
      </c>
    </row>
    <row r="620" spans="1:10" ht="15.75" hidden="1" thickBot="1" x14ac:dyDescent="0.3">
      <c r="A620" s="172" t="s">
        <v>242</v>
      </c>
      <c r="B620" s="174" t="str">
        <f>INDEX(Orçamentária!A:B,MATCH(Composições!A620,Orçamentária!A:A,0),2)</f>
        <v>Mármore Bege Bahia para piso e parede</v>
      </c>
      <c r="C620" s="41"/>
      <c r="D620" s="26" t="str">
        <f>TRIM(INDEX(Orçamentária!C:C,MATCH(Composições!A620,Orçamentária!A:A,0),1))</f>
        <v>m2</v>
      </c>
      <c r="E620" s="27"/>
      <c r="F620" s="42" t="s">
        <v>568</v>
      </c>
      <c r="G620" s="28" t="str">
        <f>IF(ISNUMBER(F620),E620*F620,"")</f>
        <v/>
      </c>
      <c r="H620" s="29"/>
      <c r="I620" s="30"/>
      <c r="J620" s="155">
        <v>0</v>
      </c>
    </row>
    <row r="621" spans="1:10" ht="15.75" hidden="1" thickBot="1" x14ac:dyDescent="0.3">
      <c r="A621" s="176"/>
      <c r="B621" s="175"/>
      <c r="C621" s="32"/>
      <c r="D621" s="32"/>
      <c r="E621" s="33"/>
      <c r="F621" s="43" t="s">
        <v>568</v>
      </c>
      <c r="G621" s="31" t="str">
        <f>IF(ISNUMBER(F621),E621*F621,"")</f>
        <v/>
      </c>
      <c r="H621" s="35"/>
      <c r="I621" s="31"/>
      <c r="J621" s="155">
        <v>0</v>
      </c>
    </row>
    <row r="622" spans="1:10" ht="15.75" hidden="1" thickBot="1" x14ac:dyDescent="0.3">
      <c r="A622" s="176"/>
      <c r="B622" s="175"/>
      <c r="C622" s="36" t="s">
        <v>3613</v>
      </c>
      <c r="D622" s="36" t="s">
        <v>42</v>
      </c>
      <c r="E622" s="37">
        <v>8.6199999999999992</v>
      </c>
      <c r="F622" s="34">
        <v>1.3109999999999999</v>
      </c>
      <c r="G622" s="34">
        <f>IF(ISNUMBER(F622),E622*F622,"")</f>
        <v>11.300819999999998</v>
      </c>
      <c r="H622" s="39">
        <f>SUM(G622:G626)</f>
        <v>43.224525</v>
      </c>
      <c r="I622" s="40"/>
      <c r="J622" s="155">
        <v>0</v>
      </c>
    </row>
    <row r="623" spans="1:10" ht="15.75" hidden="1" thickBot="1" x14ac:dyDescent="0.3">
      <c r="A623" s="176"/>
      <c r="B623" s="175"/>
      <c r="C623" s="36" t="s">
        <v>54</v>
      </c>
      <c r="D623" s="36" t="s">
        <v>12</v>
      </c>
      <c r="E623" s="37">
        <v>1.1879999999999999</v>
      </c>
      <c r="F623" s="31">
        <v>18.420500000000001</v>
      </c>
      <c r="G623" s="34">
        <f>IF(ISNUMBER(F623),E623*F623,"")</f>
        <v>21.883554</v>
      </c>
      <c r="H623" s="35"/>
      <c r="I623" s="31"/>
      <c r="J623" s="155">
        <v>0</v>
      </c>
    </row>
    <row r="624" spans="1:10" ht="15.75" hidden="1" thickBot="1" x14ac:dyDescent="0.3">
      <c r="A624" s="176"/>
      <c r="B624" s="175"/>
      <c r="C624" s="36" t="s">
        <v>23</v>
      </c>
      <c r="D624" s="36" t="s">
        <v>12</v>
      </c>
      <c r="E624" s="37">
        <v>0.59399999999999997</v>
      </c>
      <c r="F624" s="31">
        <v>16.311500000000002</v>
      </c>
      <c r="G624" s="34">
        <f>IF(ISNUMBER(F624),E624*F624,"")</f>
        <v>9.6890310000000017</v>
      </c>
      <c r="H624" s="35"/>
      <c r="I624" s="31"/>
      <c r="J624" s="155">
        <v>0</v>
      </c>
    </row>
    <row r="625" spans="1:10" ht="15.75" hidden="1" thickBot="1" x14ac:dyDescent="0.3">
      <c r="A625" s="176"/>
      <c r="B625" s="175"/>
      <c r="C625" s="36" t="s">
        <v>3612</v>
      </c>
      <c r="D625" s="36" t="s">
        <v>42</v>
      </c>
      <c r="E625" s="37">
        <v>0.14000000000000001</v>
      </c>
      <c r="F625" s="34">
        <v>2.508</v>
      </c>
      <c r="G625" s="34">
        <f>IF(ISNUMBER(F625),E625*F625,"")</f>
        <v>0.35112000000000004</v>
      </c>
      <c r="H625" s="35"/>
      <c r="I625" s="31"/>
      <c r="J625" s="155">
        <v>0</v>
      </c>
    </row>
    <row r="626" spans="1:10" ht="15.75" hidden="1" thickBot="1" x14ac:dyDescent="0.3">
      <c r="A626" s="176"/>
      <c r="B626" s="175"/>
      <c r="C626" s="36" t="s">
        <v>243</v>
      </c>
      <c r="D626" s="36" t="s">
        <v>95</v>
      </c>
      <c r="E626" s="37">
        <v>1.1599999999999999</v>
      </c>
      <c r="F626" s="34" t="s">
        <v>568</v>
      </c>
      <c r="G626" s="54" t="str">
        <f>IF(ISNUMBER(F626),E626*F626,"")</f>
        <v/>
      </c>
      <c r="H626" s="35"/>
      <c r="I626" s="31"/>
      <c r="J626" s="155">
        <v>0</v>
      </c>
    </row>
    <row r="627" spans="1:10" ht="15.75" hidden="1" thickBot="1" x14ac:dyDescent="0.3">
      <c r="A627" s="177"/>
      <c r="B627" s="178"/>
      <c r="C627" s="36"/>
      <c r="D627" s="36"/>
      <c r="E627" s="37"/>
      <c r="F627" s="31" t="s">
        <v>568</v>
      </c>
      <c r="G627" s="31" t="str">
        <f>IF(ISNUMBER(F627),E627*F627,"")</f>
        <v/>
      </c>
      <c r="H627" s="35"/>
      <c r="I627" s="31"/>
      <c r="J627" s="155">
        <v>0</v>
      </c>
    </row>
    <row r="628" spans="1:10" ht="15.75" hidden="1" thickBot="1" x14ac:dyDescent="0.3">
      <c r="A628" s="172" t="s">
        <v>244</v>
      </c>
      <c r="B628" s="174" t="str">
        <f>INDEX(Orçamentária!A:B,MATCH(Composições!A628,Orçamentária!A:A,0),2)</f>
        <v>Mármore Branco Especial para piso e parede</v>
      </c>
      <c r="C628" s="41"/>
      <c r="D628" s="26" t="str">
        <f>TRIM(INDEX(Orçamentária!C:C,MATCH(Composições!A628,Orçamentária!A:A,0),1))</f>
        <v>m2</v>
      </c>
      <c r="E628" s="27"/>
      <c r="F628" s="42" t="s">
        <v>568</v>
      </c>
      <c r="G628" s="28" t="str">
        <f>IF(ISNUMBER(F628),E628*F628,"")</f>
        <v/>
      </c>
      <c r="H628" s="29"/>
      <c r="I628" s="30"/>
      <c r="J628" s="155">
        <v>0</v>
      </c>
    </row>
    <row r="629" spans="1:10" ht="15.75" hidden="1" thickBot="1" x14ac:dyDescent="0.3">
      <c r="A629" s="176"/>
      <c r="B629" s="175"/>
      <c r="C629" s="32"/>
      <c r="D629" s="32"/>
      <c r="E629" s="33"/>
      <c r="F629" s="43" t="s">
        <v>568</v>
      </c>
      <c r="G629" s="31" t="str">
        <f>IF(ISNUMBER(F629),E629*F629,"")</f>
        <v/>
      </c>
      <c r="H629" s="35"/>
      <c r="I629" s="31"/>
      <c r="J629" s="155">
        <v>0</v>
      </c>
    </row>
    <row r="630" spans="1:10" ht="15.75" hidden="1" thickBot="1" x14ac:dyDescent="0.3">
      <c r="A630" s="176"/>
      <c r="B630" s="175"/>
      <c r="C630" s="36" t="s">
        <v>3613</v>
      </c>
      <c r="D630" s="36" t="s">
        <v>42</v>
      </c>
      <c r="E630" s="37">
        <v>8.6199999999999992</v>
      </c>
      <c r="F630" s="34">
        <v>1.3109999999999999</v>
      </c>
      <c r="G630" s="34">
        <f>IF(ISNUMBER(F630),E630*F630,"")</f>
        <v>11.300819999999998</v>
      </c>
      <c r="H630" s="39">
        <f>SUM(G630:G634)</f>
        <v>43.224525</v>
      </c>
      <c r="I630" s="40"/>
      <c r="J630" s="155">
        <v>0</v>
      </c>
    </row>
    <row r="631" spans="1:10" ht="15.75" hidden="1" thickBot="1" x14ac:dyDescent="0.3">
      <c r="A631" s="176"/>
      <c r="B631" s="175"/>
      <c r="C631" s="36" t="s">
        <v>54</v>
      </c>
      <c r="D631" s="36" t="s">
        <v>12</v>
      </c>
      <c r="E631" s="37">
        <v>1.1879999999999999</v>
      </c>
      <c r="F631" s="31">
        <v>18.420500000000001</v>
      </c>
      <c r="G631" s="34">
        <f>IF(ISNUMBER(F631),E631*F631,"")</f>
        <v>21.883554</v>
      </c>
      <c r="H631" s="35"/>
      <c r="I631" s="31"/>
      <c r="J631" s="155">
        <v>0</v>
      </c>
    </row>
    <row r="632" spans="1:10" ht="15.75" hidden="1" thickBot="1" x14ac:dyDescent="0.3">
      <c r="A632" s="176"/>
      <c r="B632" s="175"/>
      <c r="C632" s="36" t="s">
        <v>23</v>
      </c>
      <c r="D632" s="36" t="s">
        <v>12</v>
      </c>
      <c r="E632" s="37">
        <v>0.59399999999999997</v>
      </c>
      <c r="F632" s="31">
        <v>16.311500000000002</v>
      </c>
      <c r="G632" s="34">
        <f>IF(ISNUMBER(F632),E632*F632,"")</f>
        <v>9.6890310000000017</v>
      </c>
      <c r="H632" s="35"/>
      <c r="I632" s="31"/>
      <c r="J632" s="155">
        <v>0</v>
      </c>
    </row>
    <row r="633" spans="1:10" ht="15.75" hidden="1" thickBot="1" x14ac:dyDescent="0.3">
      <c r="A633" s="176"/>
      <c r="B633" s="175"/>
      <c r="C633" s="36" t="s">
        <v>3612</v>
      </c>
      <c r="D633" s="36" t="s">
        <v>42</v>
      </c>
      <c r="E633" s="37">
        <v>0.14000000000000001</v>
      </c>
      <c r="F633" s="34">
        <v>2.508</v>
      </c>
      <c r="G633" s="34">
        <f>IF(ISNUMBER(F633),E633*F633,"")</f>
        <v>0.35112000000000004</v>
      </c>
      <c r="H633" s="35"/>
      <c r="I633" s="31"/>
      <c r="J633" s="155">
        <v>0</v>
      </c>
    </row>
    <row r="634" spans="1:10" ht="15.75" hidden="1" thickBot="1" x14ac:dyDescent="0.3">
      <c r="A634" s="176"/>
      <c r="B634" s="175"/>
      <c r="C634" s="36" t="s">
        <v>245</v>
      </c>
      <c r="D634" s="36" t="s">
        <v>95</v>
      </c>
      <c r="E634" s="37">
        <v>1.1599999999999999</v>
      </c>
      <c r="F634" s="34" t="s">
        <v>568</v>
      </c>
      <c r="G634" s="54" t="str">
        <f>IF(ISNUMBER(F634),E634*F634,"")</f>
        <v/>
      </c>
      <c r="H634" s="35"/>
      <c r="I634" s="31"/>
      <c r="J634" s="155">
        <v>0</v>
      </c>
    </row>
    <row r="635" spans="1:10" ht="15.75" hidden="1" thickBot="1" x14ac:dyDescent="0.3">
      <c r="A635" s="177"/>
      <c r="B635" s="178"/>
      <c r="C635" s="36"/>
      <c r="D635" s="36"/>
      <c r="E635" s="37"/>
      <c r="F635" s="31" t="s">
        <v>568</v>
      </c>
      <c r="G635" s="31" t="str">
        <f>IF(ISNUMBER(F635),E635*F635,"")</f>
        <v/>
      </c>
      <c r="H635" s="35"/>
      <c r="I635" s="31"/>
      <c r="J635" s="155">
        <v>0</v>
      </c>
    </row>
    <row r="636" spans="1:10" ht="15.75" hidden="1" thickBot="1" x14ac:dyDescent="0.3">
      <c r="A636" s="172" t="s">
        <v>246</v>
      </c>
      <c r="B636" s="174" t="str">
        <f>INDEX(Orçamentária!A:B,MATCH(Composições!A636,Orçamentária!A:A,0),2)</f>
        <v>Rodapé de madeira</v>
      </c>
      <c r="C636" s="41"/>
      <c r="D636" s="26" t="str">
        <f>TRIM(INDEX(Orçamentária!C:C,MATCH(Composições!A636,Orçamentária!A:A,0),1))</f>
        <v>m</v>
      </c>
      <c r="E636" s="27"/>
      <c r="F636" s="42" t="s">
        <v>568</v>
      </c>
      <c r="G636" s="28" t="str">
        <f>IF(ISNUMBER(F636),E636*F636,"")</f>
        <v/>
      </c>
      <c r="H636" s="29"/>
      <c r="I636" s="30"/>
      <c r="J636" s="155">
        <v>0</v>
      </c>
    </row>
    <row r="637" spans="1:10" ht="15.75" hidden="1" thickBot="1" x14ac:dyDescent="0.3">
      <c r="A637" s="176"/>
      <c r="B637" s="175"/>
      <c r="C637" s="32"/>
      <c r="D637" s="32"/>
      <c r="E637" s="33"/>
      <c r="F637" s="43" t="s">
        <v>568</v>
      </c>
      <c r="G637" s="31" t="str">
        <f>IF(ISNUMBER(F637),E637*F637,"")</f>
        <v/>
      </c>
      <c r="H637" s="35"/>
      <c r="I637" s="31"/>
      <c r="J637" s="155">
        <v>0</v>
      </c>
    </row>
    <row r="638" spans="1:10" ht="26.25" hidden="1" thickBot="1" x14ac:dyDescent="0.3">
      <c r="A638" s="176"/>
      <c r="B638" s="175"/>
      <c r="C638" s="36" t="s">
        <v>3466</v>
      </c>
      <c r="D638" s="47" t="s">
        <v>523</v>
      </c>
      <c r="E638" s="37">
        <v>1.0349999999999999</v>
      </c>
      <c r="F638" s="31">
        <v>11.837</v>
      </c>
      <c r="G638" s="34">
        <f>IF(ISNUMBER(F638),E638*F638,"")</f>
        <v>12.251294999999999</v>
      </c>
      <c r="H638" s="39">
        <f>SUM(G638:G641)</f>
        <v>24.708401799999997</v>
      </c>
      <c r="I638" s="40"/>
      <c r="J638" s="155">
        <v>0</v>
      </c>
    </row>
    <row r="639" spans="1:10" ht="15.75" hidden="1" thickBot="1" x14ac:dyDescent="0.3">
      <c r="A639" s="176"/>
      <c r="B639" s="175"/>
      <c r="C639" s="36" t="s">
        <v>1309</v>
      </c>
      <c r="D639" s="47" t="s">
        <v>104</v>
      </c>
      <c r="E639" s="37">
        <v>4.0300000000000002E-2</v>
      </c>
      <c r="F639" s="31">
        <v>17.499000000000002</v>
      </c>
      <c r="G639" s="34">
        <f>IF(ISNUMBER(F639),E639*F639,"")</f>
        <v>0.70520970000000016</v>
      </c>
      <c r="H639" s="35"/>
      <c r="I639" s="31"/>
      <c r="J639" s="155">
        <v>0</v>
      </c>
    </row>
    <row r="640" spans="1:10" ht="15.75" hidden="1" thickBot="1" x14ac:dyDescent="0.3">
      <c r="A640" s="176"/>
      <c r="B640" s="175"/>
      <c r="C640" s="36" t="s">
        <v>756</v>
      </c>
      <c r="D640" s="47" t="s">
        <v>755</v>
      </c>
      <c r="E640" s="37">
        <v>0.15140000000000001</v>
      </c>
      <c r="F640" s="34">
        <v>16.311500000000002</v>
      </c>
      <c r="G640" s="34">
        <f>IF(ISNUMBER(F640),E640*F640,"")</f>
        <v>2.4695611000000004</v>
      </c>
      <c r="H640" s="35"/>
      <c r="I640" s="31"/>
      <c r="J640" s="155">
        <v>0</v>
      </c>
    </row>
    <row r="641" spans="1:10" ht="15.75" hidden="1" thickBot="1" x14ac:dyDescent="0.3">
      <c r="A641" s="176"/>
      <c r="B641" s="175"/>
      <c r="C641" s="36" t="s">
        <v>1287</v>
      </c>
      <c r="D641" s="47" t="s">
        <v>755</v>
      </c>
      <c r="E641" s="37">
        <v>0.36349999999999999</v>
      </c>
      <c r="F641" s="34">
        <v>25.535999999999998</v>
      </c>
      <c r="G641" s="34">
        <f>IF(ISNUMBER(F641),E641*F641,"")</f>
        <v>9.282335999999999</v>
      </c>
      <c r="H641" s="35"/>
      <c r="I641" s="31"/>
      <c r="J641" s="155">
        <v>0</v>
      </c>
    </row>
    <row r="642" spans="1:10" ht="15.75" hidden="1" thickBot="1" x14ac:dyDescent="0.3">
      <c r="A642" s="177"/>
      <c r="B642" s="178"/>
      <c r="C642" s="36"/>
      <c r="D642" s="36"/>
      <c r="E642" s="37"/>
      <c r="F642" s="31" t="s">
        <v>568</v>
      </c>
      <c r="G642" s="31" t="str">
        <f>IF(ISNUMBER(F642),E642*F642,"")</f>
        <v/>
      </c>
      <c r="H642" s="35"/>
      <c r="I642" s="31"/>
      <c r="J642" s="155">
        <v>0</v>
      </c>
    </row>
    <row r="643" spans="1:10" ht="15.75" hidden="1" thickBot="1" x14ac:dyDescent="0.3">
      <c r="A643" s="172" t="s">
        <v>248</v>
      </c>
      <c r="B643" s="174" t="str">
        <f>INDEX(Orçamentária!A:B,MATCH(Composições!A643,Orçamentária!A:A,0),2)</f>
        <v>Acabamento abaulado em placas de granito ou mármore reaproveitadas</v>
      </c>
      <c r="C643" s="41"/>
      <c r="D643" s="26" t="str">
        <f>TRIM(INDEX(Orçamentária!C:C,MATCH(Composições!A643,Orçamentária!A:A,0),1))</f>
        <v>m</v>
      </c>
      <c r="E643" s="27"/>
      <c r="F643" s="42" t="s">
        <v>568</v>
      </c>
      <c r="G643" s="28" t="str">
        <f>IF(ISNUMBER(F643),E643*F643,"")</f>
        <v/>
      </c>
      <c r="H643" s="29"/>
      <c r="I643" s="30"/>
      <c r="J643" s="155">
        <v>0</v>
      </c>
    </row>
    <row r="644" spans="1:10" ht="15.75" hidden="1" thickBot="1" x14ac:dyDescent="0.3">
      <c r="A644" s="176"/>
      <c r="B644" s="175"/>
      <c r="C644" s="32"/>
      <c r="D644" s="32"/>
      <c r="E644" s="33"/>
      <c r="F644" s="43" t="s">
        <v>568</v>
      </c>
      <c r="G644" s="31" t="str">
        <f>IF(ISNUMBER(F644),E644*F644,"")</f>
        <v/>
      </c>
      <c r="H644" s="35"/>
      <c r="I644" s="31"/>
      <c r="J644" s="155">
        <v>0</v>
      </c>
    </row>
    <row r="645" spans="1:10" ht="15.75" hidden="1" thickBot="1" x14ac:dyDescent="0.3">
      <c r="A645" s="176"/>
      <c r="B645" s="175"/>
      <c r="C645" s="36" t="s">
        <v>54</v>
      </c>
      <c r="D645" s="47" t="s">
        <v>12</v>
      </c>
      <c r="E645" s="37">
        <v>2</v>
      </c>
      <c r="F645" s="31">
        <v>18.420500000000001</v>
      </c>
      <c r="G645" s="34">
        <f>IF(ISNUMBER(F645),E645*F645,"")</f>
        <v>36.841000000000001</v>
      </c>
      <c r="H645" s="39">
        <f>SUM(G645:G645)</f>
        <v>36.841000000000001</v>
      </c>
      <c r="I645" s="40"/>
      <c r="J645" s="155">
        <v>0</v>
      </c>
    </row>
    <row r="646" spans="1:10" ht="15.75" hidden="1" thickBot="1" x14ac:dyDescent="0.3">
      <c r="A646" s="177"/>
      <c r="B646" s="178"/>
      <c r="C646" s="55"/>
      <c r="D646" s="36"/>
      <c r="E646" s="37"/>
      <c r="F646" s="31" t="s">
        <v>568</v>
      </c>
      <c r="G646" s="31" t="str">
        <f>IF(ISNUMBER(F646),E646*F646,"")</f>
        <v/>
      </c>
      <c r="H646" s="35"/>
      <c r="I646" s="31"/>
      <c r="J646" s="155">
        <v>0</v>
      </c>
    </row>
    <row r="647" spans="1:10" ht="15.75" hidden="1" thickBot="1" x14ac:dyDescent="0.3">
      <c r="A647" s="172" t="s">
        <v>249</v>
      </c>
      <c r="B647" s="174" t="str">
        <f>INDEX(Orçamentária!A:B,MATCH(Composições!A647,Orçamentária!A:A,0),2)</f>
        <v>Acabamento em meia esquadria em placas de granito ou mármore reaproveitadas</v>
      </c>
      <c r="C647" s="41"/>
      <c r="D647" s="26" t="str">
        <f>TRIM(INDEX(Orçamentária!C:C,MATCH(Composições!A647,Orçamentária!A:A,0),1))</f>
        <v>m</v>
      </c>
      <c r="E647" s="27"/>
      <c r="F647" s="42" t="s">
        <v>568</v>
      </c>
      <c r="G647" s="28" t="str">
        <f>IF(ISNUMBER(F647),E647*F647,"")</f>
        <v/>
      </c>
      <c r="H647" s="29"/>
      <c r="I647" s="30"/>
      <c r="J647" s="155">
        <v>0</v>
      </c>
    </row>
    <row r="648" spans="1:10" ht="15.75" hidden="1" thickBot="1" x14ac:dyDescent="0.3">
      <c r="A648" s="176"/>
      <c r="B648" s="175"/>
      <c r="C648" s="32"/>
      <c r="D648" s="32"/>
      <c r="E648" s="33"/>
      <c r="F648" s="43" t="s">
        <v>568</v>
      </c>
      <c r="G648" s="31" t="str">
        <f>IF(ISNUMBER(F648),E648*F648,"")</f>
        <v/>
      </c>
      <c r="H648" s="35"/>
      <c r="I648" s="31"/>
      <c r="J648" s="155">
        <v>0</v>
      </c>
    </row>
    <row r="649" spans="1:10" ht="15.75" hidden="1" thickBot="1" x14ac:dyDescent="0.3">
      <c r="A649" s="176"/>
      <c r="B649" s="175"/>
      <c r="C649" s="36" t="s">
        <v>54</v>
      </c>
      <c r="D649" s="47" t="s">
        <v>12</v>
      </c>
      <c r="E649" s="37">
        <v>1.75</v>
      </c>
      <c r="F649" s="31">
        <v>18.420500000000001</v>
      </c>
      <c r="G649" s="34">
        <f>IF(ISNUMBER(F649),E649*F649,"")</f>
        <v>32.235875</v>
      </c>
      <c r="H649" s="39">
        <f>SUM(G649:G649)</f>
        <v>32.235875</v>
      </c>
      <c r="I649" s="40"/>
      <c r="J649" s="155">
        <v>0</v>
      </c>
    </row>
    <row r="650" spans="1:10" ht="15.75" hidden="1" thickBot="1" x14ac:dyDescent="0.3">
      <c r="A650" s="177"/>
      <c r="B650" s="178"/>
      <c r="C650" s="55"/>
      <c r="D650" s="36"/>
      <c r="E650" s="37"/>
      <c r="F650" s="31" t="s">
        <v>568</v>
      </c>
      <c r="G650" s="31" t="str">
        <f>IF(ISNUMBER(F650),E650*F650,"")</f>
        <v/>
      </c>
      <c r="H650" s="35"/>
      <c r="I650" s="31"/>
      <c r="J650" s="155">
        <v>0</v>
      </c>
    </row>
    <row r="651" spans="1:10" ht="15.75" hidden="1" thickBot="1" x14ac:dyDescent="0.3">
      <c r="A651" s="172" t="s">
        <v>250</v>
      </c>
      <c r="B651" s="174" t="str">
        <f>INDEX(Orçamentária!A:B,MATCH(Composições!A651,Orçamentária!A:A,0),2)</f>
        <v>Acabamento reto em placas de granito ou mármore reaproveitadas</v>
      </c>
      <c r="C651" s="41"/>
      <c r="D651" s="26" t="str">
        <f>TRIM(INDEX(Orçamentária!C:C,MATCH(Composições!A651,Orçamentária!A:A,0),1))</f>
        <v>m</v>
      </c>
      <c r="E651" s="27"/>
      <c r="F651" s="42" t="s">
        <v>568</v>
      </c>
      <c r="G651" s="28" t="str">
        <f>IF(ISNUMBER(F651),E651*F651,"")</f>
        <v/>
      </c>
      <c r="H651" s="29"/>
      <c r="I651" s="30"/>
      <c r="J651" s="155">
        <v>0</v>
      </c>
    </row>
    <row r="652" spans="1:10" ht="15.75" hidden="1" thickBot="1" x14ac:dyDescent="0.3">
      <c r="A652" s="176"/>
      <c r="B652" s="175"/>
      <c r="C652" s="32"/>
      <c r="D652" s="32"/>
      <c r="E652" s="33"/>
      <c r="F652" s="43" t="s">
        <v>568</v>
      </c>
      <c r="G652" s="31" t="str">
        <f>IF(ISNUMBER(F652),E652*F652,"")</f>
        <v/>
      </c>
      <c r="H652" s="35"/>
      <c r="I652" s="31"/>
      <c r="J652" s="155">
        <v>0</v>
      </c>
    </row>
    <row r="653" spans="1:10" ht="15.75" hidden="1" thickBot="1" x14ac:dyDescent="0.3">
      <c r="A653" s="176"/>
      <c r="B653" s="175"/>
      <c r="C653" s="36" t="s">
        <v>54</v>
      </c>
      <c r="D653" s="47" t="s">
        <v>12</v>
      </c>
      <c r="E653" s="37">
        <v>1</v>
      </c>
      <c r="F653" s="31">
        <v>18.420500000000001</v>
      </c>
      <c r="G653" s="34">
        <f>IF(ISNUMBER(F653),E653*F653,"")</f>
        <v>18.420500000000001</v>
      </c>
      <c r="H653" s="39">
        <f>SUM(G653:G653)</f>
        <v>18.420500000000001</v>
      </c>
      <c r="I653" s="40"/>
      <c r="J653" s="155">
        <v>0</v>
      </c>
    </row>
    <row r="654" spans="1:10" ht="15.75" hidden="1" thickBot="1" x14ac:dyDescent="0.3">
      <c r="A654" s="177"/>
      <c r="B654" s="178"/>
      <c r="C654" s="55"/>
      <c r="D654" s="36"/>
      <c r="E654" s="37"/>
      <c r="F654" s="31" t="s">
        <v>568</v>
      </c>
      <c r="G654" s="31" t="str">
        <f>IF(ISNUMBER(F654),E654*F654,"")</f>
        <v/>
      </c>
      <c r="H654" s="35"/>
      <c r="I654" s="31"/>
      <c r="J654" s="155">
        <v>0</v>
      </c>
    </row>
    <row r="655" spans="1:10" ht="15.75" hidden="1" thickBot="1" x14ac:dyDescent="0.3">
      <c r="A655" s="172" t="s">
        <v>251</v>
      </c>
      <c r="B655" s="174" t="str">
        <f>INDEX(Orçamentária!A:B,MATCH(Composições!A655,Orçamentária!A:A,0),2)</f>
        <v>Corte de peça de granito ou mármore reaproveitada</v>
      </c>
      <c r="C655" s="41"/>
      <c r="D655" s="26" t="str">
        <f>TRIM(INDEX(Orçamentária!C:C,MATCH(Composições!A655,Orçamentária!A:A,0),1))</f>
        <v>m</v>
      </c>
      <c r="E655" s="27"/>
      <c r="F655" s="42" t="s">
        <v>568</v>
      </c>
      <c r="G655" s="28" t="str">
        <f>IF(ISNUMBER(F655),E655*F655,"")</f>
        <v/>
      </c>
      <c r="H655" s="29"/>
      <c r="I655" s="30"/>
      <c r="J655" s="155">
        <v>0</v>
      </c>
    </row>
    <row r="656" spans="1:10" ht="15.75" hidden="1" thickBot="1" x14ac:dyDescent="0.3">
      <c r="A656" s="176"/>
      <c r="B656" s="175"/>
      <c r="C656" s="32"/>
      <c r="D656" s="32"/>
      <c r="E656" s="33"/>
      <c r="F656" s="43" t="s">
        <v>568</v>
      </c>
      <c r="G656" s="31" t="str">
        <f>IF(ISNUMBER(F656),E656*F656,"")</f>
        <v/>
      </c>
      <c r="H656" s="35"/>
      <c r="I656" s="31"/>
      <c r="J656" s="155">
        <v>0</v>
      </c>
    </row>
    <row r="657" spans="1:10" ht="15.75" hidden="1" thickBot="1" x14ac:dyDescent="0.3">
      <c r="A657" s="176"/>
      <c r="B657" s="175"/>
      <c r="C657" s="36" t="s">
        <v>54</v>
      </c>
      <c r="D657" s="47" t="s">
        <v>12</v>
      </c>
      <c r="E657" s="37">
        <v>1.25</v>
      </c>
      <c r="F657" s="31">
        <v>18.420500000000001</v>
      </c>
      <c r="G657" s="34">
        <f>IF(ISNUMBER(F657),E657*F657,"")</f>
        <v>23.025625000000002</v>
      </c>
      <c r="H657" s="39">
        <f>SUM(G657:G657)</f>
        <v>23.025625000000002</v>
      </c>
      <c r="I657" s="40"/>
      <c r="J657" s="155">
        <v>0</v>
      </c>
    </row>
    <row r="658" spans="1:10" ht="15.75" hidden="1" thickBot="1" x14ac:dyDescent="0.3">
      <c r="A658" s="177"/>
      <c r="B658" s="178"/>
      <c r="C658" s="55"/>
      <c r="D658" s="36"/>
      <c r="E658" s="37"/>
      <c r="F658" s="31" t="s">
        <v>568</v>
      </c>
      <c r="G658" s="31" t="str">
        <f>IF(ISNUMBER(F658),E658*F658,"")</f>
        <v/>
      </c>
      <c r="H658" s="35"/>
      <c r="I658" s="31"/>
      <c r="J658" s="155">
        <v>0</v>
      </c>
    </row>
    <row r="659" spans="1:10" ht="15.75" hidden="1" thickBot="1" x14ac:dyDescent="0.3">
      <c r="A659" s="172" t="s">
        <v>252</v>
      </c>
      <c r="B659" s="174" t="str">
        <f>INDEX(Orçamentária!A:B,MATCH(Composições!A659,Orçamentária!A:A,0),2)</f>
        <v>Corte em placas de granito ou mármore reaproveitadas, para instalação de cubas</v>
      </c>
      <c r="C659" s="41"/>
      <c r="D659" s="26" t="str">
        <f>TRIM(INDEX(Orçamentária!C:C,MATCH(Composições!A659,Orçamentária!A:A,0),1))</f>
        <v>un</v>
      </c>
      <c r="E659" s="27"/>
      <c r="F659" s="42" t="s">
        <v>568</v>
      </c>
      <c r="G659" s="28" t="str">
        <f>IF(ISNUMBER(F659),E659*F659,"")</f>
        <v/>
      </c>
      <c r="H659" s="29"/>
      <c r="I659" s="30"/>
      <c r="J659" s="155">
        <v>0</v>
      </c>
    </row>
    <row r="660" spans="1:10" ht="15.75" hidden="1" thickBot="1" x14ac:dyDescent="0.3">
      <c r="A660" s="176"/>
      <c r="B660" s="175"/>
      <c r="C660" s="32"/>
      <c r="D660" s="32"/>
      <c r="E660" s="33"/>
      <c r="F660" s="43" t="s">
        <v>568</v>
      </c>
      <c r="G660" s="31" t="str">
        <f>IF(ISNUMBER(F660),E660*F660,"")</f>
        <v/>
      </c>
      <c r="H660" s="35"/>
      <c r="I660" s="31"/>
      <c r="J660" s="155">
        <v>0</v>
      </c>
    </row>
    <row r="661" spans="1:10" ht="26.25" hidden="1" thickBot="1" x14ac:dyDescent="0.3">
      <c r="A661" s="176"/>
      <c r="B661" s="175"/>
      <c r="C661" s="36" t="s">
        <v>253</v>
      </c>
      <c r="D661" s="47" t="s">
        <v>20</v>
      </c>
      <c r="E661" s="37">
        <v>1</v>
      </c>
      <c r="F661" s="31">
        <v>90.781999999999996</v>
      </c>
      <c r="G661" s="34">
        <f>IF(ISNUMBER(F661),E661*F661,"")</f>
        <v>90.781999999999996</v>
      </c>
      <c r="H661" s="39">
        <f>SUM(G661:G661)</f>
        <v>90.781999999999996</v>
      </c>
      <c r="I661" s="40"/>
      <c r="J661" s="155">
        <v>0</v>
      </c>
    </row>
    <row r="662" spans="1:10" ht="15.75" hidden="1" thickBot="1" x14ac:dyDescent="0.3">
      <c r="A662" s="177"/>
      <c r="B662" s="178"/>
      <c r="C662" s="55"/>
      <c r="D662" s="36"/>
      <c r="E662" s="37"/>
      <c r="F662" s="31" t="s">
        <v>568</v>
      </c>
      <c r="G662" s="31" t="str">
        <f>IF(ISNUMBER(F662),E662*F662,"")</f>
        <v/>
      </c>
      <c r="H662" s="35"/>
      <c r="I662" s="31"/>
      <c r="J662" s="155">
        <v>0</v>
      </c>
    </row>
    <row r="663" spans="1:10" ht="15.75" hidden="1" thickBot="1" x14ac:dyDescent="0.3">
      <c r="A663" s="172" t="s">
        <v>254</v>
      </c>
      <c r="B663" s="174" t="str">
        <f>INDEX(Orçamentária!A:B,MATCH(Composições!A663,Orçamentária!A:A,0),2)</f>
        <v>Furo em placas de granito ou mármore reaproveitadas, para instalação de torneira ou misturador</v>
      </c>
      <c r="C663" s="133"/>
      <c r="D663" s="26" t="str">
        <f>TRIM(INDEX(Orçamentária!C:C,MATCH(Composições!A663,Orçamentária!A:A,0),1))</f>
        <v>un</v>
      </c>
      <c r="E663" s="27"/>
      <c r="F663" s="42" t="s">
        <v>568</v>
      </c>
      <c r="G663" s="28" t="str">
        <f>IF(ISNUMBER(F663),E663*F663,"")</f>
        <v/>
      </c>
      <c r="H663" s="29"/>
      <c r="I663" s="30"/>
      <c r="J663" s="155">
        <v>0</v>
      </c>
    </row>
    <row r="664" spans="1:10" ht="15.75" hidden="1" thickBot="1" x14ac:dyDescent="0.3">
      <c r="A664" s="176"/>
      <c r="B664" s="175"/>
      <c r="C664" s="32"/>
      <c r="D664" s="32"/>
      <c r="E664" s="33"/>
      <c r="F664" s="43" t="s">
        <v>568</v>
      </c>
      <c r="G664" s="31" t="str">
        <f>IF(ISNUMBER(F664),E664*F664,"")</f>
        <v/>
      </c>
      <c r="H664" s="35"/>
      <c r="I664" s="31"/>
      <c r="J664" s="155">
        <v>0</v>
      </c>
    </row>
    <row r="665" spans="1:10" ht="27" hidden="1" thickBot="1" x14ac:dyDescent="0.3">
      <c r="A665" s="176"/>
      <c r="B665" s="175"/>
      <c r="C665" s="51" t="s">
        <v>255</v>
      </c>
      <c r="D665" s="47" t="s">
        <v>20</v>
      </c>
      <c r="E665" s="37">
        <v>1</v>
      </c>
      <c r="F665" s="31">
        <v>13.6135</v>
      </c>
      <c r="G665" s="34">
        <f>IF(ISNUMBER(F665),E665*F665,"")</f>
        <v>13.6135</v>
      </c>
      <c r="H665" s="39">
        <f>SUM(G665:G665)</f>
        <v>13.6135</v>
      </c>
      <c r="I665" s="40"/>
      <c r="J665" s="155">
        <v>0</v>
      </c>
    </row>
    <row r="666" spans="1:10" ht="15.75" hidden="1" thickBot="1" x14ac:dyDescent="0.3">
      <c r="A666" s="177"/>
      <c r="B666" s="178"/>
      <c r="C666" s="36"/>
      <c r="D666" s="36"/>
      <c r="E666" s="37"/>
      <c r="F666" s="31" t="s">
        <v>568</v>
      </c>
      <c r="G666" s="31" t="str">
        <f>IF(ISNUMBER(F666),E666*F666,"")</f>
        <v/>
      </c>
      <c r="H666" s="35"/>
      <c r="I666" s="31"/>
      <c r="J666" s="155">
        <v>0</v>
      </c>
    </row>
    <row r="667" spans="1:10" ht="15.75" hidden="1" thickBot="1" x14ac:dyDescent="0.3">
      <c r="A667" s="172" t="s">
        <v>256</v>
      </c>
      <c r="B667" s="174" t="str">
        <f>INDEX(Orçamentária!A:B,MATCH(Composições!A667,Orçamentária!A:A,0),2)</f>
        <v>Granito Cinza Andorinha 20mm para rodabancada</v>
      </c>
      <c r="C667" s="41"/>
      <c r="D667" s="26" t="str">
        <f>TRIM(INDEX(Orçamentária!C:C,MATCH(Composições!A667,Orçamentária!A:A,0),1))</f>
        <v>m2</v>
      </c>
      <c r="E667" s="27"/>
      <c r="F667" s="42" t="s">
        <v>568</v>
      </c>
      <c r="G667" s="28" t="str">
        <f>IF(ISNUMBER(F667),E667*F667,"")</f>
        <v/>
      </c>
      <c r="H667" s="29"/>
      <c r="I667" s="30"/>
      <c r="J667" s="155">
        <v>0</v>
      </c>
    </row>
    <row r="668" spans="1:10" ht="15.75" hidden="1" thickBot="1" x14ac:dyDescent="0.3">
      <c r="A668" s="176"/>
      <c r="B668" s="175"/>
      <c r="C668" s="32"/>
      <c r="D668" s="32"/>
      <c r="E668" s="33"/>
      <c r="F668" s="43" t="s">
        <v>568</v>
      </c>
      <c r="G668" s="31" t="str">
        <f>IF(ISNUMBER(F668),E668*F668,"")</f>
        <v/>
      </c>
      <c r="H668" s="35"/>
      <c r="I668" s="31"/>
      <c r="J668" s="155">
        <v>0</v>
      </c>
    </row>
    <row r="669" spans="1:10" ht="26.25" hidden="1" thickBot="1" x14ac:dyDescent="0.3">
      <c r="A669" s="176"/>
      <c r="B669" s="175"/>
      <c r="C669" s="36" t="s">
        <v>257</v>
      </c>
      <c r="D669" s="36" t="s">
        <v>93</v>
      </c>
      <c r="E669" s="37">
        <f>ROUND(1.04/0.15,4)</f>
        <v>6.9333</v>
      </c>
      <c r="F669" s="34" t="s">
        <v>568</v>
      </c>
      <c r="G669" s="34" t="str">
        <f>IF(ISNUMBER(F669),E669*F669,"")</f>
        <v/>
      </c>
      <c r="H669" s="39">
        <f>SUM(G669:G673)</f>
        <v>62.564162350000004</v>
      </c>
      <c r="I669" s="40"/>
      <c r="J669" s="155">
        <v>0</v>
      </c>
    </row>
    <row r="670" spans="1:10" ht="15.75" hidden="1" thickBot="1" x14ac:dyDescent="0.3">
      <c r="A670" s="176"/>
      <c r="B670" s="175"/>
      <c r="C670" s="36" t="s">
        <v>3613</v>
      </c>
      <c r="D670" s="36" t="s">
        <v>42</v>
      </c>
      <c r="E670" s="37">
        <f>ROUND(0.8614/0.15,4)</f>
        <v>5.7427000000000001</v>
      </c>
      <c r="F670" s="34">
        <v>1.3109999999999999</v>
      </c>
      <c r="G670" s="34">
        <f>IF(ISNUMBER(F670),E670*F670,"")</f>
        <v>7.5286796999999996</v>
      </c>
      <c r="H670" s="35"/>
      <c r="I670" s="31"/>
      <c r="J670" s="155">
        <v>0</v>
      </c>
    </row>
    <row r="671" spans="1:10" ht="15.75" hidden="1" thickBot="1" x14ac:dyDescent="0.3">
      <c r="A671" s="176"/>
      <c r="B671" s="175"/>
      <c r="C671" s="36" t="s">
        <v>54</v>
      </c>
      <c r="D671" s="36" t="s">
        <v>12</v>
      </c>
      <c r="E671" s="37">
        <f>ROUND(0.299/0.15,4)</f>
        <v>1.9933000000000001</v>
      </c>
      <c r="F671" s="31">
        <v>18.420500000000001</v>
      </c>
      <c r="G671" s="34">
        <f>IF(ISNUMBER(F671),E671*F671,"")</f>
        <v>36.717582650000004</v>
      </c>
      <c r="H671" s="35"/>
      <c r="I671" s="31"/>
      <c r="J671" s="155">
        <v>0</v>
      </c>
    </row>
    <row r="672" spans="1:10" ht="15.75" hidden="1" thickBot="1" x14ac:dyDescent="0.3">
      <c r="A672" s="176"/>
      <c r="B672" s="175"/>
      <c r="C672" s="36" t="s">
        <v>23</v>
      </c>
      <c r="D672" s="36" t="s">
        <v>12</v>
      </c>
      <c r="E672" s="37">
        <f>0.15/0.15</f>
        <v>1</v>
      </c>
      <c r="F672" s="31">
        <v>16.311500000000002</v>
      </c>
      <c r="G672" s="34">
        <f>IF(ISNUMBER(F672),E672*F672,"")</f>
        <v>16.311500000000002</v>
      </c>
      <c r="H672" s="35"/>
      <c r="I672" s="31"/>
      <c r="J672" s="155">
        <v>0</v>
      </c>
    </row>
    <row r="673" spans="1:10" ht="15.75" hidden="1" thickBot="1" x14ac:dyDescent="0.3">
      <c r="A673" s="176"/>
      <c r="B673" s="175"/>
      <c r="C673" s="36" t="s">
        <v>3612</v>
      </c>
      <c r="D673" s="36" t="s">
        <v>42</v>
      </c>
      <c r="E673" s="37">
        <f>0.12/0.15</f>
        <v>0.8</v>
      </c>
      <c r="F673" s="34">
        <v>2.508</v>
      </c>
      <c r="G673" s="34">
        <f>IF(ISNUMBER(F673),E673*F673,"")</f>
        <v>2.0064000000000002</v>
      </c>
      <c r="H673" s="35"/>
      <c r="I673" s="31"/>
      <c r="J673" s="155">
        <v>0</v>
      </c>
    </row>
    <row r="674" spans="1:10" ht="15.75" hidden="1" thickBot="1" x14ac:dyDescent="0.3">
      <c r="A674" s="176"/>
      <c r="B674" s="175"/>
      <c r="C674" s="36"/>
      <c r="D674" s="36"/>
      <c r="E674" s="37"/>
      <c r="F674" s="34" t="s">
        <v>568</v>
      </c>
      <c r="G674" s="34" t="str">
        <f>IF(ISNUMBER(F674),E674*F674,"")</f>
        <v/>
      </c>
      <c r="H674" s="35"/>
      <c r="I674" s="31"/>
      <c r="J674" s="155">
        <v>0</v>
      </c>
    </row>
    <row r="675" spans="1:10" ht="15.75" thickBot="1" x14ac:dyDescent="0.3">
      <c r="A675" s="172" t="s">
        <v>258</v>
      </c>
      <c r="B675" s="174" t="str">
        <f>INDEX(Orçamentária!A:B,MATCH(Composições!A675,Orçamentária!A:A,0),2)</f>
        <v>Granito Cinza Andorinha 20mm para bancadas</v>
      </c>
      <c r="C675" s="41"/>
      <c r="D675" s="26" t="str">
        <f>TRIM(INDEX(Orçamentária!C:C,MATCH(Composições!A675,Orçamentária!A:A,0),1))</f>
        <v>m2</v>
      </c>
      <c r="E675" s="27"/>
      <c r="F675" s="42" t="s">
        <v>568</v>
      </c>
      <c r="G675" s="28" t="str">
        <f>IF(ISNUMBER(F675),E675*F675,"")</f>
        <v/>
      </c>
      <c r="H675" s="29"/>
      <c r="I675" s="30"/>
      <c r="J675" s="155">
        <v>1.74</v>
      </c>
    </row>
    <row r="676" spans="1:10" x14ac:dyDescent="0.25">
      <c r="A676" s="176"/>
      <c r="B676" s="175"/>
      <c r="C676" s="32"/>
      <c r="D676" s="32"/>
      <c r="E676" s="33"/>
      <c r="F676" s="43" t="s">
        <v>568</v>
      </c>
      <c r="G676" s="31" t="str">
        <f>IF(ISNUMBER(F676),E676*F676,"")</f>
        <v/>
      </c>
      <c r="H676" s="35"/>
      <c r="I676" s="31"/>
      <c r="J676" s="155">
        <v>1.74</v>
      </c>
    </row>
    <row r="677" spans="1:10" x14ac:dyDescent="0.25">
      <c r="A677" s="176"/>
      <c r="B677" s="175"/>
      <c r="C677" s="36" t="s">
        <v>3459</v>
      </c>
      <c r="D677" s="36" t="s">
        <v>953</v>
      </c>
      <c r="E677" s="37">
        <f>ROUND(0.5228/(1.5*0.6),4)</f>
        <v>0.58089999999999997</v>
      </c>
      <c r="F677" s="54">
        <v>26.685499999999998</v>
      </c>
      <c r="G677" s="54">
        <f>IF(ISNUMBER(F677),E677*F677,"")</f>
        <v>15.501606949999998</v>
      </c>
      <c r="H677" s="39">
        <f>SUM(G677:G683)</f>
        <v>479.20585554999997</v>
      </c>
      <c r="I677" s="40"/>
      <c r="J677" s="155">
        <v>1.74</v>
      </c>
    </row>
    <row r="678" spans="1:10" ht="38.25" x14ac:dyDescent="0.25">
      <c r="A678" s="176"/>
      <c r="B678" s="175"/>
      <c r="C678" s="36" t="s">
        <v>1195</v>
      </c>
      <c r="D678" s="36" t="s">
        <v>297</v>
      </c>
      <c r="E678" s="37">
        <f>ROUND(6/(1.5*0.6),4)</f>
        <v>6.6666999999999996</v>
      </c>
      <c r="F678" s="54">
        <v>0.75049999999999994</v>
      </c>
      <c r="G678" s="54">
        <f>IF(ISNUMBER(F678),E678*F678,"")</f>
        <v>5.0033583499999992</v>
      </c>
      <c r="H678" s="73"/>
      <c r="I678" s="74"/>
      <c r="J678" s="155">
        <v>1.74</v>
      </c>
    </row>
    <row r="679" spans="1:10" ht="25.5" x14ac:dyDescent="0.25">
      <c r="A679" s="176"/>
      <c r="B679" s="175"/>
      <c r="C679" s="36" t="s">
        <v>259</v>
      </c>
      <c r="D679" s="36" t="s">
        <v>1049</v>
      </c>
      <c r="E679" s="37">
        <f>ROUND(1.005/(1.5*0.6),4)</f>
        <v>1.1167</v>
      </c>
      <c r="F679" s="54">
        <v>325</v>
      </c>
      <c r="G679" s="54">
        <f>IF(ISNUMBER(F679),E679*F679,"")</f>
        <v>362.92750000000001</v>
      </c>
      <c r="H679" s="73"/>
      <c r="I679" s="74"/>
      <c r="J679" s="155">
        <v>1.74</v>
      </c>
    </row>
    <row r="680" spans="1:10" x14ac:dyDescent="0.25">
      <c r="A680" s="176"/>
      <c r="B680" s="175"/>
      <c r="C680" s="36" t="s">
        <v>3604</v>
      </c>
      <c r="D680" s="36" t="s">
        <v>953</v>
      </c>
      <c r="E680" s="37">
        <f>ROUND(0.0211/(1.5*0.6),4)</f>
        <v>2.3400000000000001E-2</v>
      </c>
      <c r="F680" s="54">
        <v>52.8675</v>
      </c>
      <c r="G680" s="54">
        <f>IF(ISNUMBER(F680),E680*F680,"")</f>
        <v>1.2370995</v>
      </c>
      <c r="H680" s="73"/>
      <c r="I680" s="74"/>
      <c r="J680" s="155">
        <v>1.74</v>
      </c>
    </row>
    <row r="681" spans="1:10" ht="25.5" x14ac:dyDescent="0.25">
      <c r="A681" s="176"/>
      <c r="B681" s="175"/>
      <c r="C681" s="36" t="s">
        <v>3467</v>
      </c>
      <c r="D681" s="36" t="s">
        <v>297</v>
      </c>
      <c r="E681" s="37">
        <f>ROUND(2/(1.5*0.6),4)</f>
        <v>2.2222</v>
      </c>
      <c r="F681" s="54">
        <v>20.7575</v>
      </c>
      <c r="G681" s="54">
        <f>IF(ISNUMBER(F681),E681*F681,"")</f>
        <v>46.127316499999999</v>
      </c>
      <c r="H681" s="73"/>
      <c r="I681" s="74"/>
      <c r="J681" s="155">
        <v>1.74</v>
      </c>
    </row>
    <row r="682" spans="1:10" x14ac:dyDescent="0.25">
      <c r="A682" s="176"/>
      <c r="B682" s="175"/>
      <c r="C682" s="36" t="s">
        <v>3429</v>
      </c>
      <c r="D682" s="36" t="s">
        <v>755</v>
      </c>
      <c r="E682" s="37">
        <f>ROUND(1.4944/(1.5*0.6),4)</f>
        <v>1.6604000000000001</v>
      </c>
      <c r="F682" s="54">
        <v>18.420500000000001</v>
      </c>
      <c r="G682" s="54">
        <f>IF(ISNUMBER(F682),E682*F682,"")</f>
        <v>30.585398200000004</v>
      </c>
      <c r="H682" s="73"/>
      <c r="I682" s="74"/>
      <c r="J682" s="155">
        <v>1.74</v>
      </c>
    </row>
    <row r="683" spans="1:10" x14ac:dyDescent="0.25">
      <c r="A683" s="176"/>
      <c r="B683" s="175"/>
      <c r="C683" s="36" t="s">
        <v>756</v>
      </c>
      <c r="D683" s="36" t="s">
        <v>755</v>
      </c>
      <c r="E683" s="37">
        <f>ROUND(0.9834/(1.5*0.6),4)</f>
        <v>1.0927</v>
      </c>
      <c r="F683" s="54">
        <v>16.311500000000002</v>
      </c>
      <c r="G683" s="54">
        <f>IF(ISNUMBER(F683),E683*F683,"")</f>
        <v>17.823576050000003</v>
      </c>
      <c r="H683" s="73"/>
      <c r="I683" s="74"/>
      <c r="J683" s="155">
        <v>1.74</v>
      </c>
    </row>
    <row r="684" spans="1:10" ht="15.75" thickBot="1" x14ac:dyDescent="0.3">
      <c r="A684" s="176"/>
      <c r="B684" s="175"/>
      <c r="C684" s="36"/>
      <c r="D684" s="36"/>
      <c r="E684" s="37"/>
      <c r="F684" s="31" t="s">
        <v>568</v>
      </c>
      <c r="G684" s="34" t="str">
        <f>IF(ISNUMBER(F684),E684*F684,"")</f>
        <v/>
      </c>
      <c r="H684" s="35"/>
      <c r="I684" s="31"/>
      <c r="J684" s="155">
        <v>1.74</v>
      </c>
    </row>
    <row r="685" spans="1:10" ht="15.75" thickBot="1" x14ac:dyDescent="0.3">
      <c r="A685" s="172" t="s">
        <v>260</v>
      </c>
      <c r="B685" s="174" t="str">
        <f>INDEX(Orçamentária!A:B,MATCH(Composições!A685,Orçamentária!A:A,0),2)</f>
        <v>Granito Cinza Andorinha 20mm para divisória</v>
      </c>
      <c r="C685" s="41"/>
      <c r="D685" s="26" t="str">
        <f>TRIM(INDEX(Orçamentária!C:C,MATCH(Composições!A685,Orçamentária!A:A,0),1))</f>
        <v>m2</v>
      </c>
      <c r="E685" s="27"/>
      <c r="F685" s="42" t="s">
        <v>568</v>
      </c>
      <c r="G685" s="28" t="str">
        <f>IF(ISNUMBER(F685),E685*F685,"")</f>
        <v/>
      </c>
      <c r="H685" s="29"/>
      <c r="I685" s="30"/>
      <c r="J685" s="155">
        <v>4.72</v>
      </c>
    </row>
    <row r="686" spans="1:10" x14ac:dyDescent="0.25">
      <c r="A686" s="176"/>
      <c r="B686" s="175"/>
      <c r="C686" s="32"/>
      <c r="D686" s="32"/>
      <c r="E686" s="33"/>
      <c r="F686" s="43" t="s">
        <v>568</v>
      </c>
      <c r="G686" s="31" t="str">
        <f>IF(ISNUMBER(F686),E686*F686,"")</f>
        <v/>
      </c>
      <c r="H686" s="35"/>
      <c r="I686" s="31"/>
      <c r="J686" s="155">
        <v>4.72</v>
      </c>
    </row>
    <row r="687" spans="1:10" ht="25.5" x14ac:dyDescent="0.25">
      <c r="A687" s="176"/>
      <c r="B687" s="175"/>
      <c r="C687" s="36" t="s">
        <v>829</v>
      </c>
      <c r="D687" s="36" t="s">
        <v>953</v>
      </c>
      <c r="E687" s="37">
        <v>0.53</v>
      </c>
      <c r="F687" s="34">
        <v>37.030999999999999</v>
      </c>
      <c r="G687" s="34">
        <f>IF(ISNUMBER(F687),E687*F687,"")</f>
        <v>19.626429999999999</v>
      </c>
      <c r="H687" s="39">
        <f>SUM(G687:G693)</f>
        <v>396.61208800000003</v>
      </c>
      <c r="I687" s="40"/>
      <c r="J687" s="155">
        <v>4.72</v>
      </c>
    </row>
    <row r="688" spans="1:10" ht="25.5" x14ac:dyDescent="0.25">
      <c r="A688" s="176"/>
      <c r="B688" s="175"/>
      <c r="C688" s="36" t="s">
        <v>262</v>
      </c>
      <c r="D688" s="36" t="s">
        <v>95</v>
      </c>
      <c r="E688" s="37">
        <v>1.05</v>
      </c>
      <c r="F688" s="34">
        <v>298.75</v>
      </c>
      <c r="G688" s="34">
        <f>IF(ISNUMBER(F688),E688*F688,"")</f>
        <v>313.6875</v>
      </c>
      <c r="H688" s="35"/>
      <c r="I688" s="31"/>
      <c r="J688" s="155">
        <v>4.72</v>
      </c>
    </row>
    <row r="689" spans="1:10" x14ac:dyDescent="0.25">
      <c r="A689" s="176"/>
      <c r="B689" s="175"/>
      <c r="C689" s="36" t="s">
        <v>3600</v>
      </c>
      <c r="D689" s="36" t="s">
        <v>953</v>
      </c>
      <c r="E689" s="37">
        <v>0.97</v>
      </c>
      <c r="F689" s="31">
        <v>1.5009999999999999</v>
      </c>
      <c r="G689" s="34">
        <f>IF(ISNUMBER(F689),E689*F689,"")</f>
        <v>1.4559699999999998</v>
      </c>
      <c r="H689" s="35"/>
      <c r="I689" s="31"/>
      <c r="J689" s="155">
        <v>4.72</v>
      </c>
    </row>
    <row r="690" spans="1:10" x14ac:dyDescent="0.25">
      <c r="A690" s="176"/>
      <c r="B690" s="175"/>
      <c r="C690" s="36" t="s">
        <v>3429</v>
      </c>
      <c r="D690" s="36" t="s">
        <v>755</v>
      </c>
      <c r="E690" s="37">
        <v>1.405</v>
      </c>
      <c r="F690" s="31">
        <v>18.420500000000001</v>
      </c>
      <c r="G690" s="34">
        <f>IF(ISNUMBER(F690),E690*F690,"")</f>
        <v>25.880802500000001</v>
      </c>
      <c r="H690" s="35"/>
      <c r="I690" s="31"/>
      <c r="J690" s="155">
        <v>4.72</v>
      </c>
    </row>
    <row r="691" spans="1:10" x14ac:dyDescent="0.25">
      <c r="A691" s="176"/>
      <c r="B691" s="175"/>
      <c r="C691" s="36" t="s">
        <v>756</v>
      </c>
      <c r="D691" s="36" t="s">
        <v>755</v>
      </c>
      <c r="E691" s="37">
        <v>0.70199999999999996</v>
      </c>
      <c r="F691" s="31">
        <v>16.311500000000002</v>
      </c>
      <c r="G691" s="34">
        <f>IF(ISNUMBER(F691),E691*F691,"")</f>
        <v>11.450673</v>
      </c>
      <c r="H691" s="35"/>
      <c r="I691" s="31"/>
      <c r="J691" s="155">
        <v>4.72</v>
      </c>
    </row>
    <row r="692" spans="1:10" ht="25.5" x14ac:dyDescent="0.25">
      <c r="A692" s="176"/>
      <c r="B692" s="175"/>
      <c r="C692" s="36" t="s">
        <v>1222</v>
      </c>
      <c r="D692" s="36" t="s">
        <v>997</v>
      </c>
      <c r="E692" s="37">
        <v>8.8999999999999996E-2</v>
      </c>
      <c r="F692" s="31">
        <v>19.180499999999999</v>
      </c>
      <c r="G692" s="34">
        <f>IF(ISNUMBER(F692),E692*F692,"")</f>
        <v>1.7070644999999998</v>
      </c>
      <c r="H692" s="35"/>
      <c r="I692" s="31"/>
      <c r="J692" s="155">
        <v>4.72</v>
      </c>
    </row>
    <row r="693" spans="1:10" ht="25.5" x14ac:dyDescent="0.25">
      <c r="A693" s="176"/>
      <c r="B693" s="175"/>
      <c r="C693" s="36" t="s">
        <v>1223</v>
      </c>
      <c r="D693" s="36" t="s">
        <v>999</v>
      </c>
      <c r="E693" s="37">
        <v>1.3160000000000001</v>
      </c>
      <c r="F693" s="34">
        <v>17.327999999999999</v>
      </c>
      <c r="G693" s="34">
        <f>IF(ISNUMBER(F693),E693*F693,"")</f>
        <v>22.803647999999999</v>
      </c>
      <c r="H693" s="35"/>
      <c r="I693" s="31"/>
      <c r="J693" s="155">
        <v>4.72</v>
      </c>
    </row>
    <row r="694" spans="1:10" ht="15.75" thickBot="1" x14ac:dyDescent="0.3">
      <c r="A694" s="176"/>
      <c r="B694" s="175"/>
      <c r="C694" s="36"/>
      <c r="D694" s="36"/>
      <c r="E694" s="37"/>
      <c r="F694" s="34" t="s">
        <v>568</v>
      </c>
      <c r="G694" s="34" t="str">
        <f>IF(ISNUMBER(F694),E694*F694,"")</f>
        <v/>
      </c>
      <c r="H694" s="35"/>
      <c r="I694" s="31"/>
      <c r="J694" s="155">
        <v>4.72</v>
      </c>
    </row>
    <row r="695" spans="1:10" ht="15.75" hidden="1" thickBot="1" x14ac:dyDescent="0.3">
      <c r="A695" s="172" t="s">
        <v>264</v>
      </c>
      <c r="B695" s="174" t="str">
        <f>INDEX(Orçamentária!A:B,MATCH(Composições!A695,Orçamentária!A:A,0),2)</f>
        <v>Granito Preto São Gabriel 20mm para rodabancada</v>
      </c>
      <c r="C695" s="41"/>
      <c r="D695" s="26" t="str">
        <f>TRIM(INDEX(Orçamentária!C:C,MATCH(Composições!A695,Orçamentária!A:A,0),1))</f>
        <v>m2</v>
      </c>
      <c r="E695" s="27"/>
      <c r="F695" s="42" t="s">
        <v>568</v>
      </c>
      <c r="G695" s="28" t="str">
        <f>IF(ISNUMBER(F695),E695*F695,"")</f>
        <v/>
      </c>
      <c r="H695" s="29"/>
      <c r="I695" s="30"/>
      <c r="J695" s="155">
        <v>0</v>
      </c>
    </row>
    <row r="696" spans="1:10" ht="15.75" hidden="1" thickBot="1" x14ac:dyDescent="0.3">
      <c r="A696" s="176"/>
      <c r="B696" s="175"/>
      <c r="C696" s="32"/>
      <c r="D696" s="32"/>
      <c r="E696" s="33"/>
      <c r="F696" s="43" t="s">
        <v>568</v>
      </c>
      <c r="G696" s="31" t="str">
        <f>IF(ISNUMBER(F696),E696*F696,"")</f>
        <v/>
      </c>
      <c r="H696" s="35"/>
      <c r="I696" s="31"/>
      <c r="J696" s="155">
        <v>0</v>
      </c>
    </row>
    <row r="697" spans="1:10" ht="26.25" hidden="1" thickBot="1" x14ac:dyDescent="0.3">
      <c r="A697" s="176"/>
      <c r="B697" s="175"/>
      <c r="C697" s="36" t="s">
        <v>265</v>
      </c>
      <c r="D697" s="36" t="s">
        <v>93</v>
      </c>
      <c r="E697" s="37">
        <f>ROUND(1.04/0.15,4)</f>
        <v>6.9333</v>
      </c>
      <c r="F697" s="34" t="s">
        <v>568</v>
      </c>
      <c r="G697" s="31" t="str">
        <f>IF(ISNUMBER(F697),E697*F697,"")</f>
        <v/>
      </c>
      <c r="H697" s="39">
        <f>SUM(G697:G701)</f>
        <v>62.564162350000004</v>
      </c>
      <c r="I697" s="40"/>
      <c r="J697" s="155">
        <v>0</v>
      </c>
    </row>
    <row r="698" spans="1:10" ht="15.75" hidden="1" thickBot="1" x14ac:dyDescent="0.3">
      <c r="A698" s="176"/>
      <c r="B698" s="175"/>
      <c r="C698" s="36" t="s">
        <v>3613</v>
      </c>
      <c r="D698" s="36" t="s">
        <v>42</v>
      </c>
      <c r="E698" s="37">
        <f>ROUND(0.8614/0.15,4)</f>
        <v>5.7427000000000001</v>
      </c>
      <c r="F698" s="34">
        <v>1.3109999999999999</v>
      </c>
      <c r="G698" s="34">
        <f>IF(ISNUMBER(F698),E698*F698,"")</f>
        <v>7.5286796999999996</v>
      </c>
      <c r="H698" s="35"/>
      <c r="I698" s="31"/>
      <c r="J698" s="155">
        <v>0</v>
      </c>
    </row>
    <row r="699" spans="1:10" ht="15.75" hidden="1" thickBot="1" x14ac:dyDescent="0.3">
      <c r="A699" s="176"/>
      <c r="B699" s="175"/>
      <c r="C699" s="36" t="s">
        <v>54</v>
      </c>
      <c r="D699" s="36" t="s">
        <v>12</v>
      </c>
      <c r="E699" s="37">
        <f>ROUND(0.299/0.15,4)</f>
        <v>1.9933000000000001</v>
      </c>
      <c r="F699" s="34">
        <v>18.420500000000001</v>
      </c>
      <c r="G699" s="34">
        <f>IF(ISNUMBER(F699),E699*F699,"")</f>
        <v>36.717582650000004</v>
      </c>
      <c r="H699" s="35"/>
      <c r="I699" s="31"/>
      <c r="J699" s="155">
        <v>0</v>
      </c>
    </row>
    <row r="700" spans="1:10" ht="15.75" hidden="1" thickBot="1" x14ac:dyDescent="0.3">
      <c r="A700" s="176"/>
      <c r="B700" s="175"/>
      <c r="C700" s="36" t="s">
        <v>23</v>
      </c>
      <c r="D700" s="36" t="s">
        <v>12</v>
      </c>
      <c r="E700" s="37">
        <f>0.15/0.15</f>
        <v>1</v>
      </c>
      <c r="F700" s="34">
        <v>16.311500000000002</v>
      </c>
      <c r="G700" s="34">
        <f>IF(ISNUMBER(F700),E700*F700,"")</f>
        <v>16.311500000000002</v>
      </c>
      <c r="H700" s="35"/>
      <c r="I700" s="31"/>
      <c r="J700" s="155">
        <v>0</v>
      </c>
    </row>
    <row r="701" spans="1:10" ht="15.75" hidden="1" thickBot="1" x14ac:dyDescent="0.3">
      <c r="A701" s="176"/>
      <c r="B701" s="175"/>
      <c r="C701" s="36" t="s">
        <v>3612</v>
      </c>
      <c r="D701" s="36" t="s">
        <v>42</v>
      </c>
      <c r="E701" s="37">
        <f>0.12/0.15</f>
        <v>0.8</v>
      </c>
      <c r="F701" s="34">
        <v>2.508</v>
      </c>
      <c r="G701" s="34">
        <f>IF(ISNUMBER(F701),E701*F701,"")</f>
        <v>2.0064000000000002</v>
      </c>
      <c r="H701" s="35"/>
      <c r="I701" s="31"/>
      <c r="J701" s="155">
        <v>0</v>
      </c>
    </row>
    <row r="702" spans="1:10" ht="15.75" hidden="1" thickBot="1" x14ac:dyDescent="0.3">
      <c r="A702" s="176"/>
      <c r="B702" s="175"/>
      <c r="C702" s="36"/>
      <c r="D702" s="36"/>
      <c r="E702" s="37"/>
      <c r="F702" s="34" t="s">
        <v>568</v>
      </c>
      <c r="G702" s="34" t="str">
        <f>IF(ISNUMBER(F702),E702*F702,"")</f>
        <v/>
      </c>
      <c r="H702" s="35"/>
      <c r="I702" s="31"/>
      <c r="J702" s="155">
        <v>0</v>
      </c>
    </row>
    <row r="703" spans="1:10" ht="15.75" hidden="1" thickBot="1" x14ac:dyDescent="0.3">
      <c r="A703" s="172" t="s">
        <v>266</v>
      </c>
      <c r="B703" s="174" t="str">
        <f>INDEX(Orçamentária!A:B,MATCH(Composições!A703,Orçamentária!A:A,0),2)</f>
        <v>Granito Preto São Gabriel 20mm para bancadas</v>
      </c>
      <c r="C703" s="41"/>
      <c r="D703" s="26" t="str">
        <f>TRIM(INDEX(Orçamentária!C:C,MATCH(Composições!A703,Orçamentária!A:A,0),1))</f>
        <v>m2</v>
      </c>
      <c r="E703" s="27"/>
      <c r="F703" s="42" t="s">
        <v>568</v>
      </c>
      <c r="G703" s="28" t="str">
        <f>IF(ISNUMBER(F703),E703*F703,"")</f>
        <v/>
      </c>
      <c r="H703" s="29"/>
      <c r="I703" s="30"/>
      <c r="J703" s="155">
        <v>0</v>
      </c>
    </row>
    <row r="704" spans="1:10" ht="15.75" hidden="1" thickBot="1" x14ac:dyDescent="0.3">
      <c r="A704" s="176"/>
      <c r="B704" s="175"/>
      <c r="C704" s="32"/>
      <c r="D704" s="32"/>
      <c r="E704" s="33"/>
      <c r="F704" s="43" t="s">
        <v>568</v>
      </c>
      <c r="G704" s="31" t="str">
        <f>IF(ISNUMBER(F704),E704*F704,"")</f>
        <v/>
      </c>
      <c r="H704" s="35"/>
      <c r="I704" s="31"/>
      <c r="J704" s="155">
        <v>0</v>
      </c>
    </row>
    <row r="705" spans="1:10" ht="15.75" hidden="1" thickBot="1" x14ac:dyDescent="0.3">
      <c r="A705" s="176"/>
      <c r="B705" s="175"/>
      <c r="C705" s="36" t="s">
        <v>3459</v>
      </c>
      <c r="D705" s="36" t="s">
        <v>953</v>
      </c>
      <c r="E705" s="37">
        <f>ROUND(0.5228/(1.5*0.6),4)</f>
        <v>0.58089999999999997</v>
      </c>
      <c r="F705" s="54">
        <v>26.685499999999998</v>
      </c>
      <c r="G705" s="54">
        <f>IF(ISNUMBER(F705),E705*F705,"")</f>
        <v>15.501606949999998</v>
      </c>
      <c r="H705" s="39">
        <f>SUM(G705:G711)</f>
        <v>116.27835554999999</v>
      </c>
      <c r="I705" s="40"/>
      <c r="J705" s="155">
        <v>0</v>
      </c>
    </row>
    <row r="706" spans="1:10" ht="39" hidden="1" thickBot="1" x14ac:dyDescent="0.3">
      <c r="A706" s="176"/>
      <c r="B706" s="175"/>
      <c r="C706" s="36" t="s">
        <v>1195</v>
      </c>
      <c r="D706" s="36" t="s">
        <v>297</v>
      </c>
      <c r="E706" s="37">
        <f>ROUND(6/(1.5*0.6),4)</f>
        <v>6.6666999999999996</v>
      </c>
      <c r="F706" s="54">
        <v>0.75049999999999994</v>
      </c>
      <c r="G706" s="54">
        <f>IF(ISNUMBER(F706),E706*F706,"")</f>
        <v>5.0033583499999992</v>
      </c>
      <c r="H706" s="73"/>
      <c r="I706" s="74"/>
      <c r="J706" s="155">
        <v>0</v>
      </c>
    </row>
    <row r="707" spans="1:10" ht="26.25" hidden="1" thickBot="1" x14ac:dyDescent="0.3">
      <c r="A707" s="176"/>
      <c r="B707" s="175"/>
      <c r="C707" s="36" t="s">
        <v>267</v>
      </c>
      <c r="D707" s="36" t="s">
        <v>1049</v>
      </c>
      <c r="E707" s="37">
        <f>ROUND(1.005/(1.5*0.6),4)</f>
        <v>1.1167</v>
      </c>
      <c r="F707" s="54" t="s">
        <v>568</v>
      </c>
      <c r="G707" s="54" t="str">
        <f>IF(ISNUMBER(F707),E707*F707,"")</f>
        <v/>
      </c>
      <c r="H707" s="73"/>
      <c r="I707" s="74"/>
      <c r="J707" s="155">
        <v>0</v>
      </c>
    </row>
    <row r="708" spans="1:10" ht="15.75" hidden="1" thickBot="1" x14ac:dyDescent="0.3">
      <c r="A708" s="176"/>
      <c r="B708" s="175"/>
      <c r="C708" s="36" t="s">
        <v>3604</v>
      </c>
      <c r="D708" s="36" t="s">
        <v>953</v>
      </c>
      <c r="E708" s="37">
        <f>ROUND(0.0211/(1.5*0.6),4)</f>
        <v>2.3400000000000001E-2</v>
      </c>
      <c r="F708" s="54">
        <v>52.8675</v>
      </c>
      <c r="G708" s="54">
        <f>IF(ISNUMBER(F708),E708*F708,"")</f>
        <v>1.2370995</v>
      </c>
      <c r="H708" s="73"/>
      <c r="I708" s="74"/>
      <c r="J708" s="155">
        <v>0</v>
      </c>
    </row>
    <row r="709" spans="1:10" ht="26.25" hidden="1" thickBot="1" x14ac:dyDescent="0.3">
      <c r="A709" s="176"/>
      <c r="B709" s="175"/>
      <c r="C709" s="36" t="s">
        <v>3467</v>
      </c>
      <c r="D709" s="36" t="s">
        <v>297</v>
      </c>
      <c r="E709" s="37">
        <f>ROUND(2/(1.5*0.6),4)</f>
        <v>2.2222</v>
      </c>
      <c r="F709" s="54">
        <v>20.7575</v>
      </c>
      <c r="G709" s="54">
        <f>IF(ISNUMBER(F709),E709*F709,"")</f>
        <v>46.127316499999999</v>
      </c>
      <c r="H709" s="73"/>
      <c r="I709" s="74"/>
      <c r="J709" s="155">
        <v>0</v>
      </c>
    </row>
    <row r="710" spans="1:10" ht="15.75" hidden="1" thickBot="1" x14ac:dyDescent="0.3">
      <c r="A710" s="176"/>
      <c r="B710" s="175"/>
      <c r="C710" s="36" t="s">
        <v>3429</v>
      </c>
      <c r="D710" s="36" t="s">
        <v>755</v>
      </c>
      <c r="E710" s="37">
        <f>ROUND(1.4944/(1.5*0.6),4)</f>
        <v>1.6604000000000001</v>
      </c>
      <c r="F710" s="54">
        <v>18.420500000000001</v>
      </c>
      <c r="G710" s="54">
        <f>IF(ISNUMBER(F710),E710*F710,"")</f>
        <v>30.585398200000004</v>
      </c>
      <c r="H710" s="73"/>
      <c r="I710" s="74"/>
      <c r="J710" s="155">
        <v>0</v>
      </c>
    </row>
    <row r="711" spans="1:10" ht="15.75" hidden="1" thickBot="1" x14ac:dyDescent="0.3">
      <c r="A711" s="176"/>
      <c r="B711" s="175"/>
      <c r="C711" s="36" t="s">
        <v>756</v>
      </c>
      <c r="D711" s="36" t="s">
        <v>755</v>
      </c>
      <c r="E711" s="37">
        <f>ROUND(0.9834/(1.5*0.6),4)</f>
        <v>1.0927</v>
      </c>
      <c r="F711" s="54">
        <v>16.311500000000002</v>
      </c>
      <c r="G711" s="54">
        <f>IF(ISNUMBER(F711),E711*F711,"")</f>
        <v>17.823576050000003</v>
      </c>
      <c r="H711" s="73"/>
      <c r="I711" s="74"/>
      <c r="J711" s="155">
        <v>0</v>
      </c>
    </row>
    <row r="712" spans="1:10" ht="15.75" hidden="1" thickBot="1" x14ac:dyDescent="0.3">
      <c r="A712" s="176"/>
      <c r="B712" s="175"/>
      <c r="C712" s="36"/>
      <c r="D712" s="36"/>
      <c r="E712" s="37"/>
      <c r="F712" s="31" t="s">
        <v>568</v>
      </c>
      <c r="G712" s="34" t="str">
        <f>IF(ISNUMBER(F712),E712*F712,"")</f>
        <v/>
      </c>
      <c r="H712" s="35"/>
      <c r="I712" s="31"/>
      <c r="J712" s="155">
        <v>0</v>
      </c>
    </row>
    <row r="713" spans="1:10" ht="15.75" hidden="1" thickBot="1" x14ac:dyDescent="0.3">
      <c r="A713" s="172" t="s">
        <v>268</v>
      </c>
      <c r="B713" s="174" t="str">
        <f>INDEX(Orçamentária!A:B,MATCH(Composições!A713,Orçamentária!A:A,0),2)</f>
        <v>Instalação de bancada de granito ou mármore reaproveitada</v>
      </c>
      <c r="C713" s="41"/>
      <c r="D713" s="26" t="str">
        <f>TRIM(INDEX(Orçamentária!C:C,MATCH(Composições!A713,Orçamentária!A:A,0),1))</f>
        <v>m2</v>
      </c>
      <c r="E713" s="27"/>
      <c r="F713" s="42" t="s">
        <v>568</v>
      </c>
      <c r="G713" s="28" t="str">
        <f>IF(ISNUMBER(F713),E713*F713,"")</f>
        <v/>
      </c>
      <c r="H713" s="29"/>
      <c r="I713" s="30"/>
      <c r="J713" s="155">
        <v>0</v>
      </c>
    </row>
    <row r="714" spans="1:10" ht="15.75" hidden="1" thickBot="1" x14ac:dyDescent="0.3">
      <c r="A714" s="176"/>
      <c r="B714" s="175"/>
      <c r="C714" s="32"/>
      <c r="D714" s="32"/>
      <c r="E714" s="33"/>
      <c r="F714" s="43" t="s">
        <v>568</v>
      </c>
      <c r="G714" s="31" t="str">
        <f>IF(ISNUMBER(F714),E714*F714,"")</f>
        <v/>
      </c>
      <c r="H714" s="35"/>
      <c r="I714" s="31"/>
      <c r="J714" s="155">
        <v>0</v>
      </c>
    </row>
    <row r="715" spans="1:10" ht="15.75" hidden="1" thickBot="1" x14ac:dyDescent="0.3">
      <c r="A715" s="176"/>
      <c r="B715" s="175"/>
      <c r="C715" s="36" t="s">
        <v>3459</v>
      </c>
      <c r="D715" s="36" t="s">
        <v>953</v>
      </c>
      <c r="E715" s="37">
        <f>ROUND(0.5228/(1.5*0.6),4)</f>
        <v>0.58089999999999997</v>
      </c>
      <c r="F715" s="54">
        <v>26.685499999999998</v>
      </c>
      <c r="G715" s="54">
        <f>IF(ISNUMBER(F715),E715*F715,"")</f>
        <v>15.501606949999998</v>
      </c>
      <c r="H715" s="39">
        <f>SUM(G715:G720)</f>
        <v>116.27835554999999</v>
      </c>
      <c r="I715" s="40"/>
      <c r="J715" s="155">
        <v>0</v>
      </c>
    </row>
    <row r="716" spans="1:10" ht="39" hidden="1" thickBot="1" x14ac:dyDescent="0.3">
      <c r="A716" s="176"/>
      <c r="B716" s="175"/>
      <c r="C716" s="36" t="s">
        <v>1195</v>
      </c>
      <c r="D716" s="36" t="s">
        <v>297</v>
      </c>
      <c r="E716" s="37">
        <f>ROUND(6/(1.5*0.6),4)</f>
        <v>6.6666999999999996</v>
      </c>
      <c r="F716" s="54">
        <v>0.75049999999999994</v>
      </c>
      <c r="G716" s="54">
        <f>IF(ISNUMBER(F716),E716*F716,"")</f>
        <v>5.0033583499999992</v>
      </c>
      <c r="H716" s="73"/>
      <c r="I716" s="74"/>
      <c r="J716" s="155">
        <v>0</v>
      </c>
    </row>
    <row r="717" spans="1:10" ht="15.75" hidden="1" thickBot="1" x14ac:dyDescent="0.3">
      <c r="A717" s="176"/>
      <c r="B717" s="175"/>
      <c r="C717" s="36" t="s">
        <v>3604</v>
      </c>
      <c r="D717" s="36" t="s">
        <v>953</v>
      </c>
      <c r="E717" s="37">
        <f>ROUND(0.0211/(1.5*0.6),4)</f>
        <v>2.3400000000000001E-2</v>
      </c>
      <c r="F717" s="54">
        <v>52.8675</v>
      </c>
      <c r="G717" s="54">
        <f>IF(ISNUMBER(F717),E717*F717,"")</f>
        <v>1.2370995</v>
      </c>
      <c r="H717" s="73"/>
      <c r="I717" s="74"/>
      <c r="J717" s="155">
        <v>0</v>
      </c>
    </row>
    <row r="718" spans="1:10" ht="26.25" hidden="1" thickBot="1" x14ac:dyDescent="0.3">
      <c r="A718" s="176"/>
      <c r="B718" s="175"/>
      <c r="C718" s="36" t="s">
        <v>3467</v>
      </c>
      <c r="D718" s="36" t="s">
        <v>297</v>
      </c>
      <c r="E718" s="37">
        <f>ROUND(2/(1.5*0.6),4)</f>
        <v>2.2222</v>
      </c>
      <c r="F718" s="54">
        <v>20.7575</v>
      </c>
      <c r="G718" s="54">
        <f>IF(ISNUMBER(F718),E718*F718,"")</f>
        <v>46.127316499999999</v>
      </c>
      <c r="H718" s="73"/>
      <c r="I718" s="74"/>
      <c r="J718" s="155">
        <v>0</v>
      </c>
    </row>
    <row r="719" spans="1:10" ht="15.75" hidden="1" thickBot="1" x14ac:dyDescent="0.3">
      <c r="A719" s="176"/>
      <c r="B719" s="175"/>
      <c r="C719" s="36" t="s">
        <v>3429</v>
      </c>
      <c r="D719" s="36" t="s">
        <v>755</v>
      </c>
      <c r="E719" s="37">
        <f>ROUND(1.4944/(1.5*0.6),4)</f>
        <v>1.6604000000000001</v>
      </c>
      <c r="F719" s="54">
        <v>18.420500000000001</v>
      </c>
      <c r="G719" s="54">
        <f>IF(ISNUMBER(F719),E719*F719,"")</f>
        <v>30.585398200000004</v>
      </c>
      <c r="H719" s="73"/>
      <c r="I719" s="74"/>
      <c r="J719" s="155">
        <v>0</v>
      </c>
    </row>
    <row r="720" spans="1:10" ht="15.75" hidden="1" thickBot="1" x14ac:dyDescent="0.3">
      <c r="A720" s="176"/>
      <c r="B720" s="175"/>
      <c r="C720" s="36" t="s">
        <v>756</v>
      </c>
      <c r="D720" s="36" t="s">
        <v>755</v>
      </c>
      <c r="E720" s="37">
        <f>ROUND(0.9834/(1.5*0.6),4)</f>
        <v>1.0927</v>
      </c>
      <c r="F720" s="54">
        <v>16.311500000000002</v>
      </c>
      <c r="G720" s="54">
        <f>IF(ISNUMBER(F720),E720*F720,"")</f>
        <v>17.823576050000003</v>
      </c>
      <c r="H720" s="73"/>
      <c r="I720" s="74"/>
      <c r="J720" s="155">
        <v>0</v>
      </c>
    </row>
    <row r="721" spans="1:10" ht="15.75" hidden="1" thickBot="1" x14ac:dyDescent="0.3">
      <c r="A721" s="177"/>
      <c r="B721" s="178"/>
      <c r="C721" s="36"/>
      <c r="D721" s="36"/>
      <c r="E721" s="37"/>
      <c r="F721" s="31" t="s">
        <v>568</v>
      </c>
      <c r="G721" s="31" t="str">
        <f>IF(ISNUMBER(F721),E721*F721,"")</f>
        <v/>
      </c>
      <c r="H721" s="35"/>
      <c r="I721" s="31"/>
      <c r="J721" s="155">
        <v>0</v>
      </c>
    </row>
    <row r="722" spans="1:10" ht="15.75" hidden="1" thickBot="1" x14ac:dyDescent="0.3">
      <c r="A722" s="172" t="s">
        <v>269</v>
      </c>
      <c r="B722" s="174" t="str">
        <f>INDEX(Orçamentária!A:B,MATCH(Composições!A722,Orçamentária!A:A,0),2)</f>
        <v>Instalação de rodapé reaproveitado, de mármore ou granito</v>
      </c>
      <c r="C722" s="41"/>
      <c r="D722" s="26" t="str">
        <f>TRIM(INDEX(Orçamentária!C:C,MATCH(Composições!A722,Orçamentária!A:A,0),1))</f>
        <v>m2</v>
      </c>
      <c r="E722" s="27"/>
      <c r="F722" s="42" t="s">
        <v>568</v>
      </c>
      <c r="G722" s="28" t="str">
        <f>IF(ISNUMBER(F722),E722*F722,"")</f>
        <v/>
      </c>
      <c r="H722" s="29"/>
      <c r="I722" s="30"/>
      <c r="J722" s="155">
        <v>0</v>
      </c>
    </row>
    <row r="723" spans="1:10" ht="15.75" hidden="1" thickBot="1" x14ac:dyDescent="0.3">
      <c r="A723" s="176"/>
      <c r="B723" s="175"/>
      <c r="C723" s="32"/>
      <c r="D723" s="32"/>
      <c r="E723" s="33"/>
      <c r="F723" s="43" t="s">
        <v>568</v>
      </c>
      <c r="G723" s="31" t="str">
        <f>IF(ISNUMBER(F723),E723*F723,"")</f>
        <v/>
      </c>
      <c r="H723" s="35"/>
      <c r="I723" s="31"/>
      <c r="J723" s="155">
        <v>0</v>
      </c>
    </row>
    <row r="724" spans="1:10" ht="15.75" hidden="1" thickBot="1" x14ac:dyDescent="0.3">
      <c r="A724" s="176"/>
      <c r="B724" s="175"/>
      <c r="C724" s="36" t="s">
        <v>3613</v>
      </c>
      <c r="D724" s="36" t="s">
        <v>42</v>
      </c>
      <c r="E724" s="37">
        <f>0.8614</f>
        <v>0.86140000000000005</v>
      </c>
      <c r="F724" s="34">
        <v>1.3109999999999999</v>
      </c>
      <c r="G724" s="34">
        <f>IF(ISNUMBER(F724),E724*F724,"")</f>
        <v>1.1292953999999999</v>
      </c>
      <c r="H724" s="39">
        <f>SUM(G724:G727)</f>
        <v>9.3847099000000007</v>
      </c>
      <c r="I724" s="40"/>
      <c r="J724" s="155">
        <v>0</v>
      </c>
    </row>
    <row r="725" spans="1:10" ht="15.75" hidden="1" thickBot="1" x14ac:dyDescent="0.3">
      <c r="A725" s="176"/>
      <c r="B725" s="175"/>
      <c r="C725" s="36" t="s">
        <v>54</v>
      </c>
      <c r="D725" s="36" t="s">
        <v>12</v>
      </c>
      <c r="E725" s="37">
        <f>0.299</f>
        <v>0.29899999999999999</v>
      </c>
      <c r="F725" s="31">
        <v>18.420500000000001</v>
      </c>
      <c r="G725" s="34">
        <f>IF(ISNUMBER(F725),E725*F725,"")</f>
        <v>5.5077294999999999</v>
      </c>
      <c r="H725" s="35"/>
      <c r="I725" s="31"/>
      <c r="J725" s="155">
        <v>0</v>
      </c>
    </row>
    <row r="726" spans="1:10" ht="15.75" hidden="1" thickBot="1" x14ac:dyDescent="0.3">
      <c r="A726" s="176"/>
      <c r="B726" s="175"/>
      <c r="C726" s="36" t="s">
        <v>23</v>
      </c>
      <c r="D726" s="36" t="s">
        <v>12</v>
      </c>
      <c r="E726" s="37">
        <f>0.15</f>
        <v>0.15</v>
      </c>
      <c r="F726" s="31">
        <v>16.311500000000002</v>
      </c>
      <c r="G726" s="34">
        <f>IF(ISNUMBER(F726),E726*F726,"")</f>
        <v>2.4467250000000003</v>
      </c>
      <c r="H726" s="35"/>
      <c r="I726" s="31"/>
      <c r="J726" s="155">
        <v>0</v>
      </c>
    </row>
    <row r="727" spans="1:10" ht="15.75" hidden="1" thickBot="1" x14ac:dyDescent="0.3">
      <c r="A727" s="176"/>
      <c r="B727" s="175"/>
      <c r="C727" s="36" t="s">
        <v>3612</v>
      </c>
      <c r="D727" s="36" t="s">
        <v>42</v>
      </c>
      <c r="E727" s="37">
        <f>0.12</f>
        <v>0.12</v>
      </c>
      <c r="F727" s="34">
        <v>2.508</v>
      </c>
      <c r="G727" s="34">
        <f>IF(ISNUMBER(F727),E727*F727,"")</f>
        <v>0.30096000000000001</v>
      </c>
      <c r="H727" s="35"/>
      <c r="I727" s="31"/>
      <c r="J727" s="155">
        <v>0</v>
      </c>
    </row>
    <row r="728" spans="1:10" ht="15.75" hidden="1" thickBot="1" x14ac:dyDescent="0.3">
      <c r="A728" s="177"/>
      <c r="B728" s="178"/>
      <c r="C728" s="36"/>
      <c r="D728" s="36"/>
      <c r="E728" s="37"/>
      <c r="F728" s="31" t="s">
        <v>568</v>
      </c>
      <c r="G728" s="31" t="str">
        <f>IF(ISNUMBER(F728),E728*F728,"")</f>
        <v/>
      </c>
      <c r="H728" s="35"/>
      <c r="I728" s="31"/>
      <c r="J728" s="155">
        <v>0</v>
      </c>
    </row>
    <row r="729" spans="1:10" ht="15.75" hidden="1" thickBot="1" x14ac:dyDescent="0.3">
      <c r="A729" s="172" t="s">
        <v>270</v>
      </c>
      <c r="B729" s="174" t="str">
        <f>INDEX(Orçamentária!A:B,MATCH(Composições!A729,Orçamentária!A:A,0),2)</f>
        <v>Instalação de soleira ou peitoril, de mármore ou granito, reaproveitados</v>
      </c>
      <c r="C729" s="41"/>
      <c r="D729" s="26" t="str">
        <f>TRIM(INDEX(Orçamentária!C:C,MATCH(Composições!A729,Orçamentária!A:A,0),1))</f>
        <v>m2</v>
      </c>
      <c r="E729" s="27"/>
      <c r="F729" s="42" t="s">
        <v>568</v>
      </c>
      <c r="G729" s="28" t="str">
        <f>IF(ISNUMBER(F729),E729*F729,"")</f>
        <v/>
      </c>
      <c r="H729" s="29"/>
      <c r="I729" s="30"/>
      <c r="J729" s="155">
        <v>0</v>
      </c>
    </row>
    <row r="730" spans="1:10" ht="15.75" hidden="1" thickBot="1" x14ac:dyDescent="0.3">
      <c r="A730" s="176"/>
      <c r="B730" s="175"/>
      <c r="C730" s="32"/>
      <c r="D730" s="32"/>
      <c r="E730" s="33"/>
      <c r="F730" s="43" t="s">
        <v>568</v>
      </c>
      <c r="G730" s="31" t="str">
        <f>IF(ISNUMBER(F730),E730*F730,"")</f>
        <v/>
      </c>
      <c r="H730" s="35"/>
      <c r="I730" s="31"/>
      <c r="J730" s="155">
        <v>0</v>
      </c>
    </row>
    <row r="731" spans="1:10" ht="15.75" hidden="1" thickBot="1" x14ac:dyDescent="0.3">
      <c r="A731" s="176"/>
      <c r="B731" s="175"/>
      <c r="C731" s="36" t="s">
        <v>54</v>
      </c>
      <c r="D731" s="36" t="s">
        <v>12</v>
      </c>
      <c r="E731" s="37">
        <v>1.1879999999999999</v>
      </c>
      <c r="F731" s="31">
        <v>18.420500000000001</v>
      </c>
      <c r="G731" s="34">
        <f>IF(ISNUMBER(F731),E731*F731,"")</f>
        <v>21.883554</v>
      </c>
      <c r="H731" s="39">
        <f>SUM(G731:G733)</f>
        <v>42.873405000000005</v>
      </c>
      <c r="I731" s="40"/>
      <c r="J731" s="155">
        <v>0</v>
      </c>
    </row>
    <row r="732" spans="1:10" ht="15.75" hidden="1" thickBot="1" x14ac:dyDescent="0.3">
      <c r="A732" s="176"/>
      <c r="B732" s="175"/>
      <c r="C732" s="36" t="s">
        <v>23</v>
      </c>
      <c r="D732" s="36" t="s">
        <v>12</v>
      </c>
      <c r="E732" s="37">
        <v>0.59399999999999997</v>
      </c>
      <c r="F732" s="31">
        <v>16.311500000000002</v>
      </c>
      <c r="G732" s="34">
        <f>IF(ISNUMBER(F732),E732*F732,"")</f>
        <v>9.6890310000000017</v>
      </c>
      <c r="H732" s="35"/>
      <c r="I732" s="31"/>
      <c r="J732" s="155">
        <v>0</v>
      </c>
    </row>
    <row r="733" spans="1:10" ht="15.75" hidden="1" thickBot="1" x14ac:dyDescent="0.3">
      <c r="A733" s="176"/>
      <c r="B733" s="175"/>
      <c r="C733" s="36" t="s">
        <v>3613</v>
      </c>
      <c r="D733" s="36" t="s">
        <v>42</v>
      </c>
      <c r="E733" s="37">
        <v>8.6199999999999992</v>
      </c>
      <c r="F733" s="34">
        <v>1.3109999999999999</v>
      </c>
      <c r="G733" s="34">
        <f>IF(ISNUMBER(F733),E733*F733,"")</f>
        <v>11.300819999999998</v>
      </c>
      <c r="H733" s="35"/>
      <c r="I733" s="31"/>
      <c r="J733" s="155">
        <v>0</v>
      </c>
    </row>
    <row r="734" spans="1:10" ht="15.75" hidden="1" thickBot="1" x14ac:dyDescent="0.3">
      <c r="A734" s="177"/>
      <c r="B734" s="178"/>
      <c r="C734" s="36"/>
      <c r="D734" s="36"/>
      <c r="E734" s="37"/>
      <c r="F734" s="31" t="s">
        <v>568</v>
      </c>
      <c r="G734" s="31" t="str">
        <f>IF(ISNUMBER(F734),E734*F734,"")</f>
        <v/>
      </c>
      <c r="H734" s="35"/>
      <c r="I734" s="31"/>
      <c r="J734" s="155">
        <v>0</v>
      </c>
    </row>
    <row r="735" spans="1:10" ht="15.75" hidden="1" thickBot="1" x14ac:dyDescent="0.3">
      <c r="A735" s="172" t="s">
        <v>271</v>
      </c>
      <c r="B735" s="174" t="str">
        <f>INDEX(Orçamentária!A:B,MATCH(Composições!A735,Orçamentária!A:A,0),2)</f>
        <v>Mármore Branco Especial 20mm para rodabancada</v>
      </c>
      <c r="C735" s="41"/>
      <c r="D735" s="26" t="str">
        <f>TRIM(INDEX(Orçamentária!C:C,MATCH(Composições!A735,Orçamentária!A:A,0),1))</f>
        <v>m2</v>
      </c>
      <c r="E735" s="27"/>
      <c r="F735" s="42" t="s">
        <v>568</v>
      </c>
      <c r="G735" s="28" t="str">
        <f>IF(ISNUMBER(F735),E735*F735,"")</f>
        <v/>
      </c>
      <c r="H735" s="29"/>
      <c r="I735" s="30"/>
      <c r="J735" s="155">
        <v>0</v>
      </c>
    </row>
    <row r="736" spans="1:10" ht="15.75" hidden="1" thickBot="1" x14ac:dyDescent="0.3">
      <c r="A736" s="176"/>
      <c r="B736" s="175"/>
      <c r="C736" s="32"/>
      <c r="D736" s="32"/>
      <c r="E736" s="33"/>
      <c r="F736" s="43" t="s">
        <v>568</v>
      </c>
      <c r="G736" s="31" t="str">
        <f>IF(ISNUMBER(F736),E736*F736,"")</f>
        <v/>
      </c>
      <c r="H736" s="35"/>
      <c r="I736" s="31"/>
      <c r="J736" s="155">
        <v>0</v>
      </c>
    </row>
    <row r="737" spans="1:10" ht="26.25" hidden="1" thickBot="1" x14ac:dyDescent="0.3">
      <c r="A737" s="176"/>
      <c r="B737" s="175"/>
      <c r="C737" s="36" t="s">
        <v>272</v>
      </c>
      <c r="D737" s="36" t="s">
        <v>93</v>
      </c>
      <c r="E737" s="37">
        <f>ROUND(1.04/0.15,4)</f>
        <v>6.9333</v>
      </c>
      <c r="F737" s="34" t="s">
        <v>568</v>
      </c>
      <c r="G737" s="34" t="str">
        <f>IF(ISNUMBER(F737),E737*F737,"")</f>
        <v/>
      </c>
      <c r="H737" s="39">
        <f>SUM(G737:G741)</f>
        <v>43.224525</v>
      </c>
      <c r="I737" s="40"/>
      <c r="J737" s="155">
        <v>0</v>
      </c>
    </row>
    <row r="738" spans="1:10" ht="15.75" hidden="1" thickBot="1" x14ac:dyDescent="0.3">
      <c r="A738" s="176"/>
      <c r="B738" s="175"/>
      <c r="C738" s="36" t="s">
        <v>3613</v>
      </c>
      <c r="D738" s="36" t="s">
        <v>42</v>
      </c>
      <c r="E738" s="37">
        <v>8.6199999999999992</v>
      </c>
      <c r="F738" s="34">
        <v>1.3109999999999999</v>
      </c>
      <c r="G738" s="34">
        <f>IF(ISNUMBER(F738),E738*F738,"")</f>
        <v>11.300819999999998</v>
      </c>
      <c r="H738" s="35"/>
      <c r="I738" s="31"/>
      <c r="J738" s="155">
        <v>0</v>
      </c>
    </row>
    <row r="739" spans="1:10" ht="15.75" hidden="1" thickBot="1" x14ac:dyDescent="0.3">
      <c r="A739" s="176"/>
      <c r="B739" s="175"/>
      <c r="C739" s="36" t="s">
        <v>54</v>
      </c>
      <c r="D739" s="36" t="s">
        <v>12</v>
      </c>
      <c r="E739" s="37">
        <v>1.1879999999999999</v>
      </c>
      <c r="F739" s="31">
        <v>18.420500000000001</v>
      </c>
      <c r="G739" s="34">
        <f>IF(ISNUMBER(F739),E739*F739,"")</f>
        <v>21.883554</v>
      </c>
      <c r="H739" s="35"/>
      <c r="I739" s="31"/>
      <c r="J739" s="155">
        <v>0</v>
      </c>
    </row>
    <row r="740" spans="1:10" ht="15.75" hidden="1" thickBot="1" x14ac:dyDescent="0.3">
      <c r="A740" s="176"/>
      <c r="B740" s="175"/>
      <c r="C740" s="36" t="s">
        <v>23</v>
      </c>
      <c r="D740" s="36" t="s">
        <v>12</v>
      </c>
      <c r="E740" s="37">
        <v>0.59399999999999997</v>
      </c>
      <c r="F740" s="31">
        <v>16.311500000000002</v>
      </c>
      <c r="G740" s="34">
        <f>IF(ISNUMBER(F740),E740*F740,"")</f>
        <v>9.6890310000000017</v>
      </c>
      <c r="H740" s="35"/>
      <c r="I740" s="31"/>
      <c r="J740" s="155">
        <v>0</v>
      </c>
    </row>
    <row r="741" spans="1:10" ht="15.75" hidden="1" thickBot="1" x14ac:dyDescent="0.3">
      <c r="A741" s="176"/>
      <c r="B741" s="175"/>
      <c r="C741" s="36" t="s">
        <v>3612</v>
      </c>
      <c r="D741" s="36" t="s">
        <v>42</v>
      </c>
      <c r="E741" s="37">
        <v>0.14000000000000001</v>
      </c>
      <c r="F741" s="34">
        <v>2.508</v>
      </c>
      <c r="G741" s="34">
        <f>IF(ISNUMBER(F741),E741*F741,"")</f>
        <v>0.35112000000000004</v>
      </c>
      <c r="H741" s="35"/>
      <c r="I741" s="31"/>
      <c r="J741" s="155">
        <v>0</v>
      </c>
    </row>
    <row r="742" spans="1:10" ht="15.75" hidden="1" thickBot="1" x14ac:dyDescent="0.3">
      <c r="A742" s="176"/>
      <c r="B742" s="175"/>
      <c r="C742" s="36"/>
      <c r="D742" s="36"/>
      <c r="E742" s="37"/>
      <c r="F742" s="34" t="s">
        <v>568</v>
      </c>
      <c r="G742" s="34" t="str">
        <f>IF(ISNUMBER(F742),E742*F742,"")</f>
        <v/>
      </c>
      <c r="H742" s="35"/>
      <c r="I742" s="31"/>
      <c r="J742" s="155">
        <v>0</v>
      </c>
    </row>
    <row r="743" spans="1:10" ht="15.75" hidden="1" thickBot="1" x14ac:dyDescent="0.3">
      <c r="A743" s="172" t="s">
        <v>273</v>
      </c>
      <c r="B743" s="174" t="str">
        <f>INDEX(Orçamentária!A:B,MATCH(Composições!A743,Orçamentária!A:A,0),2)</f>
        <v>Instalação de divisória e porta de divisória com dobradiça reaproveitadas</v>
      </c>
      <c r="C743" s="41"/>
      <c r="D743" s="26" t="str">
        <f>TRIM(INDEX(Orçamentária!C:C,MATCH(Composições!A743,Orçamentária!A:A,0),1))</f>
        <v>m2</v>
      </c>
      <c r="E743" s="27"/>
      <c r="F743" s="42" t="s">
        <v>568</v>
      </c>
      <c r="G743" s="28" t="str">
        <f>IF(ISNUMBER(F743),E743*F743,"")</f>
        <v/>
      </c>
      <c r="H743" s="29"/>
      <c r="I743" s="30"/>
      <c r="J743" s="155">
        <v>0</v>
      </c>
    </row>
    <row r="744" spans="1:10" ht="15.75" hidden="1" thickBot="1" x14ac:dyDescent="0.3">
      <c r="A744" s="176"/>
      <c r="B744" s="175"/>
      <c r="C744" s="32"/>
      <c r="D744" s="32"/>
      <c r="E744" s="33"/>
      <c r="F744" s="43" t="s">
        <v>568</v>
      </c>
      <c r="G744" s="31" t="str">
        <f>IF(ISNUMBER(F744),E744*F744,"")</f>
        <v/>
      </c>
      <c r="H744" s="35"/>
      <c r="I744" s="31"/>
      <c r="J744" s="155">
        <v>0</v>
      </c>
    </row>
    <row r="745" spans="1:10" ht="26.25" hidden="1" thickBot="1" x14ac:dyDescent="0.3">
      <c r="A745" s="176"/>
      <c r="B745" s="175"/>
      <c r="C745" s="36" t="s">
        <v>274</v>
      </c>
      <c r="D745" s="47" t="s">
        <v>95</v>
      </c>
      <c r="E745" s="37">
        <v>1</v>
      </c>
      <c r="F745" s="31">
        <v>0</v>
      </c>
      <c r="G745" s="34">
        <f>IF(ISNUMBER(F745),E745*F745,"")</f>
        <v>0</v>
      </c>
      <c r="H745" s="39">
        <f>SUM(G745:G745)</f>
        <v>0</v>
      </c>
      <c r="I745" s="40"/>
      <c r="J745" s="155">
        <v>0</v>
      </c>
    </row>
    <row r="746" spans="1:10" ht="15.75" hidden="1" thickBot="1" x14ac:dyDescent="0.3">
      <c r="A746" s="177"/>
      <c r="B746" s="178"/>
      <c r="C746" s="36"/>
      <c r="D746" s="36"/>
      <c r="E746" s="37"/>
      <c r="F746" s="31" t="s">
        <v>568</v>
      </c>
      <c r="G746" s="31" t="str">
        <f>IF(ISNUMBER(F746),E746*F746,"")</f>
        <v/>
      </c>
      <c r="H746" s="35"/>
      <c r="I746" s="31"/>
      <c r="J746" s="155">
        <v>0</v>
      </c>
    </row>
    <row r="747" spans="1:10" ht="15.75" hidden="1" thickBot="1" x14ac:dyDescent="0.3">
      <c r="A747" s="172" t="s">
        <v>275</v>
      </c>
      <c r="B747" s="174" t="str">
        <f>INDEX(Orçamentária!A:B,MATCH(Composições!A747,Orçamentária!A:A,0),2)</f>
        <v>Alçapão em forro de gesso acartonado</v>
      </c>
      <c r="C747" s="41"/>
      <c r="D747" s="26" t="str">
        <f>TRIM(INDEX(Orçamentária!C:C,MATCH(Composições!A747,Orçamentária!A:A,0),1))</f>
        <v>m2</v>
      </c>
      <c r="E747" s="27"/>
      <c r="F747" s="42" t="s">
        <v>568</v>
      </c>
      <c r="G747" s="28" t="str">
        <f>IF(ISNUMBER(F747),E747*F747,"")</f>
        <v/>
      </c>
      <c r="H747" s="29"/>
      <c r="I747" s="30"/>
      <c r="J747" s="155">
        <v>0</v>
      </c>
    </row>
    <row r="748" spans="1:10" ht="15.75" hidden="1" thickBot="1" x14ac:dyDescent="0.3">
      <c r="A748" s="176"/>
      <c r="B748" s="175"/>
      <c r="C748" s="32"/>
      <c r="D748" s="32"/>
      <c r="E748" s="33"/>
      <c r="F748" s="43" t="s">
        <v>568</v>
      </c>
      <c r="G748" s="31" t="str">
        <f>IF(ISNUMBER(F748),E748*F748,"")</f>
        <v/>
      </c>
      <c r="H748" s="35"/>
      <c r="I748" s="31"/>
      <c r="J748" s="155">
        <v>0</v>
      </c>
    </row>
    <row r="749" spans="1:10" ht="26.25" hidden="1" thickBot="1" x14ac:dyDescent="0.3">
      <c r="A749" s="176"/>
      <c r="B749" s="175"/>
      <c r="C749" s="36" t="s">
        <v>276</v>
      </c>
      <c r="D749" s="47" t="s">
        <v>93</v>
      </c>
      <c r="E749" s="37">
        <f>2*(1.5+0.67)</f>
        <v>4.34</v>
      </c>
      <c r="F749" s="34">
        <v>4.607499999999999</v>
      </c>
      <c r="G749" s="34">
        <f>IF(ISNUMBER(F749),E749*F749,"")</f>
        <v>19.996549999999996</v>
      </c>
      <c r="H749" s="39">
        <f>SUM(G749:G752)</f>
        <v>58.281549999999996</v>
      </c>
      <c r="I749" s="40"/>
      <c r="J749" s="155">
        <v>0</v>
      </c>
    </row>
    <row r="750" spans="1:10" ht="15.75" hidden="1" thickBot="1" x14ac:dyDescent="0.3">
      <c r="A750" s="176"/>
      <c r="B750" s="175"/>
      <c r="C750" s="36" t="s">
        <v>277</v>
      </c>
      <c r="D750" s="47" t="s">
        <v>95</v>
      </c>
      <c r="E750" s="37">
        <f>0.36/0.6/0.6</f>
        <v>1</v>
      </c>
      <c r="F750" s="34" t="s">
        <v>568</v>
      </c>
      <c r="G750" s="34" t="str">
        <f>IF(ISNUMBER(F750),E750*F750,"")</f>
        <v/>
      </c>
      <c r="H750" s="35"/>
      <c r="I750" s="31"/>
      <c r="J750" s="155">
        <v>0</v>
      </c>
    </row>
    <row r="751" spans="1:10" ht="15.75" hidden="1" thickBot="1" x14ac:dyDescent="0.3">
      <c r="A751" s="176"/>
      <c r="B751" s="175"/>
      <c r="C751" s="36" t="s">
        <v>186</v>
      </c>
      <c r="D751" s="47" t="s">
        <v>12</v>
      </c>
      <c r="E751" s="37">
        <v>1</v>
      </c>
      <c r="F751" s="31">
        <v>21.973499999999998</v>
      </c>
      <c r="G751" s="34">
        <f>IF(ISNUMBER(F751),E751*F751,"")</f>
        <v>21.973499999999998</v>
      </c>
      <c r="H751" s="35"/>
      <c r="I751" s="31"/>
      <c r="J751" s="155">
        <v>0</v>
      </c>
    </row>
    <row r="752" spans="1:10" ht="15.75" hidden="1" thickBot="1" x14ac:dyDescent="0.3">
      <c r="A752" s="176"/>
      <c r="B752" s="175"/>
      <c r="C752" s="36" t="s">
        <v>23</v>
      </c>
      <c r="D752" s="47" t="s">
        <v>12</v>
      </c>
      <c r="E752" s="37">
        <v>1</v>
      </c>
      <c r="F752" s="31">
        <v>16.311500000000002</v>
      </c>
      <c r="G752" s="34">
        <f>IF(ISNUMBER(F752),E752*F752,"")</f>
        <v>16.311500000000002</v>
      </c>
      <c r="H752" s="35"/>
      <c r="I752" s="31"/>
      <c r="J752" s="155">
        <v>0</v>
      </c>
    </row>
    <row r="753" spans="1:10" ht="15.75" hidden="1" thickBot="1" x14ac:dyDescent="0.3">
      <c r="A753" s="177"/>
      <c r="B753" s="178"/>
      <c r="C753" s="36"/>
      <c r="D753" s="36"/>
      <c r="E753" s="37"/>
      <c r="F753" s="31" t="s">
        <v>568</v>
      </c>
      <c r="G753" s="31" t="str">
        <f>IF(ISNUMBER(F753),E753*F753,"")</f>
        <v/>
      </c>
      <c r="H753" s="35"/>
      <c r="I753" s="31"/>
      <c r="J753" s="155">
        <v>0</v>
      </c>
    </row>
    <row r="754" spans="1:10" ht="15.75" hidden="1" thickBot="1" x14ac:dyDescent="0.3">
      <c r="A754" s="172" t="s">
        <v>278</v>
      </c>
      <c r="B754" s="174" t="str">
        <f>INDEX(Orçamentária!A:B,MATCH(Composições!A754,Orçamentária!A:A,0),2)</f>
        <v>Forro de PVC em réguas de 100 x 6000mm</v>
      </c>
      <c r="C754" s="41"/>
      <c r="D754" s="26" t="str">
        <f>TRIM(INDEX(Orçamentária!C:C,MATCH(Composições!A754,Orçamentária!A:A,0),1))</f>
        <v>m2</v>
      </c>
      <c r="E754" s="27"/>
      <c r="F754" s="42" t="s">
        <v>568</v>
      </c>
      <c r="G754" s="28" t="str">
        <f>IF(ISNUMBER(F754),E754*F754,"")</f>
        <v/>
      </c>
      <c r="H754" s="29"/>
      <c r="I754" s="30"/>
      <c r="J754" s="155">
        <v>0</v>
      </c>
    </row>
    <row r="755" spans="1:10" ht="15.75" hidden="1" thickBot="1" x14ac:dyDescent="0.3">
      <c r="A755" s="176"/>
      <c r="B755" s="175"/>
      <c r="C755" s="32"/>
      <c r="D755" s="32"/>
      <c r="E755" s="33"/>
      <c r="F755" s="43" t="s">
        <v>568</v>
      </c>
      <c r="G755" s="31" t="str">
        <f>IF(ISNUMBER(F755),E755*F755,"")</f>
        <v/>
      </c>
      <c r="H755" s="35"/>
      <c r="I755" s="31"/>
      <c r="J755" s="155">
        <v>0</v>
      </c>
    </row>
    <row r="756" spans="1:10" ht="26.25" hidden="1" thickBot="1" x14ac:dyDescent="0.3">
      <c r="A756" s="176"/>
      <c r="B756" s="175"/>
      <c r="C756" s="36" t="s">
        <v>279</v>
      </c>
      <c r="D756" s="47" t="s">
        <v>42</v>
      </c>
      <c r="E756" s="37">
        <v>4.2599999999999999E-2</v>
      </c>
      <c r="F756" s="34">
        <v>21.878499999999999</v>
      </c>
      <c r="G756" s="31">
        <f>IF(ISNUMBER(F756),E756*F756,"")</f>
        <v>0.93202409999999991</v>
      </c>
      <c r="H756" s="39">
        <f>SUM(G756:G763)</f>
        <v>58.347007849999997</v>
      </c>
      <c r="I756" s="40"/>
      <c r="J756" s="155">
        <v>0</v>
      </c>
    </row>
    <row r="757" spans="1:10" ht="26.25" hidden="1" thickBot="1" x14ac:dyDescent="0.3">
      <c r="A757" s="176"/>
      <c r="B757" s="175"/>
      <c r="C757" s="36" t="s">
        <v>280</v>
      </c>
      <c r="D757" s="47" t="s">
        <v>95</v>
      </c>
      <c r="E757" s="37">
        <v>1.0955999999999999</v>
      </c>
      <c r="F757" s="34">
        <v>21.849999999999998</v>
      </c>
      <c r="G757" s="31">
        <f>IF(ISNUMBER(F757),E757*F757,"")</f>
        <v>23.938859999999995</v>
      </c>
      <c r="H757" s="35"/>
      <c r="I757" s="31"/>
      <c r="J757" s="155">
        <v>0</v>
      </c>
    </row>
    <row r="758" spans="1:10" ht="26.25" hidden="1" thickBot="1" x14ac:dyDescent="0.3">
      <c r="A758" s="176"/>
      <c r="B758" s="175"/>
      <c r="C758" s="36" t="s">
        <v>281</v>
      </c>
      <c r="D758" s="47" t="s">
        <v>93</v>
      </c>
      <c r="E758" s="37">
        <v>3.8498999999999999</v>
      </c>
      <c r="F758" s="34">
        <v>5.4909999999999997</v>
      </c>
      <c r="G758" s="31">
        <f>IF(ISNUMBER(F758),E758*F758,"")</f>
        <v>21.139800899999997</v>
      </c>
      <c r="H758" s="35"/>
      <c r="I758" s="31"/>
      <c r="J758" s="155">
        <v>0</v>
      </c>
    </row>
    <row r="759" spans="1:10" ht="26.25" hidden="1" thickBot="1" x14ac:dyDescent="0.3">
      <c r="A759" s="176"/>
      <c r="B759" s="175"/>
      <c r="C759" s="36" t="s">
        <v>282</v>
      </c>
      <c r="D759" s="47" t="s">
        <v>20</v>
      </c>
      <c r="E759" s="37">
        <v>1.3265</v>
      </c>
      <c r="F759" s="34">
        <v>2.0614999999999997</v>
      </c>
      <c r="G759" s="31">
        <f>IF(ISNUMBER(F759),E759*F759,"")</f>
        <v>2.7345797499999995</v>
      </c>
      <c r="H759" s="35"/>
      <c r="I759" s="31"/>
      <c r="J759" s="155">
        <v>0</v>
      </c>
    </row>
    <row r="760" spans="1:10" ht="26.25" hidden="1" thickBot="1" x14ac:dyDescent="0.3">
      <c r="A760" s="176"/>
      <c r="B760" s="175"/>
      <c r="C760" s="36" t="s">
        <v>167</v>
      </c>
      <c r="D760" s="47" t="s">
        <v>20</v>
      </c>
      <c r="E760" s="37">
        <v>2.1911999999999998</v>
      </c>
      <c r="F760" s="34">
        <v>0.11399999999999999</v>
      </c>
      <c r="G760" s="31">
        <f>IF(ISNUMBER(F760),E760*F760,"")</f>
        <v>0.24979679999999996</v>
      </c>
      <c r="H760" s="35"/>
      <c r="I760" s="31"/>
      <c r="J760" s="155">
        <v>0</v>
      </c>
    </row>
    <row r="761" spans="1:10" ht="26.25" hidden="1" thickBot="1" x14ac:dyDescent="0.3">
      <c r="A761" s="176"/>
      <c r="B761" s="175"/>
      <c r="C761" s="36" t="s">
        <v>283</v>
      </c>
      <c r="D761" s="47" t="s">
        <v>158</v>
      </c>
      <c r="E761" s="37">
        <v>1.32E-2</v>
      </c>
      <c r="F761" s="34">
        <v>13.3095</v>
      </c>
      <c r="G761" s="31">
        <f>IF(ISNUMBER(F761),E761*F761,"")</f>
        <v>0.17568539999999999</v>
      </c>
      <c r="H761" s="35"/>
      <c r="I761" s="31"/>
      <c r="J761" s="155">
        <v>0</v>
      </c>
    </row>
    <row r="762" spans="1:10" ht="26.25" hidden="1" thickBot="1" x14ac:dyDescent="0.3">
      <c r="A762" s="176"/>
      <c r="B762" s="175"/>
      <c r="C762" s="36" t="s">
        <v>284</v>
      </c>
      <c r="D762" s="47" t="s">
        <v>158</v>
      </c>
      <c r="E762" s="37">
        <v>3.3300000000000003E-2</v>
      </c>
      <c r="F762" s="34">
        <v>22.818999999999999</v>
      </c>
      <c r="G762" s="31">
        <f>IF(ISNUMBER(F762),E762*F762,"")</f>
        <v>0.75987270000000007</v>
      </c>
      <c r="H762" s="35"/>
      <c r="I762" s="31"/>
      <c r="J762" s="155">
        <v>0</v>
      </c>
    </row>
    <row r="763" spans="1:10" ht="15.75" hidden="1" thickBot="1" x14ac:dyDescent="0.3">
      <c r="A763" s="176"/>
      <c r="B763" s="175"/>
      <c r="C763" s="36" t="s">
        <v>27</v>
      </c>
      <c r="D763" s="47" t="s">
        <v>12</v>
      </c>
      <c r="E763" s="37">
        <v>0.49940000000000001</v>
      </c>
      <c r="F763" s="31">
        <v>16.852999999999998</v>
      </c>
      <c r="G763" s="31">
        <f>IF(ISNUMBER(F763),E763*F763,"")</f>
        <v>8.4163881999999983</v>
      </c>
      <c r="H763" s="35"/>
      <c r="I763" s="31"/>
      <c r="J763" s="155">
        <v>0</v>
      </c>
    </row>
    <row r="764" spans="1:10" ht="15.75" hidden="1" thickBot="1" x14ac:dyDescent="0.3">
      <c r="A764" s="177"/>
      <c r="B764" s="178"/>
      <c r="C764" s="36"/>
      <c r="D764" s="36"/>
      <c r="E764" s="37"/>
      <c r="F764" s="31" t="s">
        <v>568</v>
      </c>
      <c r="G764" s="31" t="str">
        <f>IF(ISNUMBER(F764),E764*F764,"")</f>
        <v/>
      </c>
      <c r="H764" s="35"/>
      <c r="I764" s="31"/>
      <c r="J764" s="155">
        <v>0</v>
      </c>
    </row>
    <row r="765" spans="1:10" ht="15.75" hidden="1" thickBot="1" x14ac:dyDescent="0.3">
      <c r="A765" s="172" t="s">
        <v>285</v>
      </c>
      <c r="B765" s="174" t="str">
        <f>INDEX(Orçamentária!A:B,MATCH(Composições!A765,Orçamentária!A:A,0),2)</f>
        <v>Forro de PVC em réguas de 100 x 6000mm, sem estrutura</v>
      </c>
      <c r="C765" s="41"/>
      <c r="D765" s="26" t="str">
        <f>TRIM(INDEX(Orçamentária!C:C,MATCH(Composições!A765,Orçamentária!A:A,0),1))</f>
        <v>m2</v>
      </c>
      <c r="E765" s="27"/>
      <c r="F765" s="42" t="s">
        <v>568</v>
      </c>
      <c r="G765" s="28" t="str">
        <f>IF(ISNUMBER(F765),E765*F765,"")</f>
        <v/>
      </c>
      <c r="H765" s="29"/>
      <c r="I765" s="30"/>
      <c r="J765" s="155">
        <v>0</v>
      </c>
    </row>
    <row r="766" spans="1:10" ht="15.75" hidden="1" thickBot="1" x14ac:dyDescent="0.3">
      <c r="A766" s="176"/>
      <c r="B766" s="175"/>
      <c r="C766" s="32"/>
      <c r="D766" s="32"/>
      <c r="E766" s="33"/>
      <c r="F766" s="43" t="s">
        <v>568</v>
      </c>
      <c r="G766" s="31" t="str">
        <f>IF(ISNUMBER(F766),E766*F766,"")</f>
        <v/>
      </c>
      <c r="H766" s="35"/>
      <c r="I766" s="31"/>
      <c r="J766" s="155">
        <v>0</v>
      </c>
    </row>
    <row r="767" spans="1:10" ht="26.25" hidden="1" thickBot="1" x14ac:dyDescent="0.3">
      <c r="A767" s="176"/>
      <c r="B767" s="175"/>
      <c r="C767" s="36" t="s">
        <v>280</v>
      </c>
      <c r="D767" s="47" t="s">
        <v>95</v>
      </c>
      <c r="E767" s="37">
        <v>1.0955999999999999</v>
      </c>
      <c r="F767" s="34">
        <v>21.849999999999998</v>
      </c>
      <c r="G767" s="31">
        <f>IF(ISNUMBER(F767),E767*F767,"")</f>
        <v>23.938859999999995</v>
      </c>
      <c r="H767" s="39">
        <f>SUM(G767:G769)</f>
        <v>26.713236199999994</v>
      </c>
      <c r="I767" s="40"/>
      <c r="J767" s="155">
        <v>0</v>
      </c>
    </row>
    <row r="768" spans="1:10" ht="26.25" hidden="1" thickBot="1" x14ac:dyDescent="0.3">
      <c r="A768" s="176"/>
      <c r="B768" s="175"/>
      <c r="C768" s="36" t="s">
        <v>167</v>
      </c>
      <c r="D768" s="47" t="s">
        <v>20</v>
      </c>
      <c r="E768" s="37">
        <v>2.1911999999999998</v>
      </c>
      <c r="F768" s="34">
        <v>0.11399999999999999</v>
      </c>
      <c r="G768" s="34">
        <f>IF(ISNUMBER(F768),E768*F768,"")</f>
        <v>0.24979679999999996</v>
      </c>
      <c r="H768" s="44"/>
      <c r="I768" s="40"/>
      <c r="J768" s="155">
        <v>0</v>
      </c>
    </row>
    <row r="769" spans="1:10" ht="15.75" hidden="1" thickBot="1" x14ac:dyDescent="0.3">
      <c r="A769" s="176"/>
      <c r="B769" s="175"/>
      <c r="C769" s="36" t="s">
        <v>27</v>
      </c>
      <c r="D769" s="47" t="s">
        <v>12</v>
      </c>
      <c r="E769" s="37">
        <f>ROUND(0.4994*0.3,4)</f>
        <v>0.14979999999999999</v>
      </c>
      <c r="F769" s="31">
        <v>16.852999999999998</v>
      </c>
      <c r="G769" s="34">
        <f>IF(ISNUMBER(F769),E769*F769,"")</f>
        <v>2.5245793999999995</v>
      </c>
      <c r="H769" s="35"/>
      <c r="I769" s="31"/>
      <c r="J769" s="155">
        <v>0</v>
      </c>
    </row>
    <row r="770" spans="1:10" ht="15.75" hidden="1" thickBot="1" x14ac:dyDescent="0.3">
      <c r="A770" s="177"/>
      <c r="B770" s="178"/>
      <c r="C770" s="36"/>
      <c r="D770" s="36"/>
      <c r="E770" s="37"/>
      <c r="F770" s="31" t="s">
        <v>568</v>
      </c>
      <c r="G770" s="31" t="str">
        <f>IF(ISNUMBER(F770),E770*F770,"")</f>
        <v/>
      </c>
      <c r="H770" s="35"/>
      <c r="I770" s="31"/>
      <c r="J770" s="155">
        <v>0</v>
      </c>
    </row>
    <row r="771" spans="1:10" ht="15.75" hidden="1" thickBot="1" x14ac:dyDescent="0.3">
      <c r="A771" s="172" t="s">
        <v>286</v>
      </c>
      <c r="B771" s="174" t="str">
        <f>INDEX(Orçamentária!A:B,MATCH(Composições!A771,Orçamentária!A:A,0),2)</f>
        <v>Forro de PVC modular em placas</v>
      </c>
      <c r="C771" s="41"/>
      <c r="D771" s="26" t="str">
        <f>TRIM(INDEX(Orçamentária!C:C,MATCH(Composições!A771,Orçamentária!A:A,0),1))</f>
        <v>m2</v>
      </c>
      <c r="E771" s="27"/>
      <c r="F771" s="42" t="s">
        <v>568</v>
      </c>
      <c r="G771" s="28" t="str">
        <f>IF(ISNUMBER(F771),E771*F771,"")</f>
        <v/>
      </c>
      <c r="H771" s="29"/>
      <c r="I771" s="30"/>
      <c r="J771" s="155">
        <v>0</v>
      </c>
    </row>
    <row r="772" spans="1:10" ht="15.75" hidden="1" thickBot="1" x14ac:dyDescent="0.3">
      <c r="A772" s="173"/>
      <c r="B772" s="175"/>
      <c r="C772" s="32"/>
      <c r="D772" s="32"/>
      <c r="E772" s="33"/>
      <c r="F772" s="43" t="s">
        <v>568</v>
      </c>
      <c r="G772" s="31" t="str">
        <f>IF(ISNUMBER(F772),E772*F772,"")</f>
        <v/>
      </c>
      <c r="H772" s="35"/>
      <c r="I772" s="31"/>
      <c r="J772" s="155">
        <v>0</v>
      </c>
    </row>
    <row r="773" spans="1:10" ht="26.25" hidden="1" thickBot="1" x14ac:dyDescent="0.3">
      <c r="A773" s="173"/>
      <c r="B773" s="175"/>
      <c r="C773" s="36" t="s">
        <v>279</v>
      </c>
      <c r="D773" s="47" t="s">
        <v>42</v>
      </c>
      <c r="E773" s="37">
        <v>4.2599999999999999E-2</v>
      </c>
      <c r="F773" s="34">
        <v>21.878499999999999</v>
      </c>
      <c r="G773" s="31">
        <f>IF(ISNUMBER(F773),E773*F773,"")</f>
        <v>0.93202409999999991</v>
      </c>
      <c r="H773" s="39">
        <f>SUM(G773:G780)</f>
        <v>34.408147849999992</v>
      </c>
      <c r="I773" s="40"/>
      <c r="J773" s="155">
        <v>0</v>
      </c>
    </row>
    <row r="774" spans="1:10" ht="15.75" hidden="1" thickBot="1" x14ac:dyDescent="0.3">
      <c r="A774" s="173"/>
      <c r="B774" s="175"/>
      <c r="C774" s="36" t="s">
        <v>287</v>
      </c>
      <c r="D774" s="47" t="s">
        <v>95</v>
      </c>
      <c r="E774" s="37">
        <v>1.0955999999999999</v>
      </c>
      <c r="F774" s="34" t="s">
        <v>568</v>
      </c>
      <c r="G774" s="31" t="str">
        <f>IF(ISNUMBER(F774),E774*F774,"")</f>
        <v/>
      </c>
      <c r="H774" s="35"/>
      <c r="I774" s="31"/>
      <c r="J774" s="155">
        <v>0</v>
      </c>
    </row>
    <row r="775" spans="1:10" ht="26.25" hidden="1" thickBot="1" x14ac:dyDescent="0.3">
      <c r="A775" s="173"/>
      <c r="B775" s="175"/>
      <c r="C775" s="36" t="s">
        <v>281</v>
      </c>
      <c r="D775" s="47" t="s">
        <v>93</v>
      </c>
      <c r="E775" s="37">
        <v>3.8498999999999999</v>
      </c>
      <c r="F775" s="34">
        <v>5.4909999999999997</v>
      </c>
      <c r="G775" s="31">
        <f>IF(ISNUMBER(F775),E775*F775,"")</f>
        <v>21.139800899999997</v>
      </c>
      <c r="H775" s="35"/>
      <c r="I775" s="31"/>
      <c r="J775" s="155">
        <v>0</v>
      </c>
    </row>
    <row r="776" spans="1:10" ht="26.25" hidden="1" thickBot="1" x14ac:dyDescent="0.3">
      <c r="A776" s="173"/>
      <c r="B776" s="175"/>
      <c r="C776" s="36" t="s">
        <v>282</v>
      </c>
      <c r="D776" s="47" t="s">
        <v>20</v>
      </c>
      <c r="E776" s="37">
        <v>1.3265</v>
      </c>
      <c r="F776" s="34">
        <v>2.0614999999999997</v>
      </c>
      <c r="G776" s="31">
        <f>IF(ISNUMBER(F776),E776*F776,"")</f>
        <v>2.7345797499999995</v>
      </c>
      <c r="H776" s="35"/>
      <c r="I776" s="31"/>
      <c r="J776" s="155">
        <v>0</v>
      </c>
    </row>
    <row r="777" spans="1:10" ht="26.25" hidden="1" thickBot="1" x14ac:dyDescent="0.3">
      <c r="A777" s="173"/>
      <c r="B777" s="175"/>
      <c r="C777" s="36" t="s">
        <v>167</v>
      </c>
      <c r="D777" s="47" t="s">
        <v>20</v>
      </c>
      <c r="E777" s="37">
        <v>2.1911999999999998</v>
      </c>
      <c r="F777" s="34">
        <v>0.11399999999999999</v>
      </c>
      <c r="G777" s="31">
        <f>IF(ISNUMBER(F777),E777*F777,"")</f>
        <v>0.24979679999999996</v>
      </c>
      <c r="H777" s="35"/>
      <c r="I777" s="31"/>
      <c r="J777" s="155">
        <v>0</v>
      </c>
    </row>
    <row r="778" spans="1:10" ht="26.25" hidden="1" thickBot="1" x14ac:dyDescent="0.3">
      <c r="A778" s="173"/>
      <c r="B778" s="175"/>
      <c r="C778" s="36" t="s">
        <v>283</v>
      </c>
      <c r="D778" s="47" t="s">
        <v>158</v>
      </c>
      <c r="E778" s="37">
        <v>1.32E-2</v>
      </c>
      <c r="F778" s="34">
        <v>13.3095</v>
      </c>
      <c r="G778" s="31">
        <f>IF(ISNUMBER(F778),E778*F778,"")</f>
        <v>0.17568539999999999</v>
      </c>
      <c r="H778" s="35"/>
      <c r="I778" s="31"/>
      <c r="J778" s="155">
        <v>0</v>
      </c>
    </row>
    <row r="779" spans="1:10" ht="26.25" hidden="1" thickBot="1" x14ac:dyDescent="0.3">
      <c r="A779" s="173"/>
      <c r="B779" s="175"/>
      <c r="C779" s="36" t="s">
        <v>284</v>
      </c>
      <c r="D779" s="47" t="s">
        <v>158</v>
      </c>
      <c r="E779" s="37">
        <v>3.3300000000000003E-2</v>
      </c>
      <c r="F779" s="34">
        <v>22.818999999999999</v>
      </c>
      <c r="G779" s="31">
        <f>IF(ISNUMBER(F779),E779*F779,"")</f>
        <v>0.75987270000000007</v>
      </c>
      <c r="H779" s="35"/>
      <c r="I779" s="31"/>
      <c r="J779" s="155">
        <v>0</v>
      </c>
    </row>
    <row r="780" spans="1:10" ht="15.75" hidden="1" thickBot="1" x14ac:dyDescent="0.3">
      <c r="A780" s="173"/>
      <c r="B780" s="175"/>
      <c r="C780" s="36" t="s">
        <v>27</v>
      </c>
      <c r="D780" s="47" t="s">
        <v>12</v>
      </c>
      <c r="E780" s="37">
        <v>0.49940000000000001</v>
      </c>
      <c r="F780" s="31">
        <v>16.852999999999998</v>
      </c>
      <c r="G780" s="31">
        <f>IF(ISNUMBER(F780),E780*F780,"")</f>
        <v>8.4163881999999983</v>
      </c>
      <c r="H780" s="35"/>
      <c r="I780" s="31"/>
      <c r="J780" s="155">
        <v>0</v>
      </c>
    </row>
    <row r="781" spans="1:10" ht="15.75" hidden="1" thickBot="1" x14ac:dyDescent="0.3">
      <c r="A781" s="185"/>
      <c r="B781" s="178"/>
      <c r="C781" s="36"/>
      <c r="D781" s="36"/>
      <c r="E781" s="37"/>
      <c r="F781" s="31" t="s">
        <v>568</v>
      </c>
      <c r="G781" s="31" t="str">
        <f>IF(ISNUMBER(F781),E781*F781,"")</f>
        <v/>
      </c>
      <c r="H781" s="35"/>
      <c r="I781" s="31"/>
      <c r="J781" s="155">
        <v>0</v>
      </c>
    </row>
    <row r="782" spans="1:10" ht="15.75" hidden="1" thickBot="1" x14ac:dyDescent="0.3">
      <c r="A782" s="172" t="s">
        <v>288</v>
      </c>
      <c r="B782" s="174" t="str">
        <f>INDEX(Orçamentária!A:B,MATCH(Composições!A782,Orçamentária!A:A,0),2)</f>
        <v>Forro em chapas metálicas</v>
      </c>
      <c r="C782" s="41"/>
      <c r="D782" s="26" t="str">
        <f>TRIM(INDEX(Orçamentária!C:C,MATCH(Composições!A782,Orçamentária!A:A,0),1))</f>
        <v>m2</v>
      </c>
      <c r="E782" s="27"/>
      <c r="F782" s="42" t="s">
        <v>568</v>
      </c>
      <c r="G782" s="28" t="str">
        <f>IF(ISNUMBER(F782),E782*F782,"")</f>
        <v/>
      </c>
      <c r="H782" s="29"/>
      <c r="I782" s="30"/>
      <c r="J782" s="155">
        <v>0</v>
      </c>
    </row>
    <row r="783" spans="1:10" ht="15.75" hidden="1" thickBot="1" x14ac:dyDescent="0.3">
      <c r="A783" s="173"/>
      <c r="B783" s="175"/>
      <c r="C783" s="32"/>
      <c r="D783" s="32"/>
      <c r="E783" s="33"/>
      <c r="F783" s="43" t="s">
        <v>568</v>
      </c>
      <c r="G783" s="31" t="str">
        <f>IF(ISNUMBER(F783),E783*F783,"")</f>
        <v/>
      </c>
      <c r="H783" s="35"/>
      <c r="I783" s="31"/>
      <c r="J783" s="155">
        <v>0</v>
      </c>
    </row>
    <row r="784" spans="1:10" ht="15.75" hidden="1" thickBot="1" x14ac:dyDescent="0.3">
      <c r="A784" s="173"/>
      <c r="B784" s="175"/>
      <c r="C784" s="36" t="s">
        <v>52</v>
      </c>
      <c r="D784" s="47" t="s">
        <v>12</v>
      </c>
      <c r="E784" s="37">
        <v>0.5</v>
      </c>
      <c r="F784" s="34">
        <v>17.470500000000001</v>
      </c>
      <c r="G784" s="31">
        <f>IF(ISNUMBER(F784),E784*F784,"")</f>
        <v>8.7352500000000006</v>
      </c>
      <c r="H784" s="39">
        <f>SUM(G784:G787)</f>
        <v>17.161749999999998</v>
      </c>
      <c r="I784" s="40"/>
      <c r="J784" s="155">
        <v>0</v>
      </c>
    </row>
    <row r="785" spans="1:10" ht="15.75" hidden="1" thickBot="1" x14ac:dyDescent="0.3">
      <c r="A785" s="173"/>
      <c r="B785" s="175"/>
      <c r="C785" s="36" t="s">
        <v>27</v>
      </c>
      <c r="D785" s="47" t="s">
        <v>12</v>
      </c>
      <c r="E785" s="37">
        <v>0.5</v>
      </c>
      <c r="F785" s="34">
        <v>16.852999999999998</v>
      </c>
      <c r="G785" s="31">
        <f>IF(ISNUMBER(F785),E785*F785,"")</f>
        <v>8.426499999999999</v>
      </c>
      <c r="H785" s="35"/>
      <c r="I785" s="31"/>
      <c r="J785" s="155">
        <v>0</v>
      </c>
    </row>
    <row r="786" spans="1:10" ht="15.75" hidden="1" thickBot="1" x14ac:dyDescent="0.3">
      <c r="A786" s="173"/>
      <c r="B786" s="175"/>
      <c r="C786" s="38" t="s">
        <v>289</v>
      </c>
      <c r="D786" s="36" t="s">
        <v>95</v>
      </c>
      <c r="E786" s="37">
        <v>1</v>
      </c>
      <c r="F786" s="34" t="s">
        <v>568</v>
      </c>
      <c r="G786" s="31" t="str">
        <f>IF(ISNUMBER(F786),E786*F786,"")</f>
        <v/>
      </c>
      <c r="H786" s="35"/>
      <c r="I786" s="31"/>
      <c r="J786" s="155">
        <v>0</v>
      </c>
    </row>
    <row r="787" spans="1:10" ht="15.75" hidden="1" thickBot="1" x14ac:dyDescent="0.3">
      <c r="A787" s="173"/>
      <c r="B787" s="175"/>
      <c r="C787" s="38" t="s">
        <v>290</v>
      </c>
      <c r="D787" s="36" t="s">
        <v>95</v>
      </c>
      <c r="E787" s="37">
        <v>1</v>
      </c>
      <c r="F787" s="34" t="s">
        <v>568</v>
      </c>
      <c r="G787" s="31" t="str">
        <f>IF(ISNUMBER(F787),E787*F787,"")</f>
        <v/>
      </c>
      <c r="H787" s="35"/>
      <c r="I787" s="31"/>
      <c r="J787" s="155">
        <v>0</v>
      </c>
    </row>
    <row r="788" spans="1:10" ht="15.75" hidden="1" thickBot="1" x14ac:dyDescent="0.3">
      <c r="A788" s="185"/>
      <c r="B788" s="178"/>
      <c r="C788" s="36"/>
      <c r="D788" s="36"/>
      <c r="E788" s="37"/>
      <c r="F788" s="31" t="s">
        <v>568</v>
      </c>
      <c r="G788" s="31" t="str">
        <f>IF(ISNUMBER(F788),E788*F788,"")</f>
        <v/>
      </c>
      <c r="H788" s="35"/>
      <c r="I788" s="31"/>
      <c r="J788" s="155">
        <v>0</v>
      </c>
    </row>
    <row r="789" spans="1:10" ht="15.75" thickBot="1" x14ac:dyDescent="0.3">
      <c r="A789" s="172" t="s">
        <v>291</v>
      </c>
      <c r="B789" s="174" t="str">
        <f>INDEX(Orçamentária!A:B,MATCH(Composições!A789,Orçamentária!A:A,0),2)</f>
        <v>Forro em gesso acartonado monolítico</v>
      </c>
      <c r="C789" s="41"/>
      <c r="D789" s="26" t="str">
        <f>TRIM(INDEX(Orçamentária!C:C,MATCH(Composições!A789,Orçamentária!A:A,0),1))</f>
        <v>m2</v>
      </c>
      <c r="E789" s="27"/>
      <c r="F789" s="42" t="s">
        <v>568</v>
      </c>
      <c r="G789" s="28" t="str">
        <f>IF(ISNUMBER(F789),E789*F789,"")</f>
        <v/>
      </c>
      <c r="H789" s="29"/>
      <c r="I789" s="30"/>
      <c r="J789" s="155">
        <v>318.60000000000002</v>
      </c>
    </row>
    <row r="790" spans="1:10" x14ac:dyDescent="0.25">
      <c r="A790" s="176"/>
      <c r="B790" s="175"/>
      <c r="C790" s="32"/>
      <c r="D790" s="32"/>
      <c r="E790" s="33"/>
      <c r="F790" s="43" t="s">
        <v>568</v>
      </c>
      <c r="G790" s="31" t="str">
        <f>IF(ISNUMBER(F790),E790*F790,"")</f>
        <v/>
      </c>
      <c r="H790" s="35"/>
      <c r="I790" s="31"/>
      <c r="J790" s="155">
        <v>318.60000000000002</v>
      </c>
    </row>
    <row r="791" spans="1:10" ht="25.5" x14ac:dyDescent="0.25">
      <c r="A791" s="176"/>
      <c r="B791" s="175"/>
      <c r="C791" s="36" t="s">
        <v>279</v>
      </c>
      <c r="D791" s="47" t="s">
        <v>42</v>
      </c>
      <c r="E791" s="37">
        <v>4.2599999999999999E-2</v>
      </c>
      <c r="F791" s="34">
        <v>21.878499999999999</v>
      </c>
      <c r="G791" s="34">
        <f>IF(ISNUMBER(F791),E791*F791,"")</f>
        <v>0.93202409999999991</v>
      </c>
      <c r="H791" s="39">
        <f>SUM(G791:G801)</f>
        <v>54.415992399999993</v>
      </c>
      <c r="I791" s="40"/>
      <c r="J791" s="155">
        <v>318.60000000000002</v>
      </c>
    </row>
    <row r="792" spans="1:10" ht="25.5" x14ac:dyDescent="0.25">
      <c r="A792" s="176"/>
      <c r="B792" s="175"/>
      <c r="C792" s="36" t="s">
        <v>3778</v>
      </c>
      <c r="D792" s="47" t="s">
        <v>95</v>
      </c>
      <c r="E792" s="37">
        <v>1.0966</v>
      </c>
      <c r="F792" s="34">
        <v>11.865499999999999</v>
      </c>
      <c r="G792" s="34">
        <f>IF(ISNUMBER(F792),E792*F792,"")</f>
        <v>13.011707299999999</v>
      </c>
      <c r="H792" s="45"/>
      <c r="I792" s="46"/>
      <c r="J792" s="155">
        <v>318.60000000000002</v>
      </c>
    </row>
    <row r="793" spans="1:10" ht="25.5" x14ac:dyDescent="0.25">
      <c r="A793" s="176"/>
      <c r="B793" s="175"/>
      <c r="C793" s="36" t="s">
        <v>281</v>
      </c>
      <c r="D793" s="47" t="s">
        <v>93</v>
      </c>
      <c r="E793" s="37">
        <v>3.851</v>
      </c>
      <c r="F793" s="34">
        <v>5.4909999999999997</v>
      </c>
      <c r="G793" s="34">
        <f>IF(ISNUMBER(F793),E793*F793,"")</f>
        <v>21.145840999999997</v>
      </c>
      <c r="H793" s="45"/>
      <c r="I793" s="46"/>
      <c r="J793" s="155">
        <v>318.60000000000002</v>
      </c>
    </row>
    <row r="794" spans="1:10" ht="25.5" x14ac:dyDescent="0.25">
      <c r="A794" s="176"/>
      <c r="B794" s="175"/>
      <c r="C794" s="36" t="s">
        <v>282</v>
      </c>
      <c r="D794" s="47" t="s">
        <v>20</v>
      </c>
      <c r="E794" s="37">
        <v>1.3265</v>
      </c>
      <c r="F794" s="34">
        <v>2.0614999999999997</v>
      </c>
      <c r="G794" s="34">
        <f>IF(ISNUMBER(F794),E794*F794,"")</f>
        <v>2.7345797499999995</v>
      </c>
      <c r="H794" s="45"/>
      <c r="I794" s="46"/>
      <c r="J794" s="155">
        <v>318.60000000000002</v>
      </c>
    </row>
    <row r="795" spans="1:10" ht="25.5" x14ac:dyDescent="0.25">
      <c r="A795" s="176"/>
      <c r="B795" s="175"/>
      <c r="C795" s="36" t="s">
        <v>165</v>
      </c>
      <c r="D795" s="47" t="s">
        <v>93</v>
      </c>
      <c r="E795" s="37">
        <v>1.4395</v>
      </c>
      <c r="F795" s="34">
        <v>1.7575000000000001</v>
      </c>
      <c r="G795" s="34">
        <f>IF(ISNUMBER(F795),E795*F795,"")</f>
        <v>2.5299212500000001</v>
      </c>
      <c r="H795" s="45"/>
      <c r="I795" s="46"/>
      <c r="J795" s="155">
        <v>318.60000000000002</v>
      </c>
    </row>
    <row r="796" spans="1:10" ht="38.25" x14ac:dyDescent="0.25">
      <c r="A796" s="176"/>
      <c r="B796" s="175"/>
      <c r="C796" s="36" t="s">
        <v>3776</v>
      </c>
      <c r="D796" s="47" t="s">
        <v>42</v>
      </c>
      <c r="E796" s="37">
        <v>0.5202</v>
      </c>
      <c r="F796" s="34">
        <v>2.3559999999999999</v>
      </c>
      <c r="G796" s="34">
        <f>IF(ISNUMBER(F796),E796*F796,"")</f>
        <v>1.2255912</v>
      </c>
      <c r="H796" s="45"/>
      <c r="I796" s="46"/>
      <c r="J796" s="155">
        <v>318.60000000000002</v>
      </c>
    </row>
    <row r="797" spans="1:10" ht="25.5" x14ac:dyDescent="0.25">
      <c r="A797" s="176"/>
      <c r="B797" s="175"/>
      <c r="C797" s="36" t="s">
        <v>166</v>
      </c>
      <c r="D797" s="47" t="s">
        <v>20</v>
      </c>
      <c r="E797" s="37">
        <v>7.9740000000000002</v>
      </c>
      <c r="F797" s="34">
        <v>4.7500000000000001E-2</v>
      </c>
      <c r="G797" s="34">
        <f>IF(ISNUMBER(F797),E797*F797,"")</f>
        <v>0.37876500000000002</v>
      </c>
      <c r="H797" s="45"/>
      <c r="I797" s="46"/>
      <c r="J797" s="155">
        <v>318.60000000000002</v>
      </c>
    </row>
    <row r="798" spans="1:10" ht="25.5" x14ac:dyDescent="0.25">
      <c r="A798" s="176"/>
      <c r="B798" s="175"/>
      <c r="C798" s="36" t="s">
        <v>167</v>
      </c>
      <c r="D798" s="47" t="s">
        <v>20</v>
      </c>
      <c r="E798" s="37">
        <v>2.1911999999999998</v>
      </c>
      <c r="F798" s="34">
        <v>0.11399999999999999</v>
      </c>
      <c r="G798" s="34">
        <f>IF(ISNUMBER(F798),E798*F798,"")</f>
        <v>0.24979679999999996</v>
      </c>
      <c r="H798" s="45"/>
      <c r="I798" s="46"/>
      <c r="J798" s="155">
        <v>318.60000000000002</v>
      </c>
    </row>
    <row r="799" spans="1:10" ht="25.5" x14ac:dyDescent="0.25">
      <c r="A799" s="176"/>
      <c r="B799" s="175"/>
      <c r="C799" s="36" t="s">
        <v>283</v>
      </c>
      <c r="D799" s="47" t="s">
        <v>158</v>
      </c>
      <c r="E799" s="37">
        <v>1.32E-2</v>
      </c>
      <c r="F799" s="34">
        <v>13.3095</v>
      </c>
      <c r="G799" s="34">
        <f>IF(ISNUMBER(F799),E799*F799,"")</f>
        <v>0.17568539999999999</v>
      </c>
      <c r="H799" s="45"/>
      <c r="I799" s="46"/>
      <c r="J799" s="155">
        <v>318.60000000000002</v>
      </c>
    </row>
    <row r="800" spans="1:10" x14ac:dyDescent="0.25">
      <c r="A800" s="176"/>
      <c r="B800" s="175"/>
      <c r="C800" s="36" t="s">
        <v>27</v>
      </c>
      <c r="D800" s="47" t="s">
        <v>12</v>
      </c>
      <c r="E800" s="37">
        <v>0.36280000000000001</v>
      </c>
      <c r="F800" s="31">
        <v>16.852999999999998</v>
      </c>
      <c r="G800" s="34">
        <f>IF(ISNUMBER(F800),E800*F800,"")</f>
        <v>6.1142683999999994</v>
      </c>
      <c r="H800" s="45"/>
      <c r="I800" s="46"/>
      <c r="J800" s="155">
        <v>318.60000000000002</v>
      </c>
    </row>
    <row r="801" spans="1:10" x14ac:dyDescent="0.25">
      <c r="A801" s="176"/>
      <c r="B801" s="175"/>
      <c r="C801" s="36" t="s">
        <v>23</v>
      </c>
      <c r="D801" s="36" t="s">
        <v>12</v>
      </c>
      <c r="E801" s="37">
        <v>0.36280000000000001</v>
      </c>
      <c r="F801" s="31">
        <v>16.311500000000002</v>
      </c>
      <c r="G801" s="34">
        <f>IF(ISNUMBER(F801),E801*F801,"")</f>
        <v>5.9178122000000011</v>
      </c>
      <c r="H801" s="45"/>
      <c r="I801" s="46"/>
      <c r="J801" s="155">
        <v>318.60000000000002</v>
      </c>
    </row>
    <row r="802" spans="1:10" ht="15.75" thickBot="1" x14ac:dyDescent="0.3">
      <c r="A802" s="177"/>
      <c r="B802" s="178"/>
      <c r="C802" s="36"/>
      <c r="D802" s="36"/>
      <c r="E802" s="37"/>
      <c r="F802" s="31" t="s">
        <v>568</v>
      </c>
      <c r="G802" s="31" t="str">
        <f>IF(ISNUMBER(F802),E802*F802,"")</f>
        <v/>
      </c>
      <c r="H802" s="35"/>
      <c r="I802" s="31"/>
      <c r="J802" s="155">
        <v>318.60000000000002</v>
      </c>
    </row>
    <row r="803" spans="1:10" ht="15.75" thickBot="1" x14ac:dyDescent="0.3">
      <c r="A803" s="172" t="s">
        <v>292</v>
      </c>
      <c r="B803" s="174" t="str">
        <f>INDEX(Orçamentária!A:B,MATCH(Composições!A803,Orçamentária!A:A,0),2)</f>
        <v>Forro em gesso acartonado monolítico, sem estrutura</v>
      </c>
      <c r="C803" s="41"/>
      <c r="D803" s="26" t="str">
        <f>TRIM(INDEX(Orçamentária!C:C,MATCH(Composições!A803,Orçamentária!A:A,0),1))</f>
        <v>m2</v>
      </c>
      <c r="E803" s="27"/>
      <c r="F803" s="42" t="s">
        <v>568</v>
      </c>
      <c r="G803" s="28" t="str">
        <f>IF(ISNUMBER(F803),E803*F803,"")</f>
        <v/>
      </c>
      <c r="H803" s="29"/>
      <c r="I803" s="30"/>
      <c r="J803" s="155">
        <v>5.04</v>
      </c>
    </row>
    <row r="804" spans="1:10" x14ac:dyDescent="0.25">
      <c r="A804" s="176"/>
      <c r="B804" s="175"/>
      <c r="C804" s="32"/>
      <c r="D804" s="32"/>
      <c r="E804" s="33"/>
      <c r="F804" s="43" t="s">
        <v>568</v>
      </c>
      <c r="G804" s="31" t="str">
        <f>IF(ISNUMBER(F804),E804*F804,"")</f>
        <v/>
      </c>
      <c r="H804" s="35"/>
      <c r="I804" s="31"/>
      <c r="J804" s="155">
        <v>5.04</v>
      </c>
    </row>
    <row r="805" spans="1:10" ht="25.5" x14ac:dyDescent="0.25">
      <c r="A805" s="176"/>
      <c r="B805" s="175"/>
      <c r="C805" s="36" t="s">
        <v>3778</v>
      </c>
      <c r="D805" s="47" t="s">
        <v>95</v>
      </c>
      <c r="E805" s="37">
        <v>1.0966</v>
      </c>
      <c r="F805" s="34">
        <v>11.865499999999999</v>
      </c>
      <c r="G805" s="34">
        <f>IF(ISNUMBER(F805),E805*F805,"")</f>
        <v>13.011707299999999</v>
      </c>
      <c r="H805" s="39">
        <f>SUM(G805:G811)</f>
        <v>29.427862149999999</v>
      </c>
      <c r="I805" s="40"/>
      <c r="J805" s="155">
        <v>5.04</v>
      </c>
    </row>
    <row r="806" spans="1:10" ht="25.5" x14ac:dyDescent="0.25">
      <c r="A806" s="176"/>
      <c r="B806" s="175"/>
      <c r="C806" s="36" t="s">
        <v>165</v>
      </c>
      <c r="D806" s="47" t="s">
        <v>93</v>
      </c>
      <c r="E806" s="37">
        <v>1.4395</v>
      </c>
      <c r="F806" s="34">
        <v>1.7575000000000001</v>
      </c>
      <c r="G806" s="34">
        <f>IF(ISNUMBER(F806),E806*F806,"")</f>
        <v>2.5299212500000001</v>
      </c>
      <c r="H806" s="45"/>
      <c r="I806" s="46"/>
      <c r="J806" s="155">
        <v>5.04</v>
      </c>
    </row>
    <row r="807" spans="1:10" ht="38.25" x14ac:dyDescent="0.25">
      <c r="A807" s="176"/>
      <c r="B807" s="175"/>
      <c r="C807" s="36" t="s">
        <v>3776</v>
      </c>
      <c r="D807" s="47" t="s">
        <v>42</v>
      </c>
      <c r="E807" s="37">
        <v>0.5202</v>
      </c>
      <c r="F807" s="34">
        <v>2.3559999999999999</v>
      </c>
      <c r="G807" s="34">
        <f>IF(ISNUMBER(F807),E807*F807,"")</f>
        <v>1.2255912</v>
      </c>
      <c r="H807" s="45"/>
      <c r="I807" s="46"/>
      <c r="J807" s="155">
        <v>5.04</v>
      </c>
    </row>
    <row r="808" spans="1:10" ht="25.5" x14ac:dyDescent="0.25">
      <c r="A808" s="176"/>
      <c r="B808" s="175"/>
      <c r="C808" s="36" t="s">
        <v>166</v>
      </c>
      <c r="D808" s="47" t="s">
        <v>20</v>
      </c>
      <c r="E808" s="37">
        <v>7.9740000000000002</v>
      </c>
      <c r="F808" s="34">
        <v>4.7500000000000001E-2</v>
      </c>
      <c r="G808" s="34">
        <f>IF(ISNUMBER(F808),E808*F808,"")</f>
        <v>0.37876500000000002</v>
      </c>
      <c r="H808" s="45"/>
      <c r="I808" s="46"/>
      <c r="J808" s="155">
        <v>5.04</v>
      </c>
    </row>
    <row r="809" spans="1:10" ht="25.5" x14ac:dyDescent="0.25">
      <c r="A809" s="176"/>
      <c r="B809" s="175"/>
      <c r="C809" s="36" t="s">
        <v>167</v>
      </c>
      <c r="D809" s="47" t="s">
        <v>20</v>
      </c>
      <c r="E809" s="37">
        <v>2.1911999999999998</v>
      </c>
      <c r="F809" s="34">
        <v>0.11399999999999999</v>
      </c>
      <c r="G809" s="34">
        <f>IF(ISNUMBER(F809),E809*F809,"")</f>
        <v>0.24979679999999996</v>
      </c>
      <c r="H809" s="45"/>
      <c r="I809" s="46"/>
      <c r="J809" s="155">
        <v>5.04</v>
      </c>
    </row>
    <row r="810" spans="1:10" x14ac:dyDescent="0.25">
      <c r="A810" s="176"/>
      <c r="B810" s="175"/>
      <c r="C810" s="36" t="s">
        <v>27</v>
      </c>
      <c r="D810" s="47" t="s">
        <v>12</v>
      </c>
      <c r="E810" s="37">
        <v>0.36280000000000001</v>
      </c>
      <c r="F810" s="31">
        <v>16.852999999999998</v>
      </c>
      <c r="G810" s="34">
        <f>IF(ISNUMBER(F810),E810*F810,"")</f>
        <v>6.1142683999999994</v>
      </c>
      <c r="H810" s="45"/>
      <c r="I810" s="46"/>
      <c r="J810" s="155">
        <v>5.04</v>
      </c>
    </row>
    <row r="811" spans="1:10" x14ac:dyDescent="0.25">
      <c r="A811" s="176"/>
      <c r="B811" s="175"/>
      <c r="C811" s="36" t="s">
        <v>23</v>
      </c>
      <c r="D811" s="36" t="s">
        <v>12</v>
      </c>
      <c r="E811" s="37">
        <v>0.36280000000000001</v>
      </c>
      <c r="F811" s="31">
        <v>16.311500000000002</v>
      </c>
      <c r="G811" s="34">
        <f>IF(ISNUMBER(F811),E811*F811,"")</f>
        <v>5.9178122000000011</v>
      </c>
      <c r="H811" s="45"/>
      <c r="I811" s="46"/>
      <c r="J811" s="155">
        <v>5.04</v>
      </c>
    </row>
    <row r="812" spans="1:10" ht="15.75" thickBot="1" x14ac:dyDescent="0.3">
      <c r="A812" s="177"/>
      <c r="B812" s="178"/>
      <c r="C812" s="36"/>
      <c r="D812" s="36"/>
      <c r="E812" s="37"/>
      <c r="F812" s="31" t="s">
        <v>568</v>
      </c>
      <c r="G812" s="31" t="str">
        <f>IF(ISNUMBER(F812),E812*F812,"")</f>
        <v/>
      </c>
      <c r="H812" s="35"/>
      <c r="I812" s="31"/>
      <c r="J812" s="155">
        <v>5.04</v>
      </c>
    </row>
    <row r="813" spans="1:10" ht="15.75" hidden="1" thickBot="1" x14ac:dyDescent="0.3">
      <c r="A813" s="172" t="s">
        <v>293</v>
      </c>
      <c r="B813" s="174" t="str">
        <f>INDEX(Orçamentária!A:B,MATCH(Composições!A813,Orçamentária!A:A,0),2)</f>
        <v>Forro mineral modulado</v>
      </c>
      <c r="C813" s="41"/>
      <c r="D813" s="26" t="str">
        <f>TRIM(INDEX(Orçamentária!C:C,MATCH(Composições!A813,Orçamentária!A:A,0),1))</f>
        <v>m2</v>
      </c>
      <c r="E813" s="27"/>
      <c r="F813" s="42" t="s">
        <v>568</v>
      </c>
      <c r="G813" s="28" t="str">
        <f>IF(ISNUMBER(F813),E813*F813,"")</f>
        <v/>
      </c>
      <c r="H813" s="29"/>
      <c r="I813" s="30"/>
      <c r="J813" s="155">
        <v>0</v>
      </c>
    </row>
    <row r="814" spans="1:10" ht="15.75" hidden="1" thickBot="1" x14ac:dyDescent="0.3">
      <c r="A814" s="176"/>
      <c r="B814" s="175"/>
      <c r="C814" s="32"/>
      <c r="D814" s="32"/>
      <c r="E814" s="33"/>
      <c r="F814" s="43" t="s">
        <v>568</v>
      </c>
      <c r="G814" s="31" t="str">
        <f>IF(ISNUMBER(F814),E814*F814,"")</f>
        <v/>
      </c>
      <c r="H814" s="35"/>
      <c r="I814" s="31"/>
      <c r="J814" s="155">
        <v>0</v>
      </c>
    </row>
    <row r="815" spans="1:10" ht="39" hidden="1" thickBot="1" x14ac:dyDescent="0.3">
      <c r="A815" s="176"/>
      <c r="B815" s="175"/>
      <c r="C815" s="36" t="s">
        <v>294</v>
      </c>
      <c r="D815" s="47" t="s">
        <v>95</v>
      </c>
      <c r="E815" s="37">
        <v>1</v>
      </c>
      <c r="F815" s="34">
        <v>114.9785</v>
      </c>
      <c r="G815" s="34">
        <f>IF(ISNUMBER(F815),E815*F815,"")</f>
        <v>114.9785</v>
      </c>
      <c r="H815" s="39">
        <f>SUM(G815:G815)</f>
        <v>114.9785</v>
      </c>
      <c r="I815" s="40"/>
      <c r="J815" s="155">
        <v>0</v>
      </c>
    </row>
    <row r="816" spans="1:10" ht="15.75" hidden="1" thickBot="1" x14ac:dyDescent="0.3">
      <c r="A816" s="177"/>
      <c r="B816" s="178"/>
      <c r="C816" s="36"/>
      <c r="D816" s="36"/>
      <c r="E816" s="37"/>
      <c r="F816" s="31" t="s">
        <v>568</v>
      </c>
      <c r="G816" s="31" t="str">
        <f>IF(ISNUMBER(F816),E816*F816,"")</f>
        <v/>
      </c>
      <c r="H816" s="35"/>
      <c r="I816" s="31"/>
      <c r="J816" s="155">
        <v>0</v>
      </c>
    </row>
    <row r="817" spans="1:10" ht="15.75" hidden="1" thickBot="1" x14ac:dyDescent="0.3">
      <c r="A817" s="172" t="s">
        <v>295</v>
      </c>
      <c r="B817" s="174" t="str">
        <f>INDEX(Orçamentária!A:B,MATCH(Composições!A817,Orçamentária!A:A,0),2)</f>
        <v>Forro mineral modulado, sem estrutura</v>
      </c>
      <c r="C817" s="41"/>
      <c r="D817" s="26" t="str">
        <f>TRIM(INDEX(Orçamentária!C:C,MATCH(Composições!A817,Orçamentária!A:A,0),1))</f>
        <v>m2</v>
      </c>
      <c r="E817" s="27"/>
      <c r="F817" s="42" t="s">
        <v>568</v>
      </c>
      <c r="G817" s="28" t="str">
        <f>IF(ISNUMBER(F817),E817*F817,"")</f>
        <v/>
      </c>
      <c r="H817" s="29"/>
      <c r="I817" s="30"/>
      <c r="J817" s="155">
        <v>0</v>
      </c>
    </row>
    <row r="818" spans="1:10" ht="15.75" hidden="1" thickBot="1" x14ac:dyDescent="0.3">
      <c r="A818" s="176"/>
      <c r="B818" s="175"/>
      <c r="C818" s="32"/>
      <c r="D818" s="32"/>
      <c r="E818" s="33"/>
      <c r="F818" s="43" t="s">
        <v>568</v>
      </c>
      <c r="G818" s="31" t="str">
        <f>IF(ISNUMBER(F818),E818*F818,"")</f>
        <v/>
      </c>
      <c r="H818" s="35"/>
      <c r="I818" s="31"/>
      <c r="J818" s="155">
        <v>0</v>
      </c>
    </row>
    <row r="819" spans="1:10" ht="15.75" hidden="1" thickBot="1" x14ac:dyDescent="0.3">
      <c r="A819" s="176"/>
      <c r="B819" s="175"/>
      <c r="C819" s="36" t="s">
        <v>50</v>
      </c>
      <c r="D819" s="36" t="s">
        <v>12</v>
      </c>
      <c r="E819" s="37">
        <f>1.2/4</f>
        <v>0.3</v>
      </c>
      <c r="F819" s="31">
        <v>19.3705</v>
      </c>
      <c r="G819" s="31">
        <f>IF(ISNUMBER(F819),E819*F819,"")</f>
        <v>5.8111499999999996</v>
      </c>
      <c r="H819" s="39">
        <f>SUM(G819:G820)</f>
        <v>31.42315</v>
      </c>
      <c r="I819" s="40"/>
      <c r="J819" s="155">
        <v>0</v>
      </c>
    </row>
    <row r="820" spans="1:10" ht="26.25" hidden="1" thickBot="1" x14ac:dyDescent="0.3">
      <c r="A820" s="176"/>
      <c r="B820" s="175"/>
      <c r="C820" s="36" t="s">
        <v>296</v>
      </c>
      <c r="D820" s="36" t="s">
        <v>297</v>
      </c>
      <c r="E820" s="37">
        <v>1</v>
      </c>
      <c r="F820" s="34">
        <v>25.611999999999998</v>
      </c>
      <c r="G820" s="31">
        <f>IF(ISNUMBER(F820),E820*F820,"")</f>
        <v>25.611999999999998</v>
      </c>
      <c r="H820" s="35"/>
      <c r="I820" s="31"/>
      <c r="J820" s="155">
        <v>0</v>
      </c>
    </row>
    <row r="821" spans="1:10" ht="15.75" hidden="1" thickBot="1" x14ac:dyDescent="0.3">
      <c r="A821" s="177"/>
      <c r="B821" s="178"/>
      <c r="C821" s="36"/>
      <c r="D821" s="36"/>
      <c r="E821" s="37"/>
      <c r="F821" s="31" t="s">
        <v>568</v>
      </c>
      <c r="G821" s="31" t="str">
        <f>IF(ISNUMBER(F821),E821*F821,"")</f>
        <v/>
      </c>
      <c r="H821" s="35"/>
      <c r="I821" s="31"/>
      <c r="J821" s="155">
        <v>0</v>
      </c>
    </row>
    <row r="822" spans="1:10" ht="15.75" hidden="1" thickBot="1" x14ac:dyDescent="0.3">
      <c r="A822" s="172" t="s">
        <v>298</v>
      </c>
      <c r="B822" s="174" t="str">
        <f>INDEX(Orçamentária!A:B,MATCH(Composições!A822,Orçamentária!A:A,0),2)</f>
        <v>Instalação de forro de PVC reaproveitado</v>
      </c>
      <c r="C822" s="41"/>
      <c r="D822" s="26" t="str">
        <f>TRIM(INDEX(Orçamentária!C:C,MATCH(Composições!A822,Orçamentária!A:A,0),1))</f>
        <v>m2</v>
      </c>
      <c r="E822" s="27"/>
      <c r="F822" s="42" t="s">
        <v>568</v>
      </c>
      <c r="G822" s="28" t="str">
        <f>IF(ISNUMBER(F822),E822*F822,"")</f>
        <v/>
      </c>
      <c r="H822" s="29"/>
      <c r="I822" s="30"/>
      <c r="J822" s="155">
        <v>0</v>
      </c>
    </row>
    <row r="823" spans="1:10" ht="15.75" hidden="1" thickBot="1" x14ac:dyDescent="0.3">
      <c r="A823" s="176"/>
      <c r="B823" s="175"/>
      <c r="C823" s="32"/>
      <c r="D823" s="32"/>
      <c r="E823" s="33"/>
      <c r="F823" s="43" t="s">
        <v>568</v>
      </c>
      <c r="G823" s="31" t="str">
        <f>IF(ISNUMBER(F823),E823*F823,"")</f>
        <v/>
      </c>
      <c r="H823" s="35"/>
      <c r="I823" s="31"/>
      <c r="J823" s="155">
        <v>0</v>
      </c>
    </row>
    <row r="824" spans="1:10" ht="15.75" hidden="1" thickBot="1" x14ac:dyDescent="0.3">
      <c r="A824" s="176"/>
      <c r="B824" s="175"/>
      <c r="C824" s="36" t="s">
        <v>27</v>
      </c>
      <c r="D824" s="47" t="s">
        <v>12</v>
      </c>
      <c r="E824" s="37">
        <f>ROUND(0.4994*0.3,4)</f>
        <v>0.14979999999999999</v>
      </c>
      <c r="F824" s="31">
        <v>16.852999999999998</v>
      </c>
      <c r="G824" s="31">
        <f>IF(ISNUMBER(F824),E824*F824,"")</f>
        <v>2.5245793999999995</v>
      </c>
      <c r="H824" s="39">
        <f>SUM(G824:G824)</f>
        <v>2.5245793999999995</v>
      </c>
      <c r="I824" s="40"/>
      <c r="J824" s="155">
        <v>0</v>
      </c>
    </row>
    <row r="825" spans="1:10" ht="15.75" hidden="1" thickBot="1" x14ac:dyDescent="0.3">
      <c r="A825" s="177"/>
      <c r="B825" s="178"/>
      <c r="C825" s="36"/>
      <c r="D825" s="36"/>
      <c r="E825" s="37"/>
      <c r="F825" s="31" t="s">
        <v>568</v>
      </c>
      <c r="G825" s="31" t="str">
        <f>IF(ISNUMBER(F825),E825*F825,"")</f>
        <v/>
      </c>
      <c r="H825" s="35"/>
      <c r="I825" s="31"/>
      <c r="J825" s="155">
        <v>0</v>
      </c>
    </row>
    <row r="826" spans="1:10" ht="15.75" hidden="1" thickBot="1" x14ac:dyDescent="0.3">
      <c r="A826" s="172" t="s">
        <v>299</v>
      </c>
      <c r="B826" s="174" t="str">
        <f>INDEX(Orçamentária!A:B,MATCH(Composições!A826,Orçamentária!A:A,0),2)</f>
        <v>Instalação de forro mineral reaproveitado</v>
      </c>
      <c r="C826" s="41"/>
      <c r="D826" s="26" t="str">
        <f>TRIM(INDEX(Orçamentária!C:C,MATCH(Composições!A826,Orçamentária!A:A,0),1))</f>
        <v>m2</v>
      </c>
      <c r="E826" s="27"/>
      <c r="F826" s="42" t="s">
        <v>568</v>
      </c>
      <c r="G826" s="28" t="str">
        <f>IF(ISNUMBER(F826),E826*F826,"")</f>
        <v/>
      </c>
      <c r="H826" s="29"/>
      <c r="I826" s="30"/>
      <c r="J826" s="155">
        <v>0</v>
      </c>
    </row>
    <row r="827" spans="1:10" ht="15.75" hidden="1" thickBot="1" x14ac:dyDescent="0.3">
      <c r="A827" s="176"/>
      <c r="B827" s="175"/>
      <c r="C827" s="32"/>
      <c r="D827" s="32"/>
      <c r="E827" s="33"/>
      <c r="F827" s="43" t="s">
        <v>568</v>
      </c>
      <c r="G827" s="31" t="str">
        <f>IF(ISNUMBER(F827),E827*F827,"")</f>
        <v/>
      </c>
      <c r="H827" s="35"/>
      <c r="I827" s="31"/>
      <c r="J827" s="155">
        <v>0</v>
      </c>
    </row>
    <row r="828" spans="1:10" ht="15.75" hidden="1" thickBot="1" x14ac:dyDescent="0.3">
      <c r="A828" s="176"/>
      <c r="B828" s="175"/>
      <c r="C828" s="36" t="s">
        <v>50</v>
      </c>
      <c r="D828" s="47" t="s">
        <v>12</v>
      </c>
      <c r="E828" s="37">
        <v>1.2</v>
      </c>
      <c r="F828" s="31">
        <v>19.3705</v>
      </c>
      <c r="G828" s="31">
        <f>IF(ISNUMBER(F828),E828*F828,"")</f>
        <v>23.244599999999998</v>
      </c>
      <c r="H828" s="39">
        <f>SUM(G828:G829)</f>
        <v>43.468199999999996</v>
      </c>
      <c r="I828" s="40"/>
      <c r="J828" s="155">
        <v>0</v>
      </c>
    </row>
    <row r="829" spans="1:10" ht="15.75" hidden="1" thickBot="1" x14ac:dyDescent="0.3">
      <c r="A829" s="176"/>
      <c r="B829" s="175"/>
      <c r="C829" s="36" t="s">
        <v>27</v>
      </c>
      <c r="D829" s="47" t="s">
        <v>12</v>
      </c>
      <c r="E829" s="37">
        <v>1.2</v>
      </c>
      <c r="F829" s="31">
        <v>16.852999999999998</v>
      </c>
      <c r="G829" s="31">
        <f>IF(ISNUMBER(F829),E829*F829,"")</f>
        <v>20.223599999999998</v>
      </c>
      <c r="H829" s="35"/>
      <c r="I829" s="31"/>
      <c r="J829" s="155">
        <v>0</v>
      </c>
    </row>
    <row r="830" spans="1:10" ht="15.75" hidden="1" thickBot="1" x14ac:dyDescent="0.3">
      <c r="A830" s="177"/>
      <c r="B830" s="178"/>
      <c r="C830" s="36"/>
      <c r="D830" s="36"/>
      <c r="E830" s="37"/>
      <c r="F830" s="31" t="s">
        <v>568</v>
      </c>
      <c r="G830" s="31" t="str">
        <f>IF(ISNUMBER(F830),E830*F830,"")</f>
        <v/>
      </c>
      <c r="H830" s="35"/>
      <c r="I830" s="31"/>
      <c r="J830" s="155">
        <v>0</v>
      </c>
    </row>
    <row r="831" spans="1:10" ht="15.75" hidden="1" thickBot="1" x14ac:dyDescent="0.3">
      <c r="A831" s="172" t="s">
        <v>300</v>
      </c>
      <c r="B831" s="174" t="str">
        <f>INDEX(Orçamentária!A:B,MATCH(Composições!A831,Orçamentária!A:A,0),2)</f>
        <v>Tabica metálica em forro de gesso acartonado</v>
      </c>
      <c r="C831" s="41"/>
      <c r="D831" s="26" t="str">
        <f>TRIM(INDEX(Orçamentária!C:C,MATCH(Composições!A831,Orçamentária!A:A,0),1))</f>
        <v>m</v>
      </c>
      <c r="E831" s="27"/>
      <c r="F831" s="42" t="s">
        <v>568</v>
      </c>
      <c r="G831" s="28" t="str">
        <f>IF(ISNUMBER(F831),E831*F831,"")</f>
        <v/>
      </c>
      <c r="H831" s="29"/>
      <c r="I831" s="30"/>
      <c r="J831" s="155">
        <v>0</v>
      </c>
    </row>
    <row r="832" spans="1:10" ht="15.75" hidden="1" thickBot="1" x14ac:dyDescent="0.3">
      <c r="A832" s="176"/>
      <c r="B832" s="175"/>
      <c r="C832" s="32"/>
      <c r="D832" s="32"/>
      <c r="E832" s="33"/>
      <c r="F832" s="43" t="s">
        <v>568</v>
      </c>
      <c r="G832" s="31" t="str">
        <f>IF(ISNUMBER(F832),E832*F832,"")</f>
        <v/>
      </c>
      <c r="H832" s="35"/>
      <c r="I832" s="31"/>
      <c r="J832" s="155">
        <v>0</v>
      </c>
    </row>
    <row r="833" spans="1:10" ht="26.25" hidden="1" thickBot="1" x14ac:dyDescent="0.3">
      <c r="A833" s="176"/>
      <c r="B833" s="175"/>
      <c r="C833" s="36" t="s">
        <v>301</v>
      </c>
      <c r="D833" s="36" t="s">
        <v>93</v>
      </c>
      <c r="E833" s="37">
        <v>1.1512</v>
      </c>
      <c r="F833" s="34">
        <v>5.3199999999999994</v>
      </c>
      <c r="G833" s="34">
        <f>IF(ISNUMBER(F833),E833*F833,"")</f>
        <v>6.1243839999999992</v>
      </c>
      <c r="H833" s="39">
        <f>SUM(G833:G836)</f>
        <v>10.374043699999998</v>
      </c>
      <c r="I833" s="40"/>
      <c r="J833" s="155">
        <v>0</v>
      </c>
    </row>
    <row r="834" spans="1:10" ht="26.25" hidden="1" thickBot="1" x14ac:dyDescent="0.3">
      <c r="A834" s="176"/>
      <c r="B834" s="175"/>
      <c r="C834" s="36" t="s">
        <v>167</v>
      </c>
      <c r="D834" s="36" t="s">
        <v>20</v>
      </c>
      <c r="E834" s="37">
        <v>0.58330000000000004</v>
      </c>
      <c r="F834" s="34">
        <v>0.11399999999999999</v>
      </c>
      <c r="G834" s="34">
        <f>IF(ISNUMBER(F834),E834*F834,"")</f>
        <v>6.6496200000000005E-2</v>
      </c>
      <c r="H834" s="56"/>
      <c r="I834" s="57"/>
      <c r="J834" s="155">
        <v>0</v>
      </c>
    </row>
    <row r="835" spans="1:10" ht="26.25" hidden="1" thickBot="1" x14ac:dyDescent="0.3">
      <c r="A835" s="176"/>
      <c r="B835" s="175"/>
      <c r="C835" s="36" t="s">
        <v>284</v>
      </c>
      <c r="D835" s="36" t="s">
        <v>158</v>
      </c>
      <c r="E835" s="37">
        <v>7.4899999999999994E-2</v>
      </c>
      <c r="F835" s="34">
        <v>22.818999999999999</v>
      </c>
      <c r="G835" s="34">
        <f>IF(ISNUMBER(F835),E835*F835,"")</f>
        <v>1.7091430999999997</v>
      </c>
      <c r="H835" s="56"/>
      <c r="I835" s="57"/>
      <c r="J835" s="155">
        <v>0</v>
      </c>
    </row>
    <row r="836" spans="1:10" ht="15.75" hidden="1" thickBot="1" x14ac:dyDescent="0.3">
      <c r="A836" s="176"/>
      <c r="B836" s="175"/>
      <c r="C836" s="36" t="s">
        <v>27</v>
      </c>
      <c r="D836" s="36" t="s">
        <v>12</v>
      </c>
      <c r="E836" s="37">
        <v>0.14680000000000001</v>
      </c>
      <c r="F836" s="31">
        <v>16.852999999999998</v>
      </c>
      <c r="G836" s="34">
        <f>IF(ISNUMBER(F836),E836*F836,"")</f>
        <v>2.4740204000000001</v>
      </c>
      <c r="H836" s="56"/>
      <c r="I836" s="57"/>
      <c r="J836" s="155">
        <v>0</v>
      </c>
    </row>
    <row r="837" spans="1:10" ht="15.75" hidden="1" thickBot="1" x14ac:dyDescent="0.3">
      <c r="A837" s="177"/>
      <c r="B837" s="178"/>
      <c r="C837" s="36"/>
      <c r="D837" s="36"/>
      <c r="E837" s="37"/>
      <c r="F837" s="31" t="s">
        <v>568</v>
      </c>
      <c r="G837" s="34" t="str">
        <f>IF(ISNUMBER(F837),E837*F837,"")</f>
        <v/>
      </c>
      <c r="H837" s="35"/>
      <c r="I837" s="31"/>
      <c r="J837" s="155">
        <v>0</v>
      </c>
    </row>
    <row r="838" spans="1:10" ht="15.75" hidden="1" thickBot="1" x14ac:dyDescent="0.3">
      <c r="A838" s="172" t="s">
        <v>302</v>
      </c>
      <c r="B838" s="174" t="str">
        <f>INDEX(Orçamentária!A:B,MATCH(Composições!A838,Orçamentária!A:A,0),2)</f>
        <v>Instalação de revestimento de piso têxtil (carpete) reaproveitado</v>
      </c>
      <c r="C838" s="41"/>
      <c r="D838" s="26" t="str">
        <f>TRIM(INDEX(Orçamentária!C:C,MATCH(Composições!A838,Orçamentária!A:A,0),1))</f>
        <v>m2</v>
      </c>
      <c r="E838" s="27"/>
      <c r="F838" s="42" t="s">
        <v>568</v>
      </c>
      <c r="G838" s="28" t="str">
        <f>IF(ISNUMBER(F838),E838*F838,"")</f>
        <v/>
      </c>
      <c r="H838" s="29"/>
      <c r="I838" s="30"/>
      <c r="J838" s="155">
        <v>0</v>
      </c>
    </row>
    <row r="839" spans="1:10" ht="15.75" hidden="1" thickBot="1" x14ac:dyDescent="0.3">
      <c r="A839" s="176"/>
      <c r="B839" s="175"/>
      <c r="C839" s="32"/>
      <c r="D839" s="32"/>
      <c r="E839" s="33"/>
      <c r="F839" s="43" t="s">
        <v>568</v>
      </c>
      <c r="G839" s="31" t="str">
        <f>IF(ISNUMBER(F839),E839*F839,"")</f>
        <v/>
      </c>
      <c r="H839" s="35"/>
      <c r="I839" s="31"/>
      <c r="J839" s="155">
        <v>0</v>
      </c>
    </row>
    <row r="840" spans="1:10" ht="15.75" hidden="1" thickBot="1" x14ac:dyDescent="0.3">
      <c r="A840" s="176"/>
      <c r="B840" s="175"/>
      <c r="C840" s="36" t="s">
        <v>23</v>
      </c>
      <c r="D840" s="36" t="s">
        <v>12</v>
      </c>
      <c r="E840" s="37">
        <v>0.1</v>
      </c>
      <c r="F840" s="31">
        <v>16.311500000000002</v>
      </c>
      <c r="G840" s="34">
        <f>IF(ISNUMBER(F840),E840*F840,"")</f>
        <v>1.6311500000000003</v>
      </c>
      <c r="H840" s="39">
        <f>SUM(G840:G842)</f>
        <v>6.3878000000000004</v>
      </c>
      <c r="I840" s="40"/>
      <c r="J840" s="155">
        <v>0</v>
      </c>
    </row>
    <row r="841" spans="1:10" ht="15.75" hidden="1" thickBot="1" x14ac:dyDescent="0.3">
      <c r="A841" s="176"/>
      <c r="B841" s="175"/>
      <c r="C841" s="36" t="s">
        <v>22</v>
      </c>
      <c r="D841" s="36" t="s">
        <v>12</v>
      </c>
      <c r="E841" s="37">
        <v>0.1</v>
      </c>
      <c r="F841" s="31">
        <v>22.087499999999999</v>
      </c>
      <c r="G841" s="34">
        <f>IF(ISNUMBER(F841),E841*F841,"")</f>
        <v>2.2087499999999998</v>
      </c>
      <c r="H841" s="35"/>
      <c r="I841" s="31"/>
      <c r="J841" s="155">
        <v>0</v>
      </c>
    </row>
    <row r="842" spans="1:10" ht="15.75" hidden="1" thickBot="1" x14ac:dyDescent="0.3">
      <c r="A842" s="176"/>
      <c r="B842" s="175"/>
      <c r="C842" s="36" t="s">
        <v>303</v>
      </c>
      <c r="D842" s="36" t="s">
        <v>42</v>
      </c>
      <c r="E842" s="37">
        <v>0.1</v>
      </c>
      <c r="F842" s="34">
        <v>25.478999999999999</v>
      </c>
      <c r="G842" s="31">
        <f>IF(ISNUMBER(F842),E842*F842,"")</f>
        <v>2.5479000000000003</v>
      </c>
      <c r="H842" s="35"/>
      <c r="I842" s="31"/>
      <c r="J842" s="155">
        <v>0</v>
      </c>
    </row>
    <row r="843" spans="1:10" ht="15.75" hidden="1" thickBot="1" x14ac:dyDescent="0.3">
      <c r="A843" s="177"/>
      <c r="B843" s="178"/>
      <c r="C843" s="36"/>
      <c r="D843" s="36"/>
      <c r="E843" s="37"/>
      <c r="F843" s="31" t="s">
        <v>568</v>
      </c>
      <c r="G843" s="31" t="str">
        <f>IF(ISNUMBER(F843),E843*F843,"")</f>
        <v/>
      </c>
      <c r="H843" s="35"/>
      <c r="I843" s="31"/>
      <c r="J843" s="155">
        <v>0</v>
      </c>
    </row>
    <row r="844" spans="1:10" ht="15.75" hidden="1" thickBot="1" x14ac:dyDescent="0.3">
      <c r="A844" s="172" t="s">
        <v>304</v>
      </c>
      <c r="B844" s="174" t="str">
        <f>INDEX(Orçamentária!A:B,MATCH(Composições!A844,Orçamentária!A:A,0),2)</f>
        <v>Baguetes metálicos</v>
      </c>
      <c r="C844" s="41"/>
      <c r="D844" s="26" t="str">
        <f>TRIM(INDEX(Orçamentária!C:C,MATCH(Composições!A844,Orçamentária!A:A,0),1))</f>
        <v>m</v>
      </c>
      <c r="E844" s="27"/>
      <c r="F844" s="42" t="s">
        <v>568</v>
      </c>
      <c r="G844" s="28" t="str">
        <f>IF(ISNUMBER(F844),E844*F844,"")</f>
        <v/>
      </c>
      <c r="H844" s="29"/>
      <c r="I844" s="30"/>
      <c r="J844" s="155">
        <v>0</v>
      </c>
    </row>
    <row r="845" spans="1:10" ht="15.75" hidden="1" thickBot="1" x14ac:dyDescent="0.3">
      <c r="A845" s="173"/>
      <c r="B845" s="175"/>
      <c r="C845" s="32"/>
      <c r="D845" s="32"/>
      <c r="E845" s="33"/>
      <c r="F845" s="43" t="s">
        <v>568</v>
      </c>
      <c r="G845" s="31" t="str">
        <f>IF(ISNUMBER(F845),E845*F845,"")</f>
        <v/>
      </c>
      <c r="H845" s="35"/>
      <c r="I845" s="31"/>
      <c r="J845" s="155">
        <v>0</v>
      </c>
    </row>
    <row r="846" spans="1:10" ht="15.75" hidden="1" thickBot="1" x14ac:dyDescent="0.3">
      <c r="A846" s="173"/>
      <c r="B846" s="175"/>
      <c r="C846" s="36" t="s">
        <v>68</v>
      </c>
      <c r="D846" s="47" t="s">
        <v>12</v>
      </c>
      <c r="E846" s="37">
        <v>0.25</v>
      </c>
      <c r="F846" s="31">
        <v>20.539000000000001</v>
      </c>
      <c r="G846" s="34">
        <f>IF(ISNUMBER(F846),E846*F846,"")</f>
        <v>5.1347500000000004</v>
      </c>
      <c r="H846" s="39">
        <f>SUM(G846:G847)</f>
        <v>5.1347500000000004</v>
      </c>
      <c r="I846" s="40"/>
      <c r="J846" s="155">
        <v>0</v>
      </c>
    </row>
    <row r="847" spans="1:10" ht="15.75" hidden="1" thickBot="1" x14ac:dyDescent="0.3">
      <c r="A847" s="173"/>
      <c r="B847" s="175"/>
      <c r="C847" s="36" t="s">
        <v>305</v>
      </c>
      <c r="D847" s="47" t="s">
        <v>93</v>
      </c>
      <c r="E847" s="37">
        <v>1.05</v>
      </c>
      <c r="F847" s="34" t="s">
        <v>568</v>
      </c>
      <c r="G847" s="34" t="str">
        <f>IF(ISNUMBER(F847),E847*F847,"")</f>
        <v/>
      </c>
      <c r="H847" s="35"/>
      <c r="I847" s="31"/>
      <c r="J847" s="155">
        <v>0</v>
      </c>
    </row>
    <row r="848" spans="1:10" ht="15.75" hidden="1" thickBot="1" x14ac:dyDescent="0.3">
      <c r="A848" s="185"/>
      <c r="B848" s="178"/>
      <c r="C848" s="36"/>
      <c r="D848" s="47"/>
      <c r="E848" s="37"/>
      <c r="F848" s="34" t="s">
        <v>568</v>
      </c>
      <c r="G848" s="34" t="str">
        <f>IF(ISNUMBER(F848),E848*F848,"")</f>
        <v/>
      </c>
      <c r="H848" s="35"/>
      <c r="I848" s="31"/>
      <c r="J848" s="155">
        <v>0</v>
      </c>
    </row>
    <row r="849" spans="1:10" ht="15.75" hidden="1" thickBot="1" x14ac:dyDescent="0.3">
      <c r="A849" s="172" t="s">
        <v>306</v>
      </c>
      <c r="B849" s="174" t="str">
        <f>INDEX(Orçamentária!A:B,MATCH(Composições!A849,Orçamentária!A:A,0),2)</f>
        <v>Cordão de massa de vidraceiro</v>
      </c>
      <c r="C849" s="41"/>
      <c r="D849" s="26" t="str">
        <f>TRIM(INDEX(Orçamentária!C:C,MATCH(Composições!A849,Orçamentária!A:A,0),1))</f>
        <v>m</v>
      </c>
      <c r="E849" s="27"/>
      <c r="F849" s="42" t="s">
        <v>568</v>
      </c>
      <c r="G849" s="28" t="str">
        <f>IF(ISNUMBER(F849),E849*F849,"")</f>
        <v/>
      </c>
      <c r="H849" s="29"/>
      <c r="I849" s="30"/>
      <c r="J849" s="155">
        <v>0</v>
      </c>
    </row>
    <row r="850" spans="1:10" ht="15.75" hidden="1" thickBot="1" x14ac:dyDescent="0.3">
      <c r="A850" s="173"/>
      <c r="B850" s="175"/>
      <c r="C850" s="32"/>
      <c r="D850" s="32"/>
      <c r="E850" s="33"/>
      <c r="F850" s="43" t="s">
        <v>568</v>
      </c>
      <c r="G850" s="31" t="str">
        <f>IF(ISNUMBER(F850),E850*F850,"")</f>
        <v/>
      </c>
      <c r="H850" s="35"/>
      <c r="I850" s="31"/>
      <c r="J850" s="155">
        <v>0</v>
      </c>
    </row>
    <row r="851" spans="1:10" ht="15.75" hidden="1" thickBot="1" x14ac:dyDescent="0.3">
      <c r="A851" s="173"/>
      <c r="B851" s="175"/>
      <c r="C851" s="36" t="s">
        <v>68</v>
      </c>
      <c r="D851" s="47" t="s">
        <v>12</v>
      </c>
      <c r="E851" s="37">
        <v>0.5</v>
      </c>
      <c r="F851" s="31">
        <v>20.539000000000001</v>
      </c>
      <c r="G851" s="34">
        <f>IF(ISNUMBER(F851),E851*F851,"")</f>
        <v>10.269500000000001</v>
      </c>
      <c r="H851" s="39">
        <f>SUM(G851:G853)</f>
        <v>18.257575000000003</v>
      </c>
      <c r="I851" s="40"/>
      <c r="J851" s="155">
        <v>0</v>
      </c>
    </row>
    <row r="852" spans="1:10" ht="15.75" hidden="1" thickBot="1" x14ac:dyDescent="0.3">
      <c r="A852" s="173"/>
      <c r="B852" s="175"/>
      <c r="C852" s="36" t="s">
        <v>23</v>
      </c>
      <c r="D852" s="47" t="s">
        <v>12</v>
      </c>
      <c r="E852" s="37">
        <f>E851/2</f>
        <v>0.25</v>
      </c>
      <c r="F852" s="34">
        <v>16.311500000000002</v>
      </c>
      <c r="G852" s="31">
        <f>IF(ISNUMBER(F852),E852*F852,"")</f>
        <v>4.0778750000000006</v>
      </c>
      <c r="H852" s="35"/>
      <c r="I852" s="31"/>
      <c r="J852" s="155">
        <v>0</v>
      </c>
    </row>
    <row r="853" spans="1:10" ht="15.75" hidden="1" thickBot="1" x14ac:dyDescent="0.3">
      <c r="A853" s="173"/>
      <c r="B853" s="175"/>
      <c r="C853" s="36" t="s">
        <v>307</v>
      </c>
      <c r="D853" s="36" t="s">
        <v>42</v>
      </c>
      <c r="E853" s="37">
        <v>0.6</v>
      </c>
      <c r="F853" s="34">
        <v>6.5170000000000003</v>
      </c>
      <c r="G853" s="31">
        <f>IF(ISNUMBER(F853),E853*F853,"")</f>
        <v>3.9102000000000001</v>
      </c>
      <c r="H853" s="35"/>
      <c r="I853" s="31"/>
      <c r="J853" s="155">
        <v>0</v>
      </c>
    </row>
    <row r="854" spans="1:10" ht="15.75" hidden="1" thickBot="1" x14ac:dyDescent="0.3">
      <c r="A854" s="185"/>
      <c r="B854" s="178"/>
      <c r="C854" s="36"/>
      <c r="D854" s="36"/>
      <c r="E854" s="37"/>
      <c r="F854" s="31" t="s">
        <v>568</v>
      </c>
      <c r="G854" s="31" t="str">
        <f>IF(ISNUMBER(F854),E854*F854,"")</f>
        <v/>
      </c>
      <c r="H854" s="35"/>
      <c r="I854" s="31"/>
      <c r="J854" s="155">
        <v>0</v>
      </c>
    </row>
    <row r="855" spans="1:10" ht="15.75" hidden="1" thickBot="1" x14ac:dyDescent="0.3">
      <c r="A855" s="172" t="s">
        <v>308</v>
      </c>
      <c r="B855" s="174" t="str">
        <f>INDEX(Orçamentária!A:B,MATCH(Composições!A855,Orçamentária!A:A,0),2)</f>
        <v>Espelho cristal, e=5 mm</v>
      </c>
      <c r="C855" s="41"/>
      <c r="D855" s="26" t="str">
        <f>TRIM(INDEX(Orçamentária!C:C,MATCH(Composições!A855,Orçamentária!A:A,0),1))</f>
        <v>m2</v>
      </c>
      <c r="E855" s="27"/>
      <c r="F855" s="42" t="s">
        <v>568</v>
      </c>
      <c r="G855" s="28" t="str">
        <f>IF(ISNUMBER(F855),E855*F855,"")</f>
        <v/>
      </c>
      <c r="H855" s="29"/>
      <c r="I855" s="30"/>
      <c r="J855" s="155">
        <v>0</v>
      </c>
    </row>
    <row r="856" spans="1:10" ht="15.75" hidden="1" thickBot="1" x14ac:dyDescent="0.3">
      <c r="A856" s="176"/>
      <c r="B856" s="175"/>
      <c r="C856" s="32"/>
      <c r="D856" s="32"/>
      <c r="E856" s="33"/>
      <c r="F856" s="43" t="s">
        <v>568</v>
      </c>
      <c r="G856" s="31" t="str">
        <f>IF(ISNUMBER(F856),E856*F856,"")</f>
        <v/>
      </c>
      <c r="H856" s="35"/>
      <c r="I856" s="31"/>
      <c r="J856" s="155">
        <v>0</v>
      </c>
    </row>
    <row r="857" spans="1:10" ht="26.25" hidden="1" thickBot="1" x14ac:dyDescent="0.3">
      <c r="A857" s="176"/>
      <c r="B857" s="175"/>
      <c r="C857" s="36" t="s">
        <v>309</v>
      </c>
      <c r="D857" s="47" t="s">
        <v>20</v>
      </c>
      <c r="E857" s="37">
        <v>4</v>
      </c>
      <c r="F857" s="34">
        <v>4.2939999999999996</v>
      </c>
      <c r="G857" s="34">
        <f>IF(ISNUMBER(F857),E857*F857,"")</f>
        <v>17.175999999999998</v>
      </c>
      <c r="H857" s="39">
        <f>SUM(G857:G860)</f>
        <v>64.778600000000012</v>
      </c>
      <c r="I857" s="40"/>
      <c r="J857" s="155">
        <v>0</v>
      </c>
    </row>
    <row r="858" spans="1:10" ht="15.75" hidden="1" thickBot="1" x14ac:dyDescent="0.3">
      <c r="A858" s="176"/>
      <c r="B858" s="175"/>
      <c r="C858" s="36" t="s">
        <v>310</v>
      </c>
      <c r="D858" s="47" t="s">
        <v>95</v>
      </c>
      <c r="E858" s="37">
        <v>1</v>
      </c>
      <c r="F858" s="31">
        <v>0</v>
      </c>
      <c r="G858" s="34">
        <f>IF(ISNUMBER(F858),E858*F858,"")</f>
        <v>0</v>
      </c>
      <c r="H858" s="35"/>
      <c r="I858" s="31"/>
      <c r="J858" s="155">
        <v>0</v>
      </c>
    </row>
    <row r="859" spans="1:10" ht="15.75" hidden="1" thickBot="1" x14ac:dyDescent="0.3">
      <c r="A859" s="176"/>
      <c r="B859" s="175"/>
      <c r="C859" s="36" t="s">
        <v>23</v>
      </c>
      <c r="D859" s="47" t="s">
        <v>12</v>
      </c>
      <c r="E859" s="37">
        <v>0.4</v>
      </c>
      <c r="F859" s="31">
        <v>16.311500000000002</v>
      </c>
      <c r="G859" s="34">
        <f>IF(ISNUMBER(F859),E859*F859,"")</f>
        <v>6.5246000000000013</v>
      </c>
      <c r="H859" s="35"/>
      <c r="I859" s="31"/>
      <c r="J859" s="155">
        <v>0</v>
      </c>
    </row>
    <row r="860" spans="1:10" ht="15.75" hidden="1" thickBot="1" x14ac:dyDescent="0.3">
      <c r="A860" s="176"/>
      <c r="B860" s="175"/>
      <c r="C860" s="36" t="s">
        <v>68</v>
      </c>
      <c r="D860" s="47" t="s">
        <v>12</v>
      </c>
      <c r="E860" s="37">
        <v>2</v>
      </c>
      <c r="F860" s="31">
        <v>20.539000000000001</v>
      </c>
      <c r="G860" s="34">
        <f>IF(ISNUMBER(F860),E860*F860,"")</f>
        <v>41.078000000000003</v>
      </c>
      <c r="H860" s="35"/>
      <c r="I860" s="31"/>
      <c r="J860" s="155">
        <v>0</v>
      </c>
    </row>
    <row r="861" spans="1:10" ht="15.75" hidden="1" thickBot="1" x14ac:dyDescent="0.3">
      <c r="A861" s="177"/>
      <c r="B861" s="178"/>
      <c r="C861" s="36"/>
      <c r="D861" s="36"/>
      <c r="E861" s="37"/>
      <c r="F861" s="31" t="s">
        <v>568</v>
      </c>
      <c r="G861" s="31" t="str">
        <f>IF(ISNUMBER(F861),E861*F861,"")</f>
        <v/>
      </c>
      <c r="H861" s="35"/>
      <c r="I861" s="31"/>
      <c r="J861" s="155">
        <v>0</v>
      </c>
    </row>
    <row r="862" spans="1:10" ht="15.75" hidden="1" thickBot="1" x14ac:dyDescent="0.3">
      <c r="A862" s="172" t="s">
        <v>311</v>
      </c>
      <c r="B862" s="174" t="str">
        <f>INDEX(Orçamentária!A:B,MATCH(Composições!A862,Orçamentária!A:A,0),2)</f>
        <v>Instalação de vidro reaproveitado</v>
      </c>
      <c r="C862" s="41"/>
      <c r="D862" s="26" t="str">
        <f>TRIM(INDEX(Orçamentária!C:C,MATCH(Composições!A862,Orçamentária!A:A,0),1))</f>
        <v>m2</v>
      </c>
      <c r="E862" s="27"/>
      <c r="F862" s="42" t="s">
        <v>568</v>
      </c>
      <c r="G862" s="28" t="str">
        <f>IF(ISNUMBER(F862),E862*F862,"")</f>
        <v/>
      </c>
      <c r="H862" s="29"/>
      <c r="I862" s="30"/>
      <c r="J862" s="155">
        <v>0</v>
      </c>
    </row>
    <row r="863" spans="1:10" ht="15.75" hidden="1" thickBot="1" x14ac:dyDescent="0.3">
      <c r="A863" s="176"/>
      <c r="B863" s="175"/>
      <c r="C863" s="32"/>
      <c r="D863" s="32"/>
      <c r="E863" s="33"/>
      <c r="F863" s="43" t="s">
        <v>568</v>
      </c>
      <c r="G863" s="31" t="str">
        <f>IF(ISNUMBER(F863),E863*F863,"")</f>
        <v/>
      </c>
      <c r="H863" s="35"/>
      <c r="I863" s="31"/>
      <c r="J863" s="155">
        <v>0</v>
      </c>
    </row>
    <row r="864" spans="1:10" ht="15.75" hidden="1" thickBot="1" x14ac:dyDescent="0.3">
      <c r="A864" s="176"/>
      <c r="B864" s="175"/>
      <c r="C864" s="36" t="s">
        <v>23</v>
      </c>
      <c r="D864" s="47" t="s">
        <v>12</v>
      </c>
      <c r="E864" s="37">
        <v>0.45</v>
      </c>
      <c r="F864" s="31">
        <v>16.311500000000002</v>
      </c>
      <c r="G864" s="34">
        <f>IF(ISNUMBER(F864),E864*F864,"")</f>
        <v>7.3401750000000012</v>
      </c>
      <c r="H864" s="39">
        <f>SUM(G864:G866)</f>
        <v>27.009925000000003</v>
      </c>
      <c r="I864" s="40"/>
      <c r="J864" s="155">
        <v>0</v>
      </c>
    </row>
    <row r="865" spans="1:10" ht="15.75" hidden="1" thickBot="1" x14ac:dyDescent="0.3">
      <c r="A865" s="176"/>
      <c r="B865" s="175"/>
      <c r="C865" s="36" t="s">
        <v>68</v>
      </c>
      <c r="D865" s="47" t="s">
        <v>12</v>
      </c>
      <c r="E865" s="37">
        <v>0.45</v>
      </c>
      <c r="F865" s="31">
        <v>20.539000000000001</v>
      </c>
      <c r="G865" s="34">
        <f>IF(ISNUMBER(F865),E865*F865,"")</f>
        <v>9.2425500000000014</v>
      </c>
      <c r="H865" s="35"/>
      <c r="I865" s="31"/>
      <c r="J865" s="155">
        <v>0</v>
      </c>
    </row>
    <row r="866" spans="1:10" ht="15.75" hidden="1" thickBot="1" x14ac:dyDescent="0.3">
      <c r="A866" s="176"/>
      <c r="B866" s="175"/>
      <c r="C866" s="36" t="s">
        <v>307</v>
      </c>
      <c r="D866" s="47" t="s">
        <v>42</v>
      </c>
      <c r="E866" s="37">
        <v>1.6</v>
      </c>
      <c r="F866" s="34">
        <v>6.5170000000000003</v>
      </c>
      <c r="G866" s="34">
        <f>IF(ISNUMBER(F866),E866*F866,"")</f>
        <v>10.427200000000001</v>
      </c>
      <c r="H866" s="35"/>
      <c r="I866" s="31"/>
      <c r="J866" s="155">
        <v>0</v>
      </c>
    </row>
    <row r="867" spans="1:10" ht="15.75" hidden="1" thickBot="1" x14ac:dyDescent="0.3">
      <c r="A867" s="176"/>
      <c r="B867" s="175"/>
      <c r="C867" s="36"/>
      <c r="D867" s="47"/>
      <c r="E867" s="37"/>
      <c r="F867" s="34" t="s">
        <v>568</v>
      </c>
      <c r="G867" s="34" t="str">
        <f>IF(ISNUMBER(F867),E867*F867,"")</f>
        <v/>
      </c>
      <c r="H867" s="35"/>
      <c r="I867" s="31"/>
      <c r="J867" s="155">
        <v>0</v>
      </c>
    </row>
    <row r="868" spans="1:10" ht="15.75" hidden="1" thickBot="1" x14ac:dyDescent="0.3">
      <c r="A868" s="172" t="s">
        <v>312</v>
      </c>
      <c r="B868" s="174" t="str">
        <f>INDEX(Orçamentária!A:B,MATCH(Composições!A868,Orçamentária!A:A,0),2)</f>
        <v>Substituição da calafetação com selante</v>
      </c>
      <c r="C868" s="41"/>
      <c r="D868" s="26" t="str">
        <f>TRIM(INDEX(Orçamentária!C:C,MATCH(Composições!A868,Orçamentária!A:A,0),1))</f>
        <v>m</v>
      </c>
      <c r="E868" s="27"/>
      <c r="F868" s="42" t="s">
        <v>568</v>
      </c>
      <c r="G868" s="28" t="str">
        <f>IF(ISNUMBER(F868),E868*F868,"")</f>
        <v/>
      </c>
      <c r="H868" s="29"/>
      <c r="I868" s="30"/>
      <c r="J868" s="155">
        <v>0</v>
      </c>
    </row>
    <row r="869" spans="1:10" ht="15.75" hidden="1" thickBot="1" x14ac:dyDescent="0.3">
      <c r="A869" s="173"/>
      <c r="B869" s="175"/>
      <c r="C869" s="32"/>
      <c r="D869" s="32"/>
      <c r="E869" s="33"/>
      <c r="F869" s="43" t="s">
        <v>568</v>
      </c>
      <c r="G869" s="31" t="str">
        <f>IF(ISNUMBER(F869),E869*F869,"")</f>
        <v/>
      </c>
      <c r="H869" s="35"/>
      <c r="I869" s="31"/>
      <c r="J869" s="155">
        <v>0</v>
      </c>
    </row>
    <row r="870" spans="1:10" ht="15.75" hidden="1" thickBot="1" x14ac:dyDescent="0.3">
      <c r="A870" s="173"/>
      <c r="B870" s="175"/>
      <c r="C870" s="36" t="s">
        <v>68</v>
      </c>
      <c r="D870" s="47" t="s">
        <v>12</v>
      </c>
      <c r="E870" s="37">
        <v>0.5</v>
      </c>
      <c r="F870" s="31">
        <v>20.539000000000001</v>
      </c>
      <c r="G870" s="31">
        <f>IF(ISNUMBER(F870),E870*F870,"")</f>
        <v>10.269500000000001</v>
      </c>
      <c r="H870" s="39">
        <f>SUM(G870:G872)</f>
        <v>20.518591149999999</v>
      </c>
      <c r="I870" s="40"/>
      <c r="J870" s="155">
        <v>0</v>
      </c>
    </row>
    <row r="871" spans="1:10" ht="15.75" hidden="1" thickBot="1" x14ac:dyDescent="0.3">
      <c r="A871" s="173"/>
      <c r="B871" s="175"/>
      <c r="C871" s="36" t="s">
        <v>23</v>
      </c>
      <c r="D871" s="47" t="s">
        <v>12</v>
      </c>
      <c r="E871" s="37">
        <f>E870/2</f>
        <v>0.25</v>
      </c>
      <c r="F871" s="34">
        <v>16.311500000000002</v>
      </c>
      <c r="G871" s="31">
        <f>IF(ISNUMBER(F871),E871*F871,"")</f>
        <v>4.0778750000000006</v>
      </c>
      <c r="H871" s="35"/>
      <c r="I871" s="31"/>
      <c r="J871" s="155">
        <v>0</v>
      </c>
    </row>
    <row r="872" spans="1:10" ht="15.75" hidden="1" thickBot="1" x14ac:dyDescent="0.3">
      <c r="A872" s="173"/>
      <c r="B872" s="175"/>
      <c r="C872" s="36" t="s">
        <v>313</v>
      </c>
      <c r="D872" s="47" t="s">
        <v>20</v>
      </c>
      <c r="E872" s="37">
        <f>ROUND(1/3,4)</f>
        <v>0.33329999999999999</v>
      </c>
      <c r="F872" s="34">
        <v>18.515499999999999</v>
      </c>
      <c r="G872" s="31">
        <f>IF(ISNUMBER(F872),E872*F872,"")</f>
        <v>6.1712161499999993</v>
      </c>
      <c r="H872" s="35"/>
      <c r="I872" s="31"/>
      <c r="J872" s="155">
        <v>0</v>
      </c>
    </row>
    <row r="873" spans="1:10" ht="15.75" hidden="1" thickBot="1" x14ac:dyDescent="0.3">
      <c r="A873" s="173"/>
      <c r="B873" s="175"/>
      <c r="C873" s="36"/>
      <c r="D873" s="47"/>
      <c r="E873" s="37"/>
      <c r="F873" s="31" t="s">
        <v>568</v>
      </c>
      <c r="G873" s="31" t="str">
        <f>IF(ISNUMBER(F873),E873*F873,"")</f>
        <v/>
      </c>
      <c r="H873" s="35"/>
      <c r="I873" s="31"/>
      <c r="J873" s="155">
        <v>0</v>
      </c>
    </row>
    <row r="874" spans="1:10" ht="26.25" hidden="1" thickBot="1" x14ac:dyDescent="0.3">
      <c r="A874" s="173"/>
      <c r="B874" s="175"/>
      <c r="C874" s="58" t="s">
        <v>314</v>
      </c>
      <c r="D874" s="58"/>
      <c r="E874" s="59"/>
      <c r="F874" s="60" t="s">
        <v>568</v>
      </c>
      <c r="G874" s="58" t="str">
        <f>IF(ISNUMBER(F874),E874*F874,"")</f>
        <v/>
      </c>
      <c r="H874" s="61"/>
      <c r="I874" s="58"/>
      <c r="J874" s="155">
        <v>0</v>
      </c>
    </row>
    <row r="875" spans="1:10" ht="15.75" hidden="1" thickBot="1" x14ac:dyDescent="0.3">
      <c r="A875" s="185"/>
      <c r="B875" s="178"/>
      <c r="C875" s="36"/>
      <c r="D875" s="36"/>
      <c r="E875" s="37"/>
      <c r="F875" s="31" t="s">
        <v>568</v>
      </c>
      <c r="G875" s="31" t="str">
        <f>IF(ISNUMBER(F875),E875*F875,"")</f>
        <v/>
      </c>
      <c r="H875" s="35"/>
      <c r="I875" s="31"/>
      <c r="J875" s="155">
        <v>0</v>
      </c>
    </row>
    <row r="876" spans="1:10" ht="15.75" thickBot="1" x14ac:dyDescent="0.3">
      <c r="A876" s="172" t="s">
        <v>315</v>
      </c>
      <c r="B876" s="174" t="str">
        <f>INDEX(Orçamentária!A:B,MATCH(Composições!A876,Orçamentária!A:A,0),2)</f>
        <v>Vidro liso comum transparente 4mm</v>
      </c>
      <c r="C876" s="41"/>
      <c r="D876" s="26" t="str">
        <f>TRIM(INDEX(Orçamentária!C:C,MATCH(Composições!A876,Orçamentária!A:A,0),1))</f>
        <v>m2</v>
      </c>
      <c r="E876" s="27"/>
      <c r="F876" s="42" t="s">
        <v>568</v>
      </c>
      <c r="G876" s="28" t="str">
        <f>IF(ISNUMBER(F876),E876*F876,"")</f>
        <v/>
      </c>
      <c r="H876" s="29"/>
      <c r="I876" s="30"/>
      <c r="J876" s="155">
        <v>52.18</v>
      </c>
    </row>
    <row r="877" spans="1:10" x14ac:dyDescent="0.25">
      <c r="A877" s="173"/>
      <c r="B877" s="175"/>
      <c r="C877" s="32"/>
      <c r="D877" s="32"/>
      <c r="E877" s="33"/>
      <c r="F877" s="43" t="s">
        <v>568</v>
      </c>
      <c r="G877" s="31" t="str">
        <f>IF(ISNUMBER(F877),E877*F877,"")</f>
        <v/>
      </c>
      <c r="H877" s="35"/>
      <c r="I877" s="31"/>
      <c r="J877" s="155">
        <v>52.18</v>
      </c>
    </row>
    <row r="878" spans="1:10" x14ac:dyDescent="0.25">
      <c r="A878" s="173"/>
      <c r="B878" s="175"/>
      <c r="C878" s="36" t="s">
        <v>23</v>
      </c>
      <c r="D878" s="47" t="s">
        <v>12</v>
      </c>
      <c r="E878" s="37">
        <v>0.628</v>
      </c>
      <c r="F878" s="31">
        <v>16.311500000000002</v>
      </c>
      <c r="G878" s="34">
        <f>IF(ISNUMBER(F878),E878*F878,"")</f>
        <v>10.243622000000002</v>
      </c>
      <c r="H878" s="39">
        <f>SUM(G878:G882)</f>
        <v>137.20907</v>
      </c>
      <c r="I878" s="40"/>
      <c r="J878" s="155">
        <v>52.18</v>
      </c>
    </row>
    <row r="879" spans="1:10" x14ac:dyDescent="0.25">
      <c r="A879" s="173"/>
      <c r="B879" s="175"/>
      <c r="C879" s="36" t="s">
        <v>68</v>
      </c>
      <c r="D879" s="47" t="s">
        <v>12</v>
      </c>
      <c r="E879" s="37">
        <v>0.64600000000000002</v>
      </c>
      <c r="F879" s="31">
        <v>20.539000000000001</v>
      </c>
      <c r="G879" s="34">
        <f>IF(ISNUMBER(F879),E879*F879,"")</f>
        <v>13.268194000000001</v>
      </c>
      <c r="H879" s="35"/>
      <c r="I879" s="31"/>
      <c r="J879" s="155">
        <v>52.18</v>
      </c>
    </row>
    <row r="880" spans="1:10" x14ac:dyDescent="0.25">
      <c r="A880" s="173"/>
      <c r="B880" s="175"/>
      <c r="C880" s="36" t="s">
        <v>316</v>
      </c>
      <c r="D880" s="47" t="s">
        <v>95</v>
      </c>
      <c r="E880" s="37">
        <v>1</v>
      </c>
      <c r="F880" s="34">
        <v>102.59049999999999</v>
      </c>
      <c r="G880" s="34">
        <f>IF(ISNUMBER(F880),E880*F880,"")</f>
        <v>102.59049999999999</v>
      </c>
      <c r="H880" s="35"/>
      <c r="I880" s="31"/>
      <c r="J880" s="155">
        <v>52.18</v>
      </c>
    </row>
    <row r="881" spans="1:10" x14ac:dyDescent="0.25">
      <c r="A881" s="173"/>
      <c r="B881" s="175"/>
      <c r="C881" s="36" t="s">
        <v>3463</v>
      </c>
      <c r="D881" s="47" t="s">
        <v>953</v>
      </c>
      <c r="E881" s="37">
        <v>3.3000000000000002E-2</v>
      </c>
      <c r="F881" s="34">
        <v>19.560499999999998</v>
      </c>
      <c r="G881" s="34">
        <f>IF(ISNUMBER(F881),E881*F881,"")</f>
        <v>0.64549649999999992</v>
      </c>
      <c r="H881" s="35"/>
      <c r="I881" s="31"/>
      <c r="J881" s="155">
        <v>52.18</v>
      </c>
    </row>
    <row r="882" spans="1:10" x14ac:dyDescent="0.25">
      <c r="A882" s="173"/>
      <c r="B882" s="175"/>
      <c r="C882" s="36" t="s">
        <v>1190</v>
      </c>
      <c r="D882" s="47" t="s">
        <v>297</v>
      </c>
      <c r="E882" s="37">
        <v>0.56499999999999995</v>
      </c>
      <c r="F882" s="34">
        <v>18.515499999999999</v>
      </c>
      <c r="G882" s="34">
        <f>IF(ISNUMBER(F882),E882*F882,"")</f>
        <v>10.461257499999999</v>
      </c>
      <c r="H882" s="35"/>
      <c r="I882" s="31"/>
      <c r="J882" s="155">
        <v>52.18</v>
      </c>
    </row>
    <row r="883" spans="1:10" ht="15.75" thickBot="1" x14ac:dyDescent="0.3">
      <c r="A883" s="185"/>
      <c r="B883" s="178"/>
      <c r="C883" s="36"/>
      <c r="D883" s="36"/>
      <c r="E883" s="37"/>
      <c r="F883" s="31" t="s">
        <v>568</v>
      </c>
      <c r="G883" s="31" t="str">
        <f>IF(ISNUMBER(F883),E883*F883,"")</f>
        <v/>
      </c>
      <c r="H883" s="35"/>
      <c r="I883" s="31"/>
      <c r="J883" s="155">
        <v>52.18</v>
      </c>
    </row>
    <row r="884" spans="1:10" ht="15.75" thickBot="1" x14ac:dyDescent="0.3">
      <c r="A884" s="172" t="s">
        <v>317</v>
      </c>
      <c r="B884" s="174" t="str">
        <f>INDEX(Orçamentária!A:B,MATCH(Composições!A884,Orçamentária!A:A,0),2)</f>
        <v>Vidro liso comum transparente 6mm</v>
      </c>
      <c r="C884" s="41"/>
      <c r="D884" s="26" t="str">
        <f>TRIM(INDEX(Orçamentária!C:C,MATCH(Composições!A884,Orçamentária!A:A,0),1))</f>
        <v>m2</v>
      </c>
      <c r="E884" s="27"/>
      <c r="F884" s="42" t="s">
        <v>568</v>
      </c>
      <c r="G884" s="28" t="str">
        <f>IF(ISNUMBER(F884),E884*F884,"")</f>
        <v/>
      </c>
      <c r="H884" s="29"/>
      <c r="I884" s="30"/>
      <c r="J884" s="155">
        <v>35.270000000000003</v>
      </c>
    </row>
    <row r="885" spans="1:10" x14ac:dyDescent="0.25">
      <c r="A885" s="173"/>
      <c r="B885" s="175"/>
      <c r="C885" s="32"/>
      <c r="D885" s="32"/>
      <c r="E885" s="33"/>
      <c r="F885" s="43" t="s">
        <v>568</v>
      </c>
      <c r="G885" s="31" t="str">
        <f>IF(ISNUMBER(F885),E885*F885,"")</f>
        <v/>
      </c>
      <c r="H885" s="35"/>
      <c r="I885" s="31"/>
      <c r="J885" s="155">
        <v>35.270000000000003</v>
      </c>
    </row>
    <row r="886" spans="1:10" x14ac:dyDescent="0.25">
      <c r="A886" s="173"/>
      <c r="B886" s="175"/>
      <c r="C886" s="36" t="s">
        <v>23</v>
      </c>
      <c r="D886" s="47" t="s">
        <v>12</v>
      </c>
      <c r="E886" s="37">
        <v>0.38300000000000001</v>
      </c>
      <c r="F886" s="31">
        <v>16.311500000000002</v>
      </c>
      <c r="G886" s="31">
        <f>IF(ISNUMBER(F886),E886*F886,"")</f>
        <v>6.2473045000000011</v>
      </c>
      <c r="H886" s="39">
        <f>SUM(G886:G890)</f>
        <v>166.7104745</v>
      </c>
      <c r="I886" s="40"/>
      <c r="J886" s="155">
        <v>35.270000000000003</v>
      </c>
    </row>
    <row r="887" spans="1:10" x14ac:dyDescent="0.25">
      <c r="A887" s="173"/>
      <c r="B887" s="175"/>
      <c r="C887" s="36" t="s">
        <v>68</v>
      </c>
      <c r="D887" s="47" t="s">
        <v>12</v>
      </c>
      <c r="E887" s="37">
        <v>0.39400000000000002</v>
      </c>
      <c r="F887" s="31">
        <v>20.539000000000001</v>
      </c>
      <c r="G887" s="31">
        <f>IF(ISNUMBER(F887),E887*F887,"")</f>
        <v>8.0923660000000002</v>
      </c>
      <c r="H887" s="35"/>
      <c r="I887" s="31"/>
      <c r="J887" s="155">
        <v>35.270000000000003</v>
      </c>
    </row>
    <row r="888" spans="1:10" x14ac:dyDescent="0.25">
      <c r="A888" s="173"/>
      <c r="B888" s="175"/>
      <c r="C888" s="36" t="s">
        <v>318</v>
      </c>
      <c r="D888" s="47" t="s">
        <v>95</v>
      </c>
      <c r="E888" s="37">
        <v>1</v>
      </c>
      <c r="F888" s="34">
        <v>145.35</v>
      </c>
      <c r="G888" s="31">
        <f>IF(ISNUMBER(F888),E888*F888,"")</f>
        <v>145.35</v>
      </c>
      <c r="H888" s="35"/>
      <c r="I888" s="31"/>
      <c r="J888" s="155">
        <v>35.270000000000003</v>
      </c>
    </row>
    <row r="889" spans="1:10" x14ac:dyDescent="0.25">
      <c r="A889" s="173"/>
      <c r="B889" s="175"/>
      <c r="C889" s="36" t="s">
        <v>3463</v>
      </c>
      <c r="D889" s="47" t="s">
        <v>953</v>
      </c>
      <c r="E889" s="37">
        <v>2.1000000000000001E-2</v>
      </c>
      <c r="F889" s="34">
        <v>19.560499999999998</v>
      </c>
      <c r="G889" s="31">
        <f>IF(ISNUMBER(F889),E889*F889,"")</f>
        <v>0.41077049999999998</v>
      </c>
      <c r="H889" s="35"/>
      <c r="I889" s="31"/>
      <c r="J889" s="155">
        <v>35.270000000000003</v>
      </c>
    </row>
    <row r="890" spans="1:10" x14ac:dyDescent="0.25">
      <c r="A890" s="173"/>
      <c r="B890" s="175"/>
      <c r="C890" s="36" t="s">
        <v>1190</v>
      </c>
      <c r="D890" s="47" t="s">
        <v>297</v>
      </c>
      <c r="E890" s="37">
        <v>0.35699999999999998</v>
      </c>
      <c r="F890" s="34">
        <v>18.515499999999999</v>
      </c>
      <c r="G890" s="31">
        <f>IF(ISNUMBER(F890),E890*F890,"")</f>
        <v>6.6100334999999992</v>
      </c>
      <c r="H890" s="35"/>
      <c r="I890" s="31"/>
      <c r="J890" s="155">
        <v>35.270000000000003</v>
      </c>
    </row>
    <row r="891" spans="1:10" ht="15.75" thickBot="1" x14ac:dyDescent="0.3">
      <c r="A891" s="185"/>
      <c r="B891" s="178"/>
      <c r="C891" s="36"/>
      <c r="D891" s="36"/>
      <c r="E891" s="37"/>
      <c r="F891" s="31" t="s">
        <v>568</v>
      </c>
      <c r="G891" s="31" t="str">
        <f>IF(ISNUMBER(F891),E891*F891,"")</f>
        <v/>
      </c>
      <c r="H891" s="35"/>
      <c r="I891" s="31"/>
      <c r="J891" s="155">
        <v>35.270000000000003</v>
      </c>
    </row>
    <row r="892" spans="1:10" ht="15.75" hidden="1" thickBot="1" x14ac:dyDescent="0.3">
      <c r="A892" s="172" t="s">
        <v>319</v>
      </c>
      <c r="B892" s="174" t="str">
        <f>INDEX(Orçamentária!A:B,MATCH(Composições!A892,Orçamentária!A:A,0),2)</f>
        <v>Instalação de painéis de vidro temperado reaproveitados</v>
      </c>
      <c r="C892" s="41"/>
      <c r="D892" s="26" t="str">
        <f>TRIM(INDEX(Orçamentária!C:C,MATCH(Composições!A892,Orçamentária!A:A,0),1))</f>
        <v>m2</v>
      </c>
      <c r="E892" s="27"/>
      <c r="F892" s="42" t="s">
        <v>568</v>
      </c>
      <c r="G892" s="28" t="str">
        <f>IF(ISNUMBER(F892),E892*F892,"")</f>
        <v/>
      </c>
      <c r="H892" s="29"/>
      <c r="I892" s="30"/>
      <c r="J892" s="155">
        <v>0</v>
      </c>
    </row>
    <row r="893" spans="1:10" ht="15.75" hidden="1" thickBot="1" x14ac:dyDescent="0.3">
      <c r="A893" s="176"/>
      <c r="B893" s="175"/>
      <c r="C893" s="32"/>
      <c r="D893" s="32"/>
      <c r="E893" s="33"/>
      <c r="F893" s="43" t="s">
        <v>568</v>
      </c>
      <c r="G893" s="31" t="str">
        <f>IF(ISNUMBER(F893),E893*F893,"")</f>
        <v/>
      </c>
      <c r="H893" s="35"/>
      <c r="I893" s="31"/>
      <c r="J893" s="155">
        <v>0</v>
      </c>
    </row>
    <row r="894" spans="1:10" ht="15.75" hidden="1" thickBot="1" x14ac:dyDescent="0.3">
      <c r="A894" s="176"/>
      <c r="B894" s="175"/>
      <c r="C894" s="36" t="s">
        <v>68</v>
      </c>
      <c r="D894" s="36" t="s">
        <v>12</v>
      </c>
      <c r="E894" s="37">
        <f>2.2/2</f>
        <v>1.1000000000000001</v>
      </c>
      <c r="F894" s="31">
        <v>20.539000000000001</v>
      </c>
      <c r="G894" s="34">
        <f>IF(ISNUMBER(F894),E894*F894,"")</f>
        <v>22.592900000000004</v>
      </c>
      <c r="H894" s="39">
        <f>SUM(G894:G895)</f>
        <v>40.535550000000008</v>
      </c>
      <c r="I894" s="40"/>
      <c r="J894" s="155">
        <v>0</v>
      </c>
    </row>
    <row r="895" spans="1:10" ht="15.75" hidden="1" thickBot="1" x14ac:dyDescent="0.3">
      <c r="A895" s="176"/>
      <c r="B895" s="175"/>
      <c r="C895" s="36" t="s">
        <v>23</v>
      </c>
      <c r="D895" s="47" t="s">
        <v>12</v>
      </c>
      <c r="E895" s="37">
        <f>2.2/2</f>
        <v>1.1000000000000001</v>
      </c>
      <c r="F895" s="31">
        <v>16.311500000000002</v>
      </c>
      <c r="G895" s="34">
        <f>IF(ISNUMBER(F895),E895*F895,"")</f>
        <v>17.942650000000004</v>
      </c>
      <c r="H895" s="35"/>
      <c r="I895" s="31"/>
      <c r="J895" s="155">
        <v>0</v>
      </c>
    </row>
    <row r="896" spans="1:10" ht="15.75" hidden="1" thickBot="1" x14ac:dyDescent="0.3">
      <c r="A896" s="177"/>
      <c r="B896" s="178"/>
      <c r="C896" s="36"/>
      <c r="D896" s="36"/>
      <c r="E896" s="37"/>
      <c r="F896" s="31" t="s">
        <v>568</v>
      </c>
      <c r="G896" s="31" t="str">
        <f>IF(ISNUMBER(F896),E896*F896,"")</f>
        <v/>
      </c>
      <c r="H896" s="35"/>
      <c r="I896" s="31"/>
      <c r="J896" s="155">
        <v>0</v>
      </c>
    </row>
    <row r="897" spans="1:10" ht="15.75" hidden="1" thickBot="1" x14ac:dyDescent="0.3">
      <c r="A897" s="172" t="s">
        <v>320</v>
      </c>
      <c r="B897" s="174" t="str">
        <f>INDEX(Orçamentária!A:B,MATCH(Composições!A897,Orçamentária!A:A,0),2)</f>
        <v>Mola hidráulica de piso</v>
      </c>
      <c r="C897" s="41"/>
      <c r="D897" s="26" t="str">
        <f>TRIM(INDEX(Orçamentária!C:C,MATCH(Composições!A897,Orçamentária!A:A,0),1))</f>
        <v>un</v>
      </c>
      <c r="E897" s="27"/>
      <c r="F897" s="42" t="s">
        <v>568</v>
      </c>
      <c r="G897" s="28" t="str">
        <f>IF(ISNUMBER(F897),E897*F897,"")</f>
        <v/>
      </c>
      <c r="H897" s="29"/>
      <c r="I897" s="30"/>
      <c r="J897" s="155">
        <v>0</v>
      </c>
    </row>
    <row r="898" spans="1:10" ht="15.75" hidden="1" thickBot="1" x14ac:dyDescent="0.3">
      <c r="A898" s="176"/>
      <c r="B898" s="175"/>
      <c r="C898" s="32"/>
      <c r="D898" s="32"/>
      <c r="E898" s="33"/>
      <c r="F898" s="43" t="s">
        <v>568</v>
      </c>
      <c r="G898" s="31" t="str">
        <f>IF(ISNUMBER(F898),E898*F898,"")</f>
        <v/>
      </c>
      <c r="H898" s="35"/>
      <c r="I898" s="31"/>
      <c r="J898" s="155">
        <v>0</v>
      </c>
    </row>
    <row r="899" spans="1:10" ht="15.75" hidden="1" thickBot="1" x14ac:dyDescent="0.3">
      <c r="A899" s="176"/>
      <c r="B899" s="175"/>
      <c r="C899" s="36" t="s">
        <v>68</v>
      </c>
      <c r="D899" s="36" t="s">
        <v>12</v>
      </c>
      <c r="E899" s="37">
        <v>0.75</v>
      </c>
      <c r="F899" s="31">
        <v>20.539000000000001</v>
      </c>
      <c r="G899" s="34">
        <f>IF(ISNUMBER(F899),E899*F899,"")</f>
        <v>15.404250000000001</v>
      </c>
      <c r="H899" s="39">
        <f>SUM(G899:G902)</f>
        <v>20.297700000000003</v>
      </c>
      <c r="I899" s="40"/>
      <c r="J899" s="155">
        <v>0</v>
      </c>
    </row>
    <row r="900" spans="1:10" ht="15.75" hidden="1" thickBot="1" x14ac:dyDescent="0.3">
      <c r="A900" s="176"/>
      <c r="B900" s="175"/>
      <c r="C900" s="36" t="s">
        <v>23</v>
      </c>
      <c r="D900" s="47" t="s">
        <v>12</v>
      </c>
      <c r="E900" s="37">
        <v>0.3</v>
      </c>
      <c r="F900" s="31">
        <v>16.311500000000002</v>
      </c>
      <c r="G900" s="34">
        <f>IF(ISNUMBER(F900),E900*F900,"")</f>
        <v>4.8934500000000005</v>
      </c>
      <c r="H900" s="45"/>
      <c r="I900" s="46"/>
      <c r="J900" s="155">
        <v>0</v>
      </c>
    </row>
    <row r="901" spans="1:10" ht="39" hidden="1" thickBot="1" x14ac:dyDescent="0.3">
      <c r="A901" s="176"/>
      <c r="B901" s="175"/>
      <c r="C901" s="36" t="s">
        <v>321</v>
      </c>
      <c r="D901" s="36" t="s">
        <v>20</v>
      </c>
      <c r="E901" s="37">
        <v>1</v>
      </c>
      <c r="F901" s="31" t="s">
        <v>568</v>
      </c>
      <c r="G901" s="31" t="str">
        <f>IF(ISNUMBER(F901),E901*F901,"")</f>
        <v/>
      </c>
      <c r="H901" s="35"/>
      <c r="I901" s="31"/>
      <c r="J901" s="155">
        <v>0</v>
      </c>
    </row>
    <row r="902" spans="1:10" ht="15.75" hidden="1" thickBot="1" x14ac:dyDescent="0.3">
      <c r="A902" s="176"/>
      <c r="B902" s="175"/>
      <c r="C902" s="36" t="s">
        <v>322</v>
      </c>
      <c r="D902" s="36" t="s">
        <v>20</v>
      </c>
      <c r="E902" s="37">
        <v>1</v>
      </c>
      <c r="F902" s="31" t="s">
        <v>568</v>
      </c>
      <c r="G902" s="31" t="str">
        <f>IF(ISNUMBER(F902),E902*F902,"")</f>
        <v/>
      </c>
      <c r="H902" s="35"/>
      <c r="I902" s="31"/>
      <c r="J902" s="155">
        <v>0</v>
      </c>
    </row>
    <row r="903" spans="1:10" ht="15.75" hidden="1" thickBot="1" x14ac:dyDescent="0.3">
      <c r="A903" s="177"/>
      <c r="B903" s="178"/>
      <c r="C903" s="36"/>
      <c r="D903" s="36"/>
      <c r="E903" s="37"/>
      <c r="F903" s="31" t="s">
        <v>568</v>
      </c>
      <c r="G903" s="31" t="str">
        <f>IF(ISNUMBER(F903),E903*F903,"")</f>
        <v/>
      </c>
      <c r="H903" s="35"/>
      <c r="I903" s="31"/>
      <c r="J903" s="155">
        <v>0</v>
      </c>
    </row>
    <row r="904" spans="1:10" ht="15.75" hidden="1" thickBot="1" x14ac:dyDescent="0.3">
      <c r="A904" s="172" t="s">
        <v>323</v>
      </c>
      <c r="B904" s="174" t="str">
        <f>INDEX(Orçamentária!A:B,MATCH(Composições!A904,Orçamentária!A:A,0),2)</f>
        <v>Instalação de persianas reaproveitadas</v>
      </c>
      <c r="C904" s="41"/>
      <c r="D904" s="26" t="str">
        <f>TRIM(INDEX(Orçamentária!C:C,MATCH(Composições!A904,Orçamentária!A:A,0),1))</f>
        <v>m</v>
      </c>
      <c r="E904" s="27"/>
      <c r="F904" s="42" t="s">
        <v>568</v>
      </c>
      <c r="G904" s="28" t="str">
        <f>IF(ISNUMBER(F904),E904*F904,"")</f>
        <v/>
      </c>
      <c r="H904" s="29"/>
      <c r="I904" s="30"/>
      <c r="J904" s="155">
        <v>0</v>
      </c>
    </row>
    <row r="905" spans="1:10" ht="15.75" hidden="1" thickBot="1" x14ac:dyDescent="0.3">
      <c r="A905" s="176"/>
      <c r="B905" s="175"/>
      <c r="C905" s="32"/>
      <c r="D905" s="32"/>
      <c r="E905" s="33"/>
      <c r="F905" s="43" t="s">
        <v>568</v>
      </c>
      <c r="G905" s="31" t="str">
        <f>IF(ISNUMBER(F905),E905*F905,"")</f>
        <v/>
      </c>
      <c r="H905" s="35"/>
      <c r="I905" s="31"/>
      <c r="J905" s="155">
        <v>0</v>
      </c>
    </row>
    <row r="906" spans="1:10" ht="15.75" hidden="1" thickBot="1" x14ac:dyDescent="0.3">
      <c r="A906" s="176"/>
      <c r="B906" s="175"/>
      <c r="C906" s="36" t="s">
        <v>50</v>
      </c>
      <c r="D906" s="36" t="s">
        <v>12</v>
      </c>
      <c r="E906" s="37">
        <f>ROUND(1/3,4)</f>
        <v>0.33329999999999999</v>
      </c>
      <c r="F906" s="31">
        <v>19.3705</v>
      </c>
      <c r="G906" s="34">
        <f>IF(ISNUMBER(F906),E906*F906,"")</f>
        <v>6.4561876499999995</v>
      </c>
      <c r="H906" s="39">
        <f>SUM(G906:G906)</f>
        <v>6.4561876499999995</v>
      </c>
      <c r="I906" s="40"/>
      <c r="J906" s="155">
        <v>0</v>
      </c>
    </row>
    <row r="907" spans="1:10" ht="15.75" hidden="1" thickBot="1" x14ac:dyDescent="0.3">
      <c r="A907" s="177"/>
      <c r="B907" s="178"/>
      <c r="C907" s="36"/>
      <c r="D907" s="36"/>
      <c r="E907" s="37"/>
      <c r="F907" s="31" t="s">
        <v>568</v>
      </c>
      <c r="G907" s="31" t="str">
        <f>IF(ISNUMBER(F907),E907*F907,"")</f>
        <v/>
      </c>
      <c r="H907" s="35"/>
      <c r="I907" s="31"/>
      <c r="J907" s="155">
        <v>0</v>
      </c>
    </row>
    <row r="908" spans="1:10" ht="15.75" hidden="1" thickBot="1" x14ac:dyDescent="0.3">
      <c r="A908" s="172" t="s">
        <v>324</v>
      </c>
      <c r="B908" s="174" t="str">
        <f>INDEX(Orçamentária!A:B,MATCH(Composições!A908,Orçamentária!A:A,0),2)</f>
        <v>Tubo de ligação para bacia sanitária</v>
      </c>
      <c r="C908" s="41"/>
      <c r="D908" s="26" t="str">
        <f>TRIM(INDEX(Orçamentária!C:C,MATCH(Composições!A908,Orçamentária!A:A,0),1))</f>
        <v>un</v>
      </c>
      <c r="E908" s="27"/>
      <c r="F908" s="42" t="s">
        <v>568</v>
      </c>
      <c r="G908" s="28" t="str">
        <f>IF(ISNUMBER(F908),E908*F908,"")</f>
        <v/>
      </c>
      <c r="H908" s="29"/>
      <c r="I908" s="30"/>
      <c r="J908" s="155">
        <v>0</v>
      </c>
    </row>
    <row r="909" spans="1:10" ht="15.75" hidden="1" thickBot="1" x14ac:dyDescent="0.3">
      <c r="A909" s="176"/>
      <c r="B909" s="175"/>
      <c r="C909" s="32"/>
      <c r="D909" s="32"/>
      <c r="E909" s="33"/>
      <c r="F909" s="43" t="s">
        <v>568</v>
      </c>
      <c r="G909" s="31" t="str">
        <f>IF(ISNUMBER(F909),E909*F909,"")</f>
        <v/>
      </c>
      <c r="H909" s="35"/>
      <c r="I909" s="31"/>
      <c r="J909" s="155">
        <v>0</v>
      </c>
    </row>
    <row r="910" spans="1:10" ht="15.75" hidden="1" thickBot="1" x14ac:dyDescent="0.3">
      <c r="A910" s="176"/>
      <c r="B910" s="175"/>
      <c r="C910" s="36" t="s">
        <v>39</v>
      </c>
      <c r="D910" s="47" t="s">
        <v>12</v>
      </c>
      <c r="E910" s="37">
        <v>0.2</v>
      </c>
      <c r="F910" s="31">
        <v>21.622</v>
      </c>
      <c r="G910" s="34">
        <f>IF(ISNUMBER(F910),E910*F910,"")</f>
        <v>4.3243999999999998</v>
      </c>
      <c r="H910" s="39">
        <f>SUM(G910:G912)</f>
        <v>7.0698999999999996</v>
      </c>
      <c r="I910" s="40"/>
      <c r="J910" s="155">
        <v>0</v>
      </c>
    </row>
    <row r="911" spans="1:10" ht="15.75" hidden="1" thickBot="1" x14ac:dyDescent="0.3">
      <c r="A911" s="176"/>
      <c r="B911" s="175"/>
      <c r="C911" s="36" t="s">
        <v>325</v>
      </c>
      <c r="D911" s="47" t="s">
        <v>20</v>
      </c>
      <c r="E911" s="37">
        <v>1</v>
      </c>
      <c r="F911" s="34">
        <v>2.7454999999999998</v>
      </c>
      <c r="G911" s="54">
        <f>IF(ISNUMBER(F911),E911*F911,"")</f>
        <v>2.7454999999999998</v>
      </c>
      <c r="H911" s="35"/>
      <c r="I911" s="31"/>
      <c r="J911" s="155">
        <v>0</v>
      </c>
    </row>
    <row r="912" spans="1:10" ht="26.25" hidden="1" thickBot="1" x14ac:dyDescent="0.3">
      <c r="A912" s="176"/>
      <c r="B912" s="175"/>
      <c r="C912" s="36" t="s">
        <v>326</v>
      </c>
      <c r="D912" s="36" t="s">
        <v>20</v>
      </c>
      <c r="E912" s="37">
        <v>1</v>
      </c>
      <c r="F912" s="34" t="s">
        <v>568</v>
      </c>
      <c r="G912" s="31" t="str">
        <f>IF(ISNUMBER(F912),E912*F912,"")</f>
        <v/>
      </c>
      <c r="H912" s="35"/>
      <c r="I912" s="31"/>
      <c r="J912" s="155">
        <v>0</v>
      </c>
    </row>
    <row r="913" spans="1:10" ht="15.75" hidden="1" thickBot="1" x14ac:dyDescent="0.3">
      <c r="A913" s="177"/>
      <c r="B913" s="178"/>
      <c r="C913" s="36"/>
      <c r="D913" s="36"/>
      <c r="E913" s="37"/>
      <c r="F913" s="31" t="s">
        <v>568</v>
      </c>
      <c r="G913" s="31" t="str">
        <f>IF(ISNUMBER(F913),E913*F913,"")</f>
        <v/>
      </c>
      <c r="H913" s="35"/>
      <c r="I913" s="31"/>
      <c r="J913" s="155">
        <v>0</v>
      </c>
    </row>
    <row r="914" spans="1:10" ht="15.75" hidden="1" thickBot="1" x14ac:dyDescent="0.3">
      <c r="A914" s="172" t="s">
        <v>327</v>
      </c>
      <c r="B914" s="174" t="str">
        <f>INDEX(Orçamentária!A:B,MATCH(Composições!A914,Orçamentária!A:A,0),2)</f>
        <v>Tubo PVC esgoto ou aguas pluviais predial DN 100mm</v>
      </c>
      <c r="C914" s="41"/>
      <c r="D914" s="26" t="str">
        <f>TRIM(INDEX(Orçamentária!C:C,MATCH(Composições!A914,Orçamentária!A:A,0),1))</f>
        <v>m</v>
      </c>
      <c r="E914" s="27"/>
      <c r="F914" s="42" t="s">
        <v>568</v>
      </c>
      <c r="G914" s="28" t="str">
        <f>IF(ISNUMBER(F914),E914*F914,"")</f>
        <v/>
      </c>
      <c r="H914" s="29"/>
      <c r="I914" s="30"/>
      <c r="J914" s="155">
        <v>0</v>
      </c>
    </row>
    <row r="915" spans="1:10" ht="15.75" hidden="1" thickBot="1" x14ac:dyDescent="0.3">
      <c r="A915" s="176"/>
      <c r="B915" s="175"/>
      <c r="C915" s="32"/>
      <c r="D915" s="32"/>
      <c r="E915" s="33"/>
      <c r="F915" s="43" t="s">
        <v>568</v>
      </c>
      <c r="G915" s="31" t="str">
        <f>IF(ISNUMBER(F915),E915*F915,"")</f>
        <v/>
      </c>
      <c r="H915" s="35"/>
      <c r="I915" s="31"/>
      <c r="J915" s="155">
        <v>0</v>
      </c>
    </row>
    <row r="916" spans="1:10" ht="15.75" hidden="1" thickBot="1" x14ac:dyDescent="0.3">
      <c r="A916" s="176"/>
      <c r="B916" s="175"/>
      <c r="C916" s="36" t="s">
        <v>328</v>
      </c>
      <c r="D916" s="47" t="s">
        <v>20</v>
      </c>
      <c r="E916" s="37">
        <v>4.2900000000000001E-2</v>
      </c>
      <c r="F916" s="34">
        <v>75.515499999999989</v>
      </c>
      <c r="G916" s="34">
        <f>IF(ISNUMBER(F916),E916*F916,"")</f>
        <v>3.2396149499999995</v>
      </c>
      <c r="H916" s="39">
        <f>SUM(G916:G921)</f>
        <v>59.300756549999988</v>
      </c>
      <c r="I916" s="40"/>
      <c r="J916" s="155">
        <v>0</v>
      </c>
    </row>
    <row r="917" spans="1:10" ht="26.25" hidden="1" thickBot="1" x14ac:dyDescent="0.3">
      <c r="A917" s="176"/>
      <c r="B917" s="175"/>
      <c r="C917" s="36" t="s">
        <v>329</v>
      </c>
      <c r="D917" s="47" t="s">
        <v>93</v>
      </c>
      <c r="E917" s="37">
        <v>1.04</v>
      </c>
      <c r="F917" s="34">
        <v>32.727499999999999</v>
      </c>
      <c r="G917" s="34">
        <f>IF(ISNUMBER(F917),E917*F917,"")</f>
        <v>34.0366</v>
      </c>
      <c r="H917" s="45"/>
      <c r="I917" s="46"/>
      <c r="J917" s="155">
        <v>0</v>
      </c>
    </row>
    <row r="918" spans="1:10" ht="15.75" hidden="1" thickBot="1" x14ac:dyDescent="0.3">
      <c r="A918" s="176"/>
      <c r="B918" s="175"/>
      <c r="C918" s="36" t="s">
        <v>330</v>
      </c>
      <c r="D918" s="47" t="s">
        <v>20</v>
      </c>
      <c r="E918" s="37">
        <v>7.0099999999999996E-2</v>
      </c>
      <c r="F918" s="34">
        <v>65.578499999999991</v>
      </c>
      <c r="G918" s="34">
        <f>IF(ISNUMBER(F918),E918*F918,"")</f>
        <v>4.597052849999999</v>
      </c>
      <c r="H918" s="45"/>
      <c r="I918" s="46"/>
      <c r="J918" s="155">
        <v>0</v>
      </c>
    </row>
    <row r="919" spans="1:10" ht="15.75" hidden="1" thickBot="1" x14ac:dyDescent="0.3">
      <c r="A919" s="176"/>
      <c r="B919" s="175"/>
      <c r="C919" s="36" t="s">
        <v>331</v>
      </c>
      <c r="D919" s="47" t="s">
        <v>20</v>
      </c>
      <c r="E919" s="37">
        <v>0.14849999999999999</v>
      </c>
      <c r="F919" s="34">
        <v>1.9474999999999998</v>
      </c>
      <c r="G919" s="34">
        <f>IF(ISNUMBER(F919),E919*F919,"")</f>
        <v>0.28920374999999998</v>
      </c>
      <c r="H919" s="45"/>
      <c r="I919" s="46"/>
      <c r="J919" s="155">
        <v>0</v>
      </c>
    </row>
    <row r="920" spans="1:10" ht="26.25" hidden="1" thickBot="1" x14ac:dyDescent="0.3">
      <c r="A920" s="176"/>
      <c r="B920" s="175"/>
      <c r="C920" s="36" t="s">
        <v>109</v>
      </c>
      <c r="D920" s="47" t="s">
        <v>12</v>
      </c>
      <c r="E920" s="37">
        <v>0.44500000000000001</v>
      </c>
      <c r="F920" s="31">
        <v>16.891000000000002</v>
      </c>
      <c r="G920" s="34">
        <f>IF(ISNUMBER(F920),E920*F920,"")</f>
        <v>7.5164950000000008</v>
      </c>
      <c r="H920" s="45"/>
      <c r="I920" s="46"/>
      <c r="J920" s="155">
        <v>0</v>
      </c>
    </row>
    <row r="921" spans="1:10" ht="15.75" hidden="1" thickBot="1" x14ac:dyDescent="0.3">
      <c r="A921" s="176"/>
      <c r="B921" s="175"/>
      <c r="C921" s="36" t="s">
        <v>39</v>
      </c>
      <c r="D921" s="47" t="s">
        <v>12</v>
      </c>
      <c r="E921" s="37">
        <v>0.44500000000000001</v>
      </c>
      <c r="F921" s="31">
        <v>21.622</v>
      </c>
      <c r="G921" s="34">
        <f>IF(ISNUMBER(F921),E921*F921,"")</f>
        <v>9.6217900000000007</v>
      </c>
      <c r="H921" s="45"/>
      <c r="I921" s="46"/>
      <c r="J921" s="155">
        <v>0</v>
      </c>
    </row>
    <row r="922" spans="1:10" ht="15.75" hidden="1" thickBot="1" x14ac:dyDescent="0.3">
      <c r="A922" s="177"/>
      <c r="B922" s="178"/>
      <c r="C922" s="36"/>
      <c r="D922" s="36"/>
      <c r="E922" s="37"/>
      <c r="F922" s="31" t="s">
        <v>568</v>
      </c>
      <c r="G922" s="31" t="str">
        <f>IF(ISNUMBER(F922),E922*F922,"")</f>
        <v/>
      </c>
      <c r="H922" s="35"/>
      <c r="I922" s="31"/>
      <c r="J922" s="155">
        <v>0</v>
      </c>
    </row>
    <row r="923" spans="1:10" ht="15.75" thickBot="1" x14ac:dyDescent="0.3">
      <c r="A923" s="172" t="s">
        <v>332</v>
      </c>
      <c r="B923" s="174" t="str">
        <f>INDEX(Orçamentária!A:B,MATCH(Composições!A923,Orçamentária!A:A,0),2)</f>
        <v>Tubo PVC esgoto ou aguas pluviais predial DN 40mm</v>
      </c>
      <c r="C923" s="41"/>
      <c r="D923" s="26" t="str">
        <f>TRIM(INDEX(Orçamentária!C:C,MATCH(Composições!A923,Orçamentária!A:A,0),1))</f>
        <v>m</v>
      </c>
      <c r="E923" s="27"/>
      <c r="F923" s="42" t="s">
        <v>568</v>
      </c>
      <c r="G923" s="28" t="str">
        <f>IF(ISNUMBER(F923),E923*F923,"")</f>
        <v/>
      </c>
      <c r="H923" s="29"/>
      <c r="I923" s="30"/>
      <c r="J923" s="155">
        <v>9.1999999999999993</v>
      </c>
    </row>
    <row r="924" spans="1:10" x14ac:dyDescent="0.25">
      <c r="A924" s="176"/>
      <c r="B924" s="175"/>
      <c r="C924" s="32"/>
      <c r="D924" s="32"/>
      <c r="E924" s="33"/>
      <c r="F924" s="43" t="s">
        <v>568</v>
      </c>
      <c r="G924" s="31" t="str">
        <f>IF(ISNUMBER(F924),E924*F924,"")</f>
        <v/>
      </c>
      <c r="H924" s="35"/>
      <c r="I924" s="31"/>
      <c r="J924" s="155">
        <v>9.1999999999999993</v>
      </c>
    </row>
    <row r="925" spans="1:10" ht="25.5" x14ac:dyDescent="0.25">
      <c r="A925" s="176"/>
      <c r="B925" s="175"/>
      <c r="C925" s="36" t="s">
        <v>3826</v>
      </c>
      <c r="D925" s="47" t="s">
        <v>93</v>
      </c>
      <c r="E925" s="37">
        <v>1.04</v>
      </c>
      <c r="F925" s="34">
        <v>11.4285</v>
      </c>
      <c r="G925" s="34">
        <f>IF(ISNUMBER(F925),E925*F925,"")</f>
        <v>11.88564</v>
      </c>
      <c r="H925" s="39">
        <f>SUM(G925:G928)</f>
        <v>18.3123425</v>
      </c>
      <c r="I925" s="40"/>
      <c r="J925" s="155">
        <v>9.1999999999999993</v>
      </c>
    </row>
    <row r="926" spans="1:10" x14ac:dyDescent="0.25">
      <c r="A926" s="176"/>
      <c r="B926" s="175"/>
      <c r="C926" s="36" t="s">
        <v>331</v>
      </c>
      <c r="D926" s="47" t="s">
        <v>20</v>
      </c>
      <c r="E926" s="37">
        <v>3.6999999999999998E-2</v>
      </c>
      <c r="F926" s="34">
        <v>1.9474999999999998</v>
      </c>
      <c r="G926" s="34">
        <f>IF(ISNUMBER(F926),E926*F926,"")</f>
        <v>7.2057499999999983E-2</v>
      </c>
      <c r="H926" s="35"/>
      <c r="I926" s="31"/>
      <c r="J926" s="155">
        <v>9.1999999999999993</v>
      </c>
    </row>
    <row r="927" spans="1:10" ht="25.5" x14ac:dyDescent="0.25">
      <c r="A927" s="176"/>
      <c r="B927" s="175"/>
      <c r="C927" s="36" t="s">
        <v>109</v>
      </c>
      <c r="D927" s="47" t="s">
        <v>12</v>
      </c>
      <c r="E927" s="37">
        <v>0.16500000000000001</v>
      </c>
      <c r="F927" s="31">
        <v>16.891000000000002</v>
      </c>
      <c r="G927" s="34">
        <f>IF(ISNUMBER(F927),E927*F927,"")</f>
        <v>2.7870150000000002</v>
      </c>
      <c r="H927" s="35"/>
      <c r="I927" s="31"/>
      <c r="J927" s="155">
        <v>9.1999999999999993</v>
      </c>
    </row>
    <row r="928" spans="1:10" x14ac:dyDescent="0.25">
      <c r="A928" s="176"/>
      <c r="B928" s="175"/>
      <c r="C928" s="36" t="s">
        <v>39</v>
      </c>
      <c r="D928" s="47" t="s">
        <v>12</v>
      </c>
      <c r="E928" s="37">
        <v>0.16500000000000001</v>
      </c>
      <c r="F928" s="31">
        <v>21.622</v>
      </c>
      <c r="G928" s="34">
        <f>IF(ISNUMBER(F928),E928*F928,"")</f>
        <v>3.5676300000000003</v>
      </c>
      <c r="H928" s="35"/>
      <c r="I928" s="31"/>
      <c r="J928" s="155">
        <v>9.1999999999999993</v>
      </c>
    </row>
    <row r="929" spans="1:10" ht="15.75" thickBot="1" x14ac:dyDescent="0.3">
      <c r="A929" s="177"/>
      <c r="B929" s="178"/>
      <c r="C929" s="36"/>
      <c r="D929" s="36"/>
      <c r="E929" s="37"/>
      <c r="F929" s="31" t="s">
        <v>568</v>
      </c>
      <c r="G929" s="31" t="str">
        <f>IF(ISNUMBER(F929),E929*F929,"")</f>
        <v/>
      </c>
      <c r="H929" s="35"/>
      <c r="I929" s="31"/>
      <c r="J929" s="155">
        <v>9.1999999999999993</v>
      </c>
    </row>
    <row r="930" spans="1:10" ht="15.75" thickBot="1" x14ac:dyDescent="0.3">
      <c r="A930" s="172" t="s">
        <v>333</v>
      </c>
      <c r="B930" s="174" t="str">
        <f>INDEX(Orçamentária!A:B,MATCH(Composições!A930,Orçamentária!A:A,0),2)</f>
        <v>Tubo PVC esgoto ou aguas pluviais predial DN 50mm</v>
      </c>
      <c r="C930" s="41"/>
      <c r="D930" s="26" t="str">
        <f>TRIM(INDEX(Orçamentária!C:C,MATCH(Composições!A930,Orçamentária!A:A,0),1))</f>
        <v>m</v>
      </c>
      <c r="E930" s="27"/>
      <c r="F930" s="42" t="s">
        <v>568</v>
      </c>
      <c r="G930" s="28" t="str">
        <f>IF(ISNUMBER(F930),E930*F930,"")</f>
        <v/>
      </c>
      <c r="H930" s="29"/>
      <c r="I930" s="30"/>
      <c r="J930" s="155">
        <v>22.2</v>
      </c>
    </row>
    <row r="931" spans="1:10" x14ac:dyDescent="0.25">
      <c r="A931" s="176"/>
      <c r="B931" s="175"/>
      <c r="C931" s="32"/>
      <c r="D931" s="32"/>
      <c r="E931" s="33"/>
      <c r="F931" s="43" t="s">
        <v>568</v>
      </c>
      <c r="G931" s="31" t="str">
        <f>IF(ISNUMBER(F931),E931*F931,"")</f>
        <v/>
      </c>
      <c r="H931" s="35"/>
      <c r="I931" s="31"/>
      <c r="J931" s="155">
        <v>22.2</v>
      </c>
    </row>
    <row r="932" spans="1:10" x14ac:dyDescent="0.25">
      <c r="A932" s="176"/>
      <c r="B932" s="175"/>
      <c r="C932" s="36" t="s">
        <v>328</v>
      </c>
      <c r="D932" s="47" t="s">
        <v>20</v>
      </c>
      <c r="E932" s="37">
        <v>1.2800000000000001E-2</v>
      </c>
      <c r="F932" s="34">
        <v>75.515499999999989</v>
      </c>
      <c r="G932" s="34">
        <f>IF(ISNUMBER(F932),E932*F932,"")</f>
        <v>0.96659839999999986</v>
      </c>
      <c r="H932" s="39">
        <f>SUM(G932:G937)</f>
        <v>25.212050950000002</v>
      </c>
      <c r="I932" s="40"/>
      <c r="J932" s="155">
        <v>22.2</v>
      </c>
    </row>
    <row r="933" spans="1:10" ht="25.5" x14ac:dyDescent="0.25">
      <c r="A933" s="176"/>
      <c r="B933" s="175"/>
      <c r="C933" s="36" t="s">
        <v>3827</v>
      </c>
      <c r="D933" s="47" t="s">
        <v>93</v>
      </c>
      <c r="E933" s="37">
        <v>1.04</v>
      </c>
      <c r="F933" s="34">
        <v>14.25</v>
      </c>
      <c r="G933" s="34">
        <f>IF(ISNUMBER(F933),E933*F933,"")</f>
        <v>14.82</v>
      </c>
      <c r="H933" s="35"/>
      <c r="I933" s="31"/>
      <c r="J933" s="155">
        <v>22.2</v>
      </c>
    </row>
    <row r="934" spans="1:10" x14ac:dyDescent="0.25">
      <c r="A934" s="176"/>
      <c r="B934" s="175"/>
      <c r="C934" s="36" t="s">
        <v>330</v>
      </c>
      <c r="D934" s="47" t="s">
        <v>20</v>
      </c>
      <c r="E934" s="37">
        <v>1.9300000000000001E-2</v>
      </c>
      <c r="F934" s="34">
        <v>65.578499999999991</v>
      </c>
      <c r="G934" s="34">
        <f>IF(ISNUMBER(F934),E934*F934,"")</f>
        <v>1.26566505</v>
      </c>
      <c r="H934" s="35"/>
      <c r="I934" s="31"/>
      <c r="J934" s="155">
        <v>22.2</v>
      </c>
    </row>
    <row r="935" spans="1:10" x14ac:dyDescent="0.25">
      <c r="A935" s="176"/>
      <c r="B935" s="175"/>
      <c r="C935" s="36" t="s">
        <v>331</v>
      </c>
      <c r="D935" s="47" t="s">
        <v>20</v>
      </c>
      <c r="E935" s="37">
        <v>3.6999999999999998E-2</v>
      </c>
      <c r="F935" s="34">
        <v>1.9474999999999998</v>
      </c>
      <c r="G935" s="34">
        <f>IF(ISNUMBER(F935),E935*F935,"")</f>
        <v>7.2057499999999983E-2</v>
      </c>
      <c r="H935" s="35"/>
      <c r="I935" s="31"/>
      <c r="J935" s="155">
        <v>22.2</v>
      </c>
    </row>
    <row r="936" spans="1:10" ht="25.5" x14ac:dyDescent="0.25">
      <c r="A936" s="176"/>
      <c r="B936" s="175"/>
      <c r="C936" s="36" t="s">
        <v>109</v>
      </c>
      <c r="D936" s="47" t="s">
        <v>12</v>
      </c>
      <c r="E936" s="37">
        <v>0.21</v>
      </c>
      <c r="F936" s="31">
        <v>16.891000000000002</v>
      </c>
      <c r="G936" s="34">
        <f>IF(ISNUMBER(F936),E936*F936,"")</f>
        <v>3.5471100000000004</v>
      </c>
      <c r="H936" s="35"/>
      <c r="I936" s="31"/>
      <c r="J936" s="155">
        <v>22.2</v>
      </c>
    </row>
    <row r="937" spans="1:10" x14ac:dyDescent="0.25">
      <c r="A937" s="176"/>
      <c r="B937" s="175"/>
      <c r="C937" s="36" t="s">
        <v>39</v>
      </c>
      <c r="D937" s="47" t="s">
        <v>12</v>
      </c>
      <c r="E937" s="37">
        <v>0.21</v>
      </c>
      <c r="F937" s="31">
        <v>21.622</v>
      </c>
      <c r="G937" s="34">
        <f>IF(ISNUMBER(F937),E937*F937,"")</f>
        <v>4.5406199999999997</v>
      </c>
      <c r="H937" s="35"/>
      <c r="I937" s="31"/>
      <c r="J937" s="155">
        <v>22.2</v>
      </c>
    </row>
    <row r="938" spans="1:10" ht="15.75" thickBot="1" x14ac:dyDescent="0.3">
      <c r="A938" s="177"/>
      <c r="B938" s="178"/>
      <c r="C938" s="36"/>
      <c r="D938" s="36"/>
      <c r="E938" s="37"/>
      <c r="F938" s="31" t="s">
        <v>568</v>
      </c>
      <c r="G938" s="31" t="str">
        <f>IF(ISNUMBER(F938),E938*F938,"")</f>
        <v/>
      </c>
      <c r="H938" s="35"/>
      <c r="I938" s="31"/>
      <c r="J938" s="155">
        <v>22.2</v>
      </c>
    </row>
    <row r="939" spans="1:10" ht="15.75" hidden="1" thickBot="1" x14ac:dyDescent="0.3">
      <c r="A939" s="172" t="s">
        <v>334</v>
      </c>
      <c r="B939" s="174" t="str">
        <f>INDEX(Orçamentária!A:B,MATCH(Composições!A939,Orçamentária!A:A,0),2)</f>
        <v>Tubo PVC esgoto ou aguas pluviais predial DN 75mm</v>
      </c>
      <c r="C939" s="41"/>
      <c r="D939" s="26" t="str">
        <f>TRIM(INDEX(Orçamentária!C:C,MATCH(Composições!A939,Orçamentária!A:A,0),1))</f>
        <v>m</v>
      </c>
      <c r="E939" s="27"/>
      <c r="F939" s="42" t="s">
        <v>568</v>
      </c>
      <c r="G939" s="28" t="str">
        <f>IF(ISNUMBER(F939),E939*F939,"")</f>
        <v/>
      </c>
      <c r="H939" s="29"/>
      <c r="I939" s="30"/>
      <c r="J939" s="155">
        <v>0</v>
      </c>
    </row>
    <row r="940" spans="1:10" ht="15.75" hidden="1" thickBot="1" x14ac:dyDescent="0.3">
      <c r="A940" s="176"/>
      <c r="B940" s="175"/>
      <c r="C940" s="32"/>
      <c r="D940" s="32"/>
      <c r="E940" s="33"/>
      <c r="F940" s="43" t="s">
        <v>568</v>
      </c>
      <c r="G940" s="31" t="str">
        <f>IF(ISNUMBER(F940),E940*F940,"")</f>
        <v/>
      </c>
      <c r="H940" s="35"/>
      <c r="I940" s="31"/>
      <c r="J940" s="155">
        <v>0</v>
      </c>
    </row>
    <row r="941" spans="1:10" ht="15.75" hidden="1" thickBot="1" x14ac:dyDescent="0.3">
      <c r="A941" s="176"/>
      <c r="B941" s="175"/>
      <c r="C941" s="36" t="s">
        <v>328</v>
      </c>
      <c r="D941" s="47" t="s">
        <v>20</v>
      </c>
      <c r="E941" s="37">
        <v>2.93E-2</v>
      </c>
      <c r="F941" s="34">
        <v>75.515499999999989</v>
      </c>
      <c r="G941" s="34">
        <f>IF(ISNUMBER(F941),E941*F941,"")</f>
        <v>2.2126041499999998</v>
      </c>
      <c r="H941" s="39">
        <f>SUM(G941:G946)</f>
        <v>37.348534650000005</v>
      </c>
      <c r="I941" s="40"/>
      <c r="J941" s="155">
        <v>0</v>
      </c>
    </row>
    <row r="942" spans="1:10" ht="26.25" hidden="1" thickBot="1" x14ac:dyDescent="0.3">
      <c r="A942" s="176"/>
      <c r="B942" s="175"/>
      <c r="C942" s="36" t="s">
        <v>335</v>
      </c>
      <c r="D942" s="47" t="s">
        <v>93</v>
      </c>
      <c r="E942" s="37">
        <v>1.04</v>
      </c>
      <c r="F942" s="34">
        <v>18.677</v>
      </c>
      <c r="G942" s="34">
        <f>IF(ISNUMBER(F942),E942*F942,"")</f>
        <v>19.42408</v>
      </c>
      <c r="H942" s="45"/>
      <c r="I942" s="46"/>
      <c r="J942" s="155">
        <v>0</v>
      </c>
    </row>
    <row r="943" spans="1:10" ht="15.75" hidden="1" thickBot="1" x14ac:dyDescent="0.3">
      <c r="A943" s="176"/>
      <c r="B943" s="175"/>
      <c r="C943" s="36" t="s">
        <v>330</v>
      </c>
      <c r="D943" s="47" t="s">
        <v>20</v>
      </c>
      <c r="E943" s="37">
        <v>4.5499999999999999E-2</v>
      </c>
      <c r="F943" s="34">
        <v>65.578499999999991</v>
      </c>
      <c r="G943" s="34">
        <f>IF(ISNUMBER(F943),E943*F943,"")</f>
        <v>2.9838217499999997</v>
      </c>
      <c r="H943" s="45"/>
      <c r="I943" s="46"/>
      <c r="J943" s="155">
        <v>0</v>
      </c>
    </row>
    <row r="944" spans="1:10" ht="15.75" hidden="1" thickBot="1" x14ac:dyDescent="0.3">
      <c r="A944" s="176"/>
      <c r="B944" s="175"/>
      <c r="C944" s="36" t="s">
        <v>331</v>
      </c>
      <c r="D944" s="47" t="s">
        <v>20</v>
      </c>
      <c r="E944" s="37">
        <v>0.1085</v>
      </c>
      <c r="F944" s="34">
        <v>1.9474999999999998</v>
      </c>
      <c r="G944" s="34">
        <f>IF(ISNUMBER(F944),E944*F944,"")</f>
        <v>0.21130374999999998</v>
      </c>
      <c r="H944" s="45"/>
      <c r="I944" s="46"/>
      <c r="J944" s="155">
        <v>0</v>
      </c>
    </row>
    <row r="945" spans="1:10" ht="26.25" hidden="1" thickBot="1" x14ac:dyDescent="0.3">
      <c r="A945" s="176"/>
      <c r="B945" s="175"/>
      <c r="C945" s="36" t="s">
        <v>109</v>
      </c>
      <c r="D945" s="47" t="s">
        <v>12</v>
      </c>
      <c r="E945" s="37">
        <v>0.32500000000000001</v>
      </c>
      <c r="F945" s="31">
        <v>16.891000000000002</v>
      </c>
      <c r="G945" s="34">
        <f>IF(ISNUMBER(F945),E945*F945,"")</f>
        <v>5.4895750000000012</v>
      </c>
      <c r="H945" s="45"/>
      <c r="I945" s="46"/>
      <c r="J945" s="155">
        <v>0</v>
      </c>
    </row>
    <row r="946" spans="1:10" ht="15.75" hidden="1" thickBot="1" x14ac:dyDescent="0.3">
      <c r="A946" s="176"/>
      <c r="B946" s="175"/>
      <c r="C946" s="36" t="s">
        <v>39</v>
      </c>
      <c r="D946" s="47" t="s">
        <v>12</v>
      </c>
      <c r="E946" s="37">
        <v>0.32500000000000001</v>
      </c>
      <c r="F946" s="31">
        <v>21.622</v>
      </c>
      <c r="G946" s="34">
        <f>IF(ISNUMBER(F946),E946*F946,"")</f>
        <v>7.0271499999999998</v>
      </c>
      <c r="H946" s="45"/>
      <c r="I946" s="46"/>
      <c r="J946" s="155">
        <v>0</v>
      </c>
    </row>
    <row r="947" spans="1:10" ht="15.75" hidden="1" thickBot="1" x14ac:dyDescent="0.3">
      <c r="A947" s="177"/>
      <c r="B947" s="178"/>
      <c r="C947" s="36"/>
      <c r="D947" s="36"/>
      <c r="E947" s="37"/>
      <c r="F947" s="31" t="s">
        <v>568</v>
      </c>
      <c r="G947" s="31" t="str">
        <f>IF(ISNUMBER(F947),E947*F947,"")</f>
        <v/>
      </c>
      <c r="H947" s="35"/>
      <c r="I947" s="31"/>
      <c r="J947" s="155">
        <v>0</v>
      </c>
    </row>
    <row r="948" spans="1:10" ht="15.75" thickBot="1" x14ac:dyDescent="0.3">
      <c r="A948" s="172" t="s">
        <v>336</v>
      </c>
      <c r="B948" s="174" t="str">
        <f>INDEX(Orçamentária!A:B,MATCH(Composições!A948,Orçamentária!A:A,0),2)</f>
        <v>Tubo PVC soldável agua fria DN 25mm</v>
      </c>
      <c r="C948" s="41"/>
      <c r="D948" s="26" t="str">
        <f>TRIM(INDEX(Orçamentária!C:C,MATCH(Composições!A948,Orçamentária!A:A,0),1))</f>
        <v>m</v>
      </c>
      <c r="E948" s="27"/>
      <c r="F948" s="42" t="s">
        <v>568</v>
      </c>
      <c r="G948" s="28" t="str">
        <f>IF(ISNUMBER(F948),E948*F948,"")</f>
        <v/>
      </c>
      <c r="H948" s="29"/>
      <c r="I948" s="30"/>
      <c r="J948" s="155">
        <v>19</v>
      </c>
    </row>
    <row r="949" spans="1:10" x14ac:dyDescent="0.25">
      <c r="A949" s="176"/>
      <c r="B949" s="175"/>
      <c r="C949" s="32"/>
      <c r="D949" s="32"/>
      <c r="E949" s="33"/>
      <c r="F949" s="43" t="s">
        <v>568</v>
      </c>
      <c r="G949" s="31" t="str">
        <f>IF(ISNUMBER(F949),E949*F949,"")</f>
        <v/>
      </c>
      <c r="H949" s="35"/>
      <c r="I949" s="31"/>
      <c r="J949" s="155">
        <v>19</v>
      </c>
    </row>
    <row r="950" spans="1:10" x14ac:dyDescent="0.25">
      <c r="A950" s="176"/>
      <c r="B950" s="175"/>
      <c r="C950" s="36" t="s">
        <v>337</v>
      </c>
      <c r="D950" s="47" t="s">
        <v>93</v>
      </c>
      <c r="E950" s="37">
        <v>1.0609999999999999</v>
      </c>
      <c r="F950" s="34">
        <v>3.8474999999999997</v>
      </c>
      <c r="G950" s="34">
        <f>IF(ISNUMBER(F950),E950*F950,"")</f>
        <v>4.0821974999999995</v>
      </c>
      <c r="H950" s="39">
        <f>SUM(G950:G952)</f>
        <v>4.6984054999999989</v>
      </c>
      <c r="I950" s="40"/>
      <c r="J950" s="155">
        <v>19</v>
      </c>
    </row>
    <row r="951" spans="1:10" ht="25.5" x14ac:dyDescent="0.25">
      <c r="A951" s="176"/>
      <c r="B951" s="175"/>
      <c r="C951" s="36" t="s">
        <v>109</v>
      </c>
      <c r="D951" s="36" t="s">
        <v>12</v>
      </c>
      <c r="E951" s="37">
        <v>1.6E-2</v>
      </c>
      <c r="F951" s="31">
        <v>16.891000000000002</v>
      </c>
      <c r="G951" s="34">
        <f>IF(ISNUMBER(F951),E951*F951,"")</f>
        <v>0.27025600000000005</v>
      </c>
      <c r="H951" s="35"/>
      <c r="I951" s="31"/>
      <c r="J951" s="155">
        <v>19</v>
      </c>
    </row>
    <row r="952" spans="1:10" x14ac:dyDescent="0.25">
      <c r="A952" s="176"/>
      <c r="B952" s="175"/>
      <c r="C952" s="36" t="s">
        <v>39</v>
      </c>
      <c r="D952" s="47" t="s">
        <v>12</v>
      </c>
      <c r="E952" s="37">
        <v>1.6E-2</v>
      </c>
      <c r="F952" s="31">
        <v>21.622</v>
      </c>
      <c r="G952" s="34">
        <f>IF(ISNUMBER(F952),E952*F952,"")</f>
        <v>0.34595199999999998</v>
      </c>
      <c r="H952" s="35"/>
      <c r="I952" s="31"/>
      <c r="J952" s="155">
        <v>19</v>
      </c>
    </row>
    <row r="953" spans="1:10" ht="15.75" thickBot="1" x14ac:dyDescent="0.3">
      <c r="A953" s="177"/>
      <c r="B953" s="178"/>
      <c r="C953" s="36"/>
      <c r="D953" s="36"/>
      <c r="E953" s="37"/>
      <c r="F953" s="31" t="s">
        <v>568</v>
      </c>
      <c r="G953" s="31" t="str">
        <f>IF(ISNUMBER(F953),E953*F953,"")</f>
        <v/>
      </c>
      <c r="H953" s="35"/>
      <c r="I953" s="31"/>
      <c r="J953" s="155">
        <v>19</v>
      </c>
    </row>
    <row r="954" spans="1:10" ht="15.75" hidden="1" thickBot="1" x14ac:dyDescent="0.3">
      <c r="A954" s="172" t="s">
        <v>338</v>
      </c>
      <c r="B954" s="174" t="str">
        <f>INDEX(Orçamentária!A:B,MATCH(Composições!A954,Orçamentária!A:A,0),2)</f>
        <v>Tubo PVC soldável agua fria DN 32mm</v>
      </c>
      <c r="C954" s="41"/>
      <c r="D954" s="26" t="str">
        <f>TRIM(INDEX(Orçamentária!C:C,MATCH(Composições!A954,Orçamentária!A:A,0),1))</f>
        <v>m</v>
      </c>
      <c r="E954" s="27"/>
      <c r="F954" s="42" t="s">
        <v>568</v>
      </c>
      <c r="G954" s="28" t="str">
        <f>IF(ISNUMBER(F954),E954*F954,"")</f>
        <v/>
      </c>
      <c r="H954" s="29"/>
      <c r="I954" s="30"/>
      <c r="J954" s="155">
        <v>0</v>
      </c>
    </row>
    <row r="955" spans="1:10" ht="15.75" hidden="1" thickBot="1" x14ac:dyDescent="0.3">
      <c r="A955" s="176"/>
      <c r="B955" s="175"/>
      <c r="C955" s="32"/>
      <c r="D955" s="32"/>
      <c r="E955" s="33"/>
      <c r="F955" s="43" t="s">
        <v>568</v>
      </c>
      <c r="G955" s="31" t="str">
        <f>IF(ISNUMBER(F955),E955*F955,"")</f>
        <v/>
      </c>
      <c r="H955" s="35"/>
      <c r="I955" s="31"/>
      <c r="J955" s="155">
        <v>0</v>
      </c>
    </row>
    <row r="956" spans="1:10" ht="15.75" hidden="1" thickBot="1" x14ac:dyDescent="0.3">
      <c r="A956" s="176"/>
      <c r="B956" s="175"/>
      <c r="C956" s="36" t="s">
        <v>339</v>
      </c>
      <c r="D956" s="47" t="s">
        <v>93</v>
      </c>
      <c r="E956" s="37">
        <v>1.0609999999999999</v>
      </c>
      <c r="F956" s="34">
        <v>8.6354999999999986</v>
      </c>
      <c r="G956" s="34">
        <f>IF(ISNUMBER(F956),E956*F956,"")</f>
        <v>9.1622654999999984</v>
      </c>
      <c r="H956" s="39">
        <f>SUM(G956:G958)</f>
        <v>9.9325254999999988</v>
      </c>
      <c r="I956" s="40"/>
      <c r="J956" s="155">
        <v>0</v>
      </c>
    </row>
    <row r="957" spans="1:10" ht="26.25" hidden="1" thickBot="1" x14ac:dyDescent="0.3">
      <c r="A957" s="176"/>
      <c r="B957" s="175"/>
      <c r="C957" s="36" t="s">
        <v>109</v>
      </c>
      <c r="D957" s="36" t="s">
        <v>12</v>
      </c>
      <c r="E957" s="37">
        <v>0.02</v>
      </c>
      <c r="F957" s="31">
        <v>16.891000000000002</v>
      </c>
      <c r="G957" s="34">
        <f>IF(ISNUMBER(F957),E957*F957,"")</f>
        <v>0.33782000000000006</v>
      </c>
      <c r="H957" s="35"/>
      <c r="I957" s="31"/>
      <c r="J957" s="155">
        <v>0</v>
      </c>
    </row>
    <row r="958" spans="1:10" ht="15.75" hidden="1" thickBot="1" x14ac:dyDescent="0.3">
      <c r="A958" s="176"/>
      <c r="B958" s="175"/>
      <c r="C958" s="36" t="s">
        <v>39</v>
      </c>
      <c r="D958" s="47" t="s">
        <v>12</v>
      </c>
      <c r="E958" s="37">
        <v>0.02</v>
      </c>
      <c r="F958" s="31">
        <v>21.622</v>
      </c>
      <c r="G958" s="34">
        <f>IF(ISNUMBER(F958),E958*F958,"")</f>
        <v>0.43243999999999999</v>
      </c>
      <c r="H958" s="35"/>
      <c r="I958" s="31"/>
      <c r="J958" s="155">
        <v>0</v>
      </c>
    </row>
    <row r="959" spans="1:10" ht="15.75" hidden="1" thickBot="1" x14ac:dyDescent="0.3">
      <c r="A959" s="177"/>
      <c r="B959" s="178"/>
      <c r="C959" s="36"/>
      <c r="D959" s="36"/>
      <c r="E959" s="37"/>
      <c r="F959" s="31" t="s">
        <v>568</v>
      </c>
      <c r="G959" s="31" t="str">
        <f>IF(ISNUMBER(F959),E959*F959,"")</f>
        <v/>
      </c>
      <c r="H959" s="35"/>
      <c r="I959" s="31"/>
      <c r="J959" s="155">
        <v>0</v>
      </c>
    </row>
    <row r="960" spans="1:10" ht="15.75" hidden="1" thickBot="1" x14ac:dyDescent="0.3">
      <c r="A960" s="172" t="s">
        <v>340</v>
      </c>
      <c r="B960" s="174" t="str">
        <f>INDEX(Orçamentária!A:B,MATCH(Composições!A960,Orçamentária!A:A,0),2)</f>
        <v>Tubo PVC soldável agua fria DN 40mm</v>
      </c>
      <c r="C960" s="41"/>
      <c r="D960" s="26" t="str">
        <f>TRIM(INDEX(Orçamentária!C:C,MATCH(Composições!A960,Orçamentária!A:A,0),1))</f>
        <v>m</v>
      </c>
      <c r="E960" s="27"/>
      <c r="F960" s="42" t="s">
        <v>568</v>
      </c>
      <c r="G960" s="28" t="str">
        <f>IF(ISNUMBER(F960),E960*F960,"")</f>
        <v/>
      </c>
      <c r="H960" s="29"/>
      <c r="I960" s="30"/>
      <c r="J960" s="155">
        <v>0</v>
      </c>
    </row>
    <row r="961" spans="1:10" ht="15.75" hidden="1" thickBot="1" x14ac:dyDescent="0.3">
      <c r="A961" s="176"/>
      <c r="B961" s="175"/>
      <c r="C961" s="32"/>
      <c r="D961" s="32"/>
      <c r="E961" s="33"/>
      <c r="F961" s="43" t="s">
        <v>568</v>
      </c>
      <c r="G961" s="31" t="str">
        <f>IF(ISNUMBER(F961),E961*F961,"")</f>
        <v/>
      </c>
      <c r="H961" s="35"/>
      <c r="I961" s="31"/>
      <c r="J961" s="155">
        <v>0</v>
      </c>
    </row>
    <row r="962" spans="1:10" ht="15.75" hidden="1" thickBot="1" x14ac:dyDescent="0.3">
      <c r="A962" s="176"/>
      <c r="B962" s="175"/>
      <c r="C962" s="36" t="s">
        <v>341</v>
      </c>
      <c r="D962" s="47" t="s">
        <v>93</v>
      </c>
      <c r="E962" s="37">
        <v>1.0609999999999999</v>
      </c>
      <c r="F962" s="34">
        <v>12.577999999999999</v>
      </c>
      <c r="G962" s="34">
        <f>IF(ISNUMBER(F962),E962*F962,"")</f>
        <v>13.345257999999999</v>
      </c>
      <c r="H962" s="39">
        <f>SUM(G962:G965)</f>
        <v>14.28515</v>
      </c>
      <c r="I962" s="40"/>
      <c r="J962" s="155">
        <v>0</v>
      </c>
    </row>
    <row r="963" spans="1:10" ht="15.75" hidden="1" thickBot="1" x14ac:dyDescent="0.3">
      <c r="A963" s="176"/>
      <c r="B963" s="175"/>
      <c r="C963" s="36" t="s">
        <v>331</v>
      </c>
      <c r="D963" s="47" t="s">
        <v>20</v>
      </c>
      <c r="E963" s="37">
        <v>8.0000000000000002E-3</v>
      </c>
      <c r="F963" s="34">
        <v>1.9474999999999998</v>
      </c>
      <c r="G963" s="34">
        <f>IF(ISNUMBER(F963),E963*F963,"")</f>
        <v>1.5579999999999998E-2</v>
      </c>
      <c r="H963" s="35"/>
      <c r="I963" s="31"/>
      <c r="J963" s="155">
        <v>0</v>
      </c>
    </row>
    <row r="964" spans="1:10" ht="26.25" hidden="1" thickBot="1" x14ac:dyDescent="0.3">
      <c r="A964" s="176"/>
      <c r="B964" s="175"/>
      <c r="C964" s="36" t="s">
        <v>109</v>
      </c>
      <c r="D964" s="36" t="s">
        <v>12</v>
      </c>
      <c r="E964" s="37">
        <v>2.4E-2</v>
      </c>
      <c r="F964" s="31">
        <v>16.891000000000002</v>
      </c>
      <c r="G964" s="34">
        <f>IF(ISNUMBER(F964),E964*F964,"")</f>
        <v>0.40538400000000008</v>
      </c>
      <c r="H964" s="35"/>
      <c r="I964" s="31"/>
      <c r="J964" s="155">
        <v>0</v>
      </c>
    </row>
    <row r="965" spans="1:10" ht="15.75" hidden="1" thickBot="1" x14ac:dyDescent="0.3">
      <c r="A965" s="176"/>
      <c r="B965" s="175"/>
      <c r="C965" s="36" t="s">
        <v>39</v>
      </c>
      <c r="D965" s="47" t="s">
        <v>12</v>
      </c>
      <c r="E965" s="37">
        <v>2.4E-2</v>
      </c>
      <c r="F965" s="31">
        <v>21.622</v>
      </c>
      <c r="G965" s="34">
        <f>IF(ISNUMBER(F965),E965*F965,"")</f>
        <v>0.51892800000000006</v>
      </c>
      <c r="H965" s="35"/>
      <c r="I965" s="31"/>
      <c r="J965" s="155">
        <v>0</v>
      </c>
    </row>
    <row r="966" spans="1:10" ht="15.75" hidden="1" thickBot="1" x14ac:dyDescent="0.3">
      <c r="A966" s="177"/>
      <c r="B966" s="178"/>
      <c r="C966" s="36"/>
      <c r="D966" s="36"/>
      <c r="E966" s="37"/>
      <c r="F966" s="31" t="s">
        <v>568</v>
      </c>
      <c r="G966" s="31" t="str">
        <f>IF(ISNUMBER(F966),E966*F966,"")</f>
        <v/>
      </c>
      <c r="H966" s="35"/>
      <c r="I966" s="31"/>
      <c r="J966" s="155">
        <v>0</v>
      </c>
    </row>
    <row r="967" spans="1:10" ht="15.75" hidden="1" thickBot="1" x14ac:dyDescent="0.3">
      <c r="A967" s="172" t="s">
        <v>342</v>
      </c>
      <c r="B967" s="174" t="str">
        <f>INDEX(Orçamentária!A:B,MATCH(Composições!A967,Orçamentária!A:A,0),2)</f>
        <v>Tubo PVC soldável agua fria DN 50mm</v>
      </c>
      <c r="C967" s="41"/>
      <c r="D967" s="26" t="str">
        <f>TRIM(INDEX(Orçamentária!C:C,MATCH(Composições!A967,Orçamentária!A:A,0),1))</f>
        <v>m</v>
      </c>
      <c r="E967" s="27"/>
      <c r="F967" s="42" t="s">
        <v>568</v>
      </c>
      <c r="G967" s="28" t="str">
        <f>IF(ISNUMBER(F967),E967*F967,"")</f>
        <v/>
      </c>
      <c r="H967" s="29"/>
      <c r="I967" s="30"/>
      <c r="J967" s="155">
        <v>0</v>
      </c>
    </row>
    <row r="968" spans="1:10" ht="15.75" hidden="1" thickBot="1" x14ac:dyDescent="0.3">
      <c r="A968" s="176"/>
      <c r="B968" s="175"/>
      <c r="C968" s="32"/>
      <c r="D968" s="32"/>
      <c r="E968" s="33"/>
      <c r="F968" s="43" t="s">
        <v>568</v>
      </c>
      <c r="G968" s="31" t="str">
        <f>IF(ISNUMBER(F968),E968*F968,"")</f>
        <v/>
      </c>
      <c r="H968" s="35"/>
      <c r="I968" s="31"/>
      <c r="J968" s="155">
        <v>0</v>
      </c>
    </row>
    <row r="969" spans="1:10" ht="15.75" hidden="1" thickBot="1" x14ac:dyDescent="0.3">
      <c r="A969" s="176"/>
      <c r="B969" s="175"/>
      <c r="C969" s="36" t="s">
        <v>343</v>
      </c>
      <c r="D969" s="47" t="s">
        <v>93</v>
      </c>
      <c r="E969" s="37">
        <v>1.0609999999999999</v>
      </c>
      <c r="F969" s="34">
        <v>14.411499999999998</v>
      </c>
      <c r="G969" s="34">
        <f>IF(ISNUMBER(F969),E969*F969,"")</f>
        <v>15.290601499999998</v>
      </c>
      <c r="H969" s="39">
        <f>SUM(G969:G972)</f>
        <v>16.426953499999996</v>
      </c>
      <c r="I969" s="40"/>
      <c r="J969" s="155">
        <v>0</v>
      </c>
    </row>
    <row r="970" spans="1:10" ht="15.75" hidden="1" thickBot="1" x14ac:dyDescent="0.3">
      <c r="A970" s="176"/>
      <c r="B970" s="175"/>
      <c r="C970" s="36" t="s">
        <v>331</v>
      </c>
      <c r="D970" s="47" t="s">
        <v>20</v>
      </c>
      <c r="E970" s="37">
        <v>0.01</v>
      </c>
      <c r="F970" s="34">
        <v>1.9474999999999998</v>
      </c>
      <c r="G970" s="34">
        <f>IF(ISNUMBER(F970),E970*F970,"")</f>
        <v>1.9474999999999999E-2</v>
      </c>
      <c r="H970" s="35"/>
      <c r="I970" s="31"/>
      <c r="J970" s="155">
        <v>0</v>
      </c>
    </row>
    <row r="971" spans="1:10" ht="26.25" hidden="1" thickBot="1" x14ac:dyDescent="0.3">
      <c r="A971" s="176"/>
      <c r="B971" s="175"/>
      <c r="C971" s="36" t="s">
        <v>109</v>
      </c>
      <c r="D971" s="36" t="s">
        <v>12</v>
      </c>
      <c r="E971" s="37">
        <v>2.9000000000000001E-2</v>
      </c>
      <c r="F971" s="31">
        <v>16.891000000000002</v>
      </c>
      <c r="G971" s="34">
        <f>IF(ISNUMBER(F971),E971*F971,"")</f>
        <v>0.48983900000000008</v>
      </c>
      <c r="H971" s="35"/>
      <c r="I971" s="31"/>
      <c r="J971" s="155">
        <v>0</v>
      </c>
    </row>
    <row r="972" spans="1:10" ht="15.75" hidden="1" thickBot="1" x14ac:dyDescent="0.3">
      <c r="A972" s="176"/>
      <c r="B972" s="175"/>
      <c r="C972" s="36" t="s">
        <v>39</v>
      </c>
      <c r="D972" s="47" t="s">
        <v>12</v>
      </c>
      <c r="E972" s="37">
        <v>2.9000000000000001E-2</v>
      </c>
      <c r="F972" s="31">
        <v>21.622</v>
      </c>
      <c r="G972" s="34">
        <f>IF(ISNUMBER(F972),E972*F972,"")</f>
        <v>0.62703799999999998</v>
      </c>
      <c r="H972" s="35"/>
      <c r="I972" s="31"/>
      <c r="J972" s="155">
        <v>0</v>
      </c>
    </row>
    <row r="973" spans="1:10" ht="15.75" hidden="1" thickBot="1" x14ac:dyDescent="0.3">
      <c r="A973" s="177"/>
      <c r="B973" s="178"/>
      <c r="C973" s="36"/>
      <c r="D973" s="36"/>
      <c r="E973" s="37"/>
      <c r="F973" s="31" t="s">
        <v>568</v>
      </c>
      <c r="G973" s="31" t="str">
        <f>IF(ISNUMBER(F973),E973*F973,"")</f>
        <v/>
      </c>
      <c r="H973" s="35"/>
      <c r="I973" s="31"/>
      <c r="J973" s="155">
        <v>0</v>
      </c>
    </row>
    <row r="974" spans="1:10" ht="15.75" hidden="1" thickBot="1" x14ac:dyDescent="0.3">
      <c r="A974" s="172" t="s">
        <v>344</v>
      </c>
      <c r="B974" s="174" t="str">
        <f>INDEX(Orçamentária!A:B,MATCH(Composições!A974,Orçamentária!A:A,0),2)</f>
        <v>Base registro gaveta 3/4"</v>
      </c>
      <c r="C974" s="41"/>
      <c r="D974" s="26" t="str">
        <f>TRIM(INDEX(Orçamentária!C:C,MATCH(Composições!A974,Orçamentária!A:A,0),1))</f>
        <v>un</v>
      </c>
      <c r="E974" s="27"/>
      <c r="F974" s="42" t="s">
        <v>568</v>
      </c>
      <c r="G974" s="28" t="str">
        <f>IF(ISNUMBER(F974),E974*F974,"")</f>
        <v/>
      </c>
      <c r="H974" s="29"/>
      <c r="I974" s="30"/>
      <c r="J974" s="155">
        <v>0</v>
      </c>
    </row>
    <row r="975" spans="1:10" ht="15.75" hidden="1" thickBot="1" x14ac:dyDescent="0.3">
      <c r="A975" s="176"/>
      <c r="B975" s="175"/>
      <c r="C975" s="32"/>
      <c r="D975" s="32"/>
      <c r="E975" s="33"/>
      <c r="F975" s="43" t="s">
        <v>568</v>
      </c>
      <c r="G975" s="31" t="str">
        <f>IF(ISNUMBER(F975),E975*F975,"")</f>
        <v/>
      </c>
      <c r="H975" s="35"/>
      <c r="I975" s="31"/>
      <c r="J975" s="155">
        <v>0</v>
      </c>
    </row>
    <row r="976" spans="1:10" ht="26.25" hidden="1" thickBot="1" x14ac:dyDescent="0.3">
      <c r="A976" s="176"/>
      <c r="B976" s="175"/>
      <c r="C976" s="36" t="s">
        <v>345</v>
      </c>
      <c r="D976" s="47" t="s">
        <v>149</v>
      </c>
      <c r="E976" s="37">
        <v>1</v>
      </c>
      <c r="F976" s="34" t="s">
        <v>568</v>
      </c>
      <c r="G976" s="34" t="str">
        <f>IF(ISNUMBER(F976),E976*F976,"")</f>
        <v/>
      </c>
      <c r="H976" s="39">
        <f>SUM(G976:G979)</f>
        <v>10.549123000000002</v>
      </c>
      <c r="I976" s="40"/>
      <c r="J976" s="155">
        <v>0</v>
      </c>
    </row>
    <row r="977" spans="1:10" ht="15.75" hidden="1" thickBot="1" x14ac:dyDescent="0.3">
      <c r="A977" s="176"/>
      <c r="B977" s="175"/>
      <c r="C977" s="36" t="s">
        <v>346</v>
      </c>
      <c r="D977" s="47" t="s">
        <v>297</v>
      </c>
      <c r="E977" s="37">
        <v>1.2999999999999999E-2</v>
      </c>
      <c r="F977" s="34">
        <v>13.661</v>
      </c>
      <c r="G977" s="34">
        <f>IF(ISNUMBER(F977),E977*F977,"")</f>
        <v>0.17759299999999997</v>
      </c>
      <c r="H977" s="35"/>
      <c r="I977" s="31"/>
      <c r="J977" s="155">
        <v>0</v>
      </c>
    </row>
    <row r="978" spans="1:10" ht="15.75" hidden="1" thickBot="1" x14ac:dyDescent="0.3">
      <c r="A978" s="176"/>
      <c r="B978" s="175"/>
      <c r="C978" s="36" t="s">
        <v>39</v>
      </c>
      <c r="D978" s="47" t="s">
        <v>12</v>
      </c>
      <c r="E978" s="37">
        <v>0.3</v>
      </c>
      <c r="F978" s="31">
        <v>21.622</v>
      </c>
      <c r="G978" s="34">
        <f>IF(ISNUMBER(F978),E978*F978,"")</f>
        <v>6.4866000000000001</v>
      </c>
      <c r="H978" s="35"/>
      <c r="I978" s="31"/>
      <c r="J978" s="155">
        <v>0</v>
      </c>
    </row>
    <row r="979" spans="1:10" ht="26.25" hidden="1" thickBot="1" x14ac:dyDescent="0.3">
      <c r="A979" s="176"/>
      <c r="B979" s="175"/>
      <c r="C979" s="36" t="s">
        <v>109</v>
      </c>
      <c r="D979" s="47" t="s">
        <v>12</v>
      </c>
      <c r="E979" s="37">
        <v>0.23</v>
      </c>
      <c r="F979" s="31">
        <v>16.891000000000002</v>
      </c>
      <c r="G979" s="34">
        <f>IF(ISNUMBER(F979),E979*F979,"")</f>
        <v>3.8849300000000007</v>
      </c>
      <c r="H979" s="35"/>
      <c r="I979" s="31"/>
      <c r="J979" s="155">
        <v>0</v>
      </c>
    </row>
    <row r="980" spans="1:10" ht="15.75" hidden="1" thickBot="1" x14ac:dyDescent="0.3">
      <c r="A980" s="177"/>
      <c r="B980" s="178"/>
      <c r="C980" s="36"/>
      <c r="D980" s="36"/>
      <c r="E980" s="37"/>
      <c r="F980" s="31" t="s">
        <v>568</v>
      </c>
      <c r="G980" s="31" t="str">
        <f>IF(ISNUMBER(F980),E980*F980,"")</f>
        <v/>
      </c>
      <c r="H980" s="35"/>
      <c r="I980" s="31"/>
      <c r="J980" s="155">
        <v>0</v>
      </c>
    </row>
    <row r="981" spans="1:10" ht="15.75" thickBot="1" x14ac:dyDescent="0.3">
      <c r="A981" s="172" t="s">
        <v>347</v>
      </c>
      <c r="B981" s="174" t="str">
        <f>INDEX(Orçamentária!A:B,MATCH(Composições!A981,Orçamentária!A:A,0),2)</f>
        <v>Caixa sifonada de PVC DN 150mm</v>
      </c>
      <c r="C981" s="41"/>
      <c r="D981" s="26" t="str">
        <f>TRIM(INDEX(Orçamentária!C:C,MATCH(Composições!A981,Orçamentária!A:A,0),1))</f>
        <v>un</v>
      </c>
      <c r="E981" s="27"/>
      <c r="F981" s="42" t="s">
        <v>568</v>
      </c>
      <c r="G981" s="28" t="str">
        <f>IF(ISNUMBER(F981),E981*F981,"")</f>
        <v/>
      </c>
      <c r="H981" s="29"/>
      <c r="I981" s="30"/>
      <c r="J981" s="155">
        <v>3</v>
      </c>
    </row>
    <row r="982" spans="1:10" x14ac:dyDescent="0.25">
      <c r="A982" s="176"/>
      <c r="B982" s="175"/>
      <c r="C982" s="32"/>
      <c r="D982" s="32"/>
      <c r="E982" s="33"/>
      <c r="F982" s="43" t="s">
        <v>568</v>
      </c>
      <c r="G982" s="31" t="str">
        <f>IF(ISNUMBER(F982),E982*F982,"")</f>
        <v/>
      </c>
      <c r="H982" s="35"/>
      <c r="I982" s="31"/>
      <c r="J982" s="155">
        <v>3</v>
      </c>
    </row>
    <row r="983" spans="1:10" ht="25.5" x14ac:dyDescent="0.25">
      <c r="A983" s="176"/>
      <c r="B983" s="175"/>
      <c r="C983" s="36" t="s">
        <v>109</v>
      </c>
      <c r="D983" s="47" t="s">
        <v>12</v>
      </c>
      <c r="E983" s="37">
        <v>0.38</v>
      </c>
      <c r="F983" s="31">
        <v>16.891000000000002</v>
      </c>
      <c r="G983" s="34">
        <f>IF(ISNUMBER(F983),E983*F983,"")</f>
        <v>6.4185800000000004</v>
      </c>
      <c r="H983" s="39">
        <f>SUM(G983:G990)</f>
        <v>75.139943149999993</v>
      </c>
      <c r="I983" s="40"/>
      <c r="J983" s="155">
        <v>3</v>
      </c>
    </row>
    <row r="984" spans="1:10" x14ac:dyDescent="0.25">
      <c r="A984" s="176"/>
      <c r="B984" s="175"/>
      <c r="C984" s="36" t="s">
        <v>39</v>
      </c>
      <c r="D984" s="47" t="s">
        <v>12</v>
      </c>
      <c r="E984" s="37">
        <v>0.38</v>
      </c>
      <c r="F984" s="31">
        <v>21.622</v>
      </c>
      <c r="G984" s="34">
        <f>IF(ISNUMBER(F984),E984*F984,"")</f>
        <v>8.2163599999999999</v>
      </c>
      <c r="H984" s="35"/>
      <c r="I984" s="31"/>
      <c r="J984" s="155">
        <v>3</v>
      </c>
    </row>
    <row r="985" spans="1:10" x14ac:dyDescent="0.25">
      <c r="A985" s="176"/>
      <c r="B985" s="175"/>
      <c r="C985" s="36" t="s">
        <v>328</v>
      </c>
      <c r="D985" s="47" t="s">
        <v>20</v>
      </c>
      <c r="E985" s="37">
        <v>1.4800000000000001E-2</v>
      </c>
      <c r="F985" s="34">
        <v>75.515499999999989</v>
      </c>
      <c r="G985" s="34">
        <f>IF(ISNUMBER(F985),E985*F985,"")</f>
        <v>1.1176293999999998</v>
      </c>
      <c r="H985" s="35"/>
      <c r="I985" s="31"/>
      <c r="J985" s="155">
        <v>3</v>
      </c>
    </row>
    <row r="986" spans="1:10" x14ac:dyDescent="0.25">
      <c r="A986" s="176"/>
      <c r="B986" s="175"/>
      <c r="C986" s="36" t="s">
        <v>348</v>
      </c>
      <c r="D986" s="47" t="s">
        <v>20</v>
      </c>
      <c r="E986" s="37">
        <v>1</v>
      </c>
      <c r="F986" s="34">
        <v>2.1564999999999999</v>
      </c>
      <c r="G986" s="34">
        <f>IF(ISNUMBER(F986),E986*F986,"")</f>
        <v>2.1564999999999999</v>
      </c>
      <c r="H986" s="35"/>
      <c r="I986" s="31"/>
      <c r="J986" s="155">
        <v>3</v>
      </c>
    </row>
    <row r="987" spans="1:10" x14ac:dyDescent="0.25">
      <c r="A987" s="176"/>
      <c r="B987" s="175"/>
      <c r="C987" s="36" t="s">
        <v>331</v>
      </c>
      <c r="D987" s="47" t="s">
        <v>20</v>
      </c>
      <c r="E987" s="37">
        <v>5.7000000000000002E-2</v>
      </c>
      <c r="F987" s="34">
        <v>1.9474999999999998</v>
      </c>
      <c r="G987" s="34">
        <f>IF(ISNUMBER(F987),E987*F987,"")</f>
        <v>0.1110075</v>
      </c>
      <c r="H987" s="35"/>
      <c r="I987" s="31"/>
      <c r="J987" s="155">
        <v>3</v>
      </c>
    </row>
    <row r="988" spans="1:10" x14ac:dyDescent="0.25">
      <c r="A988" s="176"/>
      <c r="B988" s="175"/>
      <c r="C988" s="36" t="s">
        <v>349</v>
      </c>
      <c r="D988" s="47" t="s">
        <v>20</v>
      </c>
      <c r="E988" s="37">
        <v>1</v>
      </c>
      <c r="F988" s="34">
        <v>54.814999999999998</v>
      </c>
      <c r="G988" s="34">
        <f>IF(ISNUMBER(F988),E988*F988,"")</f>
        <v>54.814999999999998</v>
      </c>
      <c r="H988" s="35"/>
      <c r="I988" s="31"/>
      <c r="J988" s="155">
        <v>3</v>
      </c>
    </row>
    <row r="989" spans="1:10" ht="25.5" x14ac:dyDescent="0.25">
      <c r="A989" s="176"/>
      <c r="B989" s="175"/>
      <c r="C989" s="36" t="s">
        <v>350</v>
      </c>
      <c r="D989" s="47" t="s">
        <v>20</v>
      </c>
      <c r="E989" s="37">
        <v>0.03</v>
      </c>
      <c r="F989" s="34">
        <v>27.645</v>
      </c>
      <c r="G989" s="34">
        <f>IF(ISNUMBER(F989),E989*F989,"")</f>
        <v>0.82934999999999992</v>
      </c>
      <c r="H989" s="35"/>
      <c r="I989" s="31"/>
      <c r="J989" s="155">
        <v>3</v>
      </c>
    </row>
    <row r="990" spans="1:10" x14ac:dyDescent="0.25">
      <c r="A990" s="176"/>
      <c r="B990" s="175"/>
      <c r="C990" s="36" t="s">
        <v>330</v>
      </c>
      <c r="D990" s="47" t="s">
        <v>20</v>
      </c>
      <c r="E990" s="37">
        <v>2.2499999999999999E-2</v>
      </c>
      <c r="F990" s="34">
        <v>65.578499999999991</v>
      </c>
      <c r="G990" s="34">
        <f>IF(ISNUMBER(F990),E990*F990,"")</f>
        <v>1.4755162499999996</v>
      </c>
      <c r="H990" s="35"/>
      <c r="I990" s="31"/>
      <c r="J990" s="155">
        <v>3</v>
      </c>
    </row>
    <row r="991" spans="1:10" ht="15.75" thickBot="1" x14ac:dyDescent="0.3">
      <c r="A991" s="177"/>
      <c r="B991" s="178"/>
      <c r="C991" s="36"/>
      <c r="D991" s="36"/>
      <c r="E991" s="37"/>
      <c r="F991" s="31" t="s">
        <v>568</v>
      </c>
      <c r="G991" s="31" t="str">
        <f>IF(ISNUMBER(F991),E991*F991,"")</f>
        <v/>
      </c>
      <c r="H991" s="35"/>
      <c r="I991" s="31"/>
      <c r="J991" s="155">
        <v>3</v>
      </c>
    </row>
    <row r="992" spans="1:10" ht="15.75" hidden="1" thickBot="1" x14ac:dyDescent="0.3">
      <c r="A992" s="172" t="s">
        <v>351</v>
      </c>
      <c r="B992" s="174" t="str">
        <f>INDEX(Orçamentária!A:B,MATCH(Composições!A992,Orçamentária!A:A,0),2)</f>
        <v>Caixa sifonada de PVC DN 250mm</v>
      </c>
      <c r="C992" s="41"/>
      <c r="D992" s="26" t="str">
        <f>TRIM(INDEX(Orçamentária!C:C,MATCH(Composições!A992,Orçamentária!A:A,0),1))</f>
        <v>un</v>
      </c>
      <c r="E992" s="27"/>
      <c r="F992" s="42" t="s">
        <v>568</v>
      </c>
      <c r="G992" s="28" t="str">
        <f>IF(ISNUMBER(F992),E992*F992,"")</f>
        <v/>
      </c>
      <c r="H992" s="29"/>
      <c r="I992" s="30"/>
      <c r="J992" s="155">
        <v>0</v>
      </c>
    </row>
    <row r="993" spans="1:10" ht="15.75" hidden="1" thickBot="1" x14ac:dyDescent="0.3">
      <c r="A993" s="176"/>
      <c r="B993" s="175"/>
      <c r="C993" s="32"/>
      <c r="D993" s="32"/>
      <c r="E993" s="33"/>
      <c r="F993" s="43" t="s">
        <v>568</v>
      </c>
      <c r="G993" s="31" t="str">
        <f>IF(ISNUMBER(F993),E993*F993,"")</f>
        <v/>
      </c>
      <c r="H993" s="35"/>
      <c r="I993" s="31"/>
      <c r="J993" s="155">
        <v>0</v>
      </c>
    </row>
    <row r="994" spans="1:10" ht="26.25" hidden="1" thickBot="1" x14ac:dyDescent="0.3">
      <c r="A994" s="176"/>
      <c r="B994" s="175"/>
      <c r="C994" s="36" t="s">
        <v>109</v>
      </c>
      <c r="D994" s="47" t="s">
        <v>12</v>
      </c>
      <c r="E994" s="37">
        <v>0.38</v>
      </c>
      <c r="F994" s="31">
        <v>16.891000000000002</v>
      </c>
      <c r="G994" s="31">
        <f>IF(ISNUMBER(F994),E994*F994,"")</f>
        <v>6.4185800000000004</v>
      </c>
      <c r="H994" s="39">
        <f>SUM(G994:G1001)</f>
        <v>133.69794315000001</v>
      </c>
      <c r="I994" s="40"/>
      <c r="J994" s="155">
        <v>0</v>
      </c>
    </row>
    <row r="995" spans="1:10" ht="15.75" hidden="1" thickBot="1" x14ac:dyDescent="0.3">
      <c r="A995" s="176"/>
      <c r="B995" s="175"/>
      <c r="C995" s="36" t="s">
        <v>39</v>
      </c>
      <c r="D995" s="47" t="s">
        <v>12</v>
      </c>
      <c r="E995" s="37">
        <v>0.38</v>
      </c>
      <c r="F995" s="31">
        <v>21.622</v>
      </c>
      <c r="G995" s="31">
        <f>IF(ISNUMBER(F995),E995*F995,"")</f>
        <v>8.2163599999999999</v>
      </c>
      <c r="H995" s="35"/>
      <c r="I995" s="31"/>
      <c r="J995" s="155">
        <v>0</v>
      </c>
    </row>
    <row r="996" spans="1:10" ht="15.75" hidden="1" thickBot="1" x14ac:dyDescent="0.3">
      <c r="A996" s="176"/>
      <c r="B996" s="175"/>
      <c r="C996" s="36" t="s">
        <v>328</v>
      </c>
      <c r="D996" s="47" t="s">
        <v>20</v>
      </c>
      <c r="E996" s="37">
        <v>1.4800000000000001E-2</v>
      </c>
      <c r="F996" s="34">
        <v>75.515499999999989</v>
      </c>
      <c r="G996" s="31">
        <f>IF(ISNUMBER(F996),E996*F996,"")</f>
        <v>1.1176293999999998</v>
      </c>
      <c r="H996" s="35"/>
      <c r="I996" s="31"/>
      <c r="J996" s="155">
        <v>0</v>
      </c>
    </row>
    <row r="997" spans="1:10" ht="15.75" hidden="1" thickBot="1" x14ac:dyDescent="0.3">
      <c r="A997" s="176"/>
      <c r="B997" s="175"/>
      <c r="C997" s="36" t="s">
        <v>348</v>
      </c>
      <c r="D997" s="47" t="s">
        <v>20</v>
      </c>
      <c r="E997" s="37">
        <v>1</v>
      </c>
      <c r="F997" s="34">
        <v>2.1564999999999999</v>
      </c>
      <c r="G997" s="31">
        <f>IF(ISNUMBER(F997),E997*F997,"")</f>
        <v>2.1564999999999999</v>
      </c>
      <c r="H997" s="35"/>
      <c r="I997" s="31"/>
      <c r="J997" s="155">
        <v>0</v>
      </c>
    </row>
    <row r="998" spans="1:10" ht="15.75" hidden="1" thickBot="1" x14ac:dyDescent="0.3">
      <c r="A998" s="176"/>
      <c r="B998" s="175"/>
      <c r="C998" s="36" t="s">
        <v>331</v>
      </c>
      <c r="D998" s="47" t="s">
        <v>20</v>
      </c>
      <c r="E998" s="37">
        <v>5.7000000000000002E-2</v>
      </c>
      <c r="F998" s="34">
        <v>1.9474999999999998</v>
      </c>
      <c r="G998" s="31">
        <f>IF(ISNUMBER(F998),E998*F998,"")</f>
        <v>0.1110075</v>
      </c>
      <c r="H998" s="35"/>
      <c r="I998" s="31"/>
      <c r="J998" s="155">
        <v>0</v>
      </c>
    </row>
    <row r="999" spans="1:10" ht="26.25" hidden="1" thickBot="1" x14ac:dyDescent="0.3">
      <c r="A999" s="176"/>
      <c r="B999" s="175"/>
      <c r="C999" s="36" t="s">
        <v>352</v>
      </c>
      <c r="D999" s="47" t="s">
        <v>20</v>
      </c>
      <c r="E999" s="37">
        <v>1</v>
      </c>
      <c r="F999" s="34">
        <v>113.373</v>
      </c>
      <c r="G999" s="31">
        <f>IF(ISNUMBER(F999),E999*F999,"")</f>
        <v>113.373</v>
      </c>
      <c r="H999" s="35"/>
      <c r="I999" s="31"/>
      <c r="J999" s="155">
        <v>0</v>
      </c>
    </row>
    <row r="1000" spans="1:10" ht="26.25" hidden="1" thickBot="1" x14ac:dyDescent="0.3">
      <c r="A1000" s="176"/>
      <c r="B1000" s="175"/>
      <c r="C1000" s="36" t="s">
        <v>350</v>
      </c>
      <c r="D1000" s="47" t="s">
        <v>20</v>
      </c>
      <c r="E1000" s="37">
        <v>0.03</v>
      </c>
      <c r="F1000" s="34">
        <v>27.645</v>
      </c>
      <c r="G1000" s="31">
        <f>IF(ISNUMBER(F1000),E1000*F1000,"")</f>
        <v>0.82934999999999992</v>
      </c>
      <c r="H1000" s="35"/>
      <c r="I1000" s="31"/>
      <c r="J1000" s="155">
        <v>0</v>
      </c>
    </row>
    <row r="1001" spans="1:10" ht="15.75" hidden="1" thickBot="1" x14ac:dyDescent="0.3">
      <c r="A1001" s="176"/>
      <c r="B1001" s="175"/>
      <c r="C1001" s="36" t="s">
        <v>330</v>
      </c>
      <c r="D1001" s="47" t="s">
        <v>20</v>
      </c>
      <c r="E1001" s="37">
        <v>2.2499999999999999E-2</v>
      </c>
      <c r="F1001" s="34">
        <v>65.578499999999991</v>
      </c>
      <c r="G1001" s="31">
        <f>IF(ISNUMBER(F1001),E1001*F1001,"")</f>
        <v>1.4755162499999996</v>
      </c>
      <c r="H1001" s="35"/>
      <c r="I1001" s="31"/>
      <c r="J1001" s="155">
        <v>0</v>
      </c>
    </row>
    <row r="1002" spans="1:10" ht="15.75" hidden="1" thickBot="1" x14ac:dyDescent="0.3">
      <c r="A1002" s="177"/>
      <c r="B1002" s="178"/>
      <c r="C1002" s="36"/>
      <c r="D1002" s="36"/>
      <c r="E1002" s="37"/>
      <c r="F1002" s="31" t="s">
        <v>568</v>
      </c>
      <c r="G1002" s="31" t="str">
        <f>IF(ISNUMBER(F1002),E1002*F1002,"")</f>
        <v/>
      </c>
      <c r="H1002" s="35"/>
      <c r="I1002" s="31"/>
      <c r="J1002" s="155">
        <v>0</v>
      </c>
    </row>
    <row r="1003" spans="1:10" ht="15.75" hidden="1" thickBot="1" x14ac:dyDescent="0.3">
      <c r="A1003" s="172" t="s">
        <v>353</v>
      </c>
      <c r="B1003" s="174" t="str">
        <f>INDEX(Orçamentária!A:B,MATCH(Composições!A1003,Orçamentária!A:A,0),2)</f>
        <v>Grelha quadrada para ralo 10x10cm</v>
      </c>
      <c r="C1003" s="41"/>
      <c r="D1003" s="26" t="str">
        <f>TRIM(INDEX(Orçamentária!C:C,MATCH(Composições!A1003,Orçamentária!A:A,0),1))</f>
        <v>un</v>
      </c>
      <c r="E1003" s="27"/>
      <c r="F1003" s="42" t="s">
        <v>568</v>
      </c>
      <c r="G1003" s="28" t="str">
        <f>IF(ISNUMBER(F1003),E1003*F1003,"")</f>
        <v/>
      </c>
      <c r="H1003" s="29"/>
      <c r="I1003" s="30"/>
      <c r="J1003" s="155">
        <v>0</v>
      </c>
    </row>
    <row r="1004" spans="1:10" ht="15.75" hidden="1" thickBot="1" x14ac:dyDescent="0.3">
      <c r="A1004" s="176"/>
      <c r="B1004" s="175"/>
      <c r="C1004" s="32"/>
      <c r="D1004" s="32"/>
      <c r="E1004" s="33"/>
      <c r="F1004" s="43" t="s">
        <v>568</v>
      </c>
      <c r="G1004" s="31" t="str">
        <f>IF(ISNUMBER(F1004),E1004*F1004,"")</f>
        <v/>
      </c>
      <c r="H1004" s="35"/>
      <c r="I1004" s="31"/>
      <c r="J1004" s="155">
        <v>0</v>
      </c>
    </row>
    <row r="1005" spans="1:10" ht="26.25" hidden="1" thickBot="1" x14ac:dyDescent="0.3">
      <c r="A1005" s="176"/>
      <c r="B1005" s="175"/>
      <c r="C1005" s="36" t="s">
        <v>354</v>
      </c>
      <c r="D1005" s="47" t="s">
        <v>149</v>
      </c>
      <c r="E1005" s="37">
        <v>1</v>
      </c>
      <c r="F1005" s="34" t="s">
        <v>568</v>
      </c>
      <c r="G1005" s="34" t="str">
        <f>IF(ISNUMBER(F1005),E1005*F1005,"")</f>
        <v/>
      </c>
      <c r="H1005" s="39">
        <f>SUM(G1005:G1006)</f>
        <v>2.4467250000000003</v>
      </c>
      <c r="I1005" s="40"/>
      <c r="J1005" s="155">
        <v>0</v>
      </c>
    </row>
    <row r="1006" spans="1:10" ht="15.75" hidden="1" thickBot="1" x14ac:dyDescent="0.3">
      <c r="A1006" s="176"/>
      <c r="B1006" s="175"/>
      <c r="C1006" s="36" t="s">
        <v>23</v>
      </c>
      <c r="D1006" s="47" t="s">
        <v>12</v>
      </c>
      <c r="E1006" s="37">
        <v>0.15</v>
      </c>
      <c r="F1006" s="31">
        <v>16.311500000000002</v>
      </c>
      <c r="G1006" s="34">
        <f>IF(ISNUMBER(F1006),E1006*F1006,"")</f>
        <v>2.4467250000000003</v>
      </c>
      <c r="H1006" s="35"/>
      <c r="I1006" s="31"/>
      <c r="J1006" s="155">
        <v>0</v>
      </c>
    </row>
    <row r="1007" spans="1:10" ht="15.75" hidden="1" thickBot="1" x14ac:dyDescent="0.3">
      <c r="A1007" s="177"/>
      <c r="B1007" s="178"/>
      <c r="C1007" s="36"/>
      <c r="D1007" s="36"/>
      <c r="E1007" s="37"/>
      <c r="F1007" s="31" t="s">
        <v>568</v>
      </c>
      <c r="G1007" s="31" t="str">
        <f>IF(ISNUMBER(F1007),E1007*F1007,"")</f>
        <v/>
      </c>
      <c r="H1007" s="35"/>
      <c r="I1007" s="31"/>
      <c r="J1007" s="155">
        <v>0</v>
      </c>
    </row>
    <row r="1008" spans="1:10" ht="15.75" thickBot="1" x14ac:dyDescent="0.3">
      <c r="A1008" s="172" t="s">
        <v>355</v>
      </c>
      <c r="B1008" s="174" t="str">
        <f>INDEX(Orçamentária!A:B,MATCH(Composições!A1008,Orçamentária!A:A,0),2)</f>
        <v>Grelha quadrada para ralo 15x15cm</v>
      </c>
      <c r="C1008" s="41"/>
      <c r="D1008" s="26" t="str">
        <f>TRIM(INDEX(Orçamentária!C:C,MATCH(Composições!A1008,Orçamentária!A:A,0),1))</f>
        <v>un</v>
      </c>
      <c r="E1008" s="27"/>
      <c r="F1008" s="42" t="s">
        <v>568</v>
      </c>
      <c r="G1008" s="28" t="str">
        <f>IF(ISNUMBER(F1008),E1008*F1008,"")</f>
        <v/>
      </c>
      <c r="H1008" s="29"/>
      <c r="I1008" s="30"/>
      <c r="J1008" s="155">
        <v>12</v>
      </c>
    </row>
    <row r="1009" spans="1:10" x14ac:dyDescent="0.25">
      <c r="A1009" s="176"/>
      <c r="B1009" s="175"/>
      <c r="C1009" s="32"/>
      <c r="D1009" s="32"/>
      <c r="E1009" s="33"/>
      <c r="F1009" s="43" t="s">
        <v>568</v>
      </c>
      <c r="G1009" s="31" t="str">
        <f>IF(ISNUMBER(F1009),E1009*F1009,"")</f>
        <v/>
      </c>
      <c r="H1009" s="35"/>
      <c r="I1009" s="31"/>
      <c r="J1009" s="155">
        <v>12</v>
      </c>
    </row>
    <row r="1010" spans="1:10" ht="25.5" x14ac:dyDescent="0.25">
      <c r="A1010" s="176"/>
      <c r="B1010" s="175"/>
      <c r="C1010" s="36" t="s">
        <v>356</v>
      </c>
      <c r="D1010" s="47" t="s">
        <v>149</v>
      </c>
      <c r="E1010" s="37">
        <v>1</v>
      </c>
      <c r="F1010" s="34">
        <v>64.989999999999995</v>
      </c>
      <c r="G1010" s="34">
        <f>IF(ISNUMBER(F1010),E1010*F1010,"")</f>
        <v>64.989999999999995</v>
      </c>
      <c r="H1010" s="39">
        <f>SUM(G1010:G1011)</f>
        <v>67.436724999999996</v>
      </c>
      <c r="I1010" s="40"/>
      <c r="J1010" s="155">
        <v>12</v>
      </c>
    </row>
    <row r="1011" spans="1:10" x14ac:dyDescent="0.25">
      <c r="A1011" s="176"/>
      <c r="B1011" s="175"/>
      <c r="C1011" s="36" t="s">
        <v>23</v>
      </c>
      <c r="D1011" s="47" t="s">
        <v>12</v>
      </c>
      <c r="E1011" s="37">
        <v>0.15</v>
      </c>
      <c r="F1011" s="31">
        <v>16.311500000000002</v>
      </c>
      <c r="G1011" s="34">
        <f>IF(ISNUMBER(F1011),E1011*F1011,"")</f>
        <v>2.4467250000000003</v>
      </c>
      <c r="H1011" s="35"/>
      <c r="I1011" s="31"/>
      <c r="J1011" s="155">
        <v>12</v>
      </c>
    </row>
    <row r="1012" spans="1:10" ht="15.75" thickBot="1" x14ac:dyDescent="0.3">
      <c r="A1012" s="177"/>
      <c r="B1012" s="178"/>
      <c r="C1012" s="36"/>
      <c r="D1012" s="36"/>
      <c r="E1012" s="37"/>
      <c r="F1012" s="31" t="s">
        <v>568</v>
      </c>
      <c r="G1012" s="31" t="str">
        <f>IF(ISNUMBER(F1012),E1012*F1012,"")</f>
        <v/>
      </c>
      <c r="H1012" s="35"/>
      <c r="I1012" s="31"/>
      <c r="J1012" s="155">
        <v>12</v>
      </c>
    </row>
    <row r="1013" spans="1:10" ht="15.75" thickBot="1" x14ac:dyDescent="0.3">
      <c r="A1013" s="172" t="s">
        <v>357</v>
      </c>
      <c r="B1013" s="174" t="str">
        <f>INDEX(Orçamentária!A:B,MATCH(Composições!A1013,Orçamentária!A:A,0),2)</f>
        <v>Ralo seco PVC DN 100x40mm</v>
      </c>
      <c r="C1013" s="41"/>
      <c r="D1013" s="26" t="str">
        <f>TRIM(INDEX(Orçamentária!C:C,MATCH(Composições!A1013,Orçamentária!A:A,0),1))</f>
        <v>un</v>
      </c>
      <c r="E1013" s="27"/>
      <c r="F1013" s="42" t="s">
        <v>568</v>
      </c>
      <c r="G1013" s="28" t="str">
        <f>IF(ISNUMBER(F1013),E1013*F1013,"")</f>
        <v/>
      </c>
      <c r="H1013" s="29"/>
      <c r="I1013" s="30"/>
      <c r="J1013" s="155">
        <v>4</v>
      </c>
    </row>
    <row r="1014" spans="1:10" x14ac:dyDescent="0.25">
      <c r="A1014" s="176"/>
      <c r="B1014" s="175"/>
      <c r="C1014" s="32"/>
      <c r="D1014" s="32"/>
      <c r="E1014" s="33"/>
      <c r="F1014" s="43" t="s">
        <v>568</v>
      </c>
      <c r="G1014" s="31" t="str">
        <f>IF(ISNUMBER(F1014),E1014*F1014,"")</f>
        <v/>
      </c>
      <c r="H1014" s="35"/>
      <c r="I1014" s="31"/>
      <c r="J1014" s="155">
        <v>4</v>
      </c>
    </row>
    <row r="1015" spans="1:10" ht="25.5" x14ac:dyDescent="0.25">
      <c r="A1015" s="176"/>
      <c r="B1015" s="175"/>
      <c r="C1015" s="36" t="s">
        <v>109</v>
      </c>
      <c r="D1015" s="47" t="s">
        <v>12</v>
      </c>
      <c r="E1015" s="37">
        <v>7.0000000000000007E-2</v>
      </c>
      <c r="F1015" s="31">
        <v>16.891000000000002</v>
      </c>
      <c r="G1015" s="34">
        <f>IF(ISNUMBER(F1015),E1015*F1015,"")</f>
        <v>1.1823700000000001</v>
      </c>
      <c r="H1015" s="39">
        <f>SUM(G1015:G1020)</f>
        <v>12.292882199999999</v>
      </c>
      <c r="I1015" s="40"/>
      <c r="J1015" s="155">
        <v>4</v>
      </c>
    </row>
    <row r="1016" spans="1:10" x14ac:dyDescent="0.25">
      <c r="A1016" s="176"/>
      <c r="B1016" s="175"/>
      <c r="C1016" s="36" t="s">
        <v>39</v>
      </c>
      <c r="D1016" s="47" t="s">
        <v>12</v>
      </c>
      <c r="E1016" s="37">
        <v>7.0000000000000007E-2</v>
      </c>
      <c r="F1016" s="31">
        <v>21.622</v>
      </c>
      <c r="G1016" s="34">
        <f>IF(ISNUMBER(F1016),E1016*F1016,"")</f>
        <v>1.5135400000000001</v>
      </c>
      <c r="H1016" s="35"/>
      <c r="I1016" s="31"/>
      <c r="J1016" s="155">
        <v>4</v>
      </c>
    </row>
    <row r="1017" spans="1:10" x14ac:dyDescent="0.25">
      <c r="A1017" s="176"/>
      <c r="B1017" s="175"/>
      <c r="C1017" s="36" t="s">
        <v>328</v>
      </c>
      <c r="D1017" s="47" t="s">
        <v>20</v>
      </c>
      <c r="E1017" s="37">
        <v>4.8999999999999998E-3</v>
      </c>
      <c r="F1017" s="34">
        <v>75.515499999999989</v>
      </c>
      <c r="G1017" s="34">
        <f>IF(ISNUMBER(F1017),E1017*F1017,"")</f>
        <v>0.37002594999999994</v>
      </c>
      <c r="H1017" s="35"/>
      <c r="I1017" s="31"/>
      <c r="J1017" s="155">
        <v>4</v>
      </c>
    </row>
    <row r="1018" spans="1:10" x14ac:dyDescent="0.25">
      <c r="A1018" s="176"/>
      <c r="B1018" s="175"/>
      <c r="C1018" s="36" t="s">
        <v>331</v>
      </c>
      <c r="D1018" s="47" t="s">
        <v>20</v>
      </c>
      <c r="E1018" s="37">
        <v>1.7000000000000001E-2</v>
      </c>
      <c r="F1018" s="34">
        <v>1.9474999999999998</v>
      </c>
      <c r="G1018" s="34">
        <f>IF(ISNUMBER(F1018),E1018*F1018,"")</f>
        <v>3.3107499999999998E-2</v>
      </c>
      <c r="H1018" s="35"/>
      <c r="I1018" s="31"/>
      <c r="J1018" s="155">
        <v>4</v>
      </c>
    </row>
    <row r="1019" spans="1:10" x14ac:dyDescent="0.25">
      <c r="A1019" s="176"/>
      <c r="B1019" s="175"/>
      <c r="C1019" s="36" t="s">
        <v>358</v>
      </c>
      <c r="D1019" s="47" t="s">
        <v>20</v>
      </c>
      <c r="E1019" s="37">
        <v>1</v>
      </c>
      <c r="F1019" s="34">
        <v>8.702</v>
      </c>
      <c r="G1019" s="34">
        <f>IF(ISNUMBER(F1019),E1019*F1019,"")</f>
        <v>8.702</v>
      </c>
      <c r="H1019" s="35"/>
      <c r="I1019" s="31"/>
      <c r="J1019" s="155">
        <v>4</v>
      </c>
    </row>
    <row r="1020" spans="1:10" x14ac:dyDescent="0.25">
      <c r="A1020" s="176"/>
      <c r="B1020" s="175"/>
      <c r="C1020" s="36" t="s">
        <v>330</v>
      </c>
      <c r="D1020" s="47" t="s">
        <v>20</v>
      </c>
      <c r="E1020" s="37">
        <v>7.4999999999999997E-3</v>
      </c>
      <c r="F1020" s="34">
        <v>65.578499999999991</v>
      </c>
      <c r="G1020" s="34">
        <f>IF(ISNUMBER(F1020),E1020*F1020,"")</f>
        <v>0.49183874999999994</v>
      </c>
      <c r="H1020" s="35"/>
      <c r="I1020" s="31"/>
      <c r="J1020" s="155">
        <v>4</v>
      </c>
    </row>
    <row r="1021" spans="1:10" ht="15.75" thickBot="1" x14ac:dyDescent="0.3">
      <c r="A1021" s="177"/>
      <c r="B1021" s="178"/>
      <c r="C1021" s="36"/>
      <c r="D1021" s="36"/>
      <c r="E1021" s="37"/>
      <c r="F1021" s="31" t="s">
        <v>568</v>
      </c>
      <c r="G1021" s="31" t="str">
        <f>IF(ISNUMBER(F1021),E1021*F1021,"")</f>
        <v/>
      </c>
      <c r="H1021" s="35"/>
      <c r="I1021" s="31"/>
      <c r="J1021" s="155">
        <v>4</v>
      </c>
    </row>
    <row r="1022" spans="1:10" ht="15.75" hidden="1" thickBot="1" x14ac:dyDescent="0.3">
      <c r="A1022" s="172" t="s">
        <v>359</v>
      </c>
      <c r="B1022" s="174" t="str">
        <f>INDEX(Orçamentária!A:B,MATCH(Composições!A1022,Orçamentária!A:A,0),2)</f>
        <v>Assento para bacia convencional – Linha Administrativa</v>
      </c>
      <c r="C1022" s="41"/>
      <c r="D1022" s="26" t="str">
        <f>TRIM(INDEX(Orçamentária!C:C,MATCH(Composições!A1022,Orçamentária!A:A,0),1))</f>
        <v>un</v>
      </c>
      <c r="E1022" s="27"/>
      <c r="F1022" s="42" t="s">
        <v>568</v>
      </c>
      <c r="G1022" s="28" t="str">
        <f>IF(ISNUMBER(F1022),E1022*F1022,"")</f>
        <v/>
      </c>
      <c r="H1022" s="29"/>
      <c r="I1022" s="30"/>
      <c r="J1022" s="155">
        <v>0</v>
      </c>
    </row>
    <row r="1023" spans="1:10" ht="15.75" hidden="1" thickBot="1" x14ac:dyDescent="0.3">
      <c r="A1023" s="176"/>
      <c r="B1023" s="175"/>
      <c r="C1023" s="32"/>
      <c r="D1023" s="32"/>
      <c r="E1023" s="33"/>
      <c r="F1023" s="43" t="s">
        <v>568</v>
      </c>
      <c r="G1023" s="31" t="str">
        <f>IF(ISNUMBER(F1023),E1023*F1023,"")</f>
        <v/>
      </c>
      <c r="H1023" s="35"/>
      <c r="I1023" s="31"/>
      <c r="J1023" s="155">
        <v>0</v>
      </c>
    </row>
    <row r="1024" spans="1:10" ht="26.25" hidden="1" thickBot="1" x14ac:dyDescent="0.3">
      <c r="A1024" s="176"/>
      <c r="B1024" s="175"/>
      <c r="C1024" s="36" t="s">
        <v>360</v>
      </c>
      <c r="D1024" s="47" t="s">
        <v>149</v>
      </c>
      <c r="E1024" s="37">
        <v>1</v>
      </c>
      <c r="F1024" s="34" t="s">
        <v>568</v>
      </c>
      <c r="G1024" s="34" t="str">
        <f>IF(ISNUMBER(F1024),E1024*F1024,"")</f>
        <v/>
      </c>
      <c r="H1024" s="39">
        <f>SUM(G1024:G1025)</f>
        <v>1.6311500000000003</v>
      </c>
      <c r="I1024" s="40"/>
      <c r="J1024" s="155">
        <v>0</v>
      </c>
    </row>
    <row r="1025" spans="1:10" ht="15.75" hidden="1" thickBot="1" x14ac:dyDescent="0.3">
      <c r="A1025" s="176"/>
      <c r="B1025" s="175"/>
      <c r="C1025" s="36" t="s">
        <v>23</v>
      </c>
      <c r="D1025" s="47" t="s">
        <v>12</v>
      </c>
      <c r="E1025" s="37">
        <v>0.1</v>
      </c>
      <c r="F1025" s="31">
        <v>16.311500000000002</v>
      </c>
      <c r="G1025" s="34">
        <f>IF(ISNUMBER(F1025),E1025*F1025,"")</f>
        <v>1.6311500000000003</v>
      </c>
      <c r="H1025" s="35"/>
      <c r="I1025" s="31"/>
      <c r="J1025" s="155">
        <v>0</v>
      </c>
    </row>
    <row r="1026" spans="1:10" ht="15.75" hidden="1" thickBot="1" x14ac:dyDescent="0.3">
      <c r="A1026" s="177"/>
      <c r="B1026" s="178"/>
      <c r="C1026" s="36"/>
      <c r="D1026" s="36"/>
      <c r="E1026" s="37"/>
      <c r="F1026" s="31" t="s">
        <v>568</v>
      </c>
      <c r="G1026" s="31" t="str">
        <f>IF(ISNUMBER(F1026),E1026*F1026,"")</f>
        <v/>
      </c>
      <c r="H1026" s="35"/>
      <c r="I1026" s="31"/>
      <c r="J1026" s="155">
        <v>0</v>
      </c>
    </row>
    <row r="1027" spans="1:10" ht="15.75" hidden="1" thickBot="1" x14ac:dyDescent="0.3">
      <c r="A1027" s="172" t="s">
        <v>361</v>
      </c>
      <c r="B1027" s="174" t="str">
        <f>INDEX(Orçamentária!A:B,MATCH(Composições!A1027,Orçamentária!A:A,0),2)</f>
        <v>Bacia convencional – Linha Administrativa</v>
      </c>
      <c r="C1027" s="41"/>
      <c r="D1027" s="26" t="str">
        <f>TRIM(INDEX(Orçamentária!C:C,MATCH(Composições!A1027,Orçamentária!A:A,0),1))</f>
        <v>un</v>
      </c>
      <c r="E1027" s="27"/>
      <c r="F1027" s="42" t="s">
        <v>568</v>
      </c>
      <c r="G1027" s="28" t="str">
        <f>IF(ISNUMBER(F1027),E1027*F1027,"")</f>
        <v/>
      </c>
      <c r="H1027" s="29"/>
      <c r="I1027" s="30"/>
      <c r="J1027" s="155">
        <v>0</v>
      </c>
    </row>
    <row r="1028" spans="1:10" ht="15.75" hidden="1" thickBot="1" x14ac:dyDescent="0.3">
      <c r="A1028" s="176"/>
      <c r="B1028" s="175"/>
      <c r="C1028" s="32"/>
      <c r="D1028" s="32"/>
      <c r="E1028" s="33"/>
      <c r="F1028" s="43" t="s">
        <v>568</v>
      </c>
      <c r="G1028" s="31" t="str">
        <f>IF(ISNUMBER(F1028),E1028*F1028,"")</f>
        <v/>
      </c>
      <c r="H1028" s="35"/>
      <c r="I1028" s="31"/>
      <c r="J1028" s="155">
        <v>0</v>
      </c>
    </row>
    <row r="1029" spans="1:10" ht="15.75" hidden="1" thickBot="1" x14ac:dyDescent="0.3">
      <c r="A1029" s="176"/>
      <c r="B1029" s="175"/>
      <c r="C1029" s="36" t="s">
        <v>362</v>
      </c>
      <c r="D1029" s="47" t="s">
        <v>297</v>
      </c>
      <c r="E1029" s="37">
        <v>1</v>
      </c>
      <c r="F1029" s="34">
        <v>132.95249999999999</v>
      </c>
      <c r="G1029" s="34">
        <f>IF(ISNUMBER(F1029),E1029*F1029,"")</f>
        <v>132.95249999999999</v>
      </c>
      <c r="H1029" s="39">
        <f>SUM(G1029:G1035)</f>
        <v>178.74422519999996</v>
      </c>
      <c r="I1029" s="40"/>
      <c r="J1029" s="155">
        <v>0</v>
      </c>
    </row>
    <row r="1030" spans="1:10" ht="26.25" hidden="1" thickBot="1" x14ac:dyDescent="0.3">
      <c r="A1030" s="176"/>
      <c r="B1030" s="175"/>
      <c r="C1030" s="36" t="s">
        <v>326</v>
      </c>
      <c r="D1030" s="36" t="s">
        <v>20</v>
      </c>
      <c r="E1030" s="37">
        <v>1</v>
      </c>
      <c r="F1030" s="34" t="s">
        <v>568</v>
      </c>
      <c r="G1030" s="34" t="str">
        <f>IF(ISNUMBER(F1030),E1030*F1030,"")</f>
        <v/>
      </c>
      <c r="H1030" s="35"/>
      <c r="I1030" s="31"/>
      <c r="J1030" s="155">
        <v>0</v>
      </c>
    </row>
    <row r="1031" spans="1:10" ht="26.25" hidden="1" thickBot="1" x14ac:dyDescent="0.3">
      <c r="A1031" s="176"/>
      <c r="B1031" s="175"/>
      <c r="C1031" s="36" t="s">
        <v>363</v>
      </c>
      <c r="D1031" s="47" t="s">
        <v>297</v>
      </c>
      <c r="E1031" s="37">
        <v>2</v>
      </c>
      <c r="F1031" s="34">
        <v>10.953499999999998</v>
      </c>
      <c r="G1031" s="34">
        <f>IF(ISNUMBER(F1031),E1031*F1031,"")</f>
        <v>21.906999999999996</v>
      </c>
      <c r="H1031" s="35"/>
      <c r="I1031" s="31"/>
      <c r="J1031" s="155">
        <v>0</v>
      </c>
    </row>
    <row r="1032" spans="1:10" ht="15.75" hidden="1" thickBot="1" x14ac:dyDescent="0.3">
      <c r="A1032" s="176"/>
      <c r="B1032" s="175"/>
      <c r="C1032" s="36" t="s">
        <v>325</v>
      </c>
      <c r="D1032" s="47" t="s">
        <v>20</v>
      </c>
      <c r="E1032" s="37">
        <v>1</v>
      </c>
      <c r="F1032" s="34">
        <v>2.7454999999999998</v>
      </c>
      <c r="G1032" s="54">
        <f>IF(ISNUMBER(F1032),E1032*F1032,"")</f>
        <v>2.7454999999999998</v>
      </c>
      <c r="H1032" s="35"/>
      <c r="I1032" s="31"/>
      <c r="J1032" s="155">
        <v>0</v>
      </c>
    </row>
    <row r="1033" spans="1:10" ht="15.75" hidden="1" thickBot="1" x14ac:dyDescent="0.3">
      <c r="A1033" s="176"/>
      <c r="B1033" s="175"/>
      <c r="C1033" s="36" t="s">
        <v>3615</v>
      </c>
      <c r="D1033" s="47" t="s">
        <v>42</v>
      </c>
      <c r="E1033" s="37">
        <v>8.8099999999999998E-2</v>
      </c>
      <c r="F1033" s="34">
        <v>52.8675</v>
      </c>
      <c r="G1033" s="34">
        <f>IF(ISNUMBER(F1033),E1033*F1033,"")</f>
        <v>4.6576267499999995</v>
      </c>
      <c r="H1033" s="35"/>
      <c r="I1033" s="31"/>
      <c r="J1033" s="155">
        <v>0</v>
      </c>
    </row>
    <row r="1034" spans="1:10" ht="15.75" hidden="1" thickBot="1" x14ac:dyDescent="0.3">
      <c r="A1034" s="176"/>
      <c r="B1034" s="175"/>
      <c r="C1034" s="36" t="s">
        <v>39</v>
      </c>
      <c r="D1034" s="47" t="s">
        <v>12</v>
      </c>
      <c r="E1034" s="37">
        <v>0.49859999999999999</v>
      </c>
      <c r="F1034" s="31">
        <v>21.622</v>
      </c>
      <c r="G1034" s="34">
        <f>IF(ISNUMBER(F1034),E1034*F1034,"")</f>
        <v>10.7807292</v>
      </c>
      <c r="H1034" s="35"/>
      <c r="I1034" s="31"/>
      <c r="J1034" s="155">
        <v>0</v>
      </c>
    </row>
    <row r="1035" spans="1:10" ht="15.75" hidden="1" thickBot="1" x14ac:dyDescent="0.3">
      <c r="A1035" s="176"/>
      <c r="B1035" s="175"/>
      <c r="C1035" s="36" t="s">
        <v>23</v>
      </c>
      <c r="D1035" s="47" t="s">
        <v>12</v>
      </c>
      <c r="E1035" s="37">
        <v>0.34949999999999998</v>
      </c>
      <c r="F1035" s="31">
        <v>16.311500000000002</v>
      </c>
      <c r="G1035" s="34">
        <f>IF(ISNUMBER(F1035),E1035*F1035,"")</f>
        <v>5.7008692500000002</v>
      </c>
      <c r="H1035" s="35"/>
      <c r="I1035" s="31"/>
      <c r="J1035" s="155">
        <v>0</v>
      </c>
    </row>
    <row r="1036" spans="1:10" ht="15.75" hidden="1" thickBot="1" x14ac:dyDescent="0.3">
      <c r="A1036" s="177"/>
      <c r="B1036" s="178"/>
      <c r="C1036" s="36"/>
      <c r="D1036" s="36"/>
      <c r="E1036" s="37"/>
      <c r="F1036" s="31" t="s">
        <v>568</v>
      </c>
      <c r="G1036" s="31" t="str">
        <f>IF(ISNUMBER(F1036),E1036*F1036,"")</f>
        <v/>
      </c>
      <c r="H1036" s="35"/>
      <c r="I1036" s="31"/>
      <c r="J1036" s="155">
        <v>0</v>
      </c>
    </row>
    <row r="1037" spans="1:10" ht="15.75" hidden="1" thickBot="1" x14ac:dyDescent="0.3">
      <c r="A1037" s="172" t="s">
        <v>364</v>
      </c>
      <c r="B1037" s="174" t="str">
        <f>INDEX(Orçamentária!A:B,MATCH(Composições!A1037,Orçamentária!A:A,0),2)</f>
        <v>Bacia convencional com saída horizontal</v>
      </c>
      <c r="C1037" s="41"/>
      <c r="D1037" s="26" t="str">
        <f>TRIM(INDEX(Orçamentária!C:C,MATCH(Composições!A1037,Orçamentária!A:A,0),1))</f>
        <v>un</v>
      </c>
      <c r="E1037" s="27"/>
      <c r="F1037" s="42" t="s">
        <v>568</v>
      </c>
      <c r="G1037" s="28" t="str">
        <f>IF(ISNUMBER(F1037),E1037*F1037,"")</f>
        <v/>
      </c>
      <c r="H1037" s="29"/>
      <c r="I1037" s="30"/>
      <c r="J1037" s="155">
        <v>0</v>
      </c>
    </row>
    <row r="1038" spans="1:10" ht="15.75" hidden="1" thickBot="1" x14ac:dyDescent="0.3">
      <c r="A1038" s="176"/>
      <c r="B1038" s="175"/>
      <c r="C1038" s="32"/>
      <c r="D1038" s="32"/>
      <c r="E1038" s="33"/>
      <c r="F1038" s="43" t="s">
        <v>568</v>
      </c>
      <c r="G1038" s="31" t="str">
        <f>IF(ISNUMBER(F1038),E1038*F1038,"")</f>
        <v/>
      </c>
      <c r="H1038" s="35"/>
      <c r="I1038" s="31"/>
      <c r="J1038" s="155">
        <v>0</v>
      </c>
    </row>
    <row r="1039" spans="1:10" ht="26.25" hidden="1" thickBot="1" x14ac:dyDescent="0.3">
      <c r="A1039" s="176"/>
      <c r="B1039" s="175"/>
      <c r="C1039" s="36" t="s">
        <v>365</v>
      </c>
      <c r="D1039" s="47" t="s">
        <v>149</v>
      </c>
      <c r="E1039" s="37">
        <v>1</v>
      </c>
      <c r="F1039" s="34" t="s">
        <v>568</v>
      </c>
      <c r="G1039" s="34" t="str">
        <f>IF(ISNUMBER(F1039),E1039*F1039,"")</f>
        <v/>
      </c>
      <c r="H1039" s="39">
        <f>SUM(G1039:G1044)</f>
        <v>45.791725199999988</v>
      </c>
      <c r="I1039" s="40"/>
      <c r="J1039" s="155">
        <v>0</v>
      </c>
    </row>
    <row r="1040" spans="1:10" ht="26.25" hidden="1" thickBot="1" x14ac:dyDescent="0.3">
      <c r="A1040" s="176"/>
      <c r="B1040" s="175"/>
      <c r="C1040" s="36" t="s">
        <v>363</v>
      </c>
      <c r="D1040" s="47" t="s">
        <v>297</v>
      </c>
      <c r="E1040" s="37">
        <v>2</v>
      </c>
      <c r="F1040" s="34">
        <v>10.953499999999998</v>
      </c>
      <c r="G1040" s="34">
        <f>IF(ISNUMBER(F1040),E1040*F1040,"")</f>
        <v>21.906999999999996</v>
      </c>
      <c r="H1040" s="35"/>
      <c r="I1040" s="31"/>
      <c r="J1040" s="155">
        <v>0</v>
      </c>
    </row>
    <row r="1041" spans="1:10" ht="15.75" hidden="1" thickBot="1" x14ac:dyDescent="0.3">
      <c r="A1041" s="176"/>
      <c r="B1041" s="175"/>
      <c r="C1041" s="36" t="s">
        <v>325</v>
      </c>
      <c r="D1041" s="47" t="s">
        <v>20</v>
      </c>
      <c r="E1041" s="37">
        <v>1</v>
      </c>
      <c r="F1041" s="34">
        <v>2.7454999999999998</v>
      </c>
      <c r="G1041" s="54">
        <f>IF(ISNUMBER(F1041),E1041*F1041,"")</f>
        <v>2.7454999999999998</v>
      </c>
      <c r="H1041" s="35"/>
      <c r="I1041" s="31"/>
      <c r="J1041" s="155">
        <v>0</v>
      </c>
    </row>
    <row r="1042" spans="1:10" ht="15.75" hidden="1" thickBot="1" x14ac:dyDescent="0.3">
      <c r="A1042" s="176"/>
      <c r="B1042" s="175"/>
      <c r="C1042" s="36" t="s">
        <v>3615</v>
      </c>
      <c r="D1042" s="47" t="s">
        <v>42</v>
      </c>
      <c r="E1042" s="37">
        <v>8.8099999999999998E-2</v>
      </c>
      <c r="F1042" s="34">
        <v>52.8675</v>
      </c>
      <c r="G1042" s="34">
        <f>IF(ISNUMBER(F1042),E1042*F1042,"")</f>
        <v>4.6576267499999995</v>
      </c>
      <c r="H1042" s="35"/>
      <c r="I1042" s="31"/>
      <c r="J1042" s="155">
        <v>0</v>
      </c>
    </row>
    <row r="1043" spans="1:10" ht="15.75" hidden="1" thickBot="1" x14ac:dyDescent="0.3">
      <c r="A1043" s="176"/>
      <c r="B1043" s="175"/>
      <c r="C1043" s="36" t="s">
        <v>39</v>
      </c>
      <c r="D1043" s="47" t="s">
        <v>12</v>
      </c>
      <c r="E1043" s="37">
        <v>0.49859999999999999</v>
      </c>
      <c r="F1043" s="31">
        <v>21.622</v>
      </c>
      <c r="G1043" s="34">
        <f>IF(ISNUMBER(F1043),E1043*F1043,"")</f>
        <v>10.7807292</v>
      </c>
      <c r="H1043" s="35"/>
      <c r="I1043" s="31"/>
      <c r="J1043" s="155">
        <v>0</v>
      </c>
    </row>
    <row r="1044" spans="1:10" ht="15.75" hidden="1" thickBot="1" x14ac:dyDescent="0.3">
      <c r="A1044" s="176"/>
      <c r="B1044" s="175"/>
      <c r="C1044" s="36" t="s">
        <v>23</v>
      </c>
      <c r="D1044" s="47" t="s">
        <v>12</v>
      </c>
      <c r="E1044" s="37">
        <v>0.34949999999999998</v>
      </c>
      <c r="F1044" s="31">
        <v>16.311500000000002</v>
      </c>
      <c r="G1044" s="34">
        <f>IF(ISNUMBER(F1044),E1044*F1044,"")</f>
        <v>5.7008692500000002</v>
      </c>
      <c r="H1044" s="35"/>
      <c r="I1044" s="31"/>
      <c r="J1044" s="155">
        <v>0</v>
      </c>
    </row>
    <row r="1045" spans="1:10" ht="15.75" hidden="1" thickBot="1" x14ac:dyDescent="0.3">
      <c r="A1045" s="177"/>
      <c r="B1045" s="178"/>
      <c r="C1045" s="36"/>
      <c r="D1045" s="36"/>
      <c r="E1045" s="37"/>
      <c r="F1045" s="31" t="s">
        <v>568</v>
      </c>
      <c r="G1045" s="31" t="str">
        <f>IF(ISNUMBER(F1045),E1045*F1045,"")</f>
        <v/>
      </c>
      <c r="H1045" s="35"/>
      <c r="I1045" s="31"/>
      <c r="J1045" s="155">
        <v>0</v>
      </c>
    </row>
    <row r="1046" spans="1:10" ht="15.75" hidden="1" thickBot="1" x14ac:dyDescent="0.3">
      <c r="A1046" s="172" t="s">
        <v>366</v>
      </c>
      <c r="B1046" s="174" t="str">
        <f>INDEX(Orçamentária!A:B,MATCH(Composições!A1046,Orçamentária!A:A,0),2)</f>
        <v>Cuba oval de embutir</v>
      </c>
      <c r="C1046" s="41"/>
      <c r="D1046" s="26" t="str">
        <f>TRIM(INDEX(Orçamentária!C:C,MATCH(Composições!A1046,Orçamentária!A:A,0),1))</f>
        <v>un</v>
      </c>
      <c r="E1046" s="27"/>
      <c r="F1046" s="42" t="s">
        <v>568</v>
      </c>
      <c r="G1046" s="28" t="str">
        <f>IF(ISNUMBER(F1046),E1046*F1046,"")</f>
        <v/>
      </c>
      <c r="H1046" s="29"/>
      <c r="I1046" s="30"/>
      <c r="J1046" s="155">
        <v>0</v>
      </c>
    </row>
    <row r="1047" spans="1:10" ht="15.75" hidden="1" thickBot="1" x14ac:dyDescent="0.3">
      <c r="A1047" s="176"/>
      <c r="B1047" s="175"/>
      <c r="C1047" s="32"/>
      <c r="D1047" s="32"/>
      <c r="E1047" s="33"/>
      <c r="F1047" s="43" t="s">
        <v>568</v>
      </c>
      <c r="G1047" s="31" t="str">
        <f>IF(ISNUMBER(F1047),E1047*F1047,"")</f>
        <v/>
      </c>
      <c r="H1047" s="35"/>
      <c r="I1047" s="31"/>
      <c r="J1047" s="155">
        <v>0</v>
      </c>
    </row>
    <row r="1048" spans="1:10" ht="15.75" hidden="1" thickBot="1" x14ac:dyDescent="0.3">
      <c r="A1048" s="176"/>
      <c r="B1048" s="175"/>
      <c r="C1048" s="36" t="s">
        <v>367</v>
      </c>
      <c r="D1048" s="47" t="s">
        <v>149</v>
      </c>
      <c r="E1048" s="37">
        <v>1</v>
      </c>
      <c r="F1048" s="34" t="s">
        <v>568</v>
      </c>
      <c r="G1048" s="34" t="str">
        <f>IF(ISNUMBER(F1048),E1048*F1048,"")</f>
        <v/>
      </c>
      <c r="H1048" s="39">
        <f>SUM(G1048:G1051)</f>
        <v>33.993000699999996</v>
      </c>
      <c r="I1048" s="40"/>
      <c r="J1048" s="155">
        <v>0</v>
      </c>
    </row>
    <row r="1049" spans="1:10" ht="15.75" hidden="1" thickBot="1" x14ac:dyDescent="0.3">
      <c r="A1049" s="176"/>
      <c r="B1049" s="175"/>
      <c r="C1049" s="36" t="s">
        <v>368</v>
      </c>
      <c r="D1049" s="47" t="s">
        <v>42</v>
      </c>
      <c r="E1049" s="37">
        <v>0.52710000000000001</v>
      </c>
      <c r="F1049" s="34">
        <v>26.685499999999998</v>
      </c>
      <c r="G1049" s="34">
        <f>IF(ISNUMBER(F1049),E1049*F1049,"")</f>
        <v>14.065927049999999</v>
      </c>
      <c r="H1049" s="35"/>
      <c r="I1049" s="31"/>
      <c r="J1049" s="155">
        <v>0</v>
      </c>
    </row>
    <row r="1050" spans="1:10" ht="15.75" hidden="1" thickBot="1" x14ac:dyDescent="0.3">
      <c r="A1050" s="176"/>
      <c r="B1050" s="175"/>
      <c r="C1050" s="36" t="s">
        <v>23</v>
      </c>
      <c r="D1050" s="47" t="s">
        <v>12</v>
      </c>
      <c r="E1050" s="37">
        <v>0.26650000000000001</v>
      </c>
      <c r="F1050" s="31">
        <v>16.311500000000002</v>
      </c>
      <c r="G1050" s="34">
        <f>IF(ISNUMBER(F1050),E1050*F1050,"")</f>
        <v>4.3470147500000005</v>
      </c>
      <c r="H1050" s="35"/>
      <c r="I1050" s="31"/>
      <c r="J1050" s="155">
        <v>0</v>
      </c>
    </row>
    <row r="1051" spans="1:10" ht="15.75" hidden="1" thickBot="1" x14ac:dyDescent="0.3">
      <c r="A1051" s="176"/>
      <c r="B1051" s="175"/>
      <c r="C1051" s="36" t="s">
        <v>54</v>
      </c>
      <c r="D1051" s="47" t="s">
        <v>12</v>
      </c>
      <c r="E1051" s="37">
        <v>0.8458</v>
      </c>
      <c r="F1051" s="31">
        <v>18.420500000000001</v>
      </c>
      <c r="G1051" s="34">
        <f>IF(ISNUMBER(F1051),E1051*F1051,"")</f>
        <v>15.580058900000001</v>
      </c>
      <c r="H1051" s="35"/>
      <c r="I1051" s="31"/>
      <c r="J1051" s="155">
        <v>0</v>
      </c>
    </row>
    <row r="1052" spans="1:10" ht="15.75" hidden="1" thickBot="1" x14ac:dyDescent="0.3">
      <c r="A1052" s="177"/>
      <c r="B1052" s="178"/>
      <c r="C1052" s="36"/>
      <c r="D1052" s="36"/>
      <c r="E1052" s="37"/>
      <c r="F1052" s="31" t="s">
        <v>568</v>
      </c>
      <c r="G1052" s="31" t="str">
        <f>IF(ISNUMBER(F1052),E1052*F1052,"")</f>
        <v/>
      </c>
      <c r="H1052" s="35"/>
      <c r="I1052" s="31"/>
      <c r="J1052" s="155">
        <v>0</v>
      </c>
    </row>
    <row r="1053" spans="1:10" ht="15.75" hidden="1" thickBot="1" x14ac:dyDescent="0.3">
      <c r="A1053" s="172" t="s">
        <v>369</v>
      </c>
      <c r="B1053" s="174" t="str">
        <f>INDEX(Orçamentária!A:B,MATCH(Composições!A1053,Orçamentária!A:A,0),2)</f>
        <v>Cuba retangular em aço inox – Linha Administrativa</v>
      </c>
      <c r="C1053" s="41"/>
      <c r="D1053" s="26" t="str">
        <f>TRIM(INDEX(Orçamentária!C:C,MATCH(Composições!A1053,Orçamentária!A:A,0),1))</f>
        <v>un</v>
      </c>
      <c r="E1053" s="27"/>
      <c r="F1053" s="42" t="s">
        <v>568</v>
      </c>
      <c r="G1053" s="28" t="str">
        <f>IF(ISNUMBER(F1053),E1053*F1053,"")</f>
        <v/>
      </c>
      <c r="H1053" s="29"/>
      <c r="I1053" s="30"/>
      <c r="J1053" s="155">
        <v>0</v>
      </c>
    </row>
    <row r="1054" spans="1:10" ht="15.75" hidden="1" thickBot="1" x14ac:dyDescent="0.3">
      <c r="A1054" s="176"/>
      <c r="B1054" s="175"/>
      <c r="C1054" s="32"/>
      <c r="D1054" s="32"/>
      <c r="E1054" s="33"/>
      <c r="F1054" s="43" t="s">
        <v>568</v>
      </c>
      <c r="G1054" s="31" t="str">
        <f>IF(ISNUMBER(F1054),E1054*F1054,"")</f>
        <v/>
      </c>
      <c r="H1054" s="35"/>
      <c r="I1054" s="31"/>
      <c r="J1054" s="155">
        <v>0</v>
      </c>
    </row>
    <row r="1055" spans="1:10" ht="39" hidden="1" thickBot="1" x14ac:dyDescent="0.3">
      <c r="A1055" s="176"/>
      <c r="B1055" s="175"/>
      <c r="C1055" s="36" t="s">
        <v>370</v>
      </c>
      <c r="D1055" s="47" t="s">
        <v>149</v>
      </c>
      <c r="E1055" s="37">
        <v>1</v>
      </c>
      <c r="F1055" s="34" t="s">
        <v>568</v>
      </c>
      <c r="G1055" s="34" t="str">
        <f>IF(ISNUMBER(F1055),E1055*F1055,"")</f>
        <v/>
      </c>
      <c r="H1055" s="39">
        <f>SUM(G1055:G1058)</f>
        <v>19.183463999999997</v>
      </c>
      <c r="I1055" s="40"/>
      <c r="J1055" s="155">
        <v>0</v>
      </c>
    </row>
    <row r="1056" spans="1:10" ht="15.75" hidden="1" thickBot="1" x14ac:dyDescent="0.3">
      <c r="A1056" s="176"/>
      <c r="B1056" s="175"/>
      <c r="C1056" s="36" t="s">
        <v>368</v>
      </c>
      <c r="D1056" s="47" t="s">
        <v>42</v>
      </c>
      <c r="E1056" s="37">
        <v>0.2974</v>
      </c>
      <c r="F1056" s="34">
        <v>26.685499999999998</v>
      </c>
      <c r="G1056" s="34">
        <f>IF(ISNUMBER(F1056),E1056*F1056,"")</f>
        <v>7.9362676999999993</v>
      </c>
      <c r="H1056" s="35"/>
      <c r="I1056" s="31"/>
      <c r="J1056" s="155">
        <v>0</v>
      </c>
    </row>
    <row r="1057" spans="1:10" ht="15.75" hidden="1" thickBot="1" x14ac:dyDescent="0.3">
      <c r="A1057" s="176"/>
      <c r="B1057" s="175"/>
      <c r="C1057" s="36" t="s">
        <v>54</v>
      </c>
      <c r="D1057" s="47" t="s">
        <v>12</v>
      </c>
      <c r="E1057" s="37">
        <v>0.47739999999999999</v>
      </c>
      <c r="F1057" s="31">
        <v>18.420500000000001</v>
      </c>
      <c r="G1057" s="34">
        <f>IF(ISNUMBER(F1057),E1057*F1057,"")</f>
        <v>8.7939466999999993</v>
      </c>
      <c r="H1057" s="35"/>
      <c r="I1057" s="31"/>
      <c r="J1057" s="155">
        <v>0</v>
      </c>
    </row>
    <row r="1058" spans="1:10" ht="15.75" hidden="1" thickBot="1" x14ac:dyDescent="0.3">
      <c r="A1058" s="176"/>
      <c r="B1058" s="175"/>
      <c r="C1058" s="36" t="s">
        <v>23</v>
      </c>
      <c r="D1058" s="47" t="s">
        <v>12</v>
      </c>
      <c r="E1058" s="37">
        <v>0.15040000000000001</v>
      </c>
      <c r="F1058" s="31">
        <v>16.311500000000002</v>
      </c>
      <c r="G1058" s="34">
        <f>IF(ISNUMBER(F1058),E1058*F1058,"")</f>
        <v>2.4532496000000004</v>
      </c>
      <c r="H1058" s="35"/>
      <c r="I1058" s="31"/>
      <c r="J1058" s="155">
        <v>0</v>
      </c>
    </row>
    <row r="1059" spans="1:10" ht="15.75" hidden="1" thickBot="1" x14ac:dyDescent="0.3">
      <c r="A1059" s="177"/>
      <c r="B1059" s="178"/>
      <c r="C1059" s="36"/>
      <c r="D1059" s="36"/>
      <c r="E1059" s="37"/>
      <c r="F1059" s="31" t="s">
        <v>568</v>
      </c>
      <c r="G1059" s="31" t="str">
        <f>IF(ISNUMBER(F1059),E1059*F1059,"")</f>
        <v/>
      </c>
      <c r="H1059" s="35"/>
      <c r="I1059" s="31"/>
      <c r="J1059" s="155">
        <v>0</v>
      </c>
    </row>
    <row r="1060" spans="1:10" ht="15.75" hidden="1" thickBot="1" x14ac:dyDescent="0.3">
      <c r="A1060" s="172" t="s">
        <v>371</v>
      </c>
      <c r="B1060" s="174" t="str">
        <f>INDEX(Orçamentária!A:B,MATCH(Composições!A1060,Orçamentária!A:A,0),2)</f>
        <v>Cuba semiencaixe quadrada com mesa</v>
      </c>
      <c r="C1060" s="41"/>
      <c r="D1060" s="26" t="str">
        <f>TRIM(INDEX(Orçamentária!C:C,MATCH(Composições!A1060,Orçamentária!A:A,0),1))</f>
        <v>un</v>
      </c>
      <c r="E1060" s="27"/>
      <c r="F1060" s="42" t="s">
        <v>568</v>
      </c>
      <c r="G1060" s="28" t="str">
        <f>IF(ISNUMBER(F1060),E1060*F1060,"")</f>
        <v/>
      </c>
      <c r="H1060" s="29"/>
      <c r="I1060" s="30"/>
      <c r="J1060" s="155">
        <v>0</v>
      </c>
    </row>
    <row r="1061" spans="1:10" ht="15.75" hidden="1" thickBot="1" x14ac:dyDescent="0.3">
      <c r="A1061" s="176"/>
      <c r="B1061" s="175"/>
      <c r="C1061" s="32"/>
      <c r="D1061" s="32"/>
      <c r="E1061" s="33"/>
      <c r="F1061" s="43" t="s">
        <v>568</v>
      </c>
      <c r="G1061" s="31" t="str">
        <f>IF(ISNUMBER(F1061),E1061*F1061,"")</f>
        <v/>
      </c>
      <c r="H1061" s="35"/>
      <c r="I1061" s="31"/>
      <c r="J1061" s="155">
        <v>0</v>
      </c>
    </row>
    <row r="1062" spans="1:10" ht="15.75" hidden="1" thickBot="1" x14ac:dyDescent="0.3">
      <c r="A1062" s="176"/>
      <c r="B1062" s="175"/>
      <c r="C1062" s="36" t="s">
        <v>372</v>
      </c>
      <c r="D1062" s="47" t="s">
        <v>149</v>
      </c>
      <c r="E1062" s="37">
        <v>1</v>
      </c>
      <c r="F1062" s="34" t="s">
        <v>568</v>
      </c>
      <c r="G1062" s="34" t="str">
        <f>IF(ISNUMBER(F1062),E1062*F1062,"")</f>
        <v/>
      </c>
      <c r="H1062" s="39">
        <f>SUM(G1062:G1065)</f>
        <v>33.993000699999996</v>
      </c>
      <c r="I1062" s="40"/>
      <c r="J1062" s="155">
        <v>0</v>
      </c>
    </row>
    <row r="1063" spans="1:10" ht="15.75" hidden="1" thickBot="1" x14ac:dyDescent="0.3">
      <c r="A1063" s="176"/>
      <c r="B1063" s="175"/>
      <c r="C1063" s="36" t="s">
        <v>368</v>
      </c>
      <c r="D1063" s="47" t="s">
        <v>42</v>
      </c>
      <c r="E1063" s="37">
        <v>0.52710000000000001</v>
      </c>
      <c r="F1063" s="34">
        <v>26.685499999999998</v>
      </c>
      <c r="G1063" s="34">
        <f>IF(ISNUMBER(F1063),E1063*F1063,"")</f>
        <v>14.065927049999999</v>
      </c>
      <c r="H1063" s="35"/>
      <c r="I1063" s="31"/>
      <c r="J1063" s="155">
        <v>0</v>
      </c>
    </row>
    <row r="1064" spans="1:10" ht="15.75" hidden="1" thickBot="1" x14ac:dyDescent="0.3">
      <c r="A1064" s="176"/>
      <c r="B1064" s="175"/>
      <c r="C1064" s="36" t="s">
        <v>23</v>
      </c>
      <c r="D1064" s="47" t="s">
        <v>12</v>
      </c>
      <c r="E1064" s="37">
        <v>0.26650000000000001</v>
      </c>
      <c r="F1064" s="31">
        <v>16.311500000000002</v>
      </c>
      <c r="G1064" s="34">
        <f>IF(ISNUMBER(F1064),E1064*F1064,"")</f>
        <v>4.3470147500000005</v>
      </c>
      <c r="H1064" s="35"/>
      <c r="I1064" s="31"/>
      <c r="J1064" s="155">
        <v>0</v>
      </c>
    </row>
    <row r="1065" spans="1:10" ht="15.75" hidden="1" thickBot="1" x14ac:dyDescent="0.3">
      <c r="A1065" s="176"/>
      <c r="B1065" s="175"/>
      <c r="C1065" s="36" t="s">
        <v>54</v>
      </c>
      <c r="D1065" s="47" t="s">
        <v>12</v>
      </c>
      <c r="E1065" s="37">
        <v>0.8458</v>
      </c>
      <c r="F1065" s="31">
        <v>18.420500000000001</v>
      </c>
      <c r="G1065" s="34">
        <f>IF(ISNUMBER(F1065),E1065*F1065,"")</f>
        <v>15.580058900000001</v>
      </c>
      <c r="H1065" s="35"/>
      <c r="I1065" s="31"/>
      <c r="J1065" s="155">
        <v>0</v>
      </c>
    </row>
    <row r="1066" spans="1:10" ht="15.75" hidden="1" thickBot="1" x14ac:dyDescent="0.3">
      <c r="A1066" s="177"/>
      <c r="B1066" s="178"/>
      <c r="C1066" s="36"/>
      <c r="D1066" s="36"/>
      <c r="E1066" s="37"/>
      <c r="F1066" s="31" t="s">
        <v>568</v>
      </c>
      <c r="G1066" s="31" t="str">
        <f>IF(ISNUMBER(F1066),E1066*F1066,"")</f>
        <v/>
      </c>
      <c r="H1066" s="35"/>
      <c r="I1066" s="31"/>
      <c r="J1066" s="155">
        <v>0</v>
      </c>
    </row>
    <row r="1067" spans="1:10" ht="15.75" hidden="1" thickBot="1" x14ac:dyDescent="0.3">
      <c r="A1067" s="172" t="s">
        <v>373</v>
      </c>
      <c r="B1067" s="174" t="str">
        <f>INDEX(Orçamentária!A:B,MATCH(Composições!A1067,Orçamentária!A:A,0),2)</f>
        <v>Instalação de lavatório reaproveitado</v>
      </c>
      <c r="C1067" s="41"/>
      <c r="D1067" s="26" t="str">
        <f>TRIM(INDEX(Orçamentária!C:C,MATCH(Composições!A1067,Orçamentária!A:A,0),1))</f>
        <v>un</v>
      </c>
      <c r="E1067" s="27"/>
      <c r="F1067" s="42" t="s">
        <v>568</v>
      </c>
      <c r="G1067" s="28" t="str">
        <f>IF(ISNUMBER(F1067),E1067*F1067,"")</f>
        <v/>
      </c>
      <c r="H1067" s="29"/>
      <c r="I1067" s="30"/>
      <c r="J1067" s="155">
        <v>0</v>
      </c>
    </row>
    <row r="1068" spans="1:10" ht="15.75" hidden="1" thickBot="1" x14ac:dyDescent="0.3">
      <c r="A1068" s="176"/>
      <c r="B1068" s="175"/>
      <c r="C1068" s="32"/>
      <c r="D1068" s="32"/>
      <c r="E1068" s="33"/>
      <c r="F1068" s="43" t="s">
        <v>568</v>
      </c>
      <c r="G1068" s="31" t="str">
        <f>IF(ISNUMBER(F1068),E1068*F1068,"")</f>
        <v/>
      </c>
      <c r="H1068" s="35"/>
      <c r="I1068" s="31"/>
      <c r="J1068" s="155">
        <v>0</v>
      </c>
    </row>
    <row r="1069" spans="1:10" ht="26.25" hidden="1" thickBot="1" x14ac:dyDescent="0.3">
      <c r="A1069" s="176"/>
      <c r="B1069" s="175"/>
      <c r="C1069" s="36" t="s">
        <v>374</v>
      </c>
      <c r="D1069" s="47" t="s">
        <v>297</v>
      </c>
      <c r="E1069" s="37">
        <v>2</v>
      </c>
      <c r="F1069" s="34">
        <v>8.1225000000000005</v>
      </c>
      <c r="G1069" s="34">
        <f>IF(ISNUMBER(F1069),E1069*F1069,"")</f>
        <v>16.245000000000001</v>
      </c>
      <c r="H1069" s="39">
        <f>SUM(G1069:G1072)</f>
        <v>29.296234899999998</v>
      </c>
      <c r="I1069" s="40"/>
      <c r="J1069" s="155">
        <v>0</v>
      </c>
    </row>
    <row r="1070" spans="1:10" ht="15.75" hidden="1" thickBot="1" x14ac:dyDescent="0.3">
      <c r="A1070" s="176"/>
      <c r="B1070" s="175"/>
      <c r="C1070" s="36" t="s">
        <v>3615</v>
      </c>
      <c r="D1070" s="47" t="s">
        <v>42</v>
      </c>
      <c r="E1070" s="37">
        <v>3.04E-2</v>
      </c>
      <c r="F1070" s="34">
        <v>52.8675</v>
      </c>
      <c r="G1070" s="34">
        <f>IF(ISNUMBER(F1070),E1070*F1070,"")</f>
        <v>1.607172</v>
      </c>
      <c r="H1070" s="35"/>
      <c r="I1070" s="31"/>
      <c r="J1070" s="155">
        <v>0</v>
      </c>
    </row>
    <row r="1071" spans="1:10" ht="15.75" hidden="1" thickBot="1" x14ac:dyDescent="0.3">
      <c r="A1071" s="176"/>
      <c r="B1071" s="175"/>
      <c r="C1071" s="36" t="s">
        <v>39</v>
      </c>
      <c r="D1071" s="47" t="s">
        <v>12</v>
      </c>
      <c r="E1071" s="37">
        <v>0.38700000000000001</v>
      </c>
      <c r="F1071" s="31">
        <v>21.622</v>
      </c>
      <c r="G1071" s="34">
        <f>IF(ISNUMBER(F1071),E1071*F1071,"")</f>
        <v>8.3677139999999994</v>
      </c>
      <c r="H1071" s="35"/>
      <c r="I1071" s="31"/>
      <c r="J1071" s="155">
        <v>0</v>
      </c>
    </row>
    <row r="1072" spans="1:10" ht="15.75" hidden="1" thickBot="1" x14ac:dyDescent="0.3">
      <c r="A1072" s="176"/>
      <c r="B1072" s="175"/>
      <c r="C1072" s="36" t="s">
        <v>23</v>
      </c>
      <c r="D1072" s="47" t="s">
        <v>12</v>
      </c>
      <c r="E1072" s="37">
        <v>0.18859999999999999</v>
      </c>
      <c r="F1072" s="31">
        <v>16.311500000000002</v>
      </c>
      <c r="G1072" s="34">
        <f>IF(ISNUMBER(F1072),E1072*F1072,"")</f>
        <v>3.0763489000000002</v>
      </c>
      <c r="H1072" s="35"/>
      <c r="I1072" s="31"/>
      <c r="J1072" s="155">
        <v>0</v>
      </c>
    </row>
    <row r="1073" spans="1:10" ht="15.75" hidden="1" thickBot="1" x14ac:dyDescent="0.3">
      <c r="A1073" s="176"/>
      <c r="B1073" s="175"/>
      <c r="C1073" s="36"/>
      <c r="D1073" s="47"/>
      <c r="E1073" s="37"/>
      <c r="F1073" s="34" t="s">
        <v>568</v>
      </c>
      <c r="G1073" s="34" t="str">
        <f>IF(ISNUMBER(F1073),E1073*F1073,"")</f>
        <v/>
      </c>
      <c r="H1073" s="35"/>
      <c r="I1073" s="31"/>
      <c r="J1073" s="155">
        <v>0</v>
      </c>
    </row>
    <row r="1074" spans="1:10" ht="15.75" hidden="1" thickBot="1" x14ac:dyDescent="0.3">
      <c r="A1074" s="172" t="s">
        <v>375</v>
      </c>
      <c r="B1074" s="174" t="str">
        <f>INDEX(Orçamentária!A:B,MATCH(Composições!A1074,Orçamentária!A:A,0),2)</f>
        <v>Instalação de mictório reaproveitado</v>
      </c>
      <c r="C1074" s="41"/>
      <c r="D1074" s="26" t="str">
        <f>TRIM(INDEX(Orçamentária!C:C,MATCH(Composições!A1074,Orçamentária!A:A,0),1))</f>
        <v>un</v>
      </c>
      <c r="E1074" s="27"/>
      <c r="F1074" s="42" t="s">
        <v>568</v>
      </c>
      <c r="G1074" s="28" t="str">
        <f>IF(ISNUMBER(F1074),E1074*F1074,"")</f>
        <v/>
      </c>
      <c r="H1074" s="29"/>
      <c r="I1074" s="30"/>
      <c r="J1074" s="155">
        <v>0</v>
      </c>
    </row>
    <row r="1075" spans="1:10" ht="15.75" hidden="1" thickBot="1" x14ac:dyDescent="0.3">
      <c r="A1075" s="176"/>
      <c r="B1075" s="175"/>
      <c r="C1075" s="32"/>
      <c r="D1075" s="32"/>
      <c r="E1075" s="33"/>
      <c r="F1075" s="43" t="s">
        <v>568</v>
      </c>
      <c r="G1075" s="31" t="str">
        <f>IF(ISNUMBER(F1075),E1075*F1075,"")</f>
        <v/>
      </c>
      <c r="H1075" s="35"/>
      <c r="I1075" s="31"/>
      <c r="J1075" s="155">
        <v>0</v>
      </c>
    </row>
    <row r="1076" spans="1:10" ht="26.25" hidden="1" thickBot="1" x14ac:dyDescent="0.3">
      <c r="A1076" s="176"/>
      <c r="B1076" s="175"/>
      <c r="C1076" s="36" t="s">
        <v>374</v>
      </c>
      <c r="D1076" s="47" t="s">
        <v>297</v>
      </c>
      <c r="E1076" s="37">
        <v>2</v>
      </c>
      <c r="F1076" s="34">
        <v>8.1225000000000005</v>
      </c>
      <c r="G1076" s="31">
        <f>IF(ISNUMBER(F1076),E1076*F1076,"")</f>
        <v>16.245000000000001</v>
      </c>
      <c r="H1076" s="39">
        <f>SUM(G1076:G1079)</f>
        <v>29.882060000000003</v>
      </c>
      <c r="I1076" s="40"/>
      <c r="J1076" s="155">
        <v>0</v>
      </c>
    </row>
    <row r="1077" spans="1:10" ht="15.75" hidden="1" thickBot="1" x14ac:dyDescent="0.3">
      <c r="A1077" s="176"/>
      <c r="B1077" s="175"/>
      <c r="C1077" s="36" t="s">
        <v>376</v>
      </c>
      <c r="D1077" s="47" t="s">
        <v>297</v>
      </c>
      <c r="E1077" s="37">
        <v>3.6499999999999998E-2</v>
      </c>
      <c r="F1077" s="34">
        <v>3.7049999999999996</v>
      </c>
      <c r="G1077" s="31">
        <f>IF(ISNUMBER(F1077),E1077*F1077,"")</f>
        <v>0.13523249999999998</v>
      </c>
      <c r="H1077" s="35"/>
      <c r="I1077" s="31"/>
      <c r="J1077" s="155">
        <v>0</v>
      </c>
    </row>
    <row r="1078" spans="1:10" ht="15.75" hidden="1" thickBot="1" x14ac:dyDescent="0.3">
      <c r="A1078" s="176"/>
      <c r="B1078" s="175"/>
      <c r="C1078" s="36" t="s">
        <v>23</v>
      </c>
      <c r="D1078" s="47" t="s">
        <v>12</v>
      </c>
      <c r="E1078" s="37">
        <f>ROUND(0.3179/2,4)</f>
        <v>0.159</v>
      </c>
      <c r="F1078" s="31">
        <v>16.311500000000002</v>
      </c>
      <c r="G1078" s="34">
        <f>IF(ISNUMBER(F1078),E1078*F1078,"")</f>
        <v>2.5935285000000006</v>
      </c>
      <c r="H1078" s="35"/>
      <c r="I1078" s="31"/>
      <c r="J1078" s="155">
        <v>0</v>
      </c>
    </row>
    <row r="1079" spans="1:10" ht="15.75" hidden="1" thickBot="1" x14ac:dyDescent="0.3">
      <c r="A1079" s="176"/>
      <c r="B1079" s="175"/>
      <c r="C1079" s="36" t="s">
        <v>39</v>
      </c>
      <c r="D1079" s="47" t="s">
        <v>12</v>
      </c>
      <c r="E1079" s="37">
        <f>1.009/2</f>
        <v>0.50449999999999995</v>
      </c>
      <c r="F1079" s="31">
        <v>21.622</v>
      </c>
      <c r="G1079" s="34">
        <f>IF(ISNUMBER(F1079),E1079*F1079,"")</f>
        <v>10.908299</v>
      </c>
      <c r="H1079" s="35"/>
      <c r="I1079" s="31"/>
      <c r="J1079" s="155">
        <v>0</v>
      </c>
    </row>
    <row r="1080" spans="1:10" ht="15.75" hidden="1" thickBot="1" x14ac:dyDescent="0.3">
      <c r="A1080" s="176"/>
      <c r="B1080" s="175"/>
      <c r="C1080" s="36"/>
      <c r="D1080" s="47"/>
      <c r="E1080" s="37"/>
      <c r="F1080" s="34" t="s">
        <v>568</v>
      </c>
      <c r="G1080" s="34" t="str">
        <f>IF(ISNUMBER(F1080),E1080*F1080,"")</f>
        <v/>
      </c>
      <c r="H1080" s="35"/>
      <c r="I1080" s="31"/>
      <c r="J1080" s="155">
        <v>0</v>
      </c>
    </row>
    <row r="1081" spans="1:10" ht="26.25" hidden="1" thickBot="1" x14ac:dyDescent="0.3">
      <c r="A1081" s="176"/>
      <c r="B1081" s="175"/>
      <c r="C1081" s="52" t="s">
        <v>377</v>
      </c>
      <c r="D1081" s="47"/>
      <c r="E1081" s="37"/>
      <c r="F1081" s="34" t="s">
        <v>568</v>
      </c>
      <c r="G1081" s="34" t="str">
        <f>IF(ISNUMBER(F1081),E1081*F1081,"")</f>
        <v/>
      </c>
      <c r="H1081" s="35"/>
      <c r="I1081" s="31"/>
      <c r="J1081" s="155">
        <v>0</v>
      </c>
    </row>
    <row r="1082" spans="1:10" ht="15.75" hidden="1" thickBot="1" x14ac:dyDescent="0.3">
      <c r="A1082" s="176"/>
      <c r="B1082" s="175"/>
      <c r="C1082" s="36"/>
      <c r="D1082" s="36"/>
      <c r="E1082" s="37"/>
      <c r="F1082" s="34" t="s">
        <v>568</v>
      </c>
      <c r="G1082" s="34" t="str">
        <f>IF(ISNUMBER(F1082),E1082*F1082,"")</f>
        <v/>
      </c>
      <c r="H1082" s="35"/>
      <c r="I1082" s="31"/>
      <c r="J1082" s="155">
        <v>0</v>
      </c>
    </row>
    <row r="1083" spans="1:10" ht="15.75" hidden="1" thickBot="1" x14ac:dyDescent="0.3">
      <c r="A1083" s="172" t="s">
        <v>378</v>
      </c>
      <c r="B1083" s="174" t="str">
        <f>INDEX(Orçamentária!A:B,MATCH(Composições!A1083,Orçamentária!A:A,0),2)</f>
        <v>Instalação de vaso sanitário reaproveitado</v>
      </c>
      <c r="C1083" s="41"/>
      <c r="D1083" s="26" t="str">
        <f>TRIM(INDEX(Orçamentária!C:C,MATCH(Composições!A1083,Orçamentária!A:A,0),1))</f>
        <v>un</v>
      </c>
      <c r="E1083" s="27"/>
      <c r="F1083" s="42" t="s">
        <v>568</v>
      </c>
      <c r="G1083" s="28" t="str">
        <f>IF(ISNUMBER(F1083),E1083*F1083,"")</f>
        <v/>
      </c>
      <c r="H1083" s="29"/>
      <c r="I1083" s="30"/>
      <c r="J1083" s="155">
        <v>0</v>
      </c>
    </row>
    <row r="1084" spans="1:10" ht="15.75" hidden="1" thickBot="1" x14ac:dyDescent="0.3">
      <c r="A1084" s="176"/>
      <c r="B1084" s="175"/>
      <c r="C1084" s="32"/>
      <c r="D1084" s="32"/>
      <c r="E1084" s="33"/>
      <c r="F1084" s="43" t="s">
        <v>568</v>
      </c>
      <c r="G1084" s="31" t="str">
        <f>IF(ISNUMBER(F1084),E1084*F1084,"")</f>
        <v/>
      </c>
      <c r="H1084" s="35"/>
      <c r="I1084" s="31"/>
      <c r="J1084" s="155">
        <v>0</v>
      </c>
    </row>
    <row r="1085" spans="1:10" ht="26.25" hidden="1" thickBot="1" x14ac:dyDescent="0.3">
      <c r="A1085" s="176"/>
      <c r="B1085" s="175"/>
      <c r="C1085" s="36" t="s">
        <v>363</v>
      </c>
      <c r="D1085" s="47" t="s">
        <v>297</v>
      </c>
      <c r="E1085" s="37">
        <v>2</v>
      </c>
      <c r="F1085" s="34">
        <v>10.953499999999998</v>
      </c>
      <c r="G1085" s="34">
        <f>IF(ISNUMBER(F1085),E1085*F1085,"")</f>
        <v>21.906999999999996</v>
      </c>
      <c r="H1085" s="39">
        <f>SUM(G1085:G1089)</f>
        <v>45.752805599999988</v>
      </c>
      <c r="I1085" s="40"/>
      <c r="J1085" s="155">
        <v>0</v>
      </c>
    </row>
    <row r="1086" spans="1:10" ht="15.75" hidden="1" thickBot="1" x14ac:dyDescent="0.3">
      <c r="A1086" s="176"/>
      <c r="B1086" s="175"/>
      <c r="C1086" s="36" t="s">
        <v>325</v>
      </c>
      <c r="D1086" s="47" t="s">
        <v>20</v>
      </c>
      <c r="E1086" s="37">
        <v>1</v>
      </c>
      <c r="F1086" s="34">
        <v>2.7454999999999998</v>
      </c>
      <c r="G1086" s="54">
        <f>IF(ISNUMBER(F1086),E1086*F1086,"")</f>
        <v>2.7454999999999998</v>
      </c>
      <c r="H1086" s="35"/>
      <c r="I1086" s="31"/>
      <c r="J1086" s="155">
        <v>0</v>
      </c>
    </row>
    <row r="1087" spans="1:10" ht="15.75" hidden="1" thickBot="1" x14ac:dyDescent="0.3">
      <c r="A1087" s="176"/>
      <c r="B1087" s="175"/>
      <c r="C1087" s="36" t="s">
        <v>3615</v>
      </c>
      <c r="D1087" s="47" t="s">
        <v>42</v>
      </c>
      <c r="E1087" s="37">
        <v>8.8099999999999998E-2</v>
      </c>
      <c r="F1087" s="34">
        <v>52.8675</v>
      </c>
      <c r="G1087" s="34">
        <f>IF(ISNUMBER(F1087),E1087*F1087,"")</f>
        <v>4.6576267499999995</v>
      </c>
      <c r="H1087" s="35"/>
      <c r="I1087" s="31"/>
      <c r="J1087" s="155">
        <v>0</v>
      </c>
    </row>
    <row r="1088" spans="1:10" ht="15.75" hidden="1" thickBot="1" x14ac:dyDescent="0.3">
      <c r="A1088" s="176"/>
      <c r="B1088" s="175"/>
      <c r="C1088" s="36" t="s">
        <v>39</v>
      </c>
      <c r="D1088" s="47" t="s">
        <v>12</v>
      </c>
      <c r="E1088" s="37">
        <v>0.49680000000000002</v>
      </c>
      <c r="F1088" s="31">
        <v>21.622</v>
      </c>
      <c r="G1088" s="34">
        <f>IF(ISNUMBER(F1088),E1088*F1088,"")</f>
        <v>10.7418096</v>
      </c>
      <c r="H1088" s="35"/>
      <c r="I1088" s="31"/>
      <c r="J1088" s="155">
        <v>0</v>
      </c>
    </row>
    <row r="1089" spans="1:10" ht="15.75" hidden="1" thickBot="1" x14ac:dyDescent="0.3">
      <c r="A1089" s="176"/>
      <c r="B1089" s="175"/>
      <c r="C1089" s="36" t="s">
        <v>23</v>
      </c>
      <c r="D1089" s="47" t="s">
        <v>12</v>
      </c>
      <c r="E1089" s="37">
        <v>0.34949999999999998</v>
      </c>
      <c r="F1089" s="31">
        <v>16.311500000000002</v>
      </c>
      <c r="G1089" s="34">
        <f>IF(ISNUMBER(F1089),E1089*F1089,"")</f>
        <v>5.7008692500000002</v>
      </c>
      <c r="H1089" s="35"/>
      <c r="I1089" s="31"/>
      <c r="J1089" s="155">
        <v>0</v>
      </c>
    </row>
    <row r="1090" spans="1:10" ht="15.75" hidden="1" thickBot="1" x14ac:dyDescent="0.3">
      <c r="A1090" s="176"/>
      <c r="B1090" s="175"/>
      <c r="C1090" s="36"/>
      <c r="D1090" s="36"/>
      <c r="E1090" s="37"/>
      <c r="F1090" s="31" t="s">
        <v>568</v>
      </c>
      <c r="G1090" s="34" t="str">
        <f>IF(ISNUMBER(F1090),E1090*F1090,"")</f>
        <v/>
      </c>
      <c r="H1090" s="35"/>
      <c r="I1090" s="31"/>
      <c r="J1090" s="155">
        <v>0</v>
      </c>
    </row>
    <row r="1091" spans="1:10" ht="15.75" hidden="1" thickBot="1" x14ac:dyDescent="0.3">
      <c r="A1091" s="172" t="s">
        <v>379</v>
      </c>
      <c r="B1091" s="174" t="str">
        <f>INDEX(Orçamentária!A:B,MATCH(Composições!A1091,Orçamentária!A:A,0),2)</f>
        <v>Lavatório suspenso</v>
      </c>
      <c r="C1091" s="41"/>
      <c r="D1091" s="26" t="str">
        <f>TRIM(INDEX(Orçamentária!C:C,MATCH(Composições!A1091,Orçamentária!A:A,0),1))</f>
        <v>un</v>
      </c>
      <c r="E1091" s="27"/>
      <c r="F1091" s="42" t="s">
        <v>568</v>
      </c>
      <c r="G1091" s="28" t="str">
        <f>IF(ISNUMBER(F1091),E1091*F1091,"")</f>
        <v/>
      </c>
      <c r="H1091" s="29"/>
      <c r="I1091" s="30"/>
      <c r="J1091" s="155">
        <v>0</v>
      </c>
    </row>
    <row r="1092" spans="1:10" ht="15.75" hidden="1" thickBot="1" x14ac:dyDescent="0.3">
      <c r="A1092" s="176"/>
      <c r="B1092" s="175"/>
      <c r="C1092" s="32"/>
      <c r="D1092" s="32"/>
      <c r="E1092" s="33"/>
      <c r="F1092" s="43" t="s">
        <v>568</v>
      </c>
      <c r="G1092" s="31" t="str">
        <f>IF(ISNUMBER(F1092),E1092*F1092,"")</f>
        <v/>
      </c>
      <c r="H1092" s="35"/>
      <c r="I1092" s="31"/>
      <c r="J1092" s="155">
        <v>0</v>
      </c>
    </row>
    <row r="1093" spans="1:10" ht="15.75" hidden="1" thickBot="1" x14ac:dyDescent="0.3">
      <c r="A1093" s="176"/>
      <c r="B1093" s="175"/>
      <c r="C1093" s="36" t="s">
        <v>380</v>
      </c>
      <c r="D1093" s="47" t="s">
        <v>297</v>
      </c>
      <c r="E1093" s="37">
        <v>1</v>
      </c>
      <c r="F1093" s="34">
        <v>86.763499999999993</v>
      </c>
      <c r="G1093" s="34">
        <f>IF(ISNUMBER(F1093),E1093*F1093,"")</f>
        <v>86.763499999999993</v>
      </c>
      <c r="H1093" s="39">
        <f>SUM(G1093:G1097)</f>
        <v>116.0597349</v>
      </c>
      <c r="I1093" s="40"/>
      <c r="J1093" s="155">
        <v>0</v>
      </c>
    </row>
    <row r="1094" spans="1:10" ht="26.25" hidden="1" thickBot="1" x14ac:dyDescent="0.3">
      <c r="A1094" s="176"/>
      <c r="B1094" s="175"/>
      <c r="C1094" s="36" t="s">
        <v>374</v>
      </c>
      <c r="D1094" s="47" t="s">
        <v>297</v>
      </c>
      <c r="E1094" s="37">
        <v>2</v>
      </c>
      <c r="F1094" s="34">
        <v>8.1225000000000005</v>
      </c>
      <c r="G1094" s="34">
        <f>IF(ISNUMBER(F1094),E1094*F1094,"")</f>
        <v>16.245000000000001</v>
      </c>
      <c r="H1094" s="35"/>
      <c r="I1094" s="31"/>
      <c r="J1094" s="155">
        <v>0</v>
      </c>
    </row>
    <row r="1095" spans="1:10" ht="15.75" hidden="1" thickBot="1" x14ac:dyDescent="0.3">
      <c r="A1095" s="176"/>
      <c r="B1095" s="175"/>
      <c r="C1095" s="36" t="s">
        <v>3615</v>
      </c>
      <c r="D1095" s="47" t="s">
        <v>42</v>
      </c>
      <c r="E1095" s="37">
        <v>3.04E-2</v>
      </c>
      <c r="F1095" s="34">
        <v>52.8675</v>
      </c>
      <c r="G1095" s="34">
        <f>IF(ISNUMBER(F1095),E1095*F1095,"")</f>
        <v>1.607172</v>
      </c>
      <c r="H1095" s="35"/>
      <c r="I1095" s="31"/>
      <c r="J1095" s="155">
        <v>0</v>
      </c>
    </row>
    <row r="1096" spans="1:10" ht="15.75" hidden="1" thickBot="1" x14ac:dyDescent="0.3">
      <c r="A1096" s="176"/>
      <c r="B1096" s="175"/>
      <c r="C1096" s="36" t="s">
        <v>39</v>
      </c>
      <c r="D1096" s="47" t="s">
        <v>12</v>
      </c>
      <c r="E1096" s="37">
        <v>0.38700000000000001</v>
      </c>
      <c r="F1096" s="31">
        <v>21.622</v>
      </c>
      <c r="G1096" s="34">
        <f>IF(ISNUMBER(F1096),E1096*F1096,"")</f>
        <v>8.3677139999999994</v>
      </c>
      <c r="H1096" s="35"/>
      <c r="I1096" s="31"/>
      <c r="J1096" s="155">
        <v>0</v>
      </c>
    </row>
    <row r="1097" spans="1:10" ht="15.75" hidden="1" thickBot="1" x14ac:dyDescent="0.3">
      <c r="A1097" s="176"/>
      <c r="B1097" s="175"/>
      <c r="C1097" s="36" t="s">
        <v>23</v>
      </c>
      <c r="D1097" s="47" t="s">
        <v>12</v>
      </c>
      <c r="E1097" s="37">
        <v>0.18859999999999999</v>
      </c>
      <c r="F1097" s="31">
        <v>16.311500000000002</v>
      </c>
      <c r="G1097" s="34">
        <f>IF(ISNUMBER(F1097),E1097*F1097,"")</f>
        <v>3.0763489000000002</v>
      </c>
      <c r="H1097" s="35"/>
      <c r="I1097" s="31"/>
      <c r="J1097" s="155">
        <v>0</v>
      </c>
    </row>
    <row r="1098" spans="1:10" ht="15.75" hidden="1" thickBot="1" x14ac:dyDescent="0.3">
      <c r="A1098" s="177"/>
      <c r="B1098" s="178"/>
      <c r="C1098" s="36"/>
      <c r="D1098" s="36"/>
      <c r="E1098" s="37"/>
      <c r="F1098" s="31" t="s">
        <v>568</v>
      </c>
      <c r="G1098" s="31" t="str">
        <f>IF(ISNUMBER(F1098),E1098*F1098,"")</f>
        <v/>
      </c>
      <c r="H1098" s="35"/>
      <c r="I1098" s="31"/>
      <c r="J1098" s="155">
        <v>0</v>
      </c>
    </row>
    <row r="1099" spans="1:10" ht="15.75" hidden="1" thickBot="1" x14ac:dyDescent="0.3">
      <c r="A1099" s="172" t="s">
        <v>381</v>
      </c>
      <c r="B1099" s="174" t="str">
        <f>INDEX(Orçamentária!A:B,MATCH(Composições!A1099,Orçamentária!A:A,0),2)</f>
        <v>Mictório – Linha Administrativa</v>
      </c>
      <c r="C1099" s="41"/>
      <c r="D1099" s="26" t="str">
        <f>TRIM(INDEX(Orçamentária!C:C,MATCH(Composições!A1099,Orçamentária!A:A,0),1))</f>
        <v>un</v>
      </c>
      <c r="E1099" s="27"/>
      <c r="F1099" s="42" t="s">
        <v>568</v>
      </c>
      <c r="G1099" s="28" t="str">
        <f>IF(ISNUMBER(F1099),E1099*F1099,"")</f>
        <v/>
      </c>
      <c r="H1099" s="29"/>
      <c r="I1099" s="30"/>
      <c r="J1099" s="155">
        <v>0</v>
      </c>
    </row>
    <row r="1100" spans="1:10" ht="15.75" hidden="1" thickBot="1" x14ac:dyDescent="0.3">
      <c r="A1100" s="176"/>
      <c r="B1100" s="175"/>
      <c r="C1100" s="32"/>
      <c r="D1100" s="32"/>
      <c r="E1100" s="33"/>
      <c r="F1100" s="43" t="s">
        <v>568</v>
      </c>
      <c r="G1100" s="31" t="str">
        <f>IF(ISNUMBER(F1100),E1100*F1100,"")</f>
        <v/>
      </c>
      <c r="H1100" s="35"/>
      <c r="I1100" s="31"/>
      <c r="J1100" s="155">
        <v>0</v>
      </c>
    </row>
    <row r="1101" spans="1:10" ht="15.75" hidden="1" thickBot="1" x14ac:dyDescent="0.3">
      <c r="A1101" s="176"/>
      <c r="B1101" s="175"/>
      <c r="C1101" s="36" t="s">
        <v>382</v>
      </c>
      <c r="D1101" s="47" t="s">
        <v>297</v>
      </c>
      <c r="E1101" s="37">
        <v>1</v>
      </c>
      <c r="F1101" s="34">
        <v>302.25200000000001</v>
      </c>
      <c r="G1101" s="34">
        <f>IF(ISNUMBER(F1101),E1101*F1101,"")</f>
        <v>302.25200000000001</v>
      </c>
      <c r="H1101" s="39">
        <f>SUM(G1101:G1105)</f>
        <v>332.16740500000003</v>
      </c>
      <c r="I1101" s="40"/>
      <c r="J1101" s="155">
        <v>0</v>
      </c>
    </row>
    <row r="1102" spans="1:10" ht="26.25" hidden="1" thickBot="1" x14ac:dyDescent="0.3">
      <c r="A1102" s="176"/>
      <c r="B1102" s="175"/>
      <c r="C1102" s="36" t="s">
        <v>374</v>
      </c>
      <c r="D1102" s="47" t="s">
        <v>297</v>
      </c>
      <c r="E1102" s="37">
        <v>2</v>
      </c>
      <c r="F1102" s="34">
        <v>8.1225000000000005</v>
      </c>
      <c r="G1102" s="31">
        <f>IF(ISNUMBER(F1102),E1102*F1102,"")</f>
        <v>16.245000000000001</v>
      </c>
      <c r="H1102" s="35"/>
      <c r="I1102" s="31"/>
      <c r="J1102" s="155">
        <v>0</v>
      </c>
    </row>
    <row r="1103" spans="1:10" ht="15.75" hidden="1" thickBot="1" x14ac:dyDescent="0.3">
      <c r="A1103" s="176"/>
      <c r="B1103" s="175"/>
      <c r="C1103" s="36" t="s">
        <v>376</v>
      </c>
      <c r="D1103" s="47" t="s">
        <v>297</v>
      </c>
      <c r="E1103" s="37">
        <f>0.076-0.0175-0.013</f>
        <v>4.5499999999999999E-2</v>
      </c>
      <c r="F1103" s="34">
        <v>3.7049999999999996</v>
      </c>
      <c r="G1103" s="31">
        <f>IF(ISNUMBER(F1103),E1103*F1103,"")</f>
        <v>0.16857749999999999</v>
      </c>
      <c r="H1103" s="35"/>
      <c r="I1103" s="31"/>
      <c r="J1103" s="155">
        <v>0</v>
      </c>
    </row>
    <row r="1104" spans="1:10" ht="15.75" hidden="1" thickBot="1" x14ac:dyDescent="0.3">
      <c r="A1104" s="176"/>
      <c r="B1104" s="175"/>
      <c r="C1104" s="36" t="s">
        <v>23</v>
      </c>
      <c r="D1104" s="47" t="s">
        <v>12</v>
      </c>
      <c r="E1104" s="37">
        <f>ROUND(0.3179/2,4)</f>
        <v>0.159</v>
      </c>
      <c r="F1104" s="31">
        <v>16.311500000000002</v>
      </c>
      <c r="G1104" s="34">
        <f>IF(ISNUMBER(F1104),E1104*F1104,"")</f>
        <v>2.5935285000000006</v>
      </c>
      <c r="H1104" s="35"/>
      <c r="I1104" s="31"/>
      <c r="J1104" s="155">
        <v>0</v>
      </c>
    </row>
    <row r="1105" spans="1:10" ht="15.75" hidden="1" thickBot="1" x14ac:dyDescent="0.3">
      <c r="A1105" s="176"/>
      <c r="B1105" s="175"/>
      <c r="C1105" s="36" t="s">
        <v>39</v>
      </c>
      <c r="D1105" s="47" t="s">
        <v>12</v>
      </c>
      <c r="E1105" s="37">
        <f>1.009/2</f>
        <v>0.50449999999999995</v>
      </c>
      <c r="F1105" s="31">
        <v>21.622</v>
      </c>
      <c r="G1105" s="34">
        <f>IF(ISNUMBER(F1105),E1105*F1105,"")</f>
        <v>10.908299</v>
      </c>
      <c r="H1105" s="35"/>
      <c r="I1105" s="31"/>
      <c r="J1105" s="155">
        <v>0</v>
      </c>
    </row>
    <row r="1106" spans="1:10" ht="15.75" hidden="1" thickBot="1" x14ac:dyDescent="0.3">
      <c r="A1106" s="176"/>
      <c r="B1106" s="175"/>
      <c r="C1106" s="36"/>
      <c r="D1106" s="47"/>
      <c r="E1106" s="37"/>
      <c r="F1106" s="34" t="s">
        <v>568</v>
      </c>
      <c r="G1106" s="34" t="str">
        <f>IF(ISNUMBER(F1106),E1106*F1106,"")</f>
        <v/>
      </c>
      <c r="H1106" s="35"/>
      <c r="I1106" s="31"/>
      <c r="J1106" s="155">
        <v>0</v>
      </c>
    </row>
    <row r="1107" spans="1:10" ht="26.25" hidden="1" thickBot="1" x14ac:dyDescent="0.3">
      <c r="A1107" s="176"/>
      <c r="B1107" s="175"/>
      <c r="C1107" s="52" t="s">
        <v>377</v>
      </c>
      <c r="D1107" s="47"/>
      <c r="E1107" s="37"/>
      <c r="F1107" s="34" t="s">
        <v>568</v>
      </c>
      <c r="G1107" s="34" t="str">
        <f>IF(ISNUMBER(F1107),E1107*F1107,"")</f>
        <v/>
      </c>
      <c r="H1107" s="35"/>
      <c r="I1107" s="31"/>
      <c r="J1107" s="155">
        <v>0</v>
      </c>
    </row>
    <row r="1108" spans="1:10" ht="15.75" hidden="1" thickBot="1" x14ac:dyDescent="0.3">
      <c r="A1108" s="176"/>
      <c r="B1108" s="175"/>
      <c r="C1108" s="36"/>
      <c r="D1108" s="47"/>
      <c r="E1108" s="37"/>
      <c r="F1108" s="34" t="s">
        <v>568</v>
      </c>
      <c r="G1108" s="34" t="str">
        <f>IF(ISNUMBER(F1108),E1108*F1108,"")</f>
        <v/>
      </c>
      <c r="H1108" s="35"/>
      <c r="I1108" s="31"/>
      <c r="J1108" s="155">
        <v>0</v>
      </c>
    </row>
    <row r="1109" spans="1:10" ht="15.75" thickBot="1" x14ac:dyDescent="0.3">
      <c r="A1109" s="172" t="s">
        <v>383</v>
      </c>
      <c r="B1109" s="174" t="str">
        <f>INDEX(Orçamentária!A:B,MATCH(Composições!A1109,Orçamentária!A:A,0),2)</f>
        <v>Tanque 38 litros – Linha Administrativa</v>
      </c>
      <c r="C1109" s="41"/>
      <c r="D1109" s="26" t="str">
        <f>TRIM(INDEX(Orçamentária!C:C,MATCH(Composições!A1109,Orçamentária!A:A,0),1))</f>
        <v>un</v>
      </c>
      <c r="E1109" s="27"/>
      <c r="F1109" s="42" t="s">
        <v>568</v>
      </c>
      <c r="G1109" s="28" t="str">
        <f>IF(ISNUMBER(F1109),E1109*F1109,"")</f>
        <v/>
      </c>
      <c r="H1109" s="29"/>
      <c r="I1109" s="30"/>
      <c r="J1109" s="155">
        <v>1</v>
      </c>
    </row>
    <row r="1110" spans="1:10" x14ac:dyDescent="0.25">
      <c r="A1110" s="176"/>
      <c r="B1110" s="175"/>
      <c r="C1110" s="32"/>
      <c r="D1110" s="32"/>
      <c r="E1110" s="33"/>
      <c r="F1110" s="43" t="s">
        <v>568</v>
      </c>
      <c r="G1110" s="31" t="str">
        <f>IF(ISNUMBER(F1110),E1110*F1110,"")</f>
        <v/>
      </c>
      <c r="H1110" s="35"/>
      <c r="I1110" s="31"/>
      <c r="J1110" s="155">
        <v>1</v>
      </c>
    </row>
    <row r="1111" spans="1:10" ht="25.5" x14ac:dyDescent="0.25">
      <c r="A1111" s="176"/>
      <c r="B1111" s="175"/>
      <c r="C1111" s="36" t="s">
        <v>384</v>
      </c>
      <c r="D1111" s="47" t="s">
        <v>149</v>
      </c>
      <c r="E1111" s="37">
        <v>1</v>
      </c>
      <c r="F1111" s="34">
        <v>423.42</v>
      </c>
      <c r="G1111" s="34">
        <f>IF(ISNUMBER(F1111),E1111*F1111,"")</f>
        <v>423.42</v>
      </c>
      <c r="H1111" s="39">
        <f>SUM(G1111:G1115)</f>
        <v>481.37903260000002</v>
      </c>
      <c r="I1111" s="40"/>
      <c r="J1111" s="155">
        <v>1</v>
      </c>
    </row>
    <row r="1112" spans="1:10" ht="25.5" x14ac:dyDescent="0.25">
      <c r="A1112" s="176"/>
      <c r="B1112" s="175"/>
      <c r="C1112" s="36" t="s">
        <v>374</v>
      </c>
      <c r="D1112" s="47" t="s">
        <v>297</v>
      </c>
      <c r="E1112" s="37">
        <v>4</v>
      </c>
      <c r="F1112" s="34">
        <v>8.1225000000000005</v>
      </c>
      <c r="G1112" s="34">
        <f>IF(ISNUMBER(F1112),E1112*F1112,"")</f>
        <v>32.49</v>
      </c>
      <c r="H1112" s="35"/>
      <c r="I1112" s="31"/>
      <c r="J1112" s="155">
        <v>1</v>
      </c>
    </row>
    <row r="1113" spans="1:10" x14ac:dyDescent="0.25">
      <c r="A1113" s="176"/>
      <c r="B1113" s="175"/>
      <c r="C1113" s="36" t="s">
        <v>3615</v>
      </c>
      <c r="D1113" s="47" t="s">
        <v>42</v>
      </c>
      <c r="E1113" s="37">
        <v>3.9E-2</v>
      </c>
      <c r="F1113" s="34">
        <v>52.8675</v>
      </c>
      <c r="G1113" s="34">
        <f>IF(ISNUMBER(F1113),E1113*F1113,"")</f>
        <v>2.0618325</v>
      </c>
      <c r="H1113" s="35"/>
      <c r="I1113" s="31"/>
      <c r="J1113" s="155">
        <v>1</v>
      </c>
    </row>
    <row r="1114" spans="1:10" x14ac:dyDescent="0.25">
      <c r="A1114" s="176"/>
      <c r="B1114" s="175"/>
      <c r="C1114" s="36" t="s">
        <v>39</v>
      </c>
      <c r="D1114" s="47" t="s">
        <v>12</v>
      </c>
      <c r="E1114" s="37">
        <v>0.8226</v>
      </c>
      <c r="F1114" s="31">
        <v>21.622</v>
      </c>
      <c r="G1114" s="34">
        <f>IF(ISNUMBER(F1114),E1114*F1114,"")</f>
        <v>17.786257200000001</v>
      </c>
      <c r="H1114" s="35"/>
      <c r="I1114" s="31"/>
      <c r="J1114" s="155">
        <v>1</v>
      </c>
    </row>
    <row r="1115" spans="1:10" x14ac:dyDescent="0.25">
      <c r="A1115" s="176"/>
      <c r="B1115" s="175"/>
      <c r="C1115" s="36" t="s">
        <v>23</v>
      </c>
      <c r="D1115" s="47" t="s">
        <v>12</v>
      </c>
      <c r="E1115" s="37">
        <v>0.34460000000000002</v>
      </c>
      <c r="F1115" s="31">
        <v>16.311500000000002</v>
      </c>
      <c r="G1115" s="34">
        <f>IF(ISNUMBER(F1115),E1115*F1115,"")</f>
        <v>5.6209429000000011</v>
      </c>
      <c r="H1115" s="35"/>
      <c r="I1115" s="31"/>
      <c r="J1115" s="155">
        <v>1</v>
      </c>
    </row>
    <row r="1116" spans="1:10" ht="15.75" thickBot="1" x14ac:dyDescent="0.3">
      <c r="A1116" s="177"/>
      <c r="B1116" s="178"/>
      <c r="C1116" s="36"/>
      <c r="D1116" s="36"/>
      <c r="E1116" s="37"/>
      <c r="F1116" s="31" t="s">
        <v>568</v>
      </c>
      <c r="G1116" s="31" t="str">
        <f>IF(ISNUMBER(F1116),E1116*F1116,"")</f>
        <v/>
      </c>
      <c r="H1116" s="35"/>
      <c r="I1116" s="31"/>
      <c r="J1116" s="155">
        <v>1</v>
      </c>
    </row>
    <row r="1117" spans="1:10" ht="15.75" hidden="1" thickBot="1" x14ac:dyDescent="0.3">
      <c r="A1117" s="172" t="s">
        <v>385</v>
      </c>
      <c r="B1117" s="174" t="str">
        <f>INDEX(Orçamentária!A:B,MATCH(Composições!A1117,Orçamentária!A:A,0),2)</f>
        <v>Acabamento para registro GD – Linha Administrativa</v>
      </c>
      <c r="C1117" s="41"/>
      <c r="D1117" s="26" t="str">
        <f>TRIM(INDEX(Orçamentária!C:C,MATCH(Composições!A1117,Orçamentária!A:A,0),1))</f>
        <v>un</v>
      </c>
      <c r="E1117" s="27"/>
      <c r="F1117" s="42" t="s">
        <v>568</v>
      </c>
      <c r="G1117" s="28" t="str">
        <f>IF(ISNUMBER(F1117),E1117*F1117,"")</f>
        <v/>
      </c>
      <c r="H1117" s="29"/>
      <c r="I1117" s="30"/>
      <c r="J1117" s="155">
        <v>0</v>
      </c>
    </row>
    <row r="1118" spans="1:10" ht="15.75" hidden="1" thickBot="1" x14ac:dyDescent="0.3">
      <c r="A1118" s="176"/>
      <c r="B1118" s="175"/>
      <c r="C1118" s="32"/>
      <c r="D1118" s="32"/>
      <c r="E1118" s="33"/>
      <c r="F1118" s="43" t="s">
        <v>568</v>
      </c>
      <c r="G1118" s="31" t="str">
        <f>IF(ISNUMBER(F1118),E1118*F1118,"")</f>
        <v/>
      </c>
      <c r="H1118" s="35"/>
      <c r="I1118" s="31"/>
      <c r="J1118" s="155">
        <v>0</v>
      </c>
    </row>
    <row r="1119" spans="1:10" ht="26.25" hidden="1" thickBot="1" x14ac:dyDescent="0.3">
      <c r="A1119" s="176"/>
      <c r="B1119" s="175"/>
      <c r="C1119" s="36" t="s">
        <v>386</v>
      </c>
      <c r="D1119" s="47" t="s">
        <v>149</v>
      </c>
      <c r="E1119" s="37">
        <v>1</v>
      </c>
      <c r="F1119" s="34" t="s">
        <v>568</v>
      </c>
      <c r="G1119" s="34" t="str">
        <f>IF(ISNUMBER(F1119),E1119*F1119,"")</f>
        <v/>
      </c>
      <c r="H1119" s="39">
        <f>SUM(G1119:G1120)</f>
        <v>1.72976</v>
      </c>
      <c r="I1119" s="40"/>
      <c r="J1119" s="155">
        <v>0</v>
      </c>
    </row>
    <row r="1120" spans="1:10" ht="15.75" hidden="1" thickBot="1" x14ac:dyDescent="0.3">
      <c r="A1120" s="176"/>
      <c r="B1120" s="175"/>
      <c r="C1120" s="36" t="s">
        <v>39</v>
      </c>
      <c r="D1120" s="47" t="s">
        <v>12</v>
      </c>
      <c r="E1120" s="37">
        <v>0.08</v>
      </c>
      <c r="F1120" s="31">
        <v>21.622</v>
      </c>
      <c r="G1120" s="34">
        <f>IF(ISNUMBER(F1120),E1120*F1120,"")</f>
        <v>1.72976</v>
      </c>
      <c r="H1120" s="35"/>
      <c r="I1120" s="31"/>
      <c r="J1120" s="155">
        <v>0</v>
      </c>
    </row>
    <row r="1121" spans="1:10" ht="15.75" hidden="1" thickBot="1" x14ac:dyDescent="0.3">
      <c r="A1121" s="177"/>
      <c r="B1121" s="178"/>
      <c r="C1121" s="52"/>
      <c r="D1121" s="36"/>
      <c r="E1121" s="37"/>
      <c r="F1121" s="31" t="s">
        <v>568</v>
      </c>
      <c r="G1121" s="31" t="str">
        <f>IF(ISNUMBER(F1121),E1121*F1121,"")</f>
        <v/>
      </c>
      <c r="H1121" s="35"/>
      <c r="I1121" s="31"/>
      <c r="J1121" s="155">
        <v>0</v>
      </c>
    </row>
    <row r="1122" spans="1:10" ht="15.75" hidden="1" thickBot="1" x14ac:dyDescent="0.3">
      <c r="A1122" s="172" t="s">
        <v>387</v>
      </c>
      <c r="B1122" s="174" t="str">
        <f>INDEX(Orçamentária!A:B,MATCH(Composições!A1122,Orçamentária!A:A,0),2)</f>
        <v>Acabamento para registro PQ – Linha Administrativa</v>
      </c>
      <c r="C1122" s="41"/>
      <c r="D1122" s="26" t="str">
        <f>TRIM(INDEX(Orçamentária!C:C,MATCH(Composições!A1122,Orçamentária!A:A,0),1))</f>
        <v>un</v>
      </c>
      <c r="E1122" s="27"/>
      <c r="F1122" s="42" t="s">
        <v>568</v>
      </c>
      <c r="G1122" s="28" t="str">
        <f>IF(ISNUMBER(F1122),E1122*F1122,"")</f>
        <v/>
      </c>
      <c r="H1122" s="29"/>
      <c r="I1122" s="30"/>
      <c r="J1122" s="155">
        <v>0</v>
      </c>
    </row>
    <row r="1123" spans="1:10" ht="15.75" hidden="1" thickBot="1" x14ac:dyDescent="0.3">
      <c r="A1123" s="176"/>
      <c r="B1123" s="175"/>
      <c r="C1123" s="32"/>
      <c r="D1123" s="32"/>
      <c r="E1123" s="33"/>
      <c r="F1123" s="43" t="s">
        <v>568</v>
      </c>
      <c r="G1123" s="31" t="str">
        <f>IF(ISNUMBER(F1123),E1123*F1123,"")</f>
        <v/>
      </c>
      <c r="H1123" s="35"/>
      <c r="I1123" s="31"/>
      <c r="J1123" s="155">
        <v>0</v>
      </c>
    </row>
    <row r="1124" spans="1:10" ht="26.25" hidden="1" thickBot="1" x14ac:dyDescent="0.3">
      <c r="A1124" s="176"/>
      <c r="B1124" s="175"/>
      <c r="C1124" s="36" t="s">
        <v>388</v>
      </c>
      <c r="D1124" s="47" t="s">
        <v>149</v>
      </c>
      <c r="E1124" s="37">
        <v>1</v>
      </c>
      <c r="F1124" s="34" t="s">
        <v>568</v>
      </c>
      <c r="G1124" s="34" t="str">
        <f>IF(ISNUMBER(F1124),E1124*F1124,"")</f>
        <v/>
      </c>
      <c r="H1124" s="39">
        <f>SUM(G1124:G1125)</f>
        <v>1.72976</v>
      </c>
      <c r="I1124" s="40"/>
      <c r="J1124" s="155">
        <v>0</v>
      </c>
    </row>
    <row r="1125" spans="1:10" ht="15.75" hidden="1" thickBot="1" x14ac:dyDescent="0.3">
      <c r="A1125" s="176"/>
      <c r="B1125" s="175"/>
      <c r="C1125" s="36" t="s">
        <v>39</v>
      </c>
      <c r="D1125" s="47" t="s">
        <v>12</v>
      </c>
      <c r="E1125" s="37">
        <v>0.08</v>
      </c>
      <c r="F1125" s="31">
        <v>21.622</v>
      </c>
      <c r="G1125" s="34">
        <f>IF(ISNUMBER(F1125),E1125*F1125,"")</f>
        <v>1.72976</v>
      </c>
      <c r="H1125" s="35"/>
      <c r="I1125" s="31"/>
      <c r="J1125" s="155">
        <v>0</v>
      </c>
    </row>
    <row r="1126" spans="1:10" ht="15.75" hidden="1" thickBot="1" x14ac:dyDescent="0.3">
      <c r="A1126" s="177"/>
      <c r="B1126" s="178"/>
      <c r="C1126" s="36"/>
      <c r="D1126" s="36"/>
      <c r="E1126" s="37"/>
      <c r="F1126" s="31" t="s">
        <v>568</v>
      </c>
      <c r="G1126" s="31" t="str">
        <f>IF(ISNUMBER(F1126),E1126*F1126,"")</f>
        <v/>
      </c>
      <c r="H1126" s="35"/>
      <c r="I1126" s="31"/>
      <c r="J1126" s="155">
        <v>0</v>
      </c>
    </row>
    <row r="1127" spans="1:10" ht="15.75" hidden="1" thickBot="1" x14ac:dyDescent="0.3">
      <c r="A1127" s="172" t="s">
        <v>389</v>
      </c>
      <c r="B1127" s="174" t="str">
        <f>INDEX(Orçamentária!A:B,MATCH(Composições!A1127,Orçamentária!A:A,0),2)</f>
        <v>Ducha higiênica – Linha Administrativa</v>
      </c>
      <c r="C1127" s="41"/>
      <c r="D1127" s="26" t="str">
        <f>TRIM(INDEX(Orçamentária!C:C,MATCH(Composições!A1127,Orçamentária!A:A,0),1))</f>
        <v>un</v>
      </c>
      <c r="E1127" s="27"/>
      <c r="F1127" s="42" t="s">
        <v>568</v>
      </c>
      <c r="G1127" s="28" t="str">
        <f>IF(ISNUMBER(F1127),E1127*F1127,"")</f>
        <v/>
      </c>
      <c r="H1127" s="29"/>
      <c r="I1127" s="30"/>
      <c r="J1127" s="155">
        <v>0</v>
      </c>
    </row>
    <row r="1128" spans="1:10" ht="15.75" hidden="1" thickBot="1" x14ac:dyDescent="0.3">
      <c r="A1128" s="176"/>
      <c r="B1128" s="175"/>
      <c r="C1128" s="32"/>
      <c r="D1128" s="32"/>
      <c r="E1128" s="33"/>
      <c r="F1128" s="43" t="s">
        <v>568</v>
      </c>
      <c r="G1128" s="31" t="str">
        <f>IF(ISNUMBER(F1128),E1128*F1128,"")</f>
        <v/>
      </c>
      <c r="H1128" s="35"/>
      <c r="I1128" s="31"/>
      <c r="J1128" s="155">
        <v>0</v>
      </c>
    </row>
    <row r="1129" spans="1:10" ht="26.25" hidden="1" thickBot="1" x14ac:dyDescent="0.3">
      <c r="A1129" s="176"/>
      <c r="B1129" s="175"/>
      <c r="C1129" s="36" t="s">
        <v>390</v>
      </c>
      <c r="D1129" s="47" t="s">
        <v>149</v>
      </c>
      <c r="E1129" s="37">
        <v>1</v>
      </c>
      <c r="F1129" s="34" t="s">
        <v>568</v>
      </c>
      <c r="G1129" s="34" t="str">
        <f>IF(ISNUMBER(F1129),E1129*F1129,"")</f>
        <v/>
      </c>
      <c r="H1129" s="39">
        <f>SUM(G1129:G1131)</f>
        <v>19.256500000000003</v>
      </c>
      <c r="I1129" s="40"/>
      <c r="J1129" s="155">
        <v>0</v>
      </c>
    </row>
    <row r="1130" spans="1:10" ht="15.75" hidden="1" thickBot="1" x14ac:dyDescent="0.3">
      <c r="A1130" s="176"/>
      <c r="B1130" s="175"/>
      <c r="C1130" s="36" t="s">
        <v>39</v>
      </c>
      <c r="D1130" s="47" t="s">
        <v>12</v>
      </c>
      <c r="E1130" s="37">
        <v>0.5</v>
      </c>
      <c r="F1130" s="31">
        <v>21.622</v>
      </c>
      <c r="G1130" s="34">
        <f>IF(ISNUMBER(F1130),E1130*F1130,"")</f>
        <v>10.811</v>
      </c>
      <c r="H1130" s="35"/>
      <c r="I1130" s="31"/>
      <c r="J1130" s="155">
        <v>0</v>
      </c>
    </row>
    <row r="1131" spans="1:10" ht="26.25" hidden="1" thickBot="1" x14ac:dyDescent="0.3">
      <c r="A1131" s="176"/>
      <c r="B1131" s="175"/>
      <c r="C1131" s="36" t="s">
        <v>109</v>
      </c>
      <c r="D1131" s="47" t="s">
        <v>12</v>
      </c>
      <c r="E1131" s="37">
        <v>0.5</v>
      </c>
      <c r="F1131" s="31">
        <v>16.891000000000002</v>
      </c>
      <c r="G1131" s="34">
        <f>IF(ISNUMBER(F1131),E1131*F1131,"")</f>
        <v>8.4455000000000009</v>
      </c>
      <c r="H1131" s="35"/>
      <c r="I1131" s="31"/>
      <c r="J1131" s="155">
        <v>0</v>
      </c>
    </row>
    <row r="1132" spans="1:10" ht="15.75" hidden="1" thickBot="1" x14ac:dyDescent="0.3">
      <c r="A1132" s="177"/>
      <c r="B1132" s="178"/>
      <c r="C1132" s="36"/>
      <c r="D1132" s="36"/>
      <c r="E1132" s="37"/>
      <c r="F1132" s="31" t="s">
        <v>568</v>
      </c>
      <c r="G1132" s="31" t="str">
        <f>IF(ISNUMBER(F1132),E1132*F1132,"")</f>
        <v/>
      </c>
      <c r="H1132" s="35"/>
      <c r="I1132" s="31"/>
      <c r="J1132" s="155">
        <v>0</v>
      </c>
    </row>
    <row r="1133" spans="1:10" ht="15.75" hidden="1" thickBot="1" x14ac:dyDescent="0.3">
      <c r="A1133" s="172" t="s">
        <v>391</v>
      </c>
      <c r="B1133" s="174" t="str">
        <f>INDEX(Orçamentária!A:B,MATCH(Composições!A1133,Orçamentária!A:A,0),2)</f>
        <v>Instalação de metais e acessórios reaproveitados</v>
      </c>
      <c r="C1133" s="41"/>
      <c r="D1133" s="26" t="str">
        <f>TRIM(INDEX(Orçamentária!C:C,MATCH(Composições!A1133,Orçamentária!A:A,0),1))</f>
        <v>un</v>
      </c>
      <c r="E1133" s="27"/>
      <c r="F1133" s="42" t="s">
        <v>568</v>
      </c>
      <c r="G1133" s="28" t="str">
        <f>IF(ISNUMBER(F1133),E1133*F1133,"")</f>
        <v/>
      </c>
      <c r="H1133" s="29"/>
      <c r="I1133" s="30"/>
      <c r="J1133" s="155">
        <v>0</v>
      </c>
    </row>
    <row r="1134" spans="1:10" ht="15.75" hidden="1" thickBot="1" x14ac:dyDescent="0.3">
      <c r="A1134" s="176"/>
      <c r="B1134" s="175"/>
      <c r="C1134" s="32"/>
      <c r="D1134" s="32"/>
      <c r="E1134" s="33"/>
      <c r="F1134" s="43" t="s">
        <v>568</v>
      </c>
      <c r="G1134" s="31" t="str">
        <f>IF(ISNUMBER(F1134),E1134*F1134,"")</f>
        <v/>
      </c>
      <c r="H1134" s="35"/>
      <c r="I1134" s="31"/>
      <c r="J1134" s="155">
        <v>0</v>
      </c>
    </row>
    <row r="1135" spans="1:10" ht="15.75" hidden="1" thickBot="1" x14ac:dyDescent="0.3">
      <c r="A1135" s="176"/>
      <c r="B1135" s="175"/>
      <c r="C1135" s="36" t="s">
        <v>39</v>
      </c>
      <c r="D1135" s="47" t="s">
        <v>12</v>
      </c>
      <c r="E1135" s="37">
        <v>0.16209999999999999</v>
      </c>
      <c r="F1135" s="31">
        <v>21.622</v>
      </c>
      <c r="G1135" s="34">
        <f>IF(ISNUMBER(F1135),E1135*F1135,"")</f>
        <v>3.5049261999999999</v>
      </c>
      <c r="H1135" s="39">
        <f>SUM(G1135:G1136)</f>
        <v>3.8883519</v>
      </c>
      <c r="I1135" s="40"/>
      <c r="J1135" s="155">
        <v>0</v>
      </c>
    </row>
    <row r="1136" spans="1:10" ht="26.25" hidden="1" thickBot="1" x14ac:dyDescent="0.3">
      <c r="A1136" s="176"/>
      <c r="B1136" s="175"/>
      <c r="C1136" s="36" t="s">
        <v>109</v>
      </c>
      <c r="D1136" s="47" t="s">
        <v>12</v>
      </c>
      <c r="E1136" s="37">
        <v>2.2700000000000001E-2</v>
      </c>
      <c r="F1136" s="31">
        <v>16.891000000000002</v>
      </c>
      <c r="G1136" s="34">
        <f>IF(ISNUMBER(F1136),E1136*F1136,"")</f>
        <v>0.38342570000000009</v>
      </c>
      <c r="H1136" s="45"/>
      <c r="I1136" s="46"/>
      <c r="J1136" s="155">
        <v>0</v>
      </c>
    </row>
    <row r="1137" spans="1:10" ht="15.75" hidden="1" thickBot="1" x14ac:dyDescent="0.3">
      <c r="A1137" s="177"/>
      <c r="B1137" s="178"/>
      <c r="C1137" s="36"/>
      <c r="D1137" s="36"/>
      <c r="E1137" s="37"/>
      <c r="F1137" s="31" t="s">
        <v>568</v>
      </c>
      <c r="G1137" s="31" t="str">
        <f>IF(ISNUMBER(F1137),E1137*F1137,"")</f>
        <v/>
      </c>
      <c r="H1137" s="35"/>
      <c r="I1137" s="31"/>
      <c r="J1137" s="155">
        <v>0</v>
      </c>
    </row>
    <row r="1138" spans="1:10" ht="15.75" hidden="1" thickBot="1" x14ac:dyDescent="0.3">
      <c r="A1138" s="172" t="s">
        <v>392</v>
      </c>
      <c r="B1138" s="174" t="str">
        <f>INDEX(Orçamentária!A:B,MATCH(Composições!A1138,Orçamentária!A:A,0),2)</f>
        <v>Ligação flexível 1/2” x 40 cm – Linha Administrativa</v>
      </c>
      <c r="C1138" s="41"/>
      <c r="D1138" s="26" t="str">
        <f>TRIM(INDEX(Orçamentária!C:C,MATCH(Composições!A1138,Orçamentária!A:A,0),1))</f>
        <v>un</v>
      </c>
      <c r="E1138" s="27"/>
      <c r="F1138" s="42" t="s">
        <v>568</v>
      </c>
      <c r="G1138" s="28" t="str">
        <f>IF(ISNUMBER(F1138),E1138*F1138,"")</f>
        <v/>
      </c>
      <c r="H1138" s="29"/>
      <c r="I1138" s="30"/>
      <c r="J1138" s="155">
        <v>0</v>
      </c>
    </row>
    <row r="1139" spans="1:10" ht="15.75" hidden="1" thickBot="1" x14ac:dyDescent="0.3">
      <c r="A1139" s="176"/>
      <c r="B1139" s="175"/>
      <c r="C1139" s="32"/>
      <c r="D1139" s="32"/>
      <c r="E1139" s="33"/>
      <c r="F1139" s="43" t="s">
        <v>568</v>
      </c>
      <c r="G1139" s="31" t="str">
        <f>IF(ISNUMBER(F1139),E1139*F1139,"")</f>
        <v/>
      </c>
      <c r="H1139" s="35"/>
      <c r="I1139" s="31"/>
      <c r="J1139" s="155">
        <v>0</v>
      </c>
    </row>
    <row r="1140" spans="1:10" ht="15.75" hidden="1" thickBot="1" x14ac:dyDescent="0.3">
      <c r="A1140" s="176"/>
      <c r="B1140" s="175"/>
      <c r="C1140" s="36" t="s">
        <v>393</v>
      </c>
      <c r="D1140" s="47" t="s">
        <v>297</v>
      </c>
      <c r="E1140" s="37">
        <v>1</v>
      </c>
      <c r="F1140" s="34">
        <v>42.312999999999995</v>
      </c>
      <c r="G1140" s="34">
        <f>IF(ISNUMBER(F1140),E1140*F1140,"")</f>
        <v>42.312999999999995</v>
      </c>
      <c r="H1140" s="39">
        <f>SUM(G1140:G1143)</f>
        <v>46.436712499999999</v>
      </c>
      <c r="I1140" s="40"/>
      <c r="J1140" s="155">
        <v>0</v>
      </c>
    </row>
    <row r="1141" spans="1:10" ht="15.75" hidden="1" thickBot="1" x14ac:dyDescent="0.3">
      <c r="A1141" s="176"/>
      <c r="B1141" s="175"/>
      <c r="C1141" s="36" t="s">
        <v>376</v>
      </c>
      <c r="D1141" s="47" t="s">
        <v>297</v>
      </c>
      <c r="E1141" s="37">
        <v>1.7500000000000002E-2</v>
      </c>
      <c r="F1141" s="34">
        <v>3.7049999999999996</v>
      </c>
      <c r="G1141" s="34">
        <f>IF(ISNUMBER(F1141),E1141*F1141,"")</f>
        <v>6.4837500000000006E-2</v>
      </c>
      <c r="H1141" s="35"/>
      <c r="I1141" s="31"/>
      <c r="J1141" s="155">
        <v>0</v>
      </c>
    </row>
    <row r="1142" spans="1:10" ht="15.75" hidden="1" thickBot="1" x14ac:dyDescent="0.3">
      <c r="A1142" s="176"/>
      <c r="B1142" s="175"/>
      <c r="C1142" s="36" t="s">
        <v>39</v>
      </c>
      <c r="D1142" s="47" t="s">
        <v>12</v>
      </c>
      <c r="E1142" s="37">
        <v>0.15</v>
      </c>
      <c r="F1142" s="31">
        <v>21.622</v>
      </c>
      <c r="G1142" s="34">
        <f>IF(ISNUMBER(F1142),E1142*F1142,"")</f>
        <v>3.2433000000000001</v>
      </c>
      <c r="H1142" s="35"/>
      <c r="I1142" s="31"/>
      <c r="J1142" s="155">
        <v>0</v>
      </c>
    </row>
    <row r="1143" spans="1:10" ht="15.75" hidden="1" thickBot="1" x14ac:dyDescent="0.3">
      <c r="A1143" s="176"/>
      <c r="B1143" s="175"/>
      <c r="C1143" s="36" t="s">
        <v>23</v>
      </c>
      <c r="D1143" s="47" t="s">
        <v>12</v>
      </c>
      <c r="E1143" s="37">
        <v>0.05</v>
      </c>
      <c r="F1143" s="31">
        <v>16.311500000000002</v>
      </c>
      <c r="G1143" s="34">
        <f>IF(ISNUMBER(F1143),E1143*F1143,"")</f>
        <v>0.81557500000000016</v>
      </c>
      <c r="H1143" s="35"/>
      <c r="I1143" s="31"/>
      <c r="J1143" s="155">
        <v>0</v>
      </c>
    </row>
    <row r="1144" spans="1:10" ht="15.75" hidden="1" thickBot="1" x14ac:dyDescent="0.3">
      <c r="A1144" s="177"/>
      <c r="B1144" s="178"/>
      <c r="C1144" s="36"/>
      <c r="D1144" s="36"/>
      <c r="E1144" s="37"/>
      <c r="F1144" s="31" t="s">
        <v>568</v>
      </c>
      <c r="G1144" s="31" t="str">
        <f>IF(ISNUMBER(F1144),E1144*F1144,"")</f>
        <v/>
      </c>
      <c r="H1144" s="35"/>
      <c r="I1144" s="31"/>
      <c r="J1144" s="155">
        <v>0</v>
      </c>
    </row>
    <row r="1145" spans="1:10" ht="15.75" hidden="1" thickBot="1" x14ac:dyDescent="0.3">
      <c r="A1145" s="172" t="s">
        <v>394</v>
      </c>
      <c r="B1145" s="174" t="str">
        <f>INDEX(Orçamentária!A:B,MATCH(Composições!A1145,Orçamentária!A:A,0),2)</f>
        <v>Sifão articulado para cozinha – Linha Administrativa</v>
      </c>
      <c r="C1145" s="41"/>
      <c r="D1145" s="26" t="str">
        <f>TRIM(INDEX(Orçamentária!C:C,MATCH(Composições!A1145,Orçamentária!A:A,0),1))</f>
        <v>un</v>
      </c>
      <c r="E1145" s="27"/>
      <c r="F1145" s="42" t="s">
        <v>568</v>
      </c>
      <c r="G1145" s="28" t="str">
        <f>IF(ISNUMBER(F1145),E1145*F1145,"")</f>
        <v/>
      </c>
      <c r="H1145" s="29"/>
      <c r="I1145" s="30"/>
      <c r="J1145" s="155">
        <v>0</v>
      </c>
    </row>
    <row r="1146" spans="1:10" ht="15.75" hidden="1" thickBot="1" x14ac:dyDescent="0.3">
      <c r="A1146" s="176"/>
      <c r="B1146" s="175"/>
      <c r="C1146" s="32"/>
      <c r="D1146" s="32"/>
      <c r="E1146" s="33"/>
      <c r="F1146" s="43" t="s">
        <v>568</v>
      </c>
      <c r="G1146" s="31" t="str">
        <f>IF(ISNUMBER(F1146),E1146*F1146,"")</f>
        <v/>
      </c>
      <c r="H1146" s="35"/>
      <c r="I1146" s="31"/>
      <c r="J1146" s="155">
        <v>0</v>
      </c>
    </row>
    <row r="1147" spans="1:10" ht="26.25" hidden="1" thickBot="1" x14ac:dyDescent="0.3">
      <c r="A1147" s="176"/>
      <c r="B1147" s="175"/>
      <c r="C1147" s="36" t="s">
        <v>395</v>
      </c>
      <c r="D1147" s="47" t="s">
        <v>149</v>
      </c>
      <c r="E1147" s="37">
        <v>1</v>
      </c>
      <c r="F1147" s="34" t="s">
        <v>568</v>
      </c>
      <c r="G1147" s="34" t="str">
        <f>IF(ISNUMBER(F1147),E1147*F1147,"")</f>
        <v/>
      </c>
      <c r="H1147" s="39">
        <f>SUM(G1147:G1150)</f>
        <v>7.4405120999999994</v>
      </c>
      <c r="I1147" s="40"/>
      <c r="J1147" s="155">
        <v>0</v>
      </c>
    </row>
    <row r="1148" spans="1:10" ht="15.75" hidden="1" thickBot="1" x14ac:dyDescent="0.3">
      <c r="A1148" s="176"/>
      <c r="B1148" s="175"/>
      <c r="C1148" s="36" t="s">
        <v>376</v>
      </c>
      <c r="D1148" s="47" t="s">
        <v>297</v>
      </c>
      <c r="E1148" s="37">
        <v>3.32E-2</v>
      </c>
      <c r="F1148" s="34">
        <v>3.7049999999999996</v>
      </c>
      <c r="G1148" s="34">
        <f>IF(ISNUMBER(F1148),E1148*F1148,"")</f>
        <v>0.12300599999999999</v>
      </c>
      <c r="H1148" s="35"/>
      <c r="I1148" s="31"/>
      <c r="J1148" s="155">
        <v>0</v>
      </c>
    </row>
    <row r="1149" spans="1:10" ht="15.75" hidden="1" thickBot="1" x14ac:dyDescent="0.3">
      <c r="A1149" s="176"/>
      <c r="B1149" s="175"/>
      <c r="C1149" s="36" t="s">
        <v>23</v>
      </c>
      <c r="D1149" s="47" t="s">
        <v>12</v>
      </c>
      <c r="E1149" s="37">
        <v>8.6199999999999999E-2</v>
      </c>
      <c r="F1149" s="31">
        <v>16.311500000000002</v>
      </c>
      <c r="G1149" s="34">
        <f>IF(ISNUMBER(F1149),E1149*F1149,"")</f>
        <v>1.4060513000000001</v>
      </c>
      <c r="H1149" s="35"/>
      <c r="I1149" s="31"/>
      <c r="J1149" s="155">
        <v>0</v>
      </c>
    </row>
    <row r="1150" spans="1:10" ht="15.75" hidden="1" thickBot="1" x14ac:dyDescent="0.3">
      <c r="A1150" s="176"/>
      <c r="B1150" s="175"/>
      <c r="C1150" s="36" t="s">
        <v>39</v>
      </c>
      <c r="D1150" s="47" t="s">
        <v>12</v>
      </c>
      <c r="E1150" s="37">
        <v>0.27339999999999998</v>
      </c>
      <c r="F1150" s="31">
        <v>21.622</v>
      </c>
      <c r="G1150" s="34">
        <f>IF(ISNUMBER(F1150),E1150*F1150,"")</f>
        <v>5.9114547999999996</v>
      </c>
      <c r="H1150" s="35"/>
      <c r="I1150" s="31"/>
      <c r="J1150" s="155">
        <v>0</v>
      </c>
    </row>
    <row r="1151" spans="1:10" ht="15.75" hidden="1" thickBot="1" x14ac:dyDescent="0.3">
      <c r="A1151" s="177"/>
      <c r="B1151" s="178"/>
      <c r="C1151" s="36"/>
      <c r="D1151" s="36"/>
      <c r="E1151" s="37"/>
      <c r="F1151" s="31" t="s">
        <v>568</v>
      </c>
      <c r="G1151" s="31" t="str">
        <f>IF(ISNUMBER(F1151),E1151*F1151,"")</f>
        <v/>
      </c>
      <c r="H1151" s="35"/>
      <c r="I1151" s="31"/>
      <c r="J1151" s="155">
        <v>0</v>
      </c>
    </row>
    <row r="1152" spans="1:10" ht="15.75" hidden="1" thickBot="1" x14ac:dyDescent="0.3">
      <c r="A1152" s="172" t="s">
        <v>396</v>
      </c>
      <c r="B1152" s="174" t="str">
        <f>INDEX(Orçamentária!A:B,MATCH(Composições!A1152,Orçamentária!A:A,0),2)</f>
        <v>Sifão para lavatório 1 1/2"</v>
      </c>
      <c r="C1152" s="41"/>
      <c r="D1152" s="26" t="str">
        <f>TRIM(INDEX(Orçamentária!C:C,MATCH(Composições!A1152,Orçamentária!A:A,0),1))</f>
        <v>un</v>
      </c>
      <c r="E1152" s="27"/>
      <c r="F1152" s="42" t="s">
        <v>568</v>
      </c>
      <c r="G1152" s="28" t="str">
        <f>IF(ISNUMBER(F1152),E1152*F1152,"")</f>
        <v/>
      </c>
      <c r="H1152" s="29"/>
      <c r="I1152" s="30"/>
      <c r="J1152" s="155">
        <v>0</v>
      </c>
    </row>
    <row r="1153" spans="1:10" ht="15.75" hidden="1" thickBot="1" x14ac:dyDescent="0.3">
      <c r="A1153" s="176"/>
      <c r="B1153" s="175"/>
      <c r="C1153" s="32"/>
      <c r="D1153" s="32"/>
      <c r="E1153" s="33"/>
      <c r="F1153" s="43" t="s">
        <v>568</v>
      </c>
      <c r="G1153" s="31" t="str">
        <f>IF(ISNUMBER(F1153),E1153*F1153,"")</f>
        <v/>
      </c>
      <c r="H1153" s="35"/>
      <c r="I1153" s="31"/>
      <c r="J1153" s="155">
        <v>0</v>
      </c>
    </row>
    <row r="1154" spans="1:10" ht="15.75" hidden="1" thickBot="1" x14ac:dyDescent="0.3">
      <c r="A1154" s="176"/>
      <c r="B1154" s="175"/>
      <c r="C1154" s="36" t="s">
        <v>397</v>
      </c>
      <c r="D1154" s="47" t="s">
        <v>297</v>
      </c>
      <c r="E1154" s="37">
        <v>1</v>
      </c>
      <c r="F1154" s="34">
        <v>168.57749999999999</v>
      </c>
      <c r="G1154" s="34">
        <f>IF(ISNUMBER(F1154),E1154*F1154,"")</f>
        <v>168.57749999999999</v>
      </c>
      <c r="H1154" s="39">
        <f>SUM(G1154:G1157)</f>
        <v>176.06872499999997</v>
      </c>
      <c r="I1154" s="40"/>
      <c r="J1154" s="155">
        <v>0</v>
      </c>
    </row>
    <row r="1155" spans="1:10" ht="15.75" hidden="1" thickBot="1" x14ac:dyDescent="0.3">
      <c r="A1155" s="176"/>
      <c r="B1155" s="175"/>
      <c r="C1155" s="36" t="s">
        <v>376</v>
      </c>
      <c r="D1155" s="47" t="s">
        <v>297</v>
      </c>
      <c r="E1155" s="37">
        <v>0.05</v>
      </c>
      <c r="F1155" s="34">
        <v>3.7049999999999996</v>
      </c>
      <c r="G1155" s="34">
        <f>IF(ISNUMBER(F1155),E1155*F1155,"")</f>
        <v>0.18525</v>
      </c>
      <c r="H1155" s="35"/>
      <c r="I1155" s="31"/>
      <c r="J1155" s="155">
        <v>0</v>
      </c>
    </row>
    <row r="1156" spans="1:10" ht="15.75" hidden="1" thickBot="1" x14ac:dyDescent="0.3">
      <c r="A1156" s="176"/>
      <c r="B1156" s="175"/>
      <c r="C1156" s="36" t="s">
        <v>39</v>
      </c>
      <c r="D1156" s="47" t="s">
        <v>12</v>
      </c>
      <c r="E1156" s="37">
        <v>0.27</v>
      </c>
      <c r="F1156" s="31">
        <v>21.622</v>
      </c>
      <c r="G1156" s="34">
        <f>IF(ISNUMBER(F1156),E1156*F1156,"")</f>
        <v>5.8379400000000006</v>
      </c>
      <c r="H1156" s="35"/>
      <c r="I1156" s="31"/>
      <c r="J1156" s="155">
        <v>0</v>
      </c>
    </row>
    <row r="1157" spans="1:10" ht="15.75" hidden="1" thickBot="1" x14ac:dyDescent="0.3">
      <c r="A1157" s="176"/>
      <c r="B1157" s="175"/>
      <c r="C1157" s="36" t="s">
        <v>23</v>
      </c>
      <c r="D1157" s="47" t="s">
        <v>12</v>
      </c>
      <c r="E1157" s="37">
        <v>0.09</v>
      </c>
      <c r="F1157" s="31">
        <v>16.311500000000002</v>
      </c>
      <c r="G1157" s="34">
        <f>IF(ISNUMBER(F1157),E1157*F1157,"")</f>
        <v>1.4680350000000002</v>
      </c>
      <c r="H1157" s="35"/>
      <c r="I1157" s="31"/>
      <c r="J1157" s="155">
        <v>0</v>
      </c>
    </row>
    <row r="1158" spans="1:10" ht="15.75" hidden="1" thickBot="1" x14ac:dyDescent="0.3">
      <c r="A1158" s="177"/>
      <c r="B1158" s="178"/>
      <c r="C1158" s="36"/>
      <c r="D1158" s="36"/>
      <c r="E1158" s="37"/>
      <c r="F1158" s="31" t="s">
        <v>568</v>
      </c>
      <c r="G1158" s="31" t="str">
        <f>IF(ISNUMBER(F1158),E1158*F1158,"")</f>
        <v/>
      </c>
      <c r="H1158" s="35"/>
      <c r="I1158" s="31"/>
      <c r="J1158" s="155">
        <v>0</v>
      </c>
    </row>
    <row r="1159" spans="1:10" ht="15.75" thickBot="1" x14ac:dyDescent="0.3">
      <c r="A1159" s="172" t="s">
        <v>398</v>
      </c>
      <c r="B1159" s="174" t="str">
        <f>INDEX(Orçamentária!A:B,MATCH(Composições!A1159,Orçamentária!A:A,0),2)</f>
        <v>Sifão para tanque – Linha Administrativa</v>
      </c>
      <c r="C1159" s="41"/>
      <c r="D1159" s="26" t="str">
        <f>TRIM(INDEX(Orçamentária!C:C,MATCH(Composições!A1159,Orçamentária!A:A,0),1))</f>
        <v>un</v>
      </c>
      <c r="E1159" s="27"/>
      <c r="F1159" s="42" t="s">
        <v>568</v>
      </c>
      <c r="G1159" s="28" t="str">
        <f>IF(ISNUMBER(F1159),E1159*F1159,"")</f>
        <v/>
      </c>
      <c r="H1159" s="29"/>
      <c r="I1159" s="30"/>
      <c r="J1159" s="155">
        <v>1</v>
      </c>
    </row>
    <row r="1160" spans="1:10" x14ac:dyDescent="0.25">
      <c r="A1160" s="176"/>
      <c r="B1160" s="175"/>
      <c r="C1160" s="32"/>
      <c r="D1160" s="32"/>
      <c r="E1160" s="33"/>
      <c r="F1160" s="43" t="s">
        <v>568</v>
      </c>
      <c r="G1160" s="31" t="str">
        <f>IF(ISNUMBER(F1160),E1160*F1160,"")</f>
        <v/>
      </c>
      <c r="H1160" s="35"/>
      <c r="I1160" s="31"/>
      <c r="J1160" s="155">
        <v>1</v>
      </c>
    </row>
    <row r="1161" spans="1:10" x14ac:dyDescent="0.25">
      <c r="A1161" s="176"/>
      <c r="B1161" s="175"/>
      <c r="C1161" s="36" t="s">
        <v>376</v>
      </c>
      <c r="D1161" s="47" t="s">
        <v>297</v>
      </c>
      <c r="E1161" s="37">
        <v>3.32E-2</v>
      </c>
      <c r="F1161" s="34">
        <v>3.7049999999999996</v>
      </c>
      <c r="G1161" s="34">
        <f>IF(ISNUMBER(F1161),E1161*F1161,"")</f>
        <v>0.12300599999999999</v>
      </c>
      <c r="H1161" s="39">
        <f>SUM(G1161:G1164)</f>
        <v>185.97401210000001</v>
      </c>
      <c r="I1161" s="40"/>
      <c r="J1161" s="155">
        <v>1</v>
      </c>
    </row>
    <row r="1162" spans="1:10" x14ac:dyDescent="0.25">
      <c r="A1162" s="176"/>
      <c r="B1162" s="175"/>
      <c r="C1162" s="36" t="s">
        <v>23</v>
      </c>
      <c r="D1162" s="47" t="s">
        <v>12</v>
      </c>
      <c r="E1162" s="37">
        <v>8.6199999999999999E-2</v>
      </c>
      <c r="F1162" s="31">
        <v>16.311500000000002</v>
      </c>
      <c r="G1162" s="34">
        <f>IF(ISNUMBER(F1162),E1162*F1162,"")</f>
        <v>1.4060513000000001</v>
      </c>
      <c r="H1162" s="45"/>
      <c r="I1162" s="46"/>
      <c r="J1162" s="155">
        <v>1</v>
      </c>
    </row>
    <row r="1163" spans="1:10" x14ac:dyDescent="0.25">
      <c r="A1163" s="176"/>
      <c r="B1163" s="175"/>
      <c r="C1163" s="36" t="s">
        <v>39</v>
      </c>
      <c r="D1163" s="47" t="s">
        <v>12</v>
      </c>
      <c r="E1163" s="37">
        <v>0.27339999999999998</v>
      </c>
      <c r="F1163" s="31">
        <v>21.622</v>
      </c>
      <c r="G1163" s="34">
        <f>IF(ISNUMBER(F1163),E1163*F1163,"")</f>
        <v>5.9114547999999996</v>
      </c>
      <c r="H1163" s="35"/>
      <c r="I1163" s="31"/>
      <c r="J1163" s="155">
        <v>1</v>
      </c>
    </row>
    <row r="1164" spans="1:10" x14ac:dyDescent="0.25">
      <c r="A1164" s="176"/>
      <c r="B1164" s="175"/>
      <c r="C1164" s="36" t="s">
        <v>399</v>
      </c>
      <c r="D1164" s="36" t="s">
        <v>20</v>
      </c>
      <c r="E1164" s="37">
        <v>1</v>
      </c>
      <c r="F1164" s="34">
        <v>178.5335</v>
      </c>
      <c r="G1164" s="31">
        <f>IF(ISNUMBER(F1164),E1164*F1164,"")</f>
        <v>178.5335</v>
      </c>
      <c r="H1164" s="35"/>
      <c r="I1164" s="31"/>
      <c r="J1164" s="155">
        <v>1</v>
      </c>
    </row>
    <row r="1165" spans="1:10" ht="15.75" thickBot="1" x14ac:dyDescent="0.3">
      <c r="A1165" s="177"/>
      <c r="B1165" s="178"/>
      <c r="C1165" s="36"/>
      <c r="D1165" s="36"/>
      <c r="E1165" s="37"/>
      <c r="F1165" s="31" t="s">
        <v>568</v>
      </c>
      <c r="G1165" s="31" t="str">
        <f>IF(ISNUMBER(F1165),E1165*F1165,"")</f>
        <v/>
      </c>
      <c r="H1165" s="35"/>
      <c r="I1165" s="31"/>
      <c r="J1165" s="155">
        <v>1</v>
      </c>
    </row>
    <row r="1166" spans="1:10" ht="15.75" hidden="1" thickBot="1" x14ac:dyDescent="0.3">
      <c r="A1166" s="172" t="s">
        <v>400</v>
      </c>
      <c r="B1166" s="174" t="str">
        <f>INDEX(Orçamentária!A:B,MATCH(Composições!A1166,Orçamentária!A:A,0),2)</f>
        <v>Torneira de mesa para cozinha bica móvel – Linha Administrativa</v>
      </c>
      <c r="C1166" s="41"/>
      <c r="D1166" s="26" t="str">
        <f>TRIM(INDEX(Orçamentária!C:C,MATCH(Composições!A1166,Orçamentária!A:A,0),1))</f>
        <v>un</v>
      </c>
      <c r="E1166" s="27"/>
      <c r="F1166" s="42" t="s">
        <v>568</v>
      </c>
      <c r="G1166" s="28" t="str">
        <f>IF(ISNUMBER(F1166),E1166*F1166,"")</f>
        <v/>
      </c>
      <c r="H1166" s="29"/>
      <c r="I1166" s="30"/>
      <c r="J1166" s="155">
        <v>0</v>
      </c>
    </row>
    <row r="1167" spans="1:10" ht="15.75" hidden="1" thickBot="1" x14ac:dyDescent="0.3">
      <c r="A1167" s="176"/>
      <c r="B1167" s="175"/>
      <c r="C1167" s="32"/>
      <c r="D1167" s="32"/>
      <c r="E1167" s="33"/>
      <c r="F1167" s="43" t="s">
        <v>568</v>
      </c>
      <c r="G1167" s="31" t="str">
        <f>IF(ISNUMBER(F1167),E1167*F1167,"")</f>
        <v/>
      </c>
      <c r="H1167" s="35"/>
      <c r="I1167" s="31"/>
      <c r="J1167" s="155">
        <v>0</v>
      </c>
    </row>
    <row r="1168" spans="1:10" ht="15.75" hidden="1" thickBot="1" x14ac:dyDescent="0.3">
      <c r="A1168" s="176"/>
      <c r="B1168" s="175"/>
      <c r="C1168" s="36" t="s">
        <v>401</v>
      </c>
      <c r="D1168" s="47" t="s">
        <v>149</v>
      </c>
      <c r="E1168" s="37">
        <v>1</v>
      </c>
      <c r="F1168" s="34" t="s">
        <v>568</v>
      </c>
      <c r="G1168" s="34" t="str">
        <f>IF(ISNUMBER(F1168),E1168*F1168,"")</f>
        <v/>
      </c>
      <c r="H1168" s="39">
        <f>SUM(G1168:G1171)</f>
        <v>4.5385461500000002</v>
      </c>
      <c r="I1168" s="40"/>
      <c r="J1168" s="155">
        <v>0</v>
      </c>
    </row>
    <row r="1169" spans="1:10" ht="15.75" hidden="1" thickBot="1" x14ac:dyDescent="0.3">
      <c r="A1169" s="176"/>
      <c r="B1169" s="175"/>
      <c r="C1169" s="36" t="s">
        <v>376</v>
      </c>
      <c r="D1169" s="47" t="s">
        <v>297</v>
      </c>
      <c r="E1169" s="37">
        <v>2.1000000000000001E-2</v>
      </c>
      <c r="F1169" s="34">
        <v>3.7049999999999996</v>
      </c>
      <c r="G1169" s="34">
        <f>IF(ISNUMBER(F1169),E1169*F1169,"")</f>
        <v>7.7804999999999999E-2</v>
      </c>
      <c r="H1169" s="35"/>
      <c r="I1169" s="31"/>
      <c r="J1169" s="155">
        <v>0</v>
      </c>
    </row>
    <row r="1170" spans="1:10" ht="15.75" hidden="1" thickBot="1" x14ac:dyDescent="0.3">
      <c r="A1170" s="176"/>
      <c r="B1170" s="175"/>
      <c r="C1170" s="36" t="s">
        <v>39</v>
      </c>
      <c r="D1170" s="47" t="s">
        <v>12</v>
      </c>
      <c r="E1170" s="37">
        <v>0.16669999999999999</v>
      </c>
      <c r="F1170" s="31">
        <v>21.622</v>
      </c>
      <c r="G1170" s="34">
        <f>IF(ISNUMBER(F1170),E1170*F1170,"")</f>
        <v>3.6043873999999998</v>
      </c>
      <c r="H1170" s="35"/>
      <c r="I1170" s="31"/>
      <c r="J1170" s="155">
        <v>0</v>
      </c>
    </row>
    <row r="1171" spans="1:10" ht="15.75" hidden="1" thickBot="1" x14ac:dyDescent="0.3">
      <c r="A1171" s="176"/>
      <c r="B1171" s="175"/>
      <c r="C1171" s="36" t="s">
        <v>23</v>
      </c>
      <c r="D1171" s="47" t="s">
        <v>12</v>
      </c>
      <c r="E1171" s="37">
        <v>5.2499999999999998E-2</v>
      </c>
      <c r="F1171" s="31">
        <v>16.311500000000002</v>
      </c>
      <c r="G1171" s="34">
        <f>IF(ISNUMBER(F1171),E1171*F1171,"")</f>
        <v>0.85635375000000014</v>
      </c>
      <c r="H1171" s="35"/>
      <c r="I1171" s="31"/>
      <c r="J1171" s="155">
        <v>0</v>
      </c>
    </row>
    <row r="1172" spans="1:10" ht="15.75" hidden="1" thickBot="1" x14ac:dyDescent="0.3">
      <c r="A1172" s="177"/>
      <c r="B1172" s="178"/>
      <c r="C1172" s="36"/>
      <c r="D1172" s="36"/>
      <c r="E1172" s="37"/>
      <c r="F1172" s="31" t="s">
        <v>568</v>
      </c>
      <c r="G1172" s="31" t="str">
        <f>IF(ISNUMBER(F1172),E1172*F1172,"")</f>
        <v/>
      </c>
      <c r="H1172" s="35"/>
      <c r="I1172" s="31"/>
      <c r="J1172" s="155">
        <v>0</v>
      </c>
    </row>
    <row r="1173" spans="1:10" ht="15.75" hidden="1" thickBot="1" x14ac:dyDescent="0.3">
      <c r="A1173" s="172" t="s">
        <v>402</v>
      </c>
      <c r="B1173" s="174" t="str">
        <f>INDEX(Orçamentária!A:B,MATCH(Composições!A1173,Orçamentária!A:A,0),2)</f>
        <v>Torneira de mesa para cozinha bica móvel com arejador – Linha Administrativa</v>
      </c>
      <c r="C1173" s="41"/>
      <c r="D1173" s="26" t="str">
        <f>TRIM(INDEX(Orçamentária!C:C,MATCH(Composições!A1173,Orçamentária!A:A,0),1))</f>
        <v>un</v>
      </c>
      <c r="E1173" s="27"/>
      <c r="F1173" s="42" t="s">
        <v>568</v>
      </c>
      <c r="G1173" s="28" t="str">
        <f>IF(ISNUMBER(F1173),E1173*F1173,"")</f>
        <v/>
      </c>
      <c r="H1173" s="29"/>
      <c r="I1173" s="30"/>
      <c r="J1173" s="155">
        <v>0</v>
      </c>
    </row>
    <row r="1174" spans="1:10" ht="15.75" hidden="1" thickBot="1" x14ac:dyDescent="0.3">
      <c r="A1174" s="176"/>
      <c r="B1174" s="175"/>
      <c r="C1174" s="32"/>
      <c r="D1174" s="32"/>
      <c r="E1174" s="33"/>
      <c r="F1174" s="43" t="s">
        <v>568</v>
      </c>
      <c r="G1174" s="31" t="str">
        <f>IF(ISNUMBER(F1174),E1174*F1174,"")</f>
        <v/>
      </c>
      <c r="H1174" s="35"/>
      <c r="I1174" s="31"/>
      <c r="J1174" s="155">
        <v>0</v>
      </c>
    </row>
    <row r="1175" spans="1:10" ht="26.25" hidden="1" thickBot="1" x14ac:dyDescent="0.3">
      <c r="A1175" s="176"/>
      <c r="B1175" s="175"/>
      <c r="C1175" s="36" t="s">
        <v>403</v>
      </c>
      <c r="D1175" s="47" t="s">
        <v>149</v>
      </c>
      <c r="E1175" s="37">
        <v>1</v>
      </c>
      <c r="F1175" s="34" t="s">
        <v>568</v>
      </c>
      <c r="G1175" s="34" t="str">
        <f>IF(ISNUMBER(F1175),E1175*F1175,"")</f>
        <v/>
      </c>
      <c r="H1175" s="39">
        <f>SUM(G1175:G1178)</f>
        <v>4.5385461500000002</v>
      </c>
      <c r="I1175" s="40"/>
      <c r="J1175" s="155">
        <v>0</v>
      </c>
    </row>
    <row r="1176" spans="1:10" ht="15.75" hidden="1" thickBot="1" x14ac:dyDescent="0.3">
      <c r="A1176" s="176"/>
      <c r="B1176" s="175"/>
      <c r="C1176" s="36" t="s">
        <v>376</v>
      </c>
      <c r="D1176" s="47" t="s">
        <v>297</v>
      </c>
      <c r="E1176" s="37">
        <v>2.1000000000000001E-2</v>
      </c>
      <c r="F1176" s="34">
        <v>3.7049999999999996</v>
      </c>
      <c r="G1176" s="34">
        <f>IF(ISNUMBER(F1176),E1176*F1176,"")</f>
        <v>7.7804999999999999E-2</v>
      </c>
      <c r="H1176" s="35"/>
      <c r="I1176" s="31"/>
      <c r="J1176" s="155">
        <v>0</v>
      </c>
    </row>
    <row r="1177" spans="1:10" ht="15.75" hidden="1" thickBot="1" x14ac:dyDescent="0.3">
      <c r="A1177" s="176"/>
      <c r="B1177" s="175"/>
      <c r="C1177" s="36" t="s">
        <v>39</v>
      </c>
      <c r="D1177" s="47" t="s">
        <v>12</v>
      </c>
      <c r="E1177" s="37">
        <v>0.16669999999999999</v>
      </c>
      <c r="F1177" s="31">
        <v>21.622</v>
      </c>
      <c r="G1177" s="34">
        <f>IF(ISNUMBER(F1177),E1177*F1177,"")</f>
        <v>3.6043873999999998</v>
      </c>
      <c r="H1177" s="35"/>
      <c r="I1177" s="31"/>
      <c r="J1177" s="155">
        <v>0</v>
      </c>
    </row>
    <row r="1178" spans="1:10" ht="15.75" hidden="1" thickBot="1" x14ac:dyDescent="0.3">
      <c r="A1178" s="176"/>
      <c r="B1178" s="175"/>
      <c r="C1178" s="36" t="s">
        <v>23</v>
      </c>
      <c r="D1178" s="47" t="s">
        <v>12</v>
      </c>
      <c r="E1178" s="37">
        <v>5.2499999999999998E-2</v>
      </c>
      <c r="F1178" s="31">
        <v>16.311500000000002</v>
      </c>
      <c r="G1178" s="34">
        <f>IF(ISNUMBER(F1178),E1178*F1178,"")</f>
        <v>0.85635375000000014</v>
      </c>
      <c r="H1178" s="35"/>
      <c r="I1178" s="31"/>
      <c r="J1178" s="155">
        <v>0</v>
      </c>
    </row>
    <row r="1179" spans="1:10" ht="15.75" hidden="1" thickBot="1" x14ac:dyDescent="0.3">
      <c r="A1179" s="177"/>
      <c r="B1179" s="178"/>
      <c r="C1179" s="36"/>
      <c r="D1179" s="36"/>
      <c r="E1179" s="37"/>
      <c r="F1179" s="31" t="s">
        <v>568</v>
      </c>
      <c r="G1179" s="31" t="str">
        <f>IF(ISNUMBER(F1179),E1179*F1179,"")</f>
        <v/>
      </c>
      <c r="H1179" s="35"/>
      <c r="I1179" s="31"/>
      <c r="J1179" s="155">
        <v>0</v>
      </c>
    </row>
    <row r="1180" spans="1:10" ht="15.75" hidden="1" thickBot="1" x14ac:dyDescent="0.3">
      <c r="A1180" s="172" t="s">
        <v>404</v>
      </c>
      <c r="B1180" s="174" t="str">
        <f>INDEX(Orçamentária!A:B,MATCH(Composições!A1180,Orçamentária!A:A,0),2)</f>
        <v>Torneira de mesa para lavatório – Linha Acessibilidade</v>
      </c>
      <c r="C1180" s="41"/>
      <c r="D1180" s="26" t="str">
        <f>TRIM(INDEX(Orçamentária!C:C,MATCH(Composições!A1180,Orçamentária!A:A,0),1))</f>
        <v>un</v>
      </c>
      <c r="E1180" s="27"/>
      <c r="F1180" s="42" t="s">
        <v>568</v>
      </c>
      <c r="G1180" s="28" t="str">
        <f>IF(ISNUMBER(F1180),E1180*F1180,"")</f>
        <v/>
      </c>
      <c r="H1180" s="29"/>
      <c r="I1180" s="30"/>
      <c r="J1180" s="155">
        <v>0</v>
      </c>
    </row>
    <row r="1181" spans="1:10" ht="15.75" hidden="1" thickBot="1" x14ac:dyDescent="0.3">
      <c r="A1181" s="176"/>
      <c r="B1181" s="175"/>
      <c r="C1181" s="32"/>
      <c r="D1181" s="32"/>
      <c r="E1181" s="33"/>
      <c r="F1181" s="43" t="s">
        <v>568</v>
      </c>
      <c r="G1181" s="31" t="str">
        <f>IF(ISNUMBER(F1181),E1181*F1181,"")</f>
        <v/>
      </c>
      <c r="H1181" s="35"/>
      <c r="I1181" s="31"/>
      <c r="J1181" s="155">
        <v>0</v>
      </c>
    </row>
    <row r="1182" spans="1:10" ht="26.25" hidden="1" thickBot="1" x14ac:dyDescent="0.3">
      <c r="A1182" s="176"/>
      <c r="B1182" s="175"/>
      <c r="C1182" s="36" t="s">
        <v>405</v>
      </c>
      <c r="D1182" s="47" t="s">
        <v>149</v>
      </c>
      <c r="E1182" s="37">
        <v>1</v>
      </c>
      <c r="F1182" s="34" t="s">
        <v>568</v>
      </c>
      <c r="G1182" s="34" t="str">
        <f>IF(ISNUMBER(F1182),E1182*F1182,"")</f>
        <v/>
      </c>
      <c r="H1182" s="39">
        <f>SUM(G1182:G1185)</f>
        <v>2.6477554500000005</v>
      </c>
      <c r="I1182" s="40"/>
      <c r="J1182" s="155">
        <v>0</v>
      </c>
    </row>
    <row r="1183" spans="1:10" ht="15.75" hidden="1" thickBot="1" x14ac:dyDescent="0.3">
      <c r="A1183" s="176"/>
      <c r="B1183" s="175"/>
      <c r="C1183" s="36" t="s">
        <v>376</v>
      </c>
      <c r="D1183" s="47" t="s">
        <v>297</v>
      </c>
      <c r="E1183" s="37">
        <v>2.1000000000000001E-2</v>
      </c>
      <c r="F1183" s="34">
        <v>3.7049999999999996</v>
      </c>
      <c r="G1183" s="34">
        <f>IF(ISNUMBER(F1183),E1183*F1183,"")</f>
        <v>7.7804999999999999E-2</v>
      </c>
      <c r="H1183" s="35"/>
      <c r="I1183" s="31"/>
      <c r="J1183" s="155">
        <v>0</v>
      </c>
    </row>
    <row r="1184" spans="1:10" ht="15.75" hidden="1" thickBot="1" x14ac:dyDescent="0.3">
      <c r="A1184" s="176"/>
      <c r="B1184" s="175"/>
      <c r="C1184" s="36" t="s">
        <v>39</v>
      </c>
      <c r="D1184" s="47" t="s">
        <v>12</v>
      </c>
      <c r="E1184" s="37">
        <v>9.6000000000000002E-2</v>
      </c>
      <c r="F1184" s="31">
        <v>21.622</v>
      </c>
      <c r="G1184" s="34">
        <f>IF(ISNUMBER(F1184),E1184*F1184,"")</f>
        <v>2.0757120000000002</v>
      </c>
      <c r="H1184" s="35"/>
      <c r="I1184" s="31"/>
      <c r="J1184" s="155">
        <v>0</v>
      </c>
    </row>
    <row r="1185" spans="1:10" ht="15.75" hidden="1" thickBot="1" x14ac:dyDescent="0.3">
      <c r="A1185" s="176"/>
      <c r="B1185" s="175"/>
      <c r="C1185" s="36" t="s">
        <v>23</v>
      </c>
      <c r="D1185" s="47" t="s">
        <v>12</v>
      </c>
      <c r="E1185" s="37">
        <v>3.0300000000000001E-2</v>
      </c>
      <c r="F1185" s="31">
        <v>16.311500000000002</v>
      </c>
      <c r="G1185" s="34">
        <f>IF(ISNUMBER(F1185),E1185*F1185,"")</f>
        <v>0.49423845000000011</v>
      </c>
      <c r="H1185" s="35"/>
      <c r="I1185" s="31"/>
      <c r="J1185" s="155">
        <v>0</v>
      </c>
    </row>
    <row r="1186" spans="1:10" ht="15.75" hidden="1" thickBot="1" x14ac:dyDescent="0.3">
      <c r="A1186" s="177"/>
      <c r="B1186" s="178"/>
      <c r="C1186" s="36"/>
      <c r="D1186" s="36"/>
      <c r="E1186" s="37"/>
      <c r="F1186" s="31" t="s">
        <v>568</v>
      </c>
      <c r="G1186" s="31" t="str">
        <f>IF(ISNUMBER(F1186),E1186*F1186,"")</f>
        <v/>
      </c>
      <c r="H1186" s="35"/>
      <c r="I1186" s="31"/>
      <c r="J1186" s="155">
        <v>0</v>
      </c>
    </row>
    <row r="1187" spans="1:10" ht="15.75" hidden="1" thickBot="1" x14ac:dyDescent="0.3">
      <c r="A1187" s="172" t="s">
        <v>406</v>
      </c>
      <c r="B1187" s="174" t="str">
        <f>INDEX(Orçamentária!A:B,MATCH(Composições!A1187,Orçamentária!A:A,0),2)</f>
        <v>Torneira de mesa para lavatório bica alta – Linha Administrativa</v>
      </c>
      <c r="C1187" s="41"/>
      <c r="D1187" s="26" t="str">
        <f>TRIM(INDEX(Orçamentária!C:C,MATCH(Composições!A1187,Orçamentária!A:A,0),1))</f>
        <v>un</v>
      </c>
      <c r="E1187" s="27"/>
      <c r="F1187" s="42" t="s">
        <v>568</v>
      </c>
      <c r="G1187" s="28" t="str">
        <f>IF(ISNUMBER(F1187),E1187*F1187,"")</f>
        <v/>
      </c>
      <c r="H1187" s="29"/>
      <c r="I1187" s="30"/>
      <c r="J1187" s="155">
        <v>0</v>
      </c>
    </row>
    <row r="1188" spans="1:10" ht="15.75" hidden="1" thickBot="1" x14ac:dyDescent="0.3">
      <c r="A1188" s="176"/>
      <c r="B1188" s="175"/>
      <c r="C1188" s="32"/>
      <c r="D1188" s="32"/>
      <c r="E1188" s="33"/>
      <c r="F1188" s="43" t="s">
        <v>568</v>
      </c>
      <c r="G1188" s="31" t="str">
        <f>IF(ISNUMBER(F1188),E1188*F1188,"")</f>
        <v/>
      </c>
      <c r="H1188" s="35"/>
      <c r="I1188" s="31"/>
      <c r="J1188" s="155">
        <v>0</v>
      </c>
    </row>
    <row r="1189" spans="1:10" ht="26.25" hidden="1" thickBot="1" x14ac:dyDescent="0.3">
      <c r="A1189" s="176"/>
      <c r="B1189" s="175"/>
      <c r="C1189" s="36" t="s">
        <v>407</v>
      </c>
      <c r="D1189" s="47" t="s">
        <v>149</v>
      </c>
      <c r="E1189" s="37">
        <v>1</v>
      </c>
      <c r="F1189" s="34" t="s">
        <v>568</v>
      </c>
      <c r="G1189" s="34" t="str">
        <f>IF(ISNUMBER(F1189),E1189*F1189,"")</f>
        <v/>
      </c>
      <c r="H1189" s="39">
        <f>SUM(G1189:G1192)</f>
        <v>2.6477554500000005</v>
      </c>
      <c r="I1189" s="40"/>
      <c r="J1189" s="155">
        <v>0</v>
      </c>
    </row>
    <row r="1190" spans="1:10" ht="15.75" hidden="1" thickBot="1" x14ac:dyDescent="0.3">
      <c r="A1190" s="176"/>
      <c r="B1190" s="175"/>
      <c r="C1190" s="36" t="s">
        <v>376</v>
      </c>
      <c r="D1190" s="47" t="s">
        <v>297</v>
      </c>
      <c r="E1190" s="37">
        <v>2.1000000000000001E-2</v>
      </c>
      <c r="F1190" s="34">
        <v>3.7049999999999996</v>
      </c>
      <c r="G1190" s="34">
        <f>IF(ISNUMBER(F1190),E1190*F1190,"")</f>
        <v>7.7804999999999999E-2</v>
      </c>
      <c r="H1190" s="35"/>
      <c r="I1190" s="31"/>
      <c r="J1190" s="155">
        <v>0</v>
      </c>
    </row>
    <row r="1191" spans="1:10" ht="15.75" hidden="1" thickBot="1" x14ac:dyDescent="0.3">
      <c r="A1191" s="176"/>
      <c r="B1191" s="175"/>
      <c r="C1191" s="36" t="s">
        <v>39</v>
      </c>
      <c r="D1191" s="47" t="s">
        <v>12</v>
      </c>
      <c r="E1191" s="37">
        <v>9.6000000000000002E-2</v>
      </c>
      <c r="F1191" s="31">
        <v>21.622</v>
      </c>
      <c r="G1191" s="34">
        <f>IF(ISNUMBER(F1191),E1191*F1191,"")</f>
        <v>2.0757120000000002</v>
      </c>
      <c r="H1191" s="35"/>
      <c r="I1191" s="31"/>
      <c r="J1191" s="155">
        <v>0</v>
      </c>
    </row>
    <row r="1192" spans="1:10" ht="15.75" hidden="1" thickBot="1" x14ac:dyDescent="0.3">
      <c r="A1192" s="176"/>
      <c r="B1192" s="175"/>
      <c r="C1192" s="36" t="s">
        <v>23</v>
      </c>
      <c r="D1192" s="47" t="s">
        <v>12</v>
      </c>
      <c r="E1192" s="37">
        <v>3.0300000000000001E-2</v>
      </c>
      <c r="F1192" s="31">
        <v>16.311500000000002</v>
      </c>
      <c r="G1192" s="34">
        <f>IF(ISNUMBER(F1192),E1192*F1192,"")</f>
        <v>0.49423845000000011</v>
      </c>
      <c r="H1192" s="35"/>
      <c r="I1192" s="31"/>
      <c r="J1192" s="155">
        <v>0</v>
      </c>
    </row>
    <row r="1193" spans="1:10" ht="15.75" hidden="1" thickBot="1" x14ac:dyDescent="0.3">
      <c r="A1193" s="177"/>
      <c r="B1193" s="178"/>
      <c r="C1193" s="36"/>
      <c r="D1193" s="36"/>
      <c r="E1193" s="37"/>
      <c r="F1193" s="31" t="s">
        <v>568</v>
      </c>
      <c r="G1193" s="31" t="str">
        <f>IF(ISNUMBER(F1193),E1193*F1193,"")</f>
        <v/>
      </c>
      <c r="H1193" s="35"/>
      <c r="I1193" s="31"/>
      <c r="J1193" s="155">
        <v>0</v>
      </c>
    </row>
    <row r="1194" spans="1:10" ht="15.75" hidden="1" thickBot="1" x14ac:dyDescent="0.3">
      <c r="A1194" s="172" t="s">
        <v>408</v>
      </c>
      <c r="B1194" s="174" t="str">
        <f>INDEX(Orçamentária!A:B,MATCH(Composições!A1194,Orçamentária!A:A,0),2)</f>
        <v>Torneira de mesa para lavatório bica baixa – Linha Administrativa</v>
      </c>
      <c r="C1194" s="41"/>
      <c r="D1194" s="26" t="str">
        <f>TRIM(INDEX(Orçamentária!C:C,MATCH(Composições!A1194,Orçamentária!A:A,0),1))</f>
        <v>un</v>
      </c>
      <c r="E1194" s="27"/>
      <c r="F1194" s="42" t="s">
        <v>568</v>
      </c>
      <c r="G1194" s="28" t="str">
        <f>IF(ISNUMBER(F1194),E1194*F1194,"")</f>
        <v/>
      </c>
      <c r="H1194" s="29"/>
      <c r="I1194" s="30"/>
      <c r="J1194" s="155">
        <v>0</v>
      </c>
    </row>
    <row r="1195" spans="1:10" ht="15.75" hidden="1" thickBot="1" x14ac:dyDescent="0.3">
      <c r="A1195" s="176"/>
      <c r="B1195" s="175"/>
      <c r="C1195" s="32"/>
      <c r="D1195" s="32"/>
      <c r="E1195" s="33"/>
      <c r="F1195" s="43" t="s">
        <v>568</v>
      </c>
      <c r="G1195" s="31" t="str">
        <f>IF(ISNUMBER(F1195),E1195*F1195,"")</f>
        <v/>
      </c>
      <c r="H1195" s="35"/>
      <c r="I1195" s="31"/>
      <c r="J1195" s="155">
        <v>0</v>
      </c>
    </row>
    <row r="1196" spans="1:10" ht="26.25" hidden="1" thickBot="1" x14ac:dyDescent="0.3">
      <c r="A1196" s="176"/>
      <c r="B1196" s="175"/>
      <c r="C1196" s="36" t="s">
        <v>409</v>
      </c>
      <c r="D1196" s="47" t="s">
        <v>149</v>
      </c>
      <c r="E1196" s="37">
        <v>1</v>
      </c>
      <c r="F1196" s="34" t="s">
        <v>568</v>
      </c>
      <c r="G1196" s="34" t="str">
        <f>IF(ISNUMBER(F1196),E1196*F1196,"")</f>
        <v/>
      </c>
      <c r="H1196" s="39">
        <f>SUM(G1196:G1199)</f>
        <v>2.6477554500000005</v>
      </c>
      <c r="I1196" s="40"/>
      <c r="J1196" s="155">
        <v>0</v>
      </c>
    </row>
    <row r="1197" spans="1:10" ht="15.75" hidden="1" thickBot="1" x14ac:dyDescent="0.3">
      <c r="A1197" s="176"/>
      <c r="B1197" s="175"/>
      <c r="C1197" s="36" t="s">
        <v>376</v>
      </c>
      <c r="D1197" s="47" t="s">
        <v>297</v>
      </c>
      <c r="E1197" s="37">
        <v>2.1000000000000001E-2</v>
      </c>
      <c r="F1197" s="34">
        <v>3.7049999999999996</v>
      </c>
      <c r="G1197" s="34">
        <f>IF(ISNUMBER(F1197),E1197*F1197,"")</f>
        <v>7.7804999999999999E-2</v>
      </c>
      <c r="H1197" s="35"/>
      <c r="I1197" s="31"/>
      <c r="J1197" s="155">
        <v>0</v>
      </c>
    </row>
    <row r="1198" spans="1:10" ht="15.75" hidden="1" thickBot="1" x14ac:dyDescent="0.3">
      <c r="A1198" s="176"/>
      <c r="B1198" s="175"/>
      <c r="C1198" s="36" t="s">
        <v>39</v>
      </c>
      <c r="D1198" s="47" t="s">
        <v>12</v>
      </c>
      <c r="E1198" s="37">
        <v>9.6000000000000002E-2</v>
      </c>
      <c r="F1198" s="31">
        <v>21.622</v>
      </c>
      <c r="G1198" s="34">
        <f>IF(ISNUMBER(F1198),E1198*F1198,"")</f>
        <v>2.0757120000000002</v>
      </c>
      <c r="H1198" s="35"/>
      <c r="I1198" s="31"/>
      <c r="J1198" s="155">
        <v>0</v>
      </c>
    </row>
    <row r="1199" spans="1:10" ht="15.75" hidden="1" thickBot="1" x14ac:dyDescent="0.3">
      <c r="A1199" s="176"/>
      <c r="B1199" s="175"/>
      <c r="C1199" s="36" t="s">
        <v>23</v>
      </c>
      <c r="D1199" s="47" t="s">
        <v>12</v>
      </c>
      <c r="E1199" s="37">
        <v>3.0300000000000001E-2</v>
      </c>
      <c r="F1199" s="31">
        <v>16.311500000000002</v>
      </c>
      <c r="G1199" s="34">
        <f>IF(ISNUMBER(F1199),E1199*F1199,"")</f>
        <v>0.49423845000000011</v>
      </c>
      <c r="H1199" s="35"/>
      <c r="I1199" s="31"/>
      <c r="J1199" s="155">
        <v>0</v>
      </c>
    </row>
    <row r="1200" spans="1:10" ht="15.75" hidden="1" thickBot="1" x14ac:dyDescent="0.3">
      <c r="A1200" s="177"/>
      <c r="B1200" s="178"/>
      <c r="C1200" s="36"/>
      <c r="D1200" s="36"/>
      <c r="E1200" s="37"/>
      <c r="F1200" s="31" t="s">
        <v>568</v>
      </c>
      <c r="G1200" s="31" t="str">
        <f>IF(ISNUMBER(F1200),E1200*F1200,"")</f>
        <v/>
      </c>
      <c r="H1200" s="35"/>
      <c r="I1200" s="31"/>
      <c r="J1200" s="155">
        <v>0</v>
      </c>
    </row>
    <row r="1201" spans="1:10" ht="15.75" hidden="1" thickBot="1" x14ac:dyDescent="0.3">
      <c r="A1201" s="172" t="s">
        <v>410</v>
      </c>
      <c r="B1201" s="174" t="str">
        <f>INDEX(Orçamentária!A:B,MATCH(Composições!A1201,Orçamentária!A:A,0),2)</f>
        <v>Torneira de mesa para lavatório com fechamento automático – Linha Administrativa</v>
      </c>
      <c r="C1201" s="41"/>
      <c r="D1201" s="26" t="str">
        <f>TRIM(INDEX(Orçamentária!C:C,MATCH(Composições!A1201,Orçamentária!A:A,0),1))</f>
        <v>un</v>
      </c>
      <c r="E1201" s="27"/>
      <c r="F1201" s="42" t="s">
        <v>568</v>
      </c>
      <c r="G1201" s="28" t="str">
        <f>IF(ISNUMBER(F1201),E1201*F1201,"")</f>
        <v/>
      </c>
      <c r="H1201" s="29"/>
      <c r="I1201" s="30"/>
      <c r="J1201" s="155">
        <v>0</v>
      </c>
    </row>
    <row r="1202" spans="1:10" ht="15.75" hidden="1" thickBot="1" x14ac:dyDescent="0.3">
      <c r="A1202" s="176"/>
      <c r="B1202" s="175"/>
      <c r="C1202" s="32"/>
      <c r="D1202" s="32"/>
      <c r="E1202" s="33"/>
      <c r="F1202" s="43" t="s">
        <v>568</v>
      </c>
      <c r="G1202" s="31" t="str">
        <f>IF(ISNUMBER(F1202),E1202*F1202,"")</f>
        <v/>
      </c>
      <c r="H1202" s="35"/>
      <c r="I1202" s="31"/>
      <c r="J1202" s="155">
        <v>0</v>
      </c>
    </row>
    <row r="1203" spans="1:10" ht="26.25" hidden="1" thickBot="1" x14ac:dyDescent="0.3">
      <c r="A1203" s="176"/>
      <c r="B1203" s="175"/>
      <c r="C1203" s="36" t="s">
        <v>411</v>
      </c>
      <c r="D1203" s="47" t="s">
        <v>297</v>
      </c>
      <c r="E1203" s="37">
        <v>1</v>
      </c>
      <c r="F1203" s="34">
        <v>158.441</v>
      </c>
      <c r="G1203" s="34">
        <f>IF(ISNUMBER(F1203),E1203*F1203,"")</f>
        <v>158.441</v>
      </c>
      <c r="H1203" s="39">
        <f>SUM(G1203:G1206)</f>
        <v>161.08875545000004</v>
      </c>
      <c r="I1203" s="40"/>
      <c r="J1203" s="155">
        <v>0</v>
      </c>
    </row>
    <row r="1204" spans="1:10" ht="15.75" hidden="1" thickBot="1" x14ac:dyDescent="0.3">
      <c r="A1204" s="176"/>
      <c r="B1204" s="175"/>
      <c r="C1204" s="36" t="s">
        <v>376</v>
      </c>
      <c r="D1204" s="47" t="s">
        <v>297</v>
      </c>
      <c r="E1204" s="37">
        <v>2.1000000000000001E-2</v>
      </c>
      <c r="F1204" s="34">
        <v>3.7049999999999996</v>
      </c>
      <c r="G1204" s="34">
        <f>IF(ISNUMBER(F1204),E1204*F1204,"")</f>
        <v>7.7804999999999999E-2</v>
      </c>
      <c r="H1204" s="35"/>
      <c r="I1204" s="31"/>
      <c r="J1204" s="155">
        <v>0</v>
      </c>
    </row>
    <row r="1205" spans="1:10" ht="15.75" hidden="1" thickBot="1" x14ac:dyDescent="0.3">
      <c r="A1205" s="176"/>
      <c r="B1205" s="175"/>
      <c r="C1205" s="36" t="s">
        <v>39</v>
      </c>
      <c r="D1205" s="47" t="s">
        <v>12</v>
      </c>
      <c r="E1205" s="37">
        <v>9.6000000000000002E-2</v>
      </c>
      <c r="F1205" s="31">
        <v>21.622</v>
      </c>
      <c r="G1205" s="34">
        <f>IF(ISNUMBER(F1205),E1205*F1205,"")</f>
        <v>2.0757120000000002</v>
      </c>
      <c r="H1205" s="35"/>
      <c r="I1205" s="31"/>
      <c r="J1205" s="155">
        <v>0</v>
      </c>
    </row>
    <row r="1206" spans="1:10" ht="15.75" hidden="1" thickBot="1" x14ac:dyDescent="0.3">
      <c r="A1206" s="176"/>
      <c r="B1206" s="175"/>
      <c r="C1206" s="36" t="s">
        <v>23</v>
      </c>
      <c r="D1206" s="47" t="s">
        <v>12</v>
      </c>
      <c r="E1206" s="37">
        <v>3.0300000000000001E-2</v>
      </c>
      <c r="F1206" s="31">
        <v>16.311500000000002</v>
      </c>
      <c r="G1206" s="34">
        <f>IF(ISNUMBER(F1206),E1206*F1206,"")</f>
        <v>0.49423845000000011</v>
      </c>
      <c r="H1206" s="35"/>
      <c r="I1206" s="31"/>
      <c r="J1206" s="155">
        <v>0</v>
      </c>
    </row>
    <row r="1207" spans="1:10" ht="15.75" hidden="1" thickBot="1" x14ac:dyDescent="0.3">
      <c r="A1207" s="177"/>
      <c r="B1207" s="178"/>
      <c r="C1207" s="36"/>
      <c r="D1207" s="36"/>
      <c r="E1207" s="37"/>
      <c r="F1207" s="31" t="s">
        <v>568</v>
      </c>
      <c r="G1207" s="31" t="str">
        <f>IF(ISNUMBER(F1207),E1207*F1207,"")</f>
        <v/>
      </c>
      <c r="H1207" s="35"/>
      <c r="I1207" s="31"/>
      <c r="J1207" s="155">
        <v>0</v>
      </c>
    </row>
    <row r="1208" spans="1:10" ht="15.75" hidden="1" thickBot="1" x14ac:dyDescent="0.3">
      <c r="A1208" s="172" t="s">
        <v>412</v>
      </c>
      <c r="B1208" s="174" t="str">
        <f>INDEX(Orçamentária!A:B,MATCH(Composições!A1208,Orçamentária!A:A,0),2)</f>
        <v>Torneira de parede para cozinha bica móvel – Linha Administrativa</v>
      </c>
      <c r="C1208" s="41"/>
      <c r="D1208" s="26" t="str">
        <f>TRIM(INDEX(Orçamentária!C:C,MATCH(Composições!A1208,Orçamentária!A:A,0),1))</f>
        <v>un</v>
      </c>
      <c r="E1208" s="27"/>
      <c r="F1208" s="42" t="s">
        <v>568</v>
      </c>
      <c r="G1208" s="28" t="str">
        <f>IF(ISNUMBER(F1208),E1208*F1208,"")</f>
        <v/>
      </c>
      <c r="H1208" s="29"/>
      <c r="I1208" s="30"/>
      <c r="J1208" s="155">
        <v>0</v>
      </c>
    </row>
    <row r="1209" spans="1:10" ht="15.75" hidden="1" thickBot="1" x14ac:dyDescent="0.3">
      <c r="A1209" s="176"/>
      <c r="B1209" s="175"/>
      <c r="C1209" s="32"/>
      <c r="D1209" s="32"/>
      <c r="E1209" s="33"/>
      <c r="F1209" s="43" t="s">
        <v>568</v>
      </c>
      <c r="G1209" s="31" t="str">
        <f>IF(ISNUMBER(F1209),E1209*F1209,"")</f>
        <v/>
      </c>
      <c r="H1209" s="35"/>
      <c r="I1209" s="31"/>
      <c r="J1209" s="155">
        <v>0</v>
      </c>
    </row>
    <row r="1210" spans="1:10" ht="26.25" hidden="1" thickBot="1" x14ac:dyDescent="0.3">
      <c r="A1210" s="176"/>
      <c r="B1210" s="175"/>
      <c r="C1210" s="36" t="s">
        <v>413</v>
      </c>
      <c r="D1210" s="47" t="s">
        <v>149</v>
      </c>
      <c r="E1210" s="37">
        <v>1</v>
      </c>
      <c r="F1210" s="34" t="s">
        <v>568</v>
      </c>
      <c r="G1210" s="34" t="str">
        <f>IF(ISNUMBER(F1210),E1210*F1210,"")</f>
        <v/>
      </c>
      <c r="H1210" s="39">
        <f>SUM(G1210:G1213)</f>
        <v>3.19323785</v>
      </c>
      <c r="I1210" s="40"/>
      <c r="J1210" s="155">
        <v>0</v>
      </c>
    </row>
    <row r="1211" spans="1:10" ht="15.75" hidden="1" thickBot="1" x14ac:dyDescent="0.3">
      <c r="A1211" s="176"/>
      <c r="B1211" s="175"/>
      <c r="C1211" s="36" t="s">
        <v>376</v>
      </c>
      <c r="D1211" s="47" t="s">
        <v>297</v>
      </c>
      <c r="E1211" s="37">
        <v>2.1000000000000001E-2</v>
      </c>
      <c r="F1211" s="34">
        <v>3.7049999999999996</v>
      </c>
      <c r="G1211" s="34">
        <f>IF(ISNUMBER(F1211),E1211*F1211,"")</f>
        <v>7.7804999999999999E-2</v>
      </c>
      <c r="H1211" s="35"/>
      <c r="I1211" s="31"/>
      <c r="J1211" s="155">
        <v>0</v>
      </c>
    </row>
    <row r="1212" spans="1:10" ht="15.75" hidden="1" thickBot="1" x14ac:dyDescent="0.3">
      <c r="A1212" s="176"/>
      <c r="B1212" s="175"/>
      <c r="C1212" s="36" t="s">
        <v>39</v>
      </c>
      <c r="D1212" s="47" t="s">
        <v>12</v>
      </c>
      <c r="E1212" s="37">
        <v>0.1164</v>
      </c>
      <c r="F1212" s="31">
        <v>21.622</v>
      </c>
      <c r="G1212" s="34">
        <f>IF(ISNUMBER(F1212),E1212*F1212,"")</f>
        <v>2.5168007999999999</v>
      </c>
      <c r="H1212" s="35"/>
      <c r="I1212" s="31"/>
      <c r="J1212" s="155">
        <v>0</v>
      </c>
    </row>
    <row r="1213" spans="1:10" ht="15.75" hidden="1" thickBot="1" x14ac:dyDescent="0.3">
      <c r="A1213" s="176"/>
      <c r="B1213" s="175"/>
      <c r="C1213" s="36" t="s">
        <v>23</v>
      </c>
      <c r="D1213" s="47" t="s">
        <v>12</v>
      </c>
      <c r="E1213" s="37">
        <v>3.6700000000000003E-2</v>
      </c>
      <c r="F1213" s="31">
        <v>16.311500000000002</v>
      </c>
      <c r="G1213" s="34">
        <f>IF(ISNUMBER(F1213),E1213*F1213,"")</f>
        <v>0.59863205000000019</v>
      </c>
      <c r="H1213" s="35"/>
      <c r="I1213" s="31"/>
      <c r="J1213" s="155">
        <v>0</v>
      </c>
    </row>
    <row r="1214" spans="1:10" ht="15.75" hidden="1" thickBot="1" x14ac:dyDescent="0.3">
      <c r="A1214" s="177"/>
      <c r="B1214" s="178"/>
      <c r="C1214" s="36"/>
      <c r="D1214" s="36"/>
      <c r="E1214" s="37"/>
      <c r="F1214" s="31" t="s">
        <v>568</v>
      </c>
      <c r="G1214" s="31" t="str">
        <f>IF(ISNUMBER(F1214),E1214*F1214,"")</f>
        <v/>
      </c>
      <c r="H1214" s="35"/>
      <c r="I1214" s="31"/>
      <c r="J1214" s="155">
        <v>0</v>
      </c>
    </row>
    <row r="1215" spans="1:10" ht="15.75" thickBot="1" x14ac:dyDescent="0.3">
      <c r="A1215" s="172" t="s">
        <v>414</v>
      </c>
      <c r="B1215" s="174" t="str">
        <f>INDEX(Orçamentária!A:B,MATCH(Composições!A1215,Orçamentária!A:A,0),2)</f>
        <v>Torneira de parede para tanque – Linha Administrativa</v>
      </c>
      <c r="C1215" s="41"/>
      <c r="D1215" s="26" t="str">
        <f>TRIM(INDEX(Orçamentária!C:C,MATCH(Composições!A1215,Orçamentária!A:A,0),1))</f>
        <v>un</v>
      </c>
      <c r="E1215" s="27"/>
      <c r="F1215" s="42" t="s">
        <v>568</v>
      </c>
      <c r="G1215" s="28" t="str">
        <f>IF(ISNUMBER(F1215),E1215*F1215,"")</f>
        <v/>
      </c>
      <c r="H1215" s="29"/>
      <c r="I1215" s="30"/>
      <c r="J1215" s="155">
        <v>2</v>
      </c>
    </row>
    <row r="1216" spans="1:10" x14ac:dyDescent="0.25">
      <c r="A1216" s="176"/>
      <c r="B1216" s="175"/>
      <c r="C1216" s="32"/>
      <c r="D1216" s="32"/>
      <c r="E1216" s="33"/>
      <c r="F1216" s="43" t="s">
        <v>568</v>
      </c>
      <c r="G1216" s="31" t="str">
        <f>IF(ISNUMBER(F1216),E1216*F1216,"")</f>
        <v/>
      </c>
      <c r="H1216" s="35"/>
      <c r="I1216" s="31"/>
      <c r="J1216" s="155">
        <v>2</v>
      </c>
    </row>
    <row r="1217" spans="1:10" x14ac:dyDescent="0.25">
      <c r="A1217" s="176"/>
      <c r="B1217" s="175"/>
      <c r="C1217" s="36" t="s">
        <v>376</v>
      </c>
      <c r="D1217" s="47" t="s">
        <v>297</v>
      </c>
      <c r="E1217" s="37">
        <v>2.1000000000000001E-2</v>
      </c>
      <c r="F1217" s="34">
        <v>3.7049999999999996</v>
      </c>
      <c r="G1217" s="34">
        <f>IF(ISNUMBER(F1217),E1217*F1217,"")</f>
        <v>7.7804999999999999E-2</v>
      </c>
      <c r="H1217" s="39">
        <f>SUM(G1217:G1220)</f>
        <v>60.532743150000002</v>
      </c>
      <c r="I1217" s="40"/>
      <c r="J1217" s="155">
        <v>2</v>
      </c>
    </row>
    <row r="1218" spans="1:10" x14ac:dyDescent="0.25">
      <c r="A1218" s="176"/>
      <c r="B1218" s="175"/>
      <c r="C1218" s="36" t="s">
        <v>39</v>
      </c>
      <c r="D1218" s="47" t="s">
        <v>12</v>
      </c>
      <c r="E1218" s="37">
        <v>0.1525</v>
      </c>
      <c r="F1218" s="31">
        <v>21.622</v>
      </c>
      <c r="G1218" s="34">
        <f>IF(ISNUMBER(F1218),E1218*F1218,"")</f>
        <v>3.297355</v>
      </c>
      <c r="H1218" s="35"/>
      <c r="I1218" s="31"/>
      <c r="J1218" s="155">
        <v>2</v>
      </c>
    </row>
    <row r="1219" spans="1:10" x14ac:dyDescent="0.25">
      <c r="A1219" s="176"/>
      <c r="B1219" s="175"/>
      <c r="C1219" s="36" t="s">
        <v>23</v>
      </c>
      <c r="D1219" s="36" t="s">
        <v>12</v>
      </c>
      <c r="E1219" s="37">
        <v>4.8099999999999997E-2</v>
      </c>
      <c r="F1219" s="31">
        <v>16.311500000000002</v>
      </c>
      <c r="G1219" s="34">
        <f>IF(ISNUMBER(F1219),E1219*F1219,"")</f>
        <v>0.78458315000000001</v>
      </c>
      <c r="H1219" s="35"/>
      <c r="I1219" s="31"/>
      <c r="J1219" s="155">
        <v>2</v>
      </c>
    </row>
    <row r="1220" spans="1:10" x14ac:dyDescent="0.25">
      <c r="A1220" s="176"/>
      <c r="B1220" s="175"/>
      <c r="C1220" s="36" t="s">
        <v>415</v>
      </c>
      <c r="D1220" s="36" t="s">
        <v>20</v>
      </c>
      <c r="E1220" s="37">
        <v>1</v>
      </c>
      <c r="F1220" s="34">
        <v>56.372999999999998</v>
      </c>
      <c r="G1220" s="31">
        <f>IF(ISNUMBER(F1220),E1220*F1220,"")</f>
        <v>56.372999999999998</v>
      </c>
      <c r="H1220" s="35"/>
      <c r="I1220" s="31"/>
      <c r="J1220" s="155">
        <v>2</v>
      </c>
    </row>
    <row r="1221" spans="1:10" ht="15.75" thickBot="1" x14ac:dyDescent="0.3">
      <c r="A1221" s="177"/>
      <c r="B1221" s="178"/>
      <c r="C1221" s="36"/>
      <c r="D1221" s="36"/>
      <c r="E1221" s="37"/>
      <c r="F1221" s="31" t="s">
        <v>568</v>
      </c>
      <c r="G1221" s="31" t="str">
        <f>IF(ISNUMBER(F1221),E1221*F1221,"")</f>
        <v/>
      </c>
      <c r="H1221" s="35"/>
      <c r="I1221" s="31"/>
      <c r="J1221" s="155">
        <v>2</v>
      </c>
    </row>
    <row r="1222" spans="1:10" ht="15.75" hidden="1" thickBot="1" x14ac:dyDescent="0.3">
      <c r="A1222" s="172" t="s">
        <v>416</v>
      </c>
      <c r="B1222" s="174" t="str">
        <f>INDEX(Orçamentária!A:B,MATCH(Composições!A1222,Orçamentária!A:A,0),2)</f>
        <v>Válvula de descarga 1 1/2" – Linha Acessibilidade</v>
      </c>
      <c r="C1222" s="41"/>
      <c r="D1222" s="26" t="str">
        <f>TRIM(INDEX(Orçamentária!C:C,MATCH(Composições!A1222,Orçamentária!A:A,0),1))</f>
        <v>un</v>
      </c>
      <c r="E1222" s="27"/>
      <c r="F1222" s="42" t="s">
        <v>568</v>
      </c>
      <c r="G1222" s="28" t="str">
        <f>IF(ISNUMBER(F1222),E1222*F1222,"")</f>
        <v/>
      </c>
      <c r="H1222" s="29"/>
      <c r="I1222" s="30"/>
      <c r="J1222" s="155">
        <v>0</v>
      </c>
    </row>
    <row r="1223" spans="1:10" ht="15.75" hidden="1" thickBot="1" x14ac:dyDescent="0.3">
      <c r="A1223" s="176"/>
      <c r="B1223" s="175"/>
      <c r="C1223" s="32"/>
      <c r="D1223" s="32"/>
      <c r="E1223" s="33"/>
      <c r="F1223" s="43" t="s">
        <v>568</v>
      </c>
      <c r="G1223" s="31" t="str">
        <f>IF(ISNUMBER(F1223),E1223*F1223,"")</f>
        <v/>
      </c>
      <c r="H1223" s="35"/>
      <c r="I1223" s="31"/>
      <c r="J1223" s="155">
        <v>0</v>
      </c>
    </row>
    <row r="1224" spans="1:10" ht="26.25" hidden="1" thickBot="1" x14ac:dyDescent="0.3">
      <c r="A1224" s="176"/>
      <c r="B1224" s="175"/>
      <c r="C1224" s="36" t="s">
        <v>417</v>
      </c>
      <c r="D1224" s="47" t="s">
        <v>149</v>
      </c>
      <c r="E1224" s="37">
        <v>1</v>
      </c>
      <c r="F1224" s="34" t="s">
        <v>568</v>
      </c>
      <c r="G1224" s="34" t="str">
        <f>IF(ISNUMBER(F1224),E1224*F1224,"")</f>
        <v/>
      </c>
      <c r="H1224" s="39">
        <f>SUM(G1224:G1227)</f>
        <v>30.646316000000006</v>
      </c>
      <c r="I1224" s="40"/>
      <c r="J1224" s="155">
        <v>0</v>
      </c>
    </row>
    <row r="1225" spans="1:10" ht="15.75" hidden="1" thickBot="1" x14ac:dyDescent="0.3">
      <c r="A1225" s="176"/>
      <c r="B1225" s="175"/>
      <c r="C1225" s="36" t="s">
        <v>418</v>
      </c>
      <c r="D1225" s="50" t="s">
        <v>297</v>
      </c>
      <c r="E1225" s="37">
        <v>1.9E-2</v>
      </c>
      <c r="F1225" s="34">
        <v>13.661</v>
      </c>
      <c r="G1225" s="34">
        <f>IF(ISNUMBER(F1225),E1225*F1225,"")</f>
        <v>0.25955899999999998</v>
      </c>
      <c r="H1225" s="35"/>
      <c r="I1225" s="31"/>
      <c r="J1225" s="155">
        <v>0</v>
      </c>
    </row>
    <row r="1226" spans="1:10" ht="26.25" hidden="1" thickBot="1" x14ac:dyDescent="0.3">
      <c r="A1226" s="176"/>
      <c r="B1226" s="175"/>
      <c r="C1226" s="36" t="s">
        <v>109</v>
      </c>
      <c r="D1226" s="47" t="s">
        <v>12</v>
      </c>
      <c r="E1226" s="37">
        <v>0.78900000000000003</v>
      </c>
      <c r="F1226" s="31">
        <v>16.891000000000002</v>
      </c>
      <c r="G1226" s="34">
        <f>IF(ISNUMBER(F1226),E1226*F1226,"")</f>
        <v>13.326999000000002</v>
      </c>
      <c r="H1226" s="35"/>
      <c r="I1226" s="31"/>
      <c r="J1226" s="155">
        <v>0</v>
      </c>
    </row>
    <row r="1227" spans="1:10" ht="15.75" hidden="1" thickBot="1" x14ac:dyDescent="0.3">
      <c r="A1227" s="176"/>
      <c r="B1227" s="175"/>
      <c r="C1227" s="36" t="s">
        <v>39</v>
      </c>
      <c r="D1227" s="47" t="s">
        <v>12</v>
      </c>
      <c r="E1227" s="37">
        <v>0.78900000000000003</v>
      </c>
      <c r="F1227" s="31">
        <v>21.622</v>
      </c>
      <c r="G1227" s="34">
        <f>IF(ISNUMBER(F1227),E1227*F1227,"")</f>
        <v>17.059758000000002</v>
      </c>
      <c r="H1227" s="35"/>
      <c r="I1227" s="31"/>
      <c r="J1227" s="155">
        <v>0</v>
      </c>
    </row>
    <row r="1228" spans="1:10" ht="15.75" hidden="1" thickBot="1" x14ac:dyDescent="0.3">
      <c r="A1228" s="177"/>
      <c r="B1228" s="178"/>
      <c r="C1228" s="36"/>
      <c r="D1228" s="36"/>
      <c r="E1228" s="37"/>
      <c r="F1228" s="31" t="s">
        <v>568</v>
      </c>
      <c r="G1228" s="31" t="str">
        <f>IF(ISNUMBER(F1228),E1228*F1228,"")</f>
        <v/>
      </c>
      <c r="H1228" s="35"/>
      <c r="I1228" s="31"/>
      <c r="J1228" s="155">
        <v>0</v>
      </c>
    </row>
    <row r="1229" spans="1:10" ht="15.75" hidden="1" thickBot="1" x14ac:dyDescent="0.3">
      <c r="A1229" s="172" t="s">
        <v>419</v>
      </c>
      <c r="B1229" s="174" t="str">
        <f>INDEX(Orçamentária!A:B,MATCH(Composições!A1229,Orçamentária!A:A,0),2)</f>
        <v>Válvula de descarga 1 1/2" – Linha Administrativa</v>
      </c>
      <c r="C1229" s="41"/>
      <c r="D1229" s="26" t="str">
        <f>TRIM(INDEX(Orçamentária!C:C,MATCH(Composições!A1229,Orçamentária!A:A,0),1))</f>
        <v>un</v>
      </c>
      <c r="E1229" s="27"/>
      <c r="F1229" s="42" t="s">
        <v>568</v>
      </c>
      <c r="G1229" s="28" t="str">
        <f>IF(ISNUMBER(F1229),E1229*F1229,"")</f>
        <v/>
      </c>
      <c r="H1229" s="29"/>
      <c r="I1229" s="30"/>
      <c r="J1229" s="155">
        <v>0</v>
      </c>
    </row>
    <row r="1230" spans="1:10" ht="15.75" hidden="1" thickBot="1" x14ac:dyDescent="0.3">
      <c r="A1230" s="176"/>
      <c r="B1230" s="175"/>
      <c r="C1230" s="32"/>
      <c r="D1230" s="32"/>
      <c r="E1230" s="33"/>
      <c r="F1230" s="43" t="s">
        <v>568</v>
      </c>
      <c r="G1230" s="31" t="str">
        <f>IF(ISNUMBER(F1230),E1230*F1230,"")</f>
        <v/>
      </c>
      <c r="H1230" s="35"/>
      <c r="I1230" s="31"/>
      <c r="J1230" s="155">
        <v>0</v>
      </c>
    </row>
    <row r="1231" spans="1:10" ht="15.75" hidden="1" thickBot="1" x14ac:dyDescent="0.3">
      <c r="A1231" s="176"/>
      <c r="B1231" s="175"/>
      <c r="C1231" s="36" t="s">
        <v>420</v>
      </c>
      <c r="D1231" s="47" t="s">
        <v>297</v>
      </c>
      <c r="E1231" s="37">
        <v>1</v>
      </c>
      <c r="F1231" s="34">
        <v>199.5</v>
      </c>
      <c r="G1231" s="34">
        <f>IF(ISNUMBER(F1231),E1231*F1231,"")</f>
        <v>199.5</v>
      </c>
      <c r="H1231" s="39">
        <f>SUM(G1231:G1234)</f>
        <v>230.14631600000001</v>
      </c>
      <c r="I1231" s="40"/>
      <c r="J1231" s="155">
        <v>0</v>
      </c>
    </row>
    <row r="1232" spans="1:10" ht="15.75" hidden="1" thickBot="1" x14ac:dyDescent="0.3">
      <c r="A1232" s="176"/>
      <c r="B1232" s="175"/>
      <c r="C1232" s="36" t="s">
        <v>418</v>
      </c>
      <c r="D1232" s="50" t="s">
        <v>297</v>
      </c>
      <c r="E1232" s="37">
        <v>1.9E-2</v>
      </c>
      <c r="F1232" s="34">
        <v>13.661</v>
      </c>
      <c r="G1232" s="34">
        <f>IF(ISNUMBER(F1232),E1232*F1232,"")</f>
        <v>0.25955899999999998</v>
      </c>
      <c r="H1232" s="35"/>
      <c r="I1232" s="31"/>
      <c r="J1232" s="155">
        <v>0</v>
      </c>
    </row>
    <row r="1233" spans="1:10" ht="26.25" hidden="1" thickBot="1" x14ac:dyDescent="0.3">
      <c r="A1233" s="176"/>
      <c r="B1233" s="175"/>
      <c r="C1233" s="36" t="s">
        <v>109</v>
      </c>
      <c r="D1233" s="47" t="s">
        <v>12</v>
      </c>
      <c r="E1233" s="37">
        <v>0.78900000000000003</v>
      </c>
      <c r="F1233" s="31">
        <v>16.891000000000002</v>
      </c>
      <c r="G1233" s="34">
        <f>IF(ISNUMBER(F1233),E1233*F1233,"")</f>
        <v>13.326999000000002</v>
      </c>
      <c r="H1233" s="35"/>
      <c r="I1233" s="31"/>
      <c r="J1233" s="155">
        <v>0</v>
      </c>
    </row>
    <row r="1234" spans="1:10" ht="15.75" hidden="1" thickBot="1" x14ac:dyDescent="0.3">
      <c r="A1234" s="176"/>
      <c r="B1234" s="175"/>
      <c r="C1234" s="36" t="s">
        <v>39</v>
      </c>
      <c r="D1234" s="47" t="s">
        <v>12</v>
      </c>
      <c r="E1234" s="37">
        <v>0.78900000000000003</v>
      </c>
      <c r="F1234" s="31">
        <v>21.622</v>
      </c>
      <c r="G1234" s="34">
        <f>IF(ISNUMBER(F1234),E1234*F1234,"")</f>
        <v>17.059758000000002</v>
      </c>
      <c r="H1234" s="35"/>
      <c r="I1234" s="31"/>
      <c r="J1234" s="155">
        <v>0</v>
      </c>
    </row>
    <row r="1235" spans="1:10" ht="15.75" hidden="1" thickBot="1" x14ac:dyDescent="0.3">
      <c r="A1235" s="177"/>
      <c r="B1235" s="178"/>
      <c r="C1235" s="36"/>
      <c r="D1235" s="36"/>
      <c r="E1235" s="37"/>
      <c r="F1235" s="31" t="s">
        <v>568</v>
      </c>
      <c r="G1235" s="31" t="str">
        <f>IF(ISNUMBER(F1235),E1235*F1235,"")</f>
        <v/>
      </c>
      <c r="H1235" s="35"/>
      <c r="I1235" s="31"/>
      <c r="J1235" s="155">
        <v>0</v>
      </c>
    </row>
    <row r="1236" spans="1:10" ht="15.75" hidden="1" thickBot="1" x14ac:dyDescent="0.3">
      <c r="A1236" s="172" t="s">
        <v>421</v>
      </c>
      <c r="B1236" s="174" t="str">
        <f>INDEX(Orçamentária!A:B,MATCH(Composições!A1236,Orçamentária!A:A,0),2)</f>
        <v>Válvula de descarga 1 1/4" – Linha Acessibilidade</v>
      </c>
      <c r="C1236" s="41"/>
      <c r="D1236" s="26" t="str">
        <f>TRIM(INDEX(Orçamentária!C:C,MATCH(Composições!A1236,Orçamentária!A:A,0),1))</f>
        <v>un</v>
      </c>
      <c r="E1236" s="27"/>
      <c r="F1236" s="42" t="s">
        <v>568</v>
      </c>
      <c r="G1236" s="28" t="str">
        <f>IF(ISNUMBER(F1236),E1236*F1236,"")</f>
        <v/>
      </c>
      <c r="H1236" s="29"/>
      <c r="I1236" s="30"/>
      <c r="J1236" s="155">
        <v>0</v>
      </c>
    </row>
    <row r="1237" spans="1:10" ht="15.75" hidden="1" thickBot="1" x14ac:dyDescent="0.3">
      <c r="A1237" s="176"/>
      <c r="B1237" s="175"/>
      <c r="C1237" s="32"/>
      <c r="D1237" s="32"/>
      <c r="E1237" s="33"/>
      <c r="F1237" s="43" t="s">
        <v>568</v>
      </c>
      <c r="G1237" s="31" t="str">
        <f>IF(ISNUMBER(F1237),E1237*F1237,"")</f>
        <v/>
      </c>
      <c r="H1237" s="35"/>
      <c r="I1237" s="31"/>
      <c r="J1237" s="155">
        <v>0</v>
      </c>
    </row>
    <row r="1238" spans="1:10" ht="26.25" hidden="1" thickBot="1" x14ac:dyDescent="0.3">
      <c r="A1238" s="176"/>
      <c r="B1238" s="175"/>
      <c r="C1238" s="36" t="s">
        <v>422</v>
      </c>
      <c r="D1238" s="47" t="s">
        <v>149</v>
      </c>
      <c r="E1238" s="37">
        <v>1</v>
      </c>
      <c r="F1238" s="34" t="s">
        <v>568</v>
      </c>
      <c r="G1238" s="34" t="str">
        <f>IF(ISNUMBER(F1238),E1238*F1238,"")</f>
        <v/>
      </c>
      <c r="H1238" s="39">
        <f>SUM(G1238:G1241)</f>
        <v>30.646316000000006</v>
      </c>
      <c r="I1238" s="40"/>
      <c r="J1238" s="155">
        <v>0</v>
      </c>
    </row>
    <row r="1239" spans="1:10" ht="15.75" hidden="1" thickBot="1" x14ac:dyDescent="0.3">
      <c r="A1239" s="176"/>
      <c r="B1239" s="175"/>
      <c r="C1239" s="36" t="s">
        <v>418</v>
      </c>
      <c r="D1239" s="50" t="s">
        <v>297</v>
      </c>
      <c r="E1239" s="37">
        <v>1.9E-2</v>
      </c>
      <c r="F1239" s="34">
        <v>13.661</v>
      </c>
      <c r="G1239" s="34">
        <f>IF(ISNUMBER(F1239),E1239*F1239,"")</f>
        <v>0.25955899999999998</v>
      </c>
      <c r="H1239" s="35"/>
      <c r="I1239" s="31"/>
      <c r="J1239" s="155">
        <v>0</v>
      </c>
    </row>
    <row r="1240" spans="1:10" ht="26.25" hidden="1" thickBot="1" x14ac:dyDescent="0.3">
      <c r="A1240" s="176"/>
      <c r="B1240" s="175"/>
      <c r="C1240" s="36" t="s">
        <v>109</v>
      </c>
      <c r="D1240" s="47" t="s">
        <v>12</v>
      </c>
      <c r="E1240" s="37">
        <v>0.78900000000000003</v>
      </c>
      <c r="F1240" s="31">
        <v>16.891000000000002</v>
      </c>
      <c r="G1240" s="34">
        <f>IF(ISNUMBER(F1240),E1240*F1240,"")</f>
        <v>13.326999000000002</v>
      </c>
      <c r="H1240" s="35"/>
      <c r="I1240" s="31"/>
      <c r="J1240" s="155">
        <v>0</v>
      </c>
    </row>
    <row r="1241" spans="1:10" ht="15.75" hidden="1" thickBot="1" x14ac:dyDescent="0.3">
      <c r="A1241" s="176"/>
      <c r="B1241" s="175"/>
      <c r="C1241" s="36" t="s">
        <v>39</v>
      </c>
      <c r="D1241" s="47" t="s">
        <v>12</v>
      </c>
      <c r="E1241" s="37">
        <v>0.78900000000000003</v>
      </c>
      <c r="F1241" s="31">
        <v>21.622</v>
      </c>
      <c r="G1241" s="34">
        <f>IF(ISNUMBER(F1241),E1241*F1241,"")</f>
        <v>17.059758000000002</v>
      </c>
      <c r="H1241" s="35"/>
      <c r="I1241" s="31"/>
      <c r="J1241" s="155">
        <v>0</v>
      </c>
    </row>
    <row r="1242" spans="1:10" ht="15.75" hidden="1" thickBot="1" x14ac:dyDescent="0.3">
      <c r="A1242" s="177"/>
      <c r="B1242" s="178"/>
      <c r="C1242" s="36"/>
      <c r="D1242" s="36"/>
      <c r="E1242" s="37"/>
      <c r="F1242" s="31" t="s">
        <v>568</v>
      </c>
      <c r="G1242" s="31" t="str">
        <f>IF(ISNUMBER(F1242),E1242*F1242,"")</f>
        <v/>
      </c>
      <c r="H1242" s="35"/>
      <c r="I1242" s="31"/>
      <c r="J1242" s="155">
        <v>0</v>
      </c>
    </row>
    <row r="1243" spans="1:10" ht="15.75" hidden="1" thickBot="1" x14ac:dyDescent="0.3">
      <c r="A1243" s="172" t="s">
        <v>423</v>
      </c>
      <c r="B1243" s="174" t="str">
        <f>INDEX(Orçamentária!A:B,MATCH(Composições!A1243,Orçamentária!A:A,0),2)</f>
        <v>Válvula de descarga 1 1/4" – Linha Administrativa</v>
      </c>
      <c r="C1243" s="41"/>
      <c r="D1243" s="26" t="str">
        <f>TRIM(INDEX(Orçamentária!C:C,MATCH(Composições!A1243,Orçamentária!A:A,0),1))</f>
        <v>un</v>
      </c>
      <c r="E1243" s="27"/>
      <c r="F1243" s="42" t="s">
        <v>568</v>
      </c>
      <c r="G1243" s="28" t="str">
        <f>IF(ISNUMBER(F1243),E1243*F1243,"")</f>
        <v/>
      </c>
      <c r="H1243" s="29"/>
      <c r="I1243" s="30"/>
      <c r="J1243" s="155">
        <v>0</v>
      </c>
    </row>
    <row r="1244" spans="1:10" ht="15.75" hidden="1" thickBot="1" x14ac:dyDescent="0.3">
      <c r="A1244" s="176"/>
      <c r="B1244" s="175"/>
      <c r="C1244" s="32"/>
      <c r="D1244" s="32"/>
      <c r="E1244" s="33"/>
      <c r="F1244" s="43" t="s">
        <v>568</v>
      </c>
      <c r="G1244" s="31" t="str">
        <f>IF(ISNUMBER(F1244),E1244*F1244,"")</f>
        <v/>
      </c>
      <c r="H1244" s="35"/>
      <c r="I1244" s="31"/>
      <c r="J1244" s="155">
        <v>0</v>
      </c>
    </row>
    <row r="1245" spans="1:10" ht="15.75" hidden="1" thickBot="1" x14ac:dyDescent="0.3">
      <c r="A1245" s="176"/>
      <c r="B1245" s="175"/>
      <c r="C1245" s="36" t="s">
        <v>424</v>
      </c>
      <c r="D1245" s="47" t="s">
        <v>297</v>
      </c>
      <c r="E1245" s="37">
        <v>1</v>
      </c>
      <c r="F1245" s="34">
        <v>161.614</v>
      </c>
      <c r="G1245" s="34">
        <f>IF(ISNUMBER(F1245),E1245*F1245,"")</f>
        <v>161.614</v>
      </c>
      <c r="H1245" s="39">
        <f>SUM(G1245:G1248)</f>
        <v>192.26031599999999</v>
      </c>
      <c r="I1245" s="40"/>
      <c r="J1245" s="155">
        <v>0</v>
      </c>
    </row>
    <row r="1246" spans="1:10" ht="15.75" hidden="1" thickBot="1" x14ac:dyDescent="0.3">
      <c r="A1246" s="176"/>
      <c r="B1246" s="175"/>
      <c r="C1246" s="36" t="s">
        <v>418</v>
      </c>
      <c r="D1246" s="50" t="s">
        <v>297</v>
      </c>
      <c r="E1246" s="37">
        <v>1.9E-2</v>
      </c>
      <c r="F1246" s="34">
        <v>13.661</v>
      </c>
      <c r="G1246" s="34">
        <f>IF(ISNUMBER(F1246),E1246*F1246,"")</f>
        <v>0.25955899999999998</v>
      </c>
      <c r="H1246" s="35"/>
      <c r="I1246" s="31"/>
      <c r="J1246" s="155">
        <v>0</v>
      </c>
    </row>
    <row r="1247" spans="1:10" ht="26.25" hidden="1" thickBot="1" x14ac:dyDescent="0.3">
      <c r="A1247" s="176"/>
      <c r="B1247" s="175"/>
      <c r="C1247" s="36" t="s">
        <v>109</v>
      </c>
      <c r="D1247" s="47" t="s">
        <v>12</v>
      </c>
      <c r="E1247" s="37">
        <v>0.78900000000000003</v>
      </c>
      <c r="F1247" s="31">
        <v>16.891000000000002</v>
      </c>
      <c r="G1247" s="34">
        <f>IF(ISNUMBER(F1247),E1247*F1247,"")</f>
        <v>13.326999000000002</v>
      </c>
      <c r="H1247" s="35"/>
      <c r="I1247" s="31"/>
      <c r="J1247" s="155">
        <v>0</v>
      </c>
    </row>
    <row r="1248" spans="1:10" ht="15.75" hidden="1" thickBot="1" x14ac:dyDescent="0.3">
      <c r="A1248" s="176"/>
      <c r="B1248" s="175"/>
      <c r="C1248" s="36" t="s">
        <v>39</v>
      </c>
      <c r="D1248" s="47" t="s">
        <v>12</v>
      </c>
      <c r="E1248" s="37">
        <v>0.78900000000000003</v>
      </c>
      <c r="F1248" s="31">
        <v>21.622</v>
      </c>
      <c r="G1248" s="34">
        <f>IF(ISNUMBER(F1248),E1248*F1248,"")</f>
        <v>17.059758000000002</v>
      </c>
      <c r="H1248" s="35"/>
      <c r="I1248" s="31"/>
      <c r="J1248" s="155">
        <v>0</v>
      </c>
    </row>
    <row r="1249" spans="1:10" ht="15.75" hidden="1" thickBot="1" x14ac:dyDescent="0.3">
      <c r="A1249" s="177"/>
      <c r="B1249" s="178"/>
      <c r="C1249" s="36"/>
      <c r="D1249" s="36"/>
      <c r="E1249" s="37"/>
      <c r="F1249" s="31" t="s">
        <v>568</v>
      </c>
      <c r="G1249" s="31" t="str">
        <f>IF(ISNUMBER(F1249),E1249*F1249,"")</f>
        <v/>
      </c>
      <c r="H1249" s="35"/>
      <c r="I1249" s="31"/>
      <c r="J1249" s="155">
        <v>0</v>
      </c>
    </row>
    <row r="1250" spans="1:10" ht="15.75" hidden="1" thickBot="1" x14ac:dyDescent="0.3">
      <c r="A1250" s="172" t="s">
        <v>425</v>
      </c>
      <c r="B1250" s="174" t="str">
        <f>INDEX(Orçamentária!A:B,MATCH(Composições!A1250,Orçamentária!A:A,0),2)</f>
        <v>Válvula de escoamento para lavatório – Linha Administrativa</v>
      </c>
      <c r="C1250" s="41"/>
      <c r="D1250" s="26" t="str">
        <f>TRIM(INDEX(Orçamentária!C:C,MATCH(Composições!A1250,Orçamentária!A:A,0),1))</f>
        <v>un</v>
      </c>
      <c r="E1250" s="27"/>
      <c r="F1250" s="42" t="s">
        <v>568</v>
      </c>
      <c r="G1250" s="28" t="str">
        <f>IF(ISNUMBER(F1250),E1250*F1250,"")</f>
        <v/>
      </c>
      <c r="H1250" s="29"/>
      <c r="I1250" s="30"/>
      <c r="J1250" s="155">
        <v>0</v>
      </c>
    </row>
    <row r="1251" spans="1:10" ht="15.75" hidden="1" thickBot="1" x14ac:dyDescent="0.3">
      <c r="A1251" s="176"/>
      <c r="B1251" s="175"/>
      <c r="C1251" s="32"/>
      <c r="D1251" s="32"/>
      <c r="E1251" s="33"/>
      <c r="F1251" s="43" t="s">
        <v>568</v>
      </c>
      <c r="G1251" s="31" t="str">
        <f>IF(ISNUMBER(F1251),E1251*F1251,"")</f>
        <v/>
      </c>
      <c r="H1251" s="35"/>
      <c r="I1251" s="31"/>
      <c r="J1251" s="155">
        <v>0</v>
      </c>
    </row>
    <row r="1252" spans="1:10" ht="15.75" hidden="1" thickBot="1" x14ac:dyDescent="0.3">
      <c r="A1252" s="176"/>
      <c r="B1252" s="175"/>
      <c r="C1252" s="36" t="s">
        <v>426</v>
      </c>
      <c r="D1252" s="47" t="s">
        <v>297</v>
      </c>
      <c r="E1252" s="37">
        <v>1</v>
      </c>
      <c r="F1252" s="34">
        <v>42.141999999999996</v>
      </c>
      <c r="G1252" s="34">
        <f>IF(ISNUMBER(F1252),E1252*F1252,"")</f>
        <v>42.141999999999996</v>
      </c>
      <c r="H1252" s="39">
        <f>SUM(G1252:G1255)</f>
        <v>46.975938200000002</v>
      </c>
      <c r="I1252" s="40"/>
      <c r="J1252" s="155">
        <v>0</v>
      </c>
    </row>
    <row r="1253" spans="1:10" ht="15.75" hidden="1" thickBot="1" x14ac:dyDescent="0.3">
      <c r="A1253" s="176"/>
      <c r="B1253" s="175"/>
      <c r="C1253" s="36" t="s">
        <v>376</v>
      </c>
      <c r="D1253" s="47" t="s">
        <v>297</v>
      </c>
      <c r="E1253" s="37">
        <v>4.8000000000000001E-2</v>
      </c>
      <c r="F1253" s="34">
        <v>3.7049999999999996</v>
      </c>
      <c r="G1253" s="34">
        <f>IF(ISNUMBER(F1253),E1253*F1253,"")</f>
        <v>0.17784</v>
      </c>
      <c r="H1253" s="35"/>
      <c r="I1253" s="31"/>
      <c r="J1253" s="155">
        <v>0</v>
      </c>
    </row>
    <row r="1254" spans="1:10" ht="15.75" hidden="1" thickBot="1" x14ac:dyDescent="0.3">
      <c r="A1254" s="176"/>
      <c r="B1254" s="175"/>
      <c r="C1254" s="36" t="s">
        <v>39</v>
      </c>
      <c r="D1254" s="47" t="s">
        <v>12</v>
      </c>
      <c r="E1254" s="37">
        <v>0.17399999999999999</v>
      </c>
      <c r="F1254" s="31">
        <v>21.622</v>
      </c>
      <c r="G1254" s="34">
        <f>IF(ISNUMBER(F1254),E1254*F1254,"")</f>
        <v>3.7622279999999999</v>
      </c>
      <c r="H1254" s="35"/>
      <c r="I1254" s="31"/>
      <c r="J1254" s="155">
        <v>0</v>
      </c>
    </row>
    <row r="1255" spans="1:10" ht="15.75" hidden="1" thickBot="1" x14ac:dyDescent="0.3">
      <c r="A1255" s="176"/>
      <c r="B1255" s="175"/>
      <c r="C1255" s="36" t="s">
        <v>23</v>
      </c>
      <c r="D1255" s="47" t="s">
        <v>12</v>
      </c>
      <c r="E1255" s="37">
        <v>5.4800000000000001E-2</v>
      </c>
      <c r="F1255" s="31">
        <v>16.311500000000002</v>
      </c>
      <c r="G1255" s="34">
        <f>IF(ISNUMBER(F1255),E1255*F1255,"")</f>
        <v>0.89387020000000017</v>
      </c>
      <c r="H1255" s="35"/>
      <c r="I1255" s="31"/>
      <c r="J1255" s="155">
        <v>0</v>
      </c>
    </row>
    <row r="1256" spans="1:10" ht="15.75" hidden="1" thickBot="1" x14ac:dyDescent="0.3">
      <c r="A1256" s="177"/>
      <c r="B1256" s="178"/>
      <c r="C1256" s="36"/>
      <c r="D1256" s="36"/>
      <c r="E1256" s="37"/>
      <c r="F1256" s="31" t="s">
        <v>568</v>
      </c>
      <c r="G1256" s="31" t="str">
        <f>IF(ISNUMBER(F1256),E1256*F1256,"")</f>
        <v/>
      </c>
      <c r="H1256" s="35"/>
      <c r="I1256" s="31"/>
      <c r="J1256" s="155">
        <v>0</v>
      </c>
    </row>
    <row r="1257" spans="1:10" ht="15.75" thickBot="1" x14ac:dyDescent="0.3">
      <c r="A1257" s="172" t="s">
        <v>427</v>
      </c>
      <c r="B1257" s="174" t="str">
        <f>INDEX(Orçamentária!A:B,MATCH(Composições!A1257,Orçamentária!A:A,0),2)</f>
        <v>Válvula de escoamento para tanque – Linha Administrativa</v>
      </c>
      <c r="C1257" s="41"/>
      <c r="D1257" s="26" t="str">
        <f>TRIM(INDEX(Orçamentária!C:C,MATCH(Composições!A1257,Orçamentária!A:A,0),1))</f>
        <v>un</v>
      </c>
      <c r="E1257" s="27"/>
      <c r="F1257" s="42" t="s">
        <v>568</v>
      </c>
      <c r="G1257" s="28" t="str">
        <f>IF(ISNUMBER(F1257),E1257*F1257,"")</f>
        <v/>
      </c>
      <c r="H1257" s="29"/>
      <c r="I1257" s="30"/>
      <c r="J1257" s="155">
        <v>1</v>
      </c>
    </row>
    <row r="1258" spans="1:10" x14ac:dyDescent="0.25">
      <c r="A1258" s="176"/>
      <c r="B1258" s="175"/>
      <c r="C1258" s="32"/>
      <c r="D1258" s="32"/>
      <c r="E1258" s="33"/>
      <c r="F1258" s="43" t="s">
        <v>568</v>
      </c>
      <c r="G1258" s="31" t="str">
        <f>IF(ISNUMBER(F1258),E1258*F1258,"")</f>
        <v/>
      </c>
      <c r="H1258" s="35"/>
      <c r="I1258" s="31"/>
      <c r="J1258" s="155">
        <v>1</v>
      </c>
    </row>
    <row r="1259" spans="1:10" x14ac:dyDescent="0.25">
      <c r="A1259" s="176"/>
      <c r="B1259" s="175"/>
      <c r="C1259" s="36" t="s">
        <v>376</v>
      </c>
      <c r="D1259" s="47" t="s">
        <v>297</v>
      </c>
      <c r="E1259" s="37">
        <v>3.32E-2</v>
      </c>
      <c r="F1259" s="34">
        <v>3.7049999999999996</v>
      </c>
      <c r="G1259" s="34">
        <f>IF(ISNUMBER(F1259),E1259*F1259,"")</f>
        <v>0.12300599999999999</v>
      </c>
      <c r="H1259" s="39">
        <f>SUM(G1259:G1262)</f>
        <v>24.861222599999998</v>
      </c>
      <c r="I1259" s="40"/>
      <c r="J1259" s="155">
        <v>1</v>
      </c>
    </row>
    <row r="1260" spans="1:10" x14ac:dyDescent="0.25">
      <c r="A1260" s="176"/>
      <c r="B1260" s="175"/>
      <c r="C1260" s="36" t="s">
        <v>428</v>
      </c>
      <c r="D1260" s="36" t="s">
        <v>20</v>
      </c>
      <c r="E1260" s="37">
        <v>1</v>
      </c>
      <c r="F1260" s="34">
        <v>21.441499999999998</v>
      </c>
      <c r="G1260" s="34">
        <f>IF(ISNUMBER(F1260),E1260*F1260,"")</f>
        <v>21.441499999999998</v>
      </c>
      <c r="H1260" s="35"/>
      <c r="I1260" s="31"/>
      <c r="J1260" s="155">
        <v>1</v>
      </c>
    </row>
    <row r="1261" spans="1:10" x14ac:dyDescent="0.25">
      <c r="A1261" s="176"/>
      <c r="B1261" s="175"/>
      <c r="C1261" s="36" t="s">
        <v>39</v>
      </c>
      <c r="D1261" s="47" t="s">
        <v>12</v>
      </c>
      <c r="E1261" s="37">
        <v>0.1232</v>
      </c>
      <c r="F1261" s="31">
        <v>21.622</v>
      </c>
      <c r="G1261" s="34">
        <f>IF(ISNUMBER(F1261),E1261*F1261,"")</f>
        <v>2.6638304000000002</v>
      </c>
      <c r="H1261" s="35"/>
      <c r="I1261" s="31"/>
      <c r="J1261" s="155">
        <v>1</v>
      </c>
    </row>
    <row r="1262" spans="1:10" x14ac:dyDescent="0.25">
      <c r="A1262" s="176"/>
      <c r="B1262" s="175"/>
      <c r="C1262" s="36" t="s">
        <v>23</v>
      </c>
      <c r="D1262" s="36" t="s">
        <v>12</v>
      </c>
      <c r="E1262" s="37">
        <v>3.8800000000000001E-2</v>
      </c>
      <c r="F1262" s="31">
        <v>16.311500000000002</v>
      </c>
      <c r="G1262" s="34">
        <f>IF(ISNUMBER(F1262),E1262*F1262,"")</f>
        <v>0.63288620000000007</v>
      </c>
      <c r="H1262" s="35"/>
      <c r="I1262" s="31"/>
      <c r="J1262" s="155">
        <v>1</v>
      </c>
    </row>
    <row r="1263" spans="1:10" ht="15.75" thickBot="1" x14ac:dyDescent="0.3">
      <c r="A1263" s="177"/>
      <c r="B1263" s="178"/>
      <c r="C1263" s="36"/>
      <c r="D1263" s="36"/>
      <c r="E1263" s="37"/>
      <c r="F1263" s="31" t="s">
        <v>568</v>
      </c>
      <c r="G1263" s="31" t="str">
        <f>IF(ISNUMBER(F1263),E1263*F1263,"")</f>
        <v/>
      </c>
      <c r="H1263" s="35"/>
      <c r="I1263" s="31"/>
      <c r="J1263" s="155">
        <v>1</v>
      </c>
    </row>
    <row r="1264" spans="1:10" ht="15.75" hidden="1" thickBot="1" x14ac:dyDescent="0.3">
      <c r="A1264" s="172" t="s">
        <v>429</v>
      </c>
      <c r="B1264" s="174" t="str">
        <f>INDEX(Orçamentária!A:B,MATCH(Composições!A1264,Orçamentária!A:A,0),2)</f>
        <v>Válvula descarga para mictório – Linha Administrativa</v>
      </c>
      <c r="C1264" s="41"/>
      <c r="D1264" s="26" t="str">
        <f>TRIM(INDEX(Orçamentária!C:C,MATCH(Composições!A1264,Orçamentária!A:A,0),1))</f>
        <v>un</v>
      </c>
      <c r="E1264" s="27"/>
      <c r="F1264" s="42" t="s">
        <v>568</v>
      </c>
      <c r="G1264" s="28" t="str">
        <f>IF(ISNUMBER(F1264),E1264*F1264,"")</f>
        <v/>
      </c>
      <c r="H1264" s="29"/>
      <c r="I1264" s="30"/>
      <c r="J1264" s="155">
        <v>0</v>
      </c>
    </row>
    <row r="1265" spans="1:10" ht="15.75" hidden="1" thickBot="1" x14ac:dyDescent="0.3">
      <c r="A1265" s="176"/>
      <c r="B1265" s="175"/>
      <c r="C1265" s="32"/>
      <c r="D1265" s="32"/>
      <c r="E1265" s="33"/>
      <c r="F1265" s="43" t="s">
        <v>568</v>
      </c>
      <c r="G1265" s="31" t="str">
        <f>IF(ISNUMBER(F1265),E1265*F1265,"")</f>
        <v/>
      </c>
      <c r="H1265" s="35"/>
      <c r="I1265" s="31"/>
      <c r="J1265" s="155">
        <v>0</v>
      </c>
    </row>
    <row r="1266" spans="1:10" ht="26.25" hidden="1" thickBot="1" x14ac:dyDescent="0.3">
      <c r="A1266" s="176"/>
      <c r="B1266" s="175"/>
      <c r="C1266" s="36" t="s">
        <v>430</v>
      </c>
      <c r="D1266" s="47" t="s">
        <v>297</v>
      </c>
      <c r="E1266" s="37">
        <v>1</v>
      </c>
      <c r="F1266" s="34">
        <v>171.73150000000001</v>
      </c>
      <c r="G1266" s="31">
        <f>IF(ISNUMBER(F1266),E1266*F1266,"")</f>
        <v>171.73150000000001</v>
      </c>
      <c r="H1266" s="39">
        <f>SUM(G1266:G1269)</f>
        <v>202.377816</v>
      </c>
      <c r="I1266" s="40"/>
      <c r="J1266" s="155">
        <v>0</v>
      </c>
    </row>
    <row r="1267" spans="1:10" ht="15.75" hidden="1" thickBot="1" x14ac:dyDescent="0.3">
      <c r="A1267" s="176"/>
      <c r="B1267" s="175"/>
      <c r="C1267" s="36" t="s">
        <v>418</v>
      </c>
      <c r="D1267" s="50" t="s">
        <v>297</v>
      </c>
      <c r="E1267" s="37">
        <v>1.9E-2</v>
      </c>
      <c r="F1267" s="34">
        <v>13.661</v>
      </c>
      <c r="G1267" s="31">
        <f>IF(ISNUMBER(F1267),E1267*F1267,"")</f>
        <v>0.25955899999999998</v>
      </c>
      <c r="H1267" s="35"/>
      <c r="I1267" s="31"/>
      <c r="J1267" s="155">
        <v>0</v>
      </c>
    </row>
    <row r="1268" spans="1:10" ht="26.25" hidden="1" thickBot="1" x14ac:dyDescent="0.3">
      <c r="A1268" s="176"/>
      <c r="B1268" s="175"/>
      <c r="C1268" s="36" t="s">
        <v>109</v>
      </c>
      <c r="D1268" s="47" t="s">
        <v>12</v>
      </c>
      <c r="E1268" s="37">
        <v>0.78900000000000003</v>
      </c>
      <c r="F1268" s="31">
        <v>16.891000000000002</v>
      </c>
      <c r="G1268" s="31">
        <f>IF(ISNUMBER(F1268),E1268*F1268,"")</f>
        <v>13.326999000000002</v>
      </c>
      <c r="H1268" s="35"/>
      <c r="I1268" s="31"/>
      <c r="J1268" s="155">
        <v>0</v>
      </c>
    </row>
    <row r="1269" spans="1:10" ht="15.75" hidden="1" thickBot="1" x14ac:dyDescent="0.3">
      <c r="A1269" s="176"/>
      <c r="B1269" s="175"/>
      <c r="C1269" s="36" t="s">
        <v>39</v>
      </c>
      <c r="D1269" s="47" t="s">
        <v>12</v>
      </c>
      <c r="E1269" s="37">
        <v>0.78900000000000003</v>
      </c>
      <c r="F1269" s="31">
        <v>21.622</v>
      </c>
      <c r="G1269" s="34">
        <f>IF(ISNUMBER(F1269),E1269*F1269,"")</f>
        <v>17.059758000000002</v>
      </c>
      <c r="H1269" s="35"/>
      <c r="I1269" s="31"/>
      <c r="J1269" s="155">
        <v>0</v>
      </c>
    </row>
    <row r="1270" spans="1:10" ht="15.75" hidden="1" thickBot="1" x14ac:dyDescent="0.3">
      <c r="A1270" s="177"/>
      <c r="B1270" s="178"/>
      <c r="C1270" s="36"/>
      <c r="D1270" s="36"/>
      <c r="E1270" s="37"/>
      <c r="F1270" s="31" t="s">
        <v>568</v>
      </c>
      <c r="G1270" s="31" t="str">
        <f>IF(ISNUMBER(F1270),E1270*F1270,"")</f>
        <v/>
      </c>
      <c r="H1270" s="35"/>
      <c r="I1270" s="31"/>
      <c r="J1270" s="155">
        <v>0</v>
      </c>
    </row>
    <row r="1271" spans="1:10" ht="15.75" hidden="1" thickBot="1" x14ac:dyDescent="0.3">
      <c r="A1271" s="172" t="s">
        <v>431</v>
      </c>
      <c r="B1271" s="174" t="str">
        <f>INDEX(Orçamentária!A:B,MATCH(Composições!A1271,Orçamentária!A:A,0),2)</f>
        <v>Alarme de emergência para sanitários PNE</v>
      </c>
      <c r="C1271" s="41"/>
      <c r="D1271" s="26" t="str">
        <f>TRIM(INDEX(Orçamentária!C:C,MATCH(Composições!A1271,Orçamentária!A:A,0),1))</f>
        <v>un</v>
      </c>
      <c r="E1271" s="27"/>
      <c r="F1271" s="42" t="s">
        <v>568</v>
      </c>
      <c r="G1271" s="28" t="str">
        <f>IF(ISNUMBER(F1271),E1271*F1271,"")</f>
        <v/>
      </c>
      <c r="H1271" s="29"/>
      <c r="I1271" s="30"/>
      <c r="J1271" s="155">
        <v>0</v>
      </c>
    </row>
    <row r="1272" spans="1:10" ht="15.75" hidden="1" thickBot="1" x14ac:dyDescent="0.3">
      <c r="A1272" s="176"/>
      <c r="B1272" s="175"/>
      <c r="C1272" s="32"/>
      <c r="D1272" s="32"/>
      <c r="E1272" s="33"/>
      <c r="F1272" s="43" t="s">
        <v>568</v>
      </c>
      <c r="G1272" s="31" t="str">
        <f>IF(ISNUMBER(F1272),E1272*F1272,"")</f>
        <v/>
      </c>
      <c r="H1272" s="35"/>
      <c r="I1272" s="31"/>
      <c r="J1272" s="155">
        <v>0</v>
      </c>
    </row>
    <row r="1273" spans="1:10" ht="15.75" hidden="1" thickBot="1" x14ac:dyDescent="0.3">
      <c r="A1273" s="176"/>
      <c r="B1273" s="175"/>
      <c r="C1273" s="36" t="s">
        <v>30</v>
      </c>
      <c r="D1273" s="36" t="s">
        <v>12</v>
      </c>
      <c r="E1273" s="37">
        <v>0.28999999999999998</v>
      </c>
      <c r="F1273" s="31">
        <v>22.268000000000001</v>
      </c>
      <c r="G1273" s="31">
        <f>IF(ISNUMBER(F1273),E1273*F1273,"")</f>
        <v>6.4577200000000001</v>
      </c>
      <c r="H1273" s="39">
        <f>SUM(G1273:G1275)</f>
        <v>11.49386</v>
      </c>
      <c r="I1273" s="40"/>
      <c r="J1273" s="155">
        <v>0</v>
      </c>
    </row>
    <row r="1274" spans="1:10" ht="15.75" hidden="1" thickBot="1" x14ac:dyDescent="0.3">
      <c r="A1274" s="176"/>
      <c r="B1274" s="175"/>
      <c r="C1274" s="36" t="s">
        <v>74</v>
      </c>
      <c r="D1274" s="47" t="s">
        <v>12</v>
      </c>
      <c r="E1274" s="37">
        <v>0.28999999999999998</v>
      </c>
      <c r="F1274" s="31">
        <v>17.366</v>
      </c>
      <c r="G1274" s="31">
        <f>IF(ISNUMBER(F1274),E1274*F1274,"")</f>
        <v>5.0361399999999996</v>
      </c>
      <c r="H1274" s="35"/>
      <c r="I1274" s="31"/>
      <c r="J1274" s="155">
        <v>0</v>
      </c>
    </row>
    <row r="1275" spans="1:10" ht="26.25" hidden="1" thickBot="1" x14ac:dyDescent="0.3">
      <c r="A1275" s="176"/>
      <c r="B1275" s="175"/>
      <c r="C1275" s="36" t="s">
        <v>432</v>
      </c>
      <c r="D1275" s="36" t="s">
        <v>149</v>
      </c>
      <c r="E1275" s="37">
        <v>1</v>
      </c>
      <c r="F1275" s="34" t="s">
        <v>568</v>
      </c>
      <c r="G1275" s="31" t="str">
        <f>IF(ISNUMBER(F1275),E1275*F1275,"")</f>
        <v/>
      </c>
      <c r="H1275" s="35"/>
      <c r="I1275" s="31"/>
      <c r="J1275" s="155">
        <v>0</v>
      </c>
    </row>
    <row r="1276" spans="1:10" ht="15.75" hidden="1" thickBot="1" x14ac:dyDescent="0.3">
      <c r="A1276" s="177"/>
      <c r="B1276" s="178"/>
      <c r="C1276" s="36"/>
      <c r="D1276" s="36"/>
      <c r="E1276" s="37"/>
      <c r="F1276" s="31" t="s">
        <v>568</v>
      </c>
      <c r="G1276" s="31" t="str">
        <f>IF(ISNUMBER(F1276),E1276*F1276,"")</f>
        <v/>
      </c>
      <c r="H1276" s="35"/>
      <c r="I1276" s="31"/>
      <c r="J1276" s="155">
        <v>0</v>
      </c>
    </row>
    <row r="1277" spans="1:10" ht="15.75" hidden="1" thickBot="1" x14ac:dyDescent="0.3">
      <c r="A1277" s="172" t="s">
        <v>433</v>
      </c>
      <c r="B1277" s="174" t="str">
        <f>INDEX(Orçamentária!A:B,MATCH(Composições!A1277,Orçamentária!A:A,0),2)</f>
        <v>Barra de apoio 40cm – Linha Acessibilidade</v>
      </c>
      <c r="C1277" s="41"/>
      <c r="D1277" s="26" t="str">
        <f>TRIM(INDEX(Orçamentária!C:C,MATCH(Composições!A1277,Orçamentária!A:A,0),1))</f>
        <v>un</v>
      </c>
      <c r="E1277" s="27"/>
      <c r="F1277" s="42" t="s">
        <v>568</v>
      </c>
      <c r="G1277" s="28" t="str">
        <f>IF(ISNUMBER(F1277),E1277*F1277,"")</f>
        <v/>
      </c>
      <c r="H1277" s="29"/>
      <c r="I1277" s="30"/>
      <c r="J1277" s="155">
        <v>0</v>
      </c>
    </row>
    <row r="1278" spans="1:10" ht="15.75" hidden="1" thickBot="1" x14ac:dyDescent="0.3">
      <c r="A1278" s="176"/>
      <c r="B1278" s="175"/>
      <c r="C1278" s="32"/>
      <c r="D1278" s="32"/>
      <c r="E1278" s="33"/>
      <c r="F1278" s="43" t="s">
        <v>568</v>
      </c>
      <c r="G1278" s="31" t="str">
        <f>IF(ISNUMBER(F1278),E1278*F1278,"")</f>
        <v/>
      </c>
      <c r="H1278" s="35"/>
      <c r="I1278" s="31"/>
      <c r="J1278" s="155">
        <v>0</v>
      </c>
    </row>
    <row r="1279" spans="1:10" ht="26.25" hidden="1" thickBot="1" x14ac:dyDescent="0.3">
      <c r="A1279" s="176"/>
      <c r="B1279" s="175"/>
      <c r="C1279" s="36" t="s">
        <v>434</v>
      </c>
      <c r="D1279" s="47" t="s">
        <v>149</v>
      </c>
      <c r="E1279" s="37">
        <v>1</v>
      </c>
      <c r="F1279" s="34" t="s">
        <v>568</v>
      </c>
      <c r="G1279" s="34" t="str">
        <f>IF(ISNUMBER(F1279),E1279*F1279,"")</f>
        <v/>
      </c>
      <c r="H1279" s="39">
        <f>SUM(G1279:G1282)</f>
        <v>40.222999999999999</v>
      </c>
      <c r="I1279" s="40"/>
      <c r="J1279" s="155">
        <v>0</v>
      </c>
    </row>
    <row r="1280" spans="1:10" ht="26.25" hidden="1" thickBot="1" x14ac:dyDescent="0.3">
      <c r="A1280" s="176"/>
      <c r="B1280" s="175"/>
      <c r="C1280" s="36" t="s">
        <v>435</v>
      </c>
      <c r="D1280" s="47" t="s">
        <v>297</v>
      </c>
      <c r="E1280" s="37">
        <v>6</v>
      </c>
      <c r="F1280" s="34">
        <v>0.30399999999999999</v>
      </c>
      <c r="G1280" s="34">
        <f>IF(ISNUMBER(F1280),E1280*F1280,"")</f>
        <v>1.8239999999999998</v>
      </c>
      <c r="H1280" s="35"/>
      <c r="I1280" s="31"/>
      <c r="J1280" s="155">
        <v>0</v>
      </c>
    </row>
    <row r="1281" spans="1:10" ht="15.75" hidden="1" thickBot="1" x14ac:dyDescent="0.3">
      <c r="A1281" s="176"/>
      <c r="B1281" s="175"/>
      <c r="C1281" s="36" t="s">
        <v>22</v>
      </c>
      <c r="D1281" s="36" t="s">
        <v>12</v>
      </c>
      <c r="E1281" s="37">
        <v>1</v>
      </c>
      <c r="F1281" s="31">
        <v>22.087499999999999</v>
      </c>
      <c r="G1281" s="34">
        <f>IF(ISNUMBER(F1281),E1281*F1281,"")</f>
        <v>22.087499999999999</v>
      </c>
      <c r="H1281" s="35"/>
      <c r="I1281" s="31"/>
      <c r="J1281" s="155">
        <v>0</v>
      </c>
    </row>
    <row r="1282" spans="1:10" ht="15.75" hidden="1" thickBot="1" x14ac:dyDescent="0.3">
      <c r="A1282" s="176"/>
      <c r="B1282" s="175"/>
      <c r="C1282" s="36" t="s">
        <v>23</v>
      </c>
      <c r="D1282" s="36" t="s">
        <v>12</v>
      </c>
      <c r="E1282" s="37">
        <v>1</v>
      </c>
      <c r="F1282" s="31">
        <v>16.311500000000002</v>
      </c>
      <c r="G1282" s="34">
        <f>IF(ISNUMBER(F1282),E1282*F1282,"")</f>
        <v>16.311500000000002</v>
      </c>
      <c r="H1282" s="35"/>
      <c r="I1282" s="31"/>
      <c r="J1282" s="155">
        <v>0</v>
      </c>
    </row>
    <row r="1283" spans="1:10" ht="15.75" hidden="1" thickBot="1" x14ac:dyDescent="0.3">
      <c r="A1283" s="177"/>
      <c r="B1283" s="178"/>
      <c r="C1283" s="36"/>
      <c r="D1283" s="36"/>
      <c r="E1283" s="37"/>
      <c r="F1283" s="31" t="s">
        <v>568</v>
      </c>
      <c r="G1283" s="31" t="str">
        <f>IF(ISNUMBER(F1283),E1283*F1283,"")</f>
        <v/>
      </c>
      <c r="H1283" s="35"/>
      <c r="I1283" s="31"/>
      <c r="J1283" s="155">
        <v>0</v>
      </c>
    </row>
    <row r="1284" spans="1:10" ht="15.75" hidden="1" thickBot="1" x14ac:dyDescent="0.3">
      <c r="A1284" s="172" t="s">
        <v>436</v>
      </c>
      <c r="B1284" s="174" t="str">
        <f>INDEX(Orçamentária!A:B,MATCH(Composições!A1284,Orçamentária!A:A,0),2)</f>
        <v>Barra de apoio 70cm – Linha Acessibilidade</v>
      </c>
      <c r="C1284" s="41"/>
      <c r="D1284" s="26" t="str">
        <f>TRIM(INDEX(Orçamentária!C:C,MATCH(Composições!A1284,Orçamentária!A:A,0),1))</f>
        <v>un</v>
      </c>
      <c r="E1284" s="27"/>
      <c r="F1284" s="42" t="s">
        <v>568</v>
      </c>
      <c r="G1284" s="28" t="str">
        <f>IF(ISNUMBER(F1284),E1284*F1284,"")</f>
        <v/>
      </c>
      <c r="H1284" s="29"/>
      <c r="I1284" s="30"/>
      <c r="J1284" s="155">
        <v>0</v>
      </c>
    </row>
    <row r="1285" spans="1:10" ht="15.75" hidden="1" thickBot="1" x14ac:dyDescent="0.3">
      <c r="A1285" s="176"/>
      <c r="B1285" s="175"/>
      <c r="C1285" s="32"/>
      <c r="D1285" s="32"/>
      <c r="E1285" s="33"/>
      <c r="F1285" s="43" t="s">
        <v>568</v>
      </c>
      <c r="G1285" s="31" t="str">
        <f>IF(ISNUMBER(F1285),E1285*F1285,"")</f>
        <v/>
      </c>
      <c r="H1285" s="35"/>
      <c r="I1285" s="31"/>
      <c r="J1285" s="155">
        <v>0</v>
      </c>
    </row>
    <row r="1286" spans="1:10" ht="26.25" hidden="1" thickBot="1" x14ac:dyDescent="0.3">
      <c r="A1286" s="176"/>
      <c r="B1286" s="175"/>
      <c r="C1286" s="36" t="s">
        <v>437</v>
      </c>
      <c r="D1286" s="47" t="s">
        <v>149</v>
      </c>
      <c r="E1286" s="37">
        <v>1</v>
      </c>
      <c r="F1286" s="34" t="s">
        <v>568</v>
      </c>
      <c r="G1286" s="34" t="str">
        <f>IF(ISNUMBER(F1286),E1286*F1286,"")</f>
        <v/>
      </c>
      <c r="H1286" s="39">
        <f>SUM(G1286:G1289)</f>
        <v>40.222999999999999</v>
      </c>
      <c r="I1286" s="40"/>
      <c r="J1286" s="155">
        <v>0</v>
      </c>
    </row>
    <row r="1287" spans="1:10" ht="26.25" hidden="1" thickBot="1" x14ac:dyDescent="0.3">
      <c r="A1287" s="176"/>
      <c r="B1287" s="175"/>
      <c r="C1287" s="36" t="s">
        <v>435</v>
      </c>
      <c r="D1287" s="47" t="s">
        <v>297</v>
      </c>
      <c r="E1287" s="37">
        <v>6</v>
      </c>
      <c r="F1287" s="34">
        <v>0.30399999999999999</v>
      </c>
      <c r="G1287" s="34">
        <f>IF(ISNUMBER(F1287),E1287*F1287,"")</f>
        <v>1.8239999999999998</v>
      </c>
      <c r="H1287" s="35"/>
      <c r="I1287" s="31"/>
      <c r="J1287" s="155">
        <v>0</v>
      </c>
    </row>
    <row r="1288" spans="1:10" ht="15.75" hidden="1" thickBot="1" x14ac:dyDescent="0.3">
      <c r="A1288" s="176"/>
      <c r="B1288" s="175"/>
      <c r="C1288" s="36" t="s">
        <v>22</v>
      </c>
      <c r="D1288" s="36" t="s">
        <v>12</v>
      </c>
      <c r="E1288" s="37">
        <v>1</v>
      </c>
      <c r="F1288" s="31">
        <v>22.087499999999999</v>
      </c>
      <c r="G1288" s="34">
        <f>IF(ISNUMBER(F1288),E1288*F1288,"")</f>
        <v>22.087499999999999</v>
      </c>
      <c r="H1288" s="35"/>
      <c r="I1288" s="31"/>
      <c r="J1288" s="155">
        <v>0</v>
      </c>
    </row>
    <row r="1289" spans="1:10" ht="15.75" hidden="1" thickBot="1" x14ac:dyDescent="0.3">
      <c r="A1289" s="176"/>
      <c r="B1289" s="175"/>
      <c r="C1289" s="36" t="s">
        <v>23</v>
      </c>
      <c r="D1289" s="36" t="s">
        <v>12</v>
      </c>
      <c r="E1289" s="37">
        <v>1</v>
      </c>
      <c r="F1289" s="31">
        <v>16.311500000000002</v>
      </c>
      <c r="G1289" s="34">
        <f>IF(ISNUMBER(F1289),E1289*F1289,"")</f>
        <v>16.311500000000002</v>
      </c>
      <c r="H1289" s="35"/>
      <c r="I1289" s="31"/>
      <c r="J1289" s="155">
        <v>0</v>
      </c>
    </row>
    <row r="1290" spans="1:10" ht="15.75" hidden="1" thickBot="1" x14ac:dyDescent="0.3">
      <c r="A1290" s="177"/>
      <c r="B1290" s="178"/>
      <c r="C1290" s="36"/>
      <c r="D1290" s="36"/>
      <c r="E1290" s="37"/>
      <c r="F1290" s="31" t="s">
        <v>568</v>
      </c>
      <c r="G1290" s="31" t="str">
        <f>IF(ISNUMBER(F1290),E1290*F1290,"")</f>
        <v/>
      </c>
      <c r="H1290" s="35"/>
      <c r="I1290" s="31"/>
      <c r="J1290" s="155">
        <v>0</v>
      </c>
    </row>
    <row r="1291" spans="1:10" ht="15.75" hidden="1" thickBot="1" x14ac:dyDescent="0.3">
      <c r="A1291" s="172" t="s">
        <v>438</v>
      </c>
      <c r="B1291" s="174" t="str">
        <f>INDEX(Orçamentária!A:B,MATCH(Composições!A1291,Orçamentária!A:A,0),2)</f>
        <v>Barra de apoio 80cm – Linha Acessibilidade</v>
      </c>
      <c r="C1291" s="41"/>
      <c r="D1291" s="26" t="str">
        <f>TRIM(INDEX(Orçamentária!C:C,MATCH(Composições!A1291,Orçamentária!A:A,0),1))</f>
        <v>un</v>
      </c>
      <c r="E1291" s="27"/>
      <c r="F1291" s="42" t="s">
        <v>568</v>
      </c>
      <c r="G1291" s="28" t="str">
        <f>IF(ISNUMBER(F1291),E1291*F1291,"")</f>
        <v/>
      </c>
      <c r="H1291" s="29"/>
      <c r="I1291" s="30"/>
      <c r="J1291" s="155">
        <v>0</v>
      </c>
    </row>
    <row r="1292" spans="1:10" ht="15.75" hidden="1" thickBot="1" x14ac:dyDescent="0.3">
      <c r="A1292" s="176"/>
      <c r="B1292" s="175"/>
      <c r="C1292" s="32"/>
      <c r="D1292" s="32"/>
      <c r="E1292" s="33"/>
      <c r="F1292" s="43" t="s">
        <v>568</v>
      </c>
      <c r="G1292" s="31" t="str">
        <f>IF(ISNUMBER(F1292),E1292*F1292,"")</f>
        <v/>
      </c>
      <c r="H1292" s="35"/>
      <c r="I1292" s="31"/>
      <c r="J1292" s="155">
        <v>0</v>
      </c>
    </row>
    <row r="1293" spans="1:10" ht="26.25" hidden="1" thickBot="1" x14ac:dyDescent="0.3">
      <c r="A1293" s="176"/>
      <c r="B1293" s="175"/>
      <c r="C1293" s="36" t="s">
        <v>439</v>
      </c>
      <c r="D1293" s="47" t="s">
        <v>149</v>
      </c>
      <c r="E1293" s="37">
        <v>1</v>
      </c>
      <c r="F1293" s="34" t="s">
        <v>568</v>
      </c>
      <c r="G1293" s="34" t="str">
        <f>IF(ISNUMBER(F1293),E1293*F1293,"")</f>
        <v/>
      </c>
      <c r="H1293" s="39">
        <f>SUM(G1293:G1296)</f>
        <v>40.222999999999999</v>
      </c>
      <c r="I1293" s="40"/>
      <c r="J1293" s="155">
        <v>0</v>
      </c>
    </row>
    <row r="1294" spans="1:10" ht="26.25" hidden="1" thickBot="1" x14ac:dyDescent="0.3">
      <c r="A1294" s="176"/>
      <c r="B1294" s="175"/>
      <c r="C1294" s="36" t="s">
        <v>435</v>
      </c>
      <c r="D1294" s="47" t="s">
        <v>297</v>
      </c>
      <c r="E1294" s="37">
        <v>6</v>
      </c>
      <c r="F1294" s="34">
        <v>0.30399999999999999</v>
      </c>
      <c r="G1294" s="34">
        <f>IF(ISNUMBER(F1294),E1294*F1294,"")</f>
        <v>1.8239999999999998</v>
      </c>
      <c r="H1294" s="35"/>
      <c r="I1294" s="31"/>
      <c r="J1294" s="155">
        <v>0</v>
      </c>
    </row>
    <row r="1295" spans="1:10" ht="15.75" hidden="1" thickBot="1" x14ac:dyDescent="0.3">
      <c r="A1295" s="176"/>
      <c r="B1295" s="175"/>
      <c r="C1295" s="36" t="s">
        <v>22</v>
      </c>
      <c r="D1295" s="36" t="s">
        <v>12</v>
      </c>
      <c r="E1295" s="37">
        <v>1</v>
      </c>
      <c r="F1295" s="31">
        <v>22.087499999999999</v>
      </c>
      <c r="G1295" s="34">
        <f>IF(ISNUMBER(F1295),E1295*F1295,"")</f>
        <v>22.087499999999999</v>
      </c>
      <c r="H1295" s="35"/>
      <c r="I1295" s="31"/>
      <c r="J1295" s="155">
        <v>0</v>
      </c>
    </row>
    <row r="1296" spans="1:10" ht="15.75" hidden="1" thickBot="1" x14ac:dyDescent="0.3">
      <c r="A1296" s="176"/>
      <c r="B1296" s="175"/>
      <c r="C1296" s="36" t="s">
        <v>23</v>
      </c>
      <c r="D1296" s="36" t="s">
        <v>12</v>
      </c>
      <c r="E1296" s="37">
        <v>1</v>
      </c>
      <c r="F1296" s="31">
        <v>16.311500000000002</v>
      </c>
      <c r="G1296" s="34">
        <f>IF(ISNUMBER(F1296),E1296*F1296,"")</f>
        <v>16.311500000000002</v>
      </c>
      <c r="H1296" s="35"/>
      <c r="I1296" s="31"/>
      <c r="J1296" s="155">
        <v>0</v>
      </c>
    </row>
    <row r="1297" spans="1:10" ht="15.75" hidden="1" thickBot="1" x14ac:dyDescent="0.3">
      <c r="A1297" s="177"/>
      <c r="B1297" s="178"/>
      <c r="C1297" s="36"/>
      <c r="D1297" s="36"/>
      <c r="E1297" s="37"/>
      <c r="F1297" s="31" t="s">
        <v>568</v>
      </c>
      <c r="G1297" s="31" t="str">
        <f>IF(ISNUMBER(F1297),E1297*F1297,"")</f>
        <v/>
      </c>
      <c r="H1297" s="35"/>
      <c r="I1297" s="31"/>
      <c r="J1297" s="155">
        <v>0</v>
      </c>
    </row>
    <row r="1298" spans="1:10" ht="15.75" hidden="1" thickBot="1" x14ac:dyDescent="0.3">
      <c r="A1298" s="172" t="s">
        <v>440</v>
      </c>
      <c r="B1298" s="174" t="str">
        <f>INDEX(Orçamentária!A:B,MATCH(Composições!A1298,Orçamentária!A:A,0),2)</f>
        <v>Barra de apoio lateral fixa 30cm – Linha Acessibilidade</v>
      </c>
      <c r="C1298" s="41"/>
      <c r="D1298" s="26" t="str">
        <f>TRIM(INDEX(Orçamentária!C:C,MATCH(Composições!A1298,Orçamentária!A:A,0),1))</f>
        <v>un</v>
      </c>
      <c r="E1298" s="27"/>
      <c r="F1298" s="42" t="s">
        <v>568</v>
      </c>
      <c r="G1298" s="28" t="str">
        <f>IF(ISNUMBER(F1298),E1298*F1298,"")</f>
        <v/>
      </c>
      <c r="H1298" s="29"/>
      <c r="I1298" s="30"/>
      <c r="J1298" s="155">
        <v>0</v>
      </c>
    </row>
    <row r="1299" spans="1:10" ht="15.75" hidden="1" thickBot="1" x14ac:dyDescent="0.3">
      <c r="A1299" s="176"/>
      <c r="B1299" s="175"/>
      <c r="C1299" s="32"/>
      <c r="D1299" s="32"/>
      <c r="E1299" s="33"/>
      <c r="F1299" s="43" t="s">
        <v>568</v>
      </c>
      <c r="G1299" s="31" t="str">
        <f>IF(ISNUMBER(F1299),E1299*F1299,"")</f>
        <v/>
      </c>
      <c r="H1299" s="35"/>
      <c r="I1299" s="31"/>
      <c r="J1299" s="155">
        <v>0</v>
      </c>
    </row>
    <row r="1300" spans="1:10" ht="15.75" hidden="1" thickBot="1" x14ac:dyDescent="0.3">
      <c r="A1300" s="176"/>
      <c r="B1300" s="175"/>
      <c r="C1300" s="36" t="s">
        <v>22</v>
      </c>
      <c r="D1300" s="36" t="s">
        <v>12</v>
      </c>
      <c r="E1300" s="37">
        <v>1</v>
      </c>
      <c r="F1300" s="31">
        <v>22.087499999999999</v>
      </c>
      <c r="G1300" s="34">
        <f>IF(ISNUMBER(F1300),E1300*F1300,"")</f>
        <v>22.087499999999999</v>
      </c>
      <c r="H1300" s="39">
        <f>SUM(G1300:G1303)</f>
        <v>40.222999999999999</v>
      </c>
      <c r="I1300" s="40"/>
      <c r="J1300" s="155">
        <v>0</v>
      </c>
    </row>
    <row r="1301" spans="1:10" ht="15.75" hidden="1" thickBot="1" x14ac:dyDescent="0.3">
      <c r="A1301" s="176"/>
      <c r="B1301" s="175"/>
      <c r="C1301" s="36" t="s">
        <v>23</v>
      </c>
      <c r="D1301" s="36" t="s">
        <v>12</v>
      </c>
      <c r="E1301" s="37">
        <v>1</v>
      </c>
      <c r="F1301" s="31">
        <v>16.311500000000002</v>
      </c>
      <c r="G1301" s="34">
        <f>IF(ISNUMBER(F1301),E1301*F1301,"")</f>
        <v>16.311500000000002</v>
      </c>
      <c r="H1301" s="35"/>
      <c r="I1301" s="31"/>
      <c r="J1301" s="155">
        <v>0</v>
      </c>
    </row>
    <row r="1302" spans="1:10" ht="26.25" hidden="1" thickBot="1" x14ac:dyDescent="0.3">
      <c r="A1302" s="176"/>
      <c r="B1302" s="175"/>
      <c r="C1302" s="36" t="s">
        <v>441</v>
      </c>
      <c r="D1302" s="36" t="s">
        <v>20</v>
      </c>
      <c r="E1302" s="37">
        <v>1</v>
      </c>
      <c r="F1302" s="34" t="s">
        <v>568</v>
      </c>
      <c r="G1302" s="31" t="str">
        <f>IF(ISNUMBER(F1302),E1302*F1302,"")</f>
        <v/>
      </c>
      <c r="H1302" s="35"/>
      <c r="I1302" s="31"/>
      <c r="J1302" s="155">
        <v>0</v>
      </c>
    </row>
    <row r="1303" spans="1:10" ht="26.25" hidden="1" thickBot="1" x14ac:dyDescent="0.3">
      <c r="A1303" s="176"/>
      <c r="B1303" s="175"/>
      <c r="C1303" s="36" t="s">
        <v>435</v>
      </c>
      <c r="D1303" s="47" t="s">
        <v>297</v>
      </c>
      <c r="E1303" s="37">
        <v>6</v>
      </c>
      <c r="F1303" s="34">
        <v>0.30399999999999999</v>
      </c>
      <c r="G1303" s="34">
        <f>IF(ISNUMBER(F1303),E1303*F1303,"")</f>
        <v>1.8239999999999998</v>
      </c>
      <c r="H1303" s="35"/>
      <c r="I1303" s="31"/>
      <c r="J1303" s="155">
        <v>0</v>
      </c>
    </row>
    <row r="1304" spans="1:10" ht="15.75" hidden="1" thickBot="1" x14ac:dyDescent="0.3">
      <c r="A1304" s="177"/>
      <c r="B1304" s="178"/>
      <c r="C1304" s="36"/>
      <c r="D1304" s="36"/>
      <c r="E1304" s="37"/>
      <c r="F1304" s="31" t="s">
        <v>568</v>
      </c>
      <c r="G1304" s="31" t="str">
        <f>IF(ISNUMBER(F1304),E1304*F1304,"")</f>
        <v/>
      </c>
      <c r="H1304" s="35"/>
      <c r="I1304" s="31"/>
      <c r="J1304" s="155">
        <v>0</v>
      </c>
    </row>
    <row r="1305" spans="1:10" ht="15.75" hidden="1" thickBot="1" x14ac:dyDescent="0.3">
      <c r="A1305" s="172" t="s">
        <v>442</v>
      </c>
      <c r="B1305" s="174" t="str">
        <f>INDEX(Orçamentária!A:B,MATCH(Composições!A1305,Orçamentária!A:A,0),2)</f>
        <v>Lavatório suspenso – Linha Acessibilidade</v>
      </c>
      <c r="C1305" s="41"/>
      <c r="D1305" s="26" t="str">
        <f>TRIM(INDEX(Orçamentária!C:C,MATCH(Composições!A1305,Orçamentária!A:A,0),1))</f>
        <v>un</v>
      </c>
      <c r="E1305" s="27"/>
      <c r="F1305" s="42" t="s">
        <v>568</v>
      </c>
      <c r="G1305" s="28" t="str">
        <f>IF(ISNUMBER(F1305),E1305*F1305,"")</f>
        <v/>
      </c>
      <c r="H1305" s="29"/>
      <c r="I1305" s="30"/>
      <c r="J1305" s="155">
        <v>0</v>
      </c>
    </row>
    <row r="1306" spans="1:10" ht="15.75" hidden="1" thickBot="1" x14ac:dyDescent="0.3">
      <c r="A1306" s="176"/>
      <c r="B1306" s="175"/>
      <c r="C1306" s="32"/>
      <c r="D1306" s="32"/>
      <c r="E1306" s="33"/>
      <c r="F1306" s="43" t="s">
        <v>568</v>
      </c>
      <c r="G1306" s="31" t="str">
        <f>IF(ISNUMBER(F1306),E1306*F1306,"")</f>
        <v/>
      </c>
      <c r="H1306" s="35"/>
      <c r="I1306" s="31"/>
      <c r="J1306" s="155">
        <v>0</v>
      </c>
    </row>
    <row r="1307" spans="1:10" ht="26.25" hidden="1" thickBot="1" x14ac:dyDescent="0.3">
      <c r="A1307" s="176"/>
      <c r="B1307" s="175"/>
      <c r="C1307" s="36" t="s">
        <v>443</v>
      </c>
      <c r="D1307" s="47" t="s">
        <v>149</v>
      </c>
      <c r="E1307" s="37">
        <v>1</v>
      </c>
      <c r="F1307" s="34" t="s">
        <v>568</v>
      </c>
      <c r="G1307" s="34" t="str">
        <f>IF(ISNUMBER(F1307),E1307*F1307,"")</f>
        <v/>
      </c>
      <c r="H1307" s="39">
        <f>SUM(G1307:G1311)</f>
        <v>29.296234899999998</v>
      </c>
      <c r="I1307" s="40"/>
      <c r="J1307" s="155">
        <v>0</v>
      </c>
    </row>
    <row r="1308" spans="1:10" ht="26.25" hidden="1" thickBot="1" x14ac:dyDescent="0.3">
      <c r="A1308" s="176"/>
      <c r="B1308" s="175"/>
      <c r="C1308" s="36" t="s">
        <v>374</v>
      </c>
      <c r="D1308" s="47" t="s">
        <v>297</v>
      </c>
      <c r="E1308" s="37">
        <v>2</v>
      </c>
      <c r="F1308" s="34">
        <v>8.1225000000000005</v>
      </c>
      <c r="G1308" s="34">
        <f>IF(ISNUMBER(F1308),E1308*F1308,"")</f>
        <v>16.245000000000001</v>
      </c>
      <c r="H1308" s="35"/>
      <c r="I1308" s="31"/>
      <c r="J1308" s="155">
        <v>0</v>
      </c>
    </row>
    <row r="1309" spans="1:10" ht="15.75" hidden="1" thickBot="1" x14ac:dyDescent="0.3">
      <c r="A1309" s="176"/>
      <c r="B1309" s="175"/>
      <c r="C1309" s="36" t="s">
        <v>3615</v>
      </c>
      <c r="D1309" s="47" t="s">
        <v>42</v>
      </c>
      <c r="E1309" s="37">
        <v>3.04E-2</v>
      </c>
      <c r="F1309" s="34">
        <v>52.8675</v>
      </c>
      <c r="G1309" s="34">
        <f>IF(ISNUMBER(F1309),E1309*F1309,"")</f>
        <v>1.607172</v>
      </c>
      <c r="H1309" s="35"/>
      <c r="I1309" s="31"/>
      <c r="J1309" s="155">
        <v>0</v>
      </c>
    </row>
    <row r="1310" spans="1:10" ht="15.75" hidden="1" thickBot="1" x14ac:dyDescent="0.3">
      <c r="A1310" s="176"/>
      <c r="B1310" s="175"/>
      <c r="C1310" s="36" t="s">
        <v>39</v>
      </c>
      <c r="D1310" s="47" t="s">
        <v>12</v>
      </c>
      <c r="E1310" s="37">
        <v>0.38700000000000001</v>
      </c>
      <c r="F1310" s="31">
        <v>21.622</v>
      </c>
      <c r="G1310" s="34">
        <f>IF(ISNUMBER(F1310),E1310*F1310,"")</f>
        <v>8.3677139999999994</v>
      </c>
      <c r="H1310" s="35"/>
      <c r="I1310" s="31"/>
      <c r="J1310" s="155">
        <v>0</v>
      </c>
    </row>
    <row r="1311" spans="1:10" ht="15.75" hidden="1" thickBot="1" x14ac:dyDescent="0.3">
      <c r="A1311" s="176"/>
      <c r="B1311" s="175"/>
      <c r="C1311" s="36" t="s">
        <v>23</v>
      </c>
      <c r="D1311" s="47" t="s">
        <v>12</v>
      </c>
      <c r="E1311" s="37">
        <v>0.18859999999999999</v>
      </c>
      <c r="F1311" s="31">
        <v>16.311500000000002</v>
      </c>
      <c r="G1311" s="34">
        <f>IF(ISNUMBER(F1311),E1311*F1311,"")</f>
        <v>3.0763489000000002</v>
      </c>
      <c r="H1311" s="35"/>
      <c r="I1311" s="31"/>
      <c r="J1311" s="155">
        <v>0</v>
      </c>
    </row>
    <row r="1312" spans="1:10" ht="15.75" hidden="1" thickBot="1" x14ac:dyDescent="0.3">
      <c r="A1312" s="177"/>
      <c r="B1312" s="178"/>
      <c r="C1312" s="36"/>
      <c r="D1312" s="36"/>
      <c r="E1312" s="37"/>
      <c r="F1312" s="31" t="s">
        <v>568</v>
      </c>
      <c r="G1312" s="31" t="str">
        <f>IF(ISNUMBER(F1312),E1312*F1312,"")</f>
        <v/>
      </c>
      <c r="H1312" s="35"/>
      <c r="I1312" s="31"/>
      <c r="J1312" s="155">
        <v>0</v>
      </c>
    </row>
    <row r="1313" spans="1:10" ht="15.75" hidden="1" thickBot="1" x14ac:dyDescent="0.3">
      <c r="A1313" s="172" t="s">
        <v>444</v>
      </c>
      <c r="B1313" s="174" t="str">
        <f>INDEX(Orçamentária!A:B,MATCH(Composições!A1313,Orçamentária!A:A,0),2)</f>
        <v>Lavatório suspenso com Coluna – Linha Acessibilidade</v>
      </c>
      <c r="C1313" s="41"/>
      <c r="D1313" s="26" t="str">
        <f>TRIM(INDEX(Orçamentária!C:C,MATCH(Composições!A1313,Orçamentária!A:A,0),1))</f>
        <v>un</v>
      </c>
      <c r="E1313" s="27"/>
      <c r="F1313" s="42" t="s">
        <v>568</v>
      </c>
      <c r="G1313" s="28" t="str">
        <f>IF(ISNUMBER(F1313),E1313*F1313,"")</f>
        <v/>
      </c>
      <c r="H1313" s="29"/>
      <c r="I1313" s="30"/>
      <c r="J1313" s="155">
        <v>0</v>
      </c>
    </row>
    <row r="1314" spans="1:10" ht="15.75" hidden="1" thickBot="1" x14ac:dyDescent="0.3">
      <c r="A1314" s="176"/>
      <c r="B1314" s="175"/>
      <c r="C1314" s="32"/>
      <c r="D1314" s="32"/>
      <c r="E1314" s="33"/>
      <c r="F1314" s="43" t="s">
        <v>568</v>
      </c>
      <c r="G1314" s="31" t="str">
        <f>IF(ISNUMBER(F1314),E1314*F1314,"")</f>
        <v/>
      </c>
      <c r="H1314" s="35"/>
      <c r="I1314" s="31"/>
      <c r="J1314" s="155">
        <v>0</v>
      </c>
    </row>
    <row r="1315" spans="1:10" ht="15.75" hidden="1" thickBot="1" x14ac:dyDescent="0.3">
      <c r="A1315" s="176"/>
      <c r="B1315" s="175"/>
      <c r="C1315" s="36" t="s">
        <v>39</v>
      </c>
      <c r="D1315" s="47" t="s">
        <v>12</v>
      </c>
      <c r="E1315" s="37">
        <v>1.4666999999999999</v>
      </c>
      <c r="F1315" s="31">
        <v>21.622</v>
      </c>
      <c r="G1315" s="34">
        <f>IF(ISNUMBER(F1315),E1315*F1315,"")</f>
        <v>31.712987399999996</v>
      </c>
      <c r="H1315" s="39">
        <f>SUM(G1315:G1320)</f>
        <v>95.656517449999996</v>
      </c>
      <c r="I1315" s="40"/>
      <c r="J1315" s="155">
        <v>0</v>
      </c>
    </row>
    <row r="1316" spans="1:10" ht="15.75" hidden="1" thickBot="1" x14ac:dyDescent="0.3">
      <c r="A1316" s="176"/>
      <c r="B1316" s="175"/>
      <c r="C1316" s="36" t="s">
        <v>23</v>
      </c>
      <c r="D1316" s="47" t="s">
        <v>12</v>
      </c>
      <c r="E1316" s="37">
        <v>0.65169999999999995</v>
      </c>
      <c r="F1316" s="31">
        <v>16.311500000000002</v>
      </c>
      <c r="G1316" s="34">
        <f>IF(ISNUMBER(F1316),E1316*F1316,"")</f>
        <v>10.63020455</v>
      </c>
      <c r="H1316" s="35"/>
      <c r="I1316" s="31"/>
      <c r="J1316" s="155">
        <v>0</v>
      </c>
    </row>
    <row r="1317" spans="1:10" ht="26.25" hidden="1" thickBot="1" x14ac:dyDescent="0.3">
      <c r="A1317" s="176"/>
      <c r="B1317" s="175"/>
      <c r="C1317" s="36" t="s">
        <v>443</v>
      </c>
      <c r="D1317" s="47" t="s">
        <v>149</v>
      </c>
      <c r="E1317" s="37">
        <v>1</v>
      </c>
      <c r="F1317" s="34" t="s">
        <v>568</v>
      </c>
      <c r="G1317" s="34" t="str">
        <f>IF(ISNUMBER(F1317),E1317*F1317,"")</f>
        <v/>
      </c>
      <c r="H1317" s="35"/>
      <c r="I1317" s="31"/>
      <c r="J1317" s="155">
        <v>0</v>
      </c>
    </row>
    <row r="1318" spans="1:10" ht="26.25" hidden="1" thickBot="1" x14ac:dyDescent="0.3">
      <c r="A1318" s="176"/>
      <c r="B1318" s="175"/>
      <c r="C1318" s="36" t="s">
        <v>374</v>
      </c>
      <c r="D1318" s="47" t="s">
        <v>297</v>
      </c>
      <c r="E1318" s="37">
        <v>6</v>
      </c>
      <c r="F1318" s="34">
        <v>8.1225000000000005</v>
      </c>
      <c r="G1318" s="34">
        <f>IF(ISNUMBER(F1318),E1318*F1318,"")</f>
        <v>48.734999999999999</v>
      </c>
      <c r="H1318" s="35"/>
      <c r="I1318" s="31"/>
      <c r="J1318" s="155">
        <v>0</v>
      </c>
    </row>
    <row r="1319" spans="1:10" ht="15.75" hidden="1" thickBot="1" x14ac:dyDescent="0.3">
      <c r="A1319" s="176"/>
      <c r="B1319" s="175"/>
      <c r="C1319" s="36" t="s">
        <v>3615</v>
      </c>
      <c r="D1319" s="47" t="s">
        <v>42</v>
      </c>
      <c r="E1319" s="37">
        <v>8.6599999999999996E-2</v>
      </c>
      <c r="F1319" s="34">
        <v>52.8675</v>
      </c>
      <c r="G1319" s="34">
        <f>IF(ISNUMBER(F1319),E1319*F1319,"")</f>
        <v>4.5783255</v>
      </c>
      <c r="H1319" s="35"/>
      <c r="I1319" s="31"/>
      <c r="J1319" s="155">
        <v>0</v>
      </c>
    </row>
    <row r="1320" spans="1:10" ht="26.25" hidden="1" thickBot="1" x14ac:dyDescent="0.3">
      <c r="A1320" s="176"/>
      <c r="B1320" s="175"/>
      <c r="C1320" s="36" t="s">
        <v>445</v>
      </c>
      <c r="D1320" s="36" t="s">
        <v>20</v>
      </c>
      <c r="E1320" s="37">
        <v>1</v>
      </c>
      <c r="F1320" s="34" t="s">
        <v>568</v>
      </c>
      <c r="G1320" s="31" t="str">
        <f>IF(ISNUMBER(F1320),E1320*F1320,"")</f>
        <v/>
      </c>
      <c r="H1320" s="35"/>
      <c r="I1320" s="31"/>
      <c r="J1320" s="155">
        <v>0</v>
      </c>
    </row>
    <row r="1321" spans="1:10" ht="15.75" hidden="1" thickBot="1" x14ac:dyDescent="0.3">
      <c r="A1321" s="176"/>
      <c r="B1321" s="175"/>
      <c r="C1321" s="36"/>
      <c r="D1321" s="36"/>
      <c r="E1321" s="37"/>
      <c r="F1321" s="34" t="s">
        <v>568</v>
      </c>
      <c r="G1321" s="31" t="str">
        <f>IF(ISNUMBER(F1321),E1321*F1321,"")</f>
        <v/>
      </c>
      <c r="H1321" s="35"/>
      <c r="I1321" s="31"/>
      <c r="J1321" s="155">
        <v>0</v>
      </c>
    </row>
    <row r="1322" spans="1:10" ht="15.75" hidden="1" thickBot="1" x14ac:dyDescent="0.3">
      <c r="A1322" s="172" t="s">
        <v>446</v>
      </c>
      <c r="B1322" s="174" t="str">
        <f>INDEX(Orçamentária!A:B,MATCH(Composições!A1322,Orçamentária!A:A,0),2)</f>
        <v>Cabide – Linha Administrativa</v>
      </c>
      <c r="C1322" s="41"/>
      <c r="D1322" s="26" t="str">
        <f>TRIM(INDEX(Orçamentária!C:C,MATCH(Composições!A1322,Orçamentária!A:A,0),1))</f>
        <v>un</v>
      </c>
      <c r="E1322" s="27"/>
      <c r="F1322" s="42" t="s">
        <v>568</v>
      </c>
      <c r="G1322" s="28" t="str">
        <f>IF(ISNUMBER(F1322),E1322*F1322,"")</f>
        <v/>
      </c>
      <c r="H1322" s="29"/>
      <c r="I1322" s="30"/>
      <c r="J1322" s="155">
        <v>0</v>
      </c>
    </row>
    <row r="1323" spans="1:10" ht="15.75" hidden="1" thickBot="1" x14ac:dyDescent="0.3">
      <c r="A1323" s="176"/>
      <c r="B1323" s="175"/>
      <c r="C1323" s="32"/>
      <c r="D1323" s="32"/>
      <c r="E1323" s="33"/>
      <c r="F1323" s="43" t="s">
        <v>568</v>
      </c>
      <c r="G1323" s="31" t="str">
        <f>IF(ISNUMBER(F1323),E1323*F1323,"")</f>
        <v/>
      </c>
      <c r="H1323" s="35"/>
      <c r="I1323" s="31"/>
      <c r="J1323" s="155">
        <v>0</v>
      </c>
    </row>
    <row r="1324" spans="1:10" ht="15.75" hidden="1" thickBot="1" x14ac:dyDescent="0.3">
      <c r="A1324" s="176"/>
      <c r="B1324" s="175"/>
      <c r="C1324" s="36" t="s">
        <v>447</v>
      </c>
      <c r="D1324" s="47" t="s">
        <v>149</v>
      </c>
      <c r="E1324" s="37">
        <v>1</v>
      </c>
      <c r="F1324" s="34" t="s">
        <v>568</v>
      </c>
      <c r="G1324" s="34" t="str">
        <f>IF(ISNUMBER(F1324),E1324*F1324,"")</f>
        <v/>
      </c>
      <c r="H1324" s="39">
        <f>SUM(G1324:G1325)</f>
        <v>3.8883519</v>
      </c>
      <c r="I1324" s="40"/>
      <c r="J1324" s="155">
        <v>0</v>
      </c>
    </row>
    <row r="1325" spans="1:10" ht="26.25" hidden="1" thickBot="1" x14ac:dyDescent="0.3">
      <c r="A1325" s="176"/>
      <c r="B1325" s="175"/>
      <c r="C1325" s="36" t="s">
        <v>448</v>
      </c>
      <c r="D1325" s="47" t="s">
        <v>297</v>
      </c>
      <c r="E1325" s="37">
        <v>1</v>
      </c>
      <c r="F1325" s="34">
        <v>3.8883519</v>
      </c>
      <c r="G1325" s="34">
        <f>IF(ISNUMBER(F1325),E1325*F1325,"")</f>
        <v>3.8883519</v>
      </c>
      <c r="H1325" s="35"/>
      <c r="I1325" s="31"/>
      <c r="J1325" s="155">
        <v>0</v>
      </c>
    </row>
    <row r="1326" spans="1:10" ht="15.75" hidden="1" thickBot="1" x14ac:dyDescent="0.3">
      <c r="A1326" s="177"/>
      <c r="B1326" s="178"/>
      <c r="C1326" s="36"/>
      <c r="D1326" s="36"/>
      <c r="E1326" s="37"/>
      <c r="F1326" s="31" t="s">
        <v>568</v>
      </c>
      <c r="G1326" s="31" t="str">
        <f>IF(ISNUMBER(F1326),E1326*F1326,"")</f>
        <v/>
      </c>
      <c r="H1326" s="35"/>
      <c r="I1326" s="31"/>
      <c r="J1326" s="155">
        <v>0</v>
      </c>
    </row>
    <row r="1327" spans="1:10" ht="15.75" hidden="1" thickBot="1" x14ac:dyDescent="0.3">
      <c r="A1327" s="172" t="s">
        <v>449</v>
      </c>
      <c r="B1327" s="174" t="str">
        <f>INDEX(Orçamentária!A:B,MATCH(Composições!A1327,Orçamentária!A:A,0),2)</f>
        <v>Papeleira – Linha Administrativa</v>
      </c>
      <c r="C1327" s="41"/>
      <c r="D1327" s="26" t="str">
        <f>TRIM(INDEX(Orçamentária!C:C,MATCH(Composições!A1327,Orçamentária!A:A,0),1))</f>
        <v>un</v>
      </c>
      <c r="E1327" s="27"/>
      <c r="F1327" s="42" t="s">
        <v>568</v>
      </c>
      <c r="G1327" s="28" t="str">
        <f>IF(ISNUMBER(F1327),E1327*F1327,"")</f>
        <v/>
      </c>
      <c r="H1327" s="29"/>
      <c r="I1327" s="30"/>
      <c r="J1327" s="155">
        <v>0</v>
      </c>
    </row>
    <row r="1328" spans="1:10" ht="15.75" hidden="1" thickBot="1" x14ac:dyDescent="0.3">
      <c r="A1328" s="176"/>
      <c r="B1328" s="175"/>
      <c r="C1328" s="32"/>
      <c r="D1328" s="32"/>
      <c r="E1328" s="33"/>
      <c r="F1328" s="43" t="s">
        <v>568</v>
      </c>
      <c r="G1328" s="31" t="str">
        <f>IF(ISNUMBER(F1328),E1328*F1328,"")</f>
        <v/>
      </c>
      <c r="H1328" s="35"/>
      <c r="I1328" s="31"/>
      <c r="J1328" s="155">
        <v>0</v>
      </c>
    </row>
    <row r="1329" spans="1:10" ht="15.75" hidden="1" thickBot="1" x14ac:dyDescent="0.3">
      <c r="A1329" s="176"/>
      <c r="B1329" s="175"/>
      <c r="C1329" s="36" t="s">
        <v>450</v>
      </c>
      <c r="D1329" s="47" t="s">
        <v>149</v>
      </c>
      <c r="E1329" s="37">
        <v>1</v>
      </c>
      <c r="F1329" s="34" t="s">
        <v>568</v>
      </c>
      <c r="G1329" s="34" t="str">
        <f>IF(ISNUMBER(F1329),E1329*F1329,"")</f>
        <v/>
      </c>
      <c r="H1329" s="39">
        <f>SUM(G1329:G1331)</f>
        <v>8.4615018000000006</v>
      </c>
      <c r="I1329" s="40"/>
      <c r="J1329" s="155">
        <v>0</v>
      </c>
    </row>
    <row r="1330" spans="1:10" ht="15.75" hidden="1" thickBot="1" x14ac:dyDescent="0.3">
      <c r="A1330" s="176"/>
      <c r="B1330" s="175"/>
      <c r="C1330" s="36" t="s">
        <v>39</v>
      </c>
      <c r="D1330" s="47" t="s">
        <v>12</v>
      </c>
      <c r="E1330" s="37">
        <v>0.31619999999999998</v>
      </c>
      <c r="F1330" s="31">
        <v>21.622</v>
      </c>
      <c r="G1330" s="34">
        <f>IF(ISNUMBER(F1330),E1330*F1330,"")</f>
        <v>6.8368763999999995</v>
      </c>
      <c r="H1330" s="35"/>
      <c r="I1330" s="31"/>
      <c r="J1330" s="155">
        <v>0</v>
      </c>
    </row>
    <row r="1331" spans="1:10" ht="15.75" hidden="1" thickBot="1" x14ac:dyDescent="0.3">
      <c r="A1331" s="176"/>
      <c r="B1331" s="175"/>
      <c r="C1331" s="36" t="s">
        <v>23</v>
      </c>
      <c r="D1331" s="47" t="s">
        <v>12</v>
      </c>
      <c r="E1331" s="37">
        <v>9.9599999999999994E-2</v>
      </c>
      <c r="F1331" s="31">
        <v>16.311500000000002</v>
      </c>
      <c r="G1331" s="34">
        <f>IF(ISNUMBER(F1331),E1331*F1331,"")</f>
        <v>1.6246254000000002</v>
      </c>
      <c r="H1331" s="35"/>
      <c r="I1331" s="31"/>
      <c r="J1331" s="155">
        <v>0</v>
      </c>
    </row>
    <row r="1332" spans="1:10" ht="15.75" hidden="1" thickBot="1" x14ac:dyDescent="0.3">
      <c r="A1332" s="177"/>
      <c r="B1332" s="178"/>
      <c r="C1332" s="36"/>
      <c r="D1332" s="36"/>
      <c r="E1332" s="37"/>
      <c r="F1332" s="31" t="s">
        <v>568</v>
      </c>
      <c r="G1332" s="31" t="str">
        <f>IF(ISNUMBER(F1332),E1332*F1332,"")</f>
        <v/>
      </c>
      <c r="H1332" s="35"/>
      <c r="I1332" s="31"/>
      <c r="J1332" s="155">
        <v>0</v>
      </c>
    </row>
    <row r="1333" spans="1:10" ht="15.75" hidden="1" thickBot="1" x14ac:dyDescent="0.3">
      <c r="A1333" s="172" t="s">
        <v>451</v>
      </c>
      <c r="B1333" s="174" t="str">
        <f>INDEX(Orçamentária!A:B,MATCH(Composições!A1333,Orçamentária!A:A,0),2)</f>
        <v>Porta toalha argola – Linha Administrativa</v>
      </c>
      <c r="C1333" s="41"/>
      <c r="D1333" s="26" t="str">
        <f>TRIM(INDEX(Orçamentária!C:C,MATCH(Composições!A1333,Orçamentária!A:A,0),1))</f>
        <v>un</v>
      </c>
      <c r="E1333" s="27"/>
      <c r="F1333" s="42" t="s">
        <v>568</v>
      </c>
      <c r="G1333" s="28" t="str">
        <f>IF(ISNUMBER(F1333),E1333*F1333,"")</f>
        <v/>
      </c>
      <c r="H1333" s="29"/>
      <c r="I1333" s="30"/>
      <c r="J1333" s="155">
        <v>0</v>
      </c>
    </row>
    <row r="1334" spans="1:10" ht="15.75" hidden="1" thickBot="1" x14ac:dyDescent="0.3">
      <c r="A1334" s="176"/>
      <c r="B1334" s="175"/>
      <c r="C1334" s="32"/>
      <c r="D1334" s="32"/>
      <c r="E1334" s="33"/>
      <c r="F1334" s="43" t="s">
        <v>568</v>
      </c>
      <c r="G1334" s="31" t="str">
        <f>IF(ISNUMBER(F1334),E1334*F1334,"")</f>
        <v/>
      </c>
      <c r="H1334" s="35"/>
      <c r="I1334" s="31"/>
      <c r="J1334" s="155">
        <v>0</v>
      </c>
    </row>
    <row r="1335" spans="1:10" ht="26.25" hidden="1" thickBot="1" x14ac:dyDescent="0.3">
      <c r="A1335" s="176"/>
      <c r="B1335" s="175"/>
      <c r="C1335" s="36" t="s">
        <v>452</v>
      </c>
      <c r="D1335" s="47" t="s">
        <v>149</v>
      </c>
      <c r="E1335" s="37">
        <v>1</v>
      </c>
      <c r="F1335" s="34" t="s">
        <v>568</v>
      </c>
      <c r="G1335" s="34" t="str">
        <f>IF(ISNUMBER(F1335),E1335*F1335,"")</f>
        <v/>
      </c>
      <c r="H1335" s="39">
        <f>SUM(G1335:G1337)</f>
        <v>8.4615018000000006</v>
      </c>
      <c r="I1335" s="40"/>
      <c r="J1335" s="155">
        <v>0</v>
      </c>
    </row>
    <row r="1336" spans="1:10" ht="15.75" hidden="1" thickBot="1" x14ac:dyDescent="0.3">
      <c r="A1336" s="176"/>
      <c r="B1336" s="175"/>
      <c r="C1336" s="36" t="s">
        <v>39</v>
      </c>
      <c r="D1336" s="47" t="s">
        <v>12</v>
      </c>
      <c r="E1336" s="37">
        <v>0.31619999999999998</v>
      </c>
      <c r="F1336" s="31">
        <v>21.622</v>
      </c>
      <c r="G1336" s="34">
        <f>IF(ISNUMBER(F1336),E1336*F1336,"")</f>
        <v>6.8368763999999995</v>
      </c>
      <c r="H1336" s="35"/>
      <c r="I1336" s="31"/>
      <c r="J1336" s="155">
        <v>0</v>
      </c>
    </row>
    <row r="1337" spans="1:10" ht="15.75" hidden="1" thickBot="1" x14ac:dyDescent="0.3">
      <c r="A1337" s="176"/>
      <c r="B1337" s="175"/>
      <c r="C1337" s="36" t="s">
        <v>23</v>
      </c>
      <c r="D1337" s="47" t="s">
        <v>12</v>
      </c>
      <c r="E1337" s="37">
        <v>9.9599999999999994E-2</v>
      </c>
      <c r="F1337" s="31">
        <v>16.311500000000002</v>
      </c>
      <c r="G1337" s="34">
        <f>IF(ISNUMBER(F1337),E1337*F1337,"")</f>
        <v>1.6246254000000002</v>
      </c>
      <c r="H1337" s="35"/>
      <c r="I1337" s="31"/>
      <c r="J1337" s="155">
        <v>0</v>
      </c>
    </row>
    <row r="1338" spans="1:10" ht="15.75" hidden="1" thickBot="1" x14ac:dyDescent="0.3">
      <c r="A1338" s="177"/>
      <c r="B1338" s="178"/>
      <c r="C1338" s="36"/>
      <c r="D1338" s="36"/>
      <c r="E1338" s="37"/>
      <c r="F1338" s="31" t="s">
        <v>568</v>
      </c>
      <c r="G1338" s="31" t="str">
        <f>IF(ISNUMBER(F1338),E1338*F1338,"")</f>
        <v/>
      </c>
      <c r="H1338" s="35"/>
      <c r="I1338" s="31"/>
      <c r="J1338" s="155">
        <v>0</v>
      </c>
    </row>
    <row r="1339" spans="1:10" ht="15.75" hidden="1" thickBot="1" x14ac:dyDescent="0.3">
      <c r="A1339" s="172" t="s">
        <v>453</v>
      </c>
      <c r="B1339" s="174" t="str">
        <f>INDEX(Orçamentária!A:B,MATCH(Composições!A1339,Orçamentária!A:A,0),2)</f>
        <v>Porta toalha barra – Linha Administrativa</v>
      </c>
      <c r="C1339" s="41"/>
      <c r="D1339" s="26" t="str">
        <f>TRIM(INDEX(Orçamentária!C:C,MATCH(Composições!A1339,Orçamentária!A:A,0),1))</f>
        <v>un</v>
      </c>
      <c r="E1339" s="27"/>
      <c r="F1339" s="42" t="s">
        <v>568</v>
      </c>
      <c r="G1339" s="28" t="str">
        <f>IF(ISNUMBER(F1339),E1339*F1339,"")</f>
        <v/>
      </c>
      <c r="H1339" s="29"/>
      <c r="I1339" s="30"/>
      <c r="J1339" s="155">
        <v>0</v>
      </c>
    </row>
    <row r="1340" spans="1:10" ht="15.75" hidden="1" thickBot="1" x14ac:dyDescent="0.3">
      <c r="A1340" s="176"/>
      <c r="B1340" s="175"/>
      <c r="C1340" s="32"/>
      <c r="D1340" s="32"/>
      <c r="E1340" s="33"/>
      <c r="F1340" s="43" t="s">
        <v>568</v>
      </c>
      <c r="G1340" s="31" t="str">
        <f>IF(ISNUMBER(F1340),E1340*F1340,"")</f>
        <v/>
      </c>
      <c r="H1340" s="35"/>
      <c r="I1340" s="31"/>
      <c r="J1340" s="155">
        <v>0</v>
      </c>
    </row>
    <row r="1341" spans="1:10" ht="26.25" hidden="1" thickBot="1" x14ac:dyDescent="0.3">
      <c r="A1341" s="176"/>
      <c r="B1341" s="175"/>
      <c r="C1341" s="36" t="s">
        <v>454</v>
      </c>
      <c r="D1341" s="47" t="s">
        <v>149</v>
      </c>
      <c r="E1341" s="37">
        <v>1</v>
      </c>
      <c r="F1341" s="34" t="s">
        <v>568</v>
      </c>
      <c r="G1341" s="34" t="str">
        <f>IF(ISNUMBER(F1341),E1341*F1341,"")</f>
        <v/>
      </c>
      <c r="H1341" s="39">
        <f>SUM(G1341:G1343)</f>
        <v>16.9208414</v>
      </c>
      <c r="I1341" s="40"/>
      <c r="J1341" s="155">
        <v>0</v>
      </c>
    </row>
    <row r="1342" spans="1:10" ht="15.75" hidden="1" thickBot="1" x14ac:dyDescent="0.3">
      <c r="A1342" s="176"/>
      <c r="B1342" s="175"/>
      <c r="C1342" s="36" t="s">
        <v>39</v>
      </c>
      <c r="D1342" s="47" t="s">
        <v>12</v>
      </c>
      <c r="E1342" s="37">
        <v>0.63229999999999997</v>
      </c>
      <c r="F1342" s="31">
        <v>21.622</v>
      </c>
      <c r="G1342" s="34">
        <f>IF(ISNUMBER(F1342),E1342*F1342,"")</f>
        <v>13.6715906</v>
      </c>
      <c r="H1342" s="35"/>
      <c r="I1342" s="31"/>
      <c r="J1342" s="155">
        <v>0</v>
      </c>
    </row>
    <row r="1343" spans="1:10" ht="15.75" hidden="1" thickBot="1" x14ac:dyDescent="0.3">
      <c r="A1343" s="176"/>
      <c r="B1343" s="175"/>
      <c r="C1343" s="36" t="s">
        <v>23</v>
      </c>
      <c r="D1343" s="47" t="s">
        <v>12</v>
      </c>
      <c r="E1343" s="37">
        <v>0.19919999999999999</v>
      </c>
      <c r="F1343" s="31">
        <v>16.311500000000002</v>
      </c>
      <c r="G1343" s="34">
        <f>IF(ISNUMBER(F1343),E1343*F1343,"")</f>
        <v>3.2492508000000004</v>
      </c>
      <c r="H1343" s="35"/>
      <c r="I1343" s="31"/>
      <c r="J1343" s="155">
        <v>0</v>
      </c>
    </row>
    <row r="1344" spans="1:10" ht="15.75" hidden="1" thickBot="1" x14ac:dyDescent="0.3">
      <c r="A1344" s="177"/>
      <c r="B1344" s="178"/>
      <c r="C1344" s="36"/>
      <c r="D1344" s="36"/>
      <c r="E1344" s="37"/>
      <c r="F1344" s="31" t="s">
        <v>568</v>
      </c>
      <c r="G1344" s="31" t="str">
        <f>IF(ISNUMBER(F1344),E1344*F1344,"")</f>
        <v/>
      </c>
      <c r="H1344" s="35"/>
      <c r="I1344" s="31"/>
      <c r="J1344" s="155">
        <v>0</v>
      </c>
    </row>
    <row r="1345" spans="1:10" ht="15.75" thickBot="1" x14ac:dyDescent="0.3">
      <c r="A1345" s="172" t="s">
        <v>455</v>
      </c>
      <c r="B1345" s="174" t="str">
        <f>INDEX(Orçamentária!A:B,MATCH(Composições!A1345,Orçamentária!A:A,0),2)</f>
        <v>Caixa 4x2 de embutir para alvenaria</v>
      </c>
      <c r="C1345" s="41"/>
      <c r="D1345" s="26" t="str">
        <f>TRIM(INDEX(Orçamentária!C:C,MATCH(Composições!A1345,Orçamentária!A:A,0),1))</f>
        <v>un</v>
      </c>
      <c r="E1345" s="27"/>
      <c r="F1345" s="42" t="s">
        <v>568</v>
      </c>
      <c r="G1345" s="28" t="str">
        <f>IF(ISNUMBER(F1345),E1345*F1345,"")</f>
        <v/>
      </c>
      <c r="H1345" s="29"/>
      <c r="I1345" s="30"/>
      <c r="J1345" s="155">
        <v>110</v>
      </c>
    </row>
    <row r="1346" spans="1:10" x14ac:dyDescent="0.25">
      <c r="A1346" s="176"/>
      <c r="B1346" s="175"/>
      <c r="C1346" s="32"/>
      <c r="D1346" s="32"/>
      <c r="E1346" s="33"/>
      <c r="F1346" s="43" t="s">
        <v>568</v>
      </c>
      <c r="G1346" s="31" t="str">
        <f>IF(ISNUMBER(F1346),E1346*F1346,"")</f>
        <v/>
      </c>
      <c r="H1346" s="35"/>
      <c r="I1346" s="31"/>
      <c r="J1346" s="155">
        <v>110</v>
      </c>
    </row>
    <row r="1347" spans="1:10" x14ac:dyDescent="0.25">
      <c r="A1347" s="176"/>
      <c r="B1347" s="175"/>
      <c r="C1347" s="36" t="s">
        <v>74</v>
      </c>
      <c r="D1347" s="36" t="s">
        <v>12</v>
      </c>
      <c r="E1347" s="37">
        <v>0.14499999999999999</v>
      </c>
      <c r="F1347" s="31">
        <v>17.366</v>
      </c>
      <c r="G1347" s="34">
        <f>IF(ISNUMBER(F1347),E1347*F1347,"")</f>
        <v>2.5180699999999998</v>
      </c>
      <c r="H1347" s="39">
        <f>SUM(G1347:G1350)</f>
        <v>8.1640552861540989</v>
      </c>
      <c r="I1347" s="40"/>
      <c r="J1347" s="155">
        <v>110</v>
      </c>
    </row>
    <row r="1348" spans="1:10" x14ac:dyDescent="0.25">
      <c r="A1348" s="176"/>
      <c r="B1348" s="175"/>
      <c r="C1348" s="36" t="s">
        <v>30</v>
      </c>
      <c r="D1348" s="36" t="s">
        <v>12</v>
      </c>
      <c r="E1348" s="37">
        <v>0.14499999999999999</v>
      </c>
      <c r="F1348" s="31">
        <v>22.268000000000001</v>
      </c>
      <c r="G1348" s="34">
        <f>IF(ISNUMBER(F1348),E1348*F1348,"")</f>
        <v>3.2288600000000001</v>
      </c>
      <c r="H1348" s="35"/>
      <c r="I1348" s="31"/>
      <c r="J1348" s="155">
        <v>110</v>
      </c>
    </row>
    <row r="1349" spans="1:10" ht="25.5" x14ac:dyDescent="0.25">
      <c r="A1349" s="176"/>
      <c r="B1349" s="175"/>
      <c r="C1349" s="36" t="s">
        <v>110</v>
      </c>
      <c r="D1349" s="36" t="s">
        <v>111</v>
      </c>
      <c r="E1349" s="37">
        <v>8.9999999999999998E-4</v>
      </c>
      <c r="F1349" s="34">
        <v>511.25031794899996</v>
      </c>
      <c r="G1349" s="34">
        <f>IF(ISNUMBER(F1349),E1349*F1349,"")</f>
        <v>0.46012528615409998</v>
      </c>
      <c r="H1349" s="35"/>
      <c r="I1349" s="31"/>
      <c r="J1349" s="155">
        <v>110</v>
      </c>
    </row>
    <row r="1350" spans="1:10" x14ac:dyDescent="0.25">
      <c r="A1350" s="176"/>
      <c r="B1350" s="175"/>
      <c r="C1350" s="36" t="s">
        <v>456</v>
      </c>
      <c r="D1350" s="36" t="s">
        <v>20</v>
      </c>
      <c r="E1350" s="37">
        <v>1</v>
      </c>
      <c r="F1350" s="34">
        <v>1.9569999999999999</v>
      </c>
      <c r="G1350" s="31">
        <f>IF(ISNUMBER(F1350),E1350*F1350,"")</f>
        <v>1.9569999999999999</v>
      </c>
      <c r="H1350" s="35"/>
      <c r="I1350" s="31"/>
      <c r="J1350" s="155">
        <v>110</v>
      </c>
    </row>
    <row r="1351" spans="1:10" ht="15.75" thickBot="1" x14ac:dyDescent="0.3">
      <c r="A1351" s="177"/>
      <c r="B1351" s="178"/>
      <c r="C1351" s="36"/>
      <c r="D1351" s="36"/>
      <c r="E1351" s="37"/>
      <c r="F1351" s="31" t="s">
        <v>568</v>
      </c>
      <c r="G1351" s="31" t="str">
        <f>IF(ISNUMBER(F1351),E1351*F1351,"")</f>
        <v/>
      </c>
      <c r="H1351" s="35"/>
      <c r="I1351" s="31"/>
      <c r="J1351" s="155">
        <v>110</v>
      </c>
    </row>
    <row r="1352" spans="1:10" ht="15.75" hidden="1" thickBot="1" x14ac:dyDescent="0.3">
      <c r="A1352" s="172" t="s">
        <v>457</v>
      </c>
      <c r="B1352" s="174" t="str">
        <f>INDEX(Orçamentária!A:B,MATCH(Composições!A1352,Orçamentária!A:A,0),2)</f>
        <v>Caixa 4x2 para drywall</v>
      </c>
      <c r="C1352" s="41"/>
      <c r="D1352" s="26" t="str">
        <f>TRIM(INDEX(Orçamentária!C:C,MATCH(Composições!A1352,Orçamentária!A:A,0),1))</f>
        <v>un</v>
      </c>
      <c r="E1352" s="27"/>
      <c r="F1352" s="42" t="s">
        <v>568</v>
      </c>
      <c r="G1352" s="28" t="str">
        <f>IF(ISNUMBER(F1352),E1352*F1352,"")</f>
        <v/>
      </c>
      <c r="H1352" s="29"/>
      <c r="I1352" s="30"/>
      <c r="J1352" s="155">
        <v>0</v>
      </c>
    </row>
    <row r="1353" spans="1:10" ht="15.75" hidden="1" thickBot="1" x14ac:dyDescent="0.3">
      <c r="A1353" s="176"/>
      <c r="B1353" s="175"/>
      <c r="C1353" s="32"/>
      <c r="D1353" s="32"/>
      <c r="E1353" s="33"/>
      <c r="F1353" s="43" t="s">
        <v>568</v>
      </c>
      <c r="G1353" s="31" t="str">
        <f>IF(ISNUMBER(F1353),E1353*F1353,"")</f>
        <v/>
      </c>
      <c r="H1353" s="35"/>
      <c r="I1353" s="31"/>
      <c r="J1353" s="155">
        <v>0</v>
      </c>
    </row>
    <row r="1354" spans="1:10" ht="15.75" hidden="1" thickBot="1" x14ac:dyDescent="0.3">
      <c r="A1354" s="176"/>
      <c r="B1354" s="175"/>
      <c r="C1354" s="36" t="s">
        <v>74</v>
      </c>
      <c r="D1354" s="36" t="s">
        <v>12</v>
      </c>
      <c r="E1354" s="37">
        <v>0.14499999999999999</v>
      </c>
      <c r="F1354" s="31">
        <v>17.366</v>
      </c>
      <c r="G1354" s="34">
        <f>IF(ISNUMBER(F1354),E1354*F1354,"")</f>
        <v>2.5180699999999998</v>
      </c>
      <c r="H1354" s="39">
        <f>SUM(G1354:G1356)</f>
        <v>5.7469299999999999</v>
      </c>
      <c r="I1354" s="40"/>
      <c r="J1354" s="155">
        <v>0</v>
      </c>
    </row>
    <row r="1355" spans="1:10" ht="15.75" hidden="1" thickBot="1" x14ac:dyDescent="0.3">
      <c r="A1355" s="176"/>
      <c r="B1355" s="175"/>
      <c r="C1355" s="36" t="s">
        <v>30</v>
      </c>
      <c r="D1355" s="36" t="s">
        <v>12</v>
      </c>
      <c r="E1355" s="37">
        <v>0.14499999999999999</v>
      </c>
      <c r="F1355" s="31">
        <v>22.268000000000001</v>
      </c>
      <c r="G1355" s="34">
        <f>IF(ISNUMBER(F1355),E1355*F1355,"")</f>
        <v>3.2288600000000001</v>
      </c>
      <c r="H1355" s="35"/>
      <c r="I1355" s="31"/>
      <c r="J1355" s="155">
        <v>0</v>
      </c>
    </row>
    <row r="1356" spans="1:10" ht="15.75" hidden="1" thickBot="1" x14ac:dyDescent="0.3">
      <c r="A1356" s="176"/>
      <c r="B1356" s="175"/>
      <c r="C1356" s="36" t="s">
        <v>458</v>
      </c>
      <c r="D1356" s="36" t="s">
        <v>20</v>
      </c>
      <c r="E1356" s="37">
        <v>1</v>
      </c>
      <c r="F1356" s="34" t="s">
        <v>568</v>
      </c>
      <c r="G1356" s="31" t="str">
        <f>IF(ISNUMBER(F1356),E1356*F1356,"")</f>
        <v/>
      </c>
      <c r="H1356" s="35"/>
      <c r="I1356" s="31"/>
      <c r="J1356" s="155">
        <v>0</v>
      </c>
    </row>
    <row r="1357" spans="1:10" ht="15.75" hidden="1" thickBot="1" x14ac:dyDescent="0.3">
      <c r="A1357" s="177"/>
      <c r="B1357" s="178"/>
      <c r="C1357" s="36"/>
      <c r="D1357" s="36"/>
      <c r="E1357" s="37"/>
      <c r="F1357" s="31" t="s">
        <v>568</v>
      </c>
      <c r="G1357" s="31" t="str">
        <f>IF(ISNUMBER(F1357),E1357*F1357,"")</f>
        <v/>
      </c>
      <c r="H1357" s="35"/>
      <c r="I1357" s="31"/>
      <c r="J1357" s="155">
        <v>0</v>
      </c>
    </row>
    <row r="1358" spans="1:10" ht="15.75" hidden="1" thickBot="1" x14ac:dyDescent="0.3">
      <c r="A1358" s="172" t="s">
        <v>459</v>
      </c>
      <c r="B1358" s="174" t="str">
        <f>INDEX(Orçamentária!A:B,MATCH(Composições!A1358,Orçamentária!A:A,0),2)</f>
        <v>Caixa 4x4 de embutir para alvenaria</v>
      </c>
      <c r="C1358" s="41"/>
      <c r="D1358" s="26" t="str">
        <f>TRIM(INDEX(Orçamentária!C:C,MATCH(Composições!A1358,Orçamentária!A:A,0),1))</f>
        <v>un</v>
      </c>
      <c r="E1358" s="27"/>
      <c r="F1358" s="42" t="s">
        <v>568</v>
      </c>
      <c r="G1358" s="28" t="str">
        <f>IF(ISNUMBER(F1358),E1358*F1358,"")</f>
        <v/>
      </c>
      <c r="H1358" s="29"/>
      <c r="I1358" s="30"/>
      <c r="J1358" s="155">
        <v>0</v>
      </c>
    </row>
    <row r="1359" spans="1:10" ht="15.75" hidden="1" thickBot="1" x14ac:dyDescent="0.3">
      <c r="A1359" s="176"/>
      <c r="B1359" s="175"/>
      <c r="C1359" s="32"/>
      <c r="D1359" s="32"/>
      <c r="E1359" s="33"/>
      <c r="F1359" s="43" t="s">
        <v>568</v>
      </c>
      <c r="G1359" s="31" t="str">
        <f>IF(ISNUMBER(F1359),E1359*F1359,"")</f>
        <v/>
      </c>
      <c r="H1359" s="35"/>
      <c r="I1359" s="31"/>
      <c r="J1359" s="155">
        <v>0</v>
      </c>
    </row>
    <row r="1360" spans="1:10" ht="15.75" hidden="1" thickBot="1" x14ac:dyDescent="0.3">
      <c r="A1360" s="176"/>
      <c r="B1360" s="175"/>
      <c r="C1360" s="36" t="s">
        <v>74</v>
      </c>
      <c r="D1360" s="36" t="s">
        <v>12</v>
      </c>
      <c r="E1360" s="37">
        <v>0.16600000000000001</v>
      </c>
      <c r="F1360" s="31">
        <v>17.366</v>
      </c>
      <c r="G1360" s="34">
        <f>IF(ISNUMBER(F1360),E1360*F1360,"")</f>
        <v>2.8827560000000001</v>
      </c>
      <c r="H1360" s="39">
        <f>SUM(G1360:G1363)</f>
        <v>11.087744381538801</v>
      </c>
      <c r="I1360" s="40"/>
      <c r="J1360" s="155">
        <v>0</v>
      </c>
    </row>
    <row r="1361" spans="1:10" ht="15.75" hidden="1" thickBot="1" x14ac:dyDescent="0.3">
      <c r="A1361" s="176"/>
      <c r="B1361" s="175"/>
      <c r="C1361" s="36" t="s">
        <v>30</v>
      </c>
      <c r="D1361" s="36" t="s">
        <v>12</v>
      </c>
      <c r="E1361" s="37">
        <v>0.16600000000000001</v>
      </c>
      <c r="F1361" s="31">
        <v>22.268000000000001</v>
      </c>
      <c r="G1361" s="34">
        <f>IF(ISNUMBER(F1361),E1361*F1361,"")</f>
        <v>3.6964880000000004</v>
      </c>
      <c r="H1361" s="35"/>
      <c r="I1361" s="31"/>
      <c r="J1361" s="155">
        <v>0</v>
      </c>
    </row>
    <row r="1362" spans="1:10" ht="26.25" hidden="1" thickBot="1" x14ac:dyDescent="0.3">
      <c r="A1362" s="176"/>
      <c r="B1362" s="175"/>
      <c r="C1362" s="36" t="s">
        <v>110</v>
      </c>
      <c r="D1362" s="36" t="s">
        <v>111</v>
      </c>
      <c r="E1362" s="37">
        <v>1.1999999999999999E-3</v>
      </c>
      <c r="F1362" s="34">
        <v>511.25031794899996</v>
      </c>
      <c r="G1362" s="34">
        <f>IF(ISNUMBER(F1362),E1362*F1362,"")</f>
        <v>0.61350038153879993</v>
      </c>
      <c r="H1362" s="35"/>
      <c r="I1362" s="31"/>
      <c r="J1362" s="155">
        <v>0</v>
      </c>
    </row>
    <row r="1363" spans="1:10" ht="15.75" hidden="1" thickBot="1" x14ac:dyDescent="0.3">
      <c r="A1363" s="176"/>
      <c r="B1363" s="175"/>
      <c r="C1363" s="36" t="s">
        <v>460</v>
      </c>
      <c r="D1363" s="36" t="s">
        <v>20</v>
      </c>
      <c r="E1363" s="37">
        <v>1</v>
      </c>
      <c r="F1363" s="34">
        <v>3.8949999999999996</v>
      </c>
      <c r="G1363" s="31">
        <f>IF(ISNUMBER(F1363),E1363*F1363,"")</f>
        <v>3.8949999999999996</v>
      </c>
      <c r="H1363" s="35"/>
      <c r="I1363" s="31"/>
      <c r="J1363" s="155">
        <v>0</v>
      </c>
    </row>
    <row r="1364" spans="1:10" ht="15.75" hidden="1" thickBot="1" x14ac:dyDescent="0.3">
      <c r="A1364" s="177"/>
      <c r="B1364" s="178"/>
      <c r="C1364" s="36"/>
      <c r="D1364" s="36"/>
      <c r="E1364" s="37"/>
      <c r="F1364" s="31" t="s">
        <v>568</v>
      </c>
      <c r="G1364" s="31" t="str">
        <f>IF(ISNUMBER(F1364),E1364*F1364,"")</f>
        <v/>
      </c>
      <c r="H1364" s="35"/>
      <c r="I1364" s="31"/>
      <c r="J1364" s="155">
        <v>0</v>
      </c>
    </row>
    <row r="1365" spans="1:10" ht="15.75" hidden="1" thickBot="1" x14ac:dyDescent="0.3">
      <c r="A1365" s="172" t="s">
        <v>461</v>
      </c>
      <c r="B1365" s="174" t="str">
        <f>INDEX(Orçamentária!A:B,MATCH(Composições!A1365,Orçamentária!A:A,0),2)</f>
        <v>Caixa 4x4 para drywall</v>
      </c>
      <c r="C1365" s="41"/>
      <c r="D1365" s="26" t="str">
        <f>TRIM(INDEX(Orçamentária!C:C,MATCH(Composições!A1365,Orçamentária!A:A,0),1))</f>
        <v>un</v>
      </c>
      <c r="E1365" s="27"/>
      <c r="F1365" s="42" t="s">
        <v>568</v>
      </c>
      <c r="G1365" s="28" t="str">
        <f>IF(ISNUMBER(F1365),E1365*F1365,"")</f>
        <v/>
      </c>
      <c r="H1365" s="29"/>
      <c r="I1365" s="30"/>
      <c r="J1365" s="155">
        <v>0</v>
      </c>
    </row>
    <row r="1366" spans="1:10" ht="15.75" hidden="1" thickBot="1" x14ac:dyDescent="0.3">
      <c r="A1366" s="176"/>
      <c r="B1366" s="175"/>
      <c r="C1366" s="32"/>
      <c r="D1366" s="32"/>
      <c r="E1366" s="33"/>
      <c r="F1366" s="43" t="s">
        <v>568</v>
      </c>
      <c r="G1366" s="31" t="str">
        <f>IF(ISNUMBER(F1366),E1366*F1366,"")</f>
        <v/>
      </c>
      <c r="H1366" s="35"/>
      <c r="I1366" s="31"/>
      <c r="J1366" s="155">
        <v>0</v>
      </c>
    </row>
    <row r="1367" spans="1:10" ht="15.75" hidden="1" thickBot="1" x14ac:dyDescent="0.3">
      <c r="A1367" s="176"/>
      <c r="B1367" s="175"/>
      <c r="C1367" s="36" t="s">
        <v>74</v>
      </c>
      <c r="D1367" s="36" t="s">
        <v>12</v>
      </c>
      <c r="E1367" s="37">
        <v>0.16600000000000001</v>
      </c>
      <c r="F1367" s="31">
        <v>17.366</v>
      </c>
      <c r="G1367" s="34">
        <f>IF(ISNUMBER(F1367),E1367*F1367,"")</f>
        <v>2.8827560000000001</v>
      </c>
      <c r="H1367" s="39">
        <f>SUM(G1367:G1369)</f>
        <v>6.579244000000001</v>
      </c>
      <c r="I1367" s="40"/>
      <c r="J1367" s="155">
        <v>0</v>
      </c>
    </row>
    <row r="1368" spans="1:10" ht="15.75" hidden="1" thickBot="1" x14ac:dyDescent="0.3">
      <c r="A1368" s="176"/>
      <c r="B1368" s="175"/>
      <c r="C1368" s="36" t="s">
        <v>30</v>
      </c>
      <c r="D1368" s="36" t="s">
        <v>12</v>
      </c>
      <c r="E1368" s="37">
        <v>0.16600000000000001</v>
      </c>
      <c r="F1368" s="31">
        <v>22.268000000000001</v>
      </c>
      <c r="G1368" s="34">
        <f>IF(ISNUMBER(F1368),E1368*F1368,"")</f>
        <v>3.6964880000000004</v>
      </c>
      <c r="H1368" s="35"/>
      <c r="I1368" s="31"/>
      <c r="J1368" s="155">
        <v>0</v>
      </c>
    </row>
    <row r="1369" spans="1:10" ht="15.75" hidden="1" thickBot="1" x14ac:dyDescent="0.3">
      <c r="A1369" s="176"/>
      <c r="B1369" s="175"/>
      <c r="C1369" s="36" t="s">
        <v>462</v>
      </c>
      <c r="D1369" s="36" t="s">
        <v>20</v>
      </c>
      <c r="E1369" s="37">
        <v>1</v>
      </c>
      <c r="F1369" s="34" t="s">
        <v>568</v>
      </c>
      <c r="G1369" s="31" t="str">
        <f>IF(ISNUMBER(F1369),E1369*F1369,"")</f>
        <v/>
      </c>
      <c r="H1369" s="35"/>
      <c r="I1369" s="31"/>
      <c r="J1369" s="155">
        <v>0</v>
      </c>
    </row>
    <row r="1370" spans="1:10" ht="15.75" hidden="1" thickBot="1" x14ac:dyDescent="0.3">
      <c r="A1370" s="177"/>
      <c r="B1370" s="178"/>
      <c r="C1370" s="36"/>
      <c r="D1370" s="36"/>
      <c r="E1370" s="37"/>
      <c r="F1370" s="31" t="s">
        <v>568</v>
      </c>
      <c r="G1370" s="31" t="str">
        <f>IF(ISNUMBER(F1370),E1370*F1370,"")</f>
        <v/>
      </c>
      <c r="H1370" s="35"/>
      <c r="I1370" s="31"/>
      <c r="J1370" s="155">
        <v>0</v>
      </c>
    </row>
    <row r="1371" spans="1:10" ht="15.75" hidden="1" thickBot="1" x14ac:dyDescent="0.3">
      <c r="A1371" s="172" t="s">
        <v>463</v>
      </c>
      <c r="B1371" s="174" t="str">
        <f>INDEX(Orçamentária!A:B,MATCH(Composições!A1371,Orçamentária!A:A,0),2)</f>
        <v>Caixa de passagem em alumínio 100x100x50mm</v>
      </c>
      <c r="C1371" s="41"/>
      <c r="D1371" s="26" t="str">
        <f>TRIM(INDEX(Orçamentária!C:C,MATCH(Composições!A1371,Orçamentária!A:A,0),1))</f>
        <v>un</v>
      </c>
      <c r="E1371" s="27"/>
      <c r="F1371" s="42" t="s">
        <v>568</v>
      </c>
      <c r="G1371" s="28" t="str">
        <f>IF(ISNUMBER(F1371),E1371*F1371,"")</f>
        <v/>
      </c>
      <c r="H1371" s="29"/>
      <c r="I1371" s="30"/>
      <c r="J1371" s="155">
        <v>0</v>
      </c>
    </row>
    <row r="1372" spans="1:10" ht="15.75" hidden="1" thickBot="1" x14ac:dyDescent="0.3">
      <c r="A1372" s="176"/>
      <c r="B1372" s="175"/>
      <c r="C1372" s="32"/>
      <c r="D1372" s="32"/>
      <c r="E1372" s="33"/>
      <c r="F1372" s="43" t="s">
        <v>568</v>
      </c>
      <c r="G1372" s="31" t="str">
        <f>IF(ISNUMBER(F1372),E1372*F1372,"")</f>
        <v/>
      </c>
      <c r="H1372" s="35"/>
      <c r="I1372" s="31"/>
      <c r="J1372" s="155">
        <v>0</v>
      </c>
    </row>
    <row r="1373" spans="1:10" ht="15.75" hidden="1" thickBot="1" x14ac:dyDescent="0.3">
      <c r="A1373" s="176"/>
      <c r="B1373" s="175"/>
      <c r="C1373" s="36" t="s">
        <v>74</v>
      </c>
      <c r="D1373" s="36" t="s">
        <v>12</v>
      </c>
      <c r="E1373" s="37">
        <v>0.34599999999999997</v>
      </c>
      <c r="F1373" s="31">
        <v>17.366</v>
      </c>
      <c r="G1373" s="34">
        <f>IF(ISNUMBER(F1373),E1373*F1373,"")</f>
        <v>6.0086359999999992</v>
      </c>
      <c r="H1373" s="39">
        <f>SUM(G1373:G1375)</f>
        <v>13.713363999999999</v>
      </c>
      <c r="I1373" s="40"/>
      <c r="J1373" s="155">
        <v>0</v>
      </c>
    </row>
    <row r="1374" spans="1:10" ht="15.75" hidden="1" thickBot="1" x14ac:dyDescent="0.3">
      <c r="A1374" s="176"/>
      <c r="B1374" s="175"/>
      <c r="C1374" s="36" t="s">
        <v>30</v>
      </c>
      <c r="D1374" s="36" t="s">
        <v>12</v>
      </c>
      <c r="E1374" s="37">
        <v>0.34599999999999997</v>
      </c>
      <c r="F1374" s="31">
        <v>22.268000000000001</v>
      </c>
      <c r="G1374" s="34">
        <f>IF(ISNUMBER(F1374),E1374*F1374,"")</f>
        <v>7.7047279999999994</v>
      </c>
      <c r="H1374" s="35"/>
      <c r="I1374" s="31"/>
      <c r="J1374" s="155">
        <v>0</v>
      </c>
    </row>
    <row r="1375" spans="1:10" ht="15.75" hidden="1" thickBot="1" x14ac:dyDescent="0.3">
      <c r="A1375" s="176"/>
      <c r="B1375" s="175"/>
      <c r="C1375" s="36" t="s">
        <v>464</v>
      </c>
      <c r="D1375" s="36" t="s">
        <v>93</v>
      </c>
      <c r="E1375" s="37">
        <v>1</v>
      </c>
      <c r="F1375" s="34" t="s">
        <v>568</v>
      </c>
      <c r="G1375" s="34" t="str">
        <f>IF(ISNUMBER(F1375),E1375*F1375,"")</f>
        <v/>
      </c>
      <c r="H1375" s="35"/>
      <c r="I1375" s="31"/>
      <c r="J1375" s="155">
        <v>0</v>
      </c>
    </row>
    <row r="1376" spans="1:10" ht="15.75" hidden="1" thickBot="1" x14ac:dyDescent="0.3">
      <c r="A1376" s="177"/>
      <c r="B1376" s="178"/>
      <c r="C1376" s="36"/>
      <c r="D1376" s="36"/>
      <c r="E1376" s="37"/>
      <c r="F1376" s="31" t="s">
        <v>568</v>
      </c>
      <c r="G1376" s="31" t="str">
        <f>IF(ISNUMBER(F1376),E1376*F1376,"")</f>
        <v/>
      </c>
      <c r="H1376" s="35"/>
      <c r="I1376" s="31"/>
      <c r="J1376" s="155">
        <v>0</v>
      </c>
    </row>
    <row r="1377" spans="1:10" ht="15.75" thickBot="1" x14ac:dyDescent="0.3">
      <c r="A1377" s="172" t="s">
        <v>465</v>
      </c>
      <c r="B1377" s="174" t="str">
        <f>INDEX(Orçamentária!A:B,MATCH(Composições!A1377,Orçamentária!A:A,0),2)</f>
        <v>Caixa de passagem em alumínio 200x200x100mm</v>
      </c>
      <c r="C1377" s="41"/>
      <c r="D1377" s="26" t="str">
        <f>TRIM(INDEX(Orçamentária!C:C,MATCH(Composições!A1377,Orçamentária!A:A,0),1))</f>
        <v>un</v>
      </c>
      <c r="E1377" s="27"/>
      <c r="F1377" s="42" t="s">
        <v>568</v>
      </c>
      <c r="G1377" s="28" t="str">
        <f>IF(ISNUMBER(F1377),E1377*F1377,"")</f>
        <v/>
      </c>
      <c r="H1377" s="29"/>
      <c r="I1377" s="30"/>
      <c r="J1377" s="155">
        <v>34</v>
      </c>
    </row>
    <row r="1378" spans="1:10" x14ac:dyDescent="0.25">
      <c r="A1378" s="176"/>
      <c r="B1378" s="175"/>
      <c r="C1378" s="32"/>
      <c r="D1378" s="32"/>
      <c r="E1378" s="33"/>
      <c r="F1378" s="43" t="s">
        <v>568</v>
      </c>
      <c r="G1378" s="31" t="str">
        <f>IF(ISNUMBER(F1378),E1378*F1378,"")</f>
        <v/>
      </c>
      <c r="H1378" s="35"/>
      <c r="I1378" s="31"/>
      <c r="J1378" s="155">
        <v>34</v>
      </c>
    </row>
    <row r="1379" spans="1:10" x14ac:dyDescent="0.25">
      <c r="A1379" s="176"/>
      <c r="B1379" s="175"/>
      <c r="C1379" s="36" t="s">
        <v>74</v>
      </c>
      <c r="D1379" s="36" t="s">
        <v>12</v>
      </c>
      <c r="E1379" s="37">
        <v>0.34599999999999997</v>
      </c>
      <c r="F1379" s="31">
        <v>17.366</v>
      </c>
      <c r="G1379" s="34">
        <f>IF(ISNUMBER(F1379),E1379*F1379,"")</f>
        <v>6.0086359999999992</v>
      </c>
      <c r="H1379" s="39">
        <f>SUM(G1379:G1381)</f>
        <v>106.243364</v>
      </c>
      <c r="I1379" s="40"/>
      <c r="J1379" s="155">
        <v>34</v>
      </c>
    </row>
    <row r="1380" spans="1:10" x14ac:dyDescent="0.25">
      <c r="A1380" s="176"/>
      <c r="B1380" s="175"/>
      <c r="C1380" s="36" t="s">
        <v>30</v>
      </c>
      <c r="D1380" s="36" t="s">
        <v>12</v>
      </c>
      <c r="E1380" s="37">
        <v>0.34599999999999997</v>
      </c>
      <c r="F1380" s="31">
        <v>22.268000000000001</v>
      </c>
      <c r="G1380" s="34">
        <f>IF(ISNUMBER(F1380),E1380*F1380,"")</f>
        <v>7.7047279999999994</v>
      </c>
      <c r="H1380" s="35"/>
      <c r="I1380" s="31"/>
      <c r="J1380" s="155">
        <v>34</v>
      </c>
    </row>
    <row r="1381" spans="1:10" x14ac:dyDescent="0.25">
      <c r="A1381" s="176"/>
      <c r="B1381" s="175"/>
      <c r="C1381" s="36" t="s">
        <v>466</v>
      </c>
      <c r="D1381" s="36" t="s">
        <v>93</v>
      </c>
      <c r="E1381" s="37">
        <v>1</v>
      </c>
      <c r="F1381" s="34">
        <v>92.53</v>
      </c>
      <c r="G1381" s="34">
        <f>IF(ISNUMBER(F1381),E1381*F1381,"")</f>
        <v>92.53</v>
      </c>
      <c r="H1381" s="35"/>
      <c r="I1381" s="31"/>
      <c r="J1381" s="155">
        <v>34</v>
      </c>
    </row>
    <row r="1382" spans="1:10" ht="15.75" thickBot="1" x14ac:dyDescent="0.3">
      <c r="A1382" s="177"/>
      <c r="B1382" s="178"/>
      <c r="C1382" s="36"/>
      <c r="D1382" s="36"/>
      <c r="E1382" s="37"/>
      <c r="F1382" s="31" t="s">
        <v>568</v>
      </c>
      <c r="G1382" s="31" t="str">
        <f>IF(ISNUMBER(F1382),E1382*F1382,"")</f>
        <v/>
      </c>
      <c r="H1382" s="35"/>
      <c r="I1382" s="31"/>
      <c r="J1382" s="155">
        <v>34</v>
      </c>
    </row>
    <row r="1383" spans="1:10" ht="15.75" hidden="1" thickBot="1" x14ac:dyDescent="0.3">
      <c r="A1383" s="172" t="s">
        <v>467</v>
      </c>
      <c r="B1383" s="174" t="str">
        <f>INDEX(Orçamentária!A:B,MATCH(Composições!A1383,Orçamentária!A:A,0),2)</f>
        <v>Caixa de passagem em PVC 150x150x75mm</v>
      </c>
      <c r="C1383" s="41"/>
      <c r="D1383" s="26" t="str">
        <f>TRIM(INDEX(Orçamentária!C:C,MATCH(Composições!A1383,Orçamentária!A:A,0),1))</f>
        <v>un</v>
      </c>
      <c r="E1383" s="27"/>
      <c r="F1383" s="42" t="s">
        <v>568</v>
      </c>
      <c r="G1383" s="28" t="str">
        <f>IF(ISNUMBER(F1383),E1383*F1383,"")</f>
        <v/>
      </c>
      <c r="H1383" s="29"/>
      <c r="I1383" s="30"/>
      <c r="J1383" s="155">
        <v>0</v>
      </c>
    </row>
    <row r="1384" spans="1:10" ht="15.75" hidden="1" thickBot="1" x14ac:dyDescent="0.3">
      <c r="A1384" s="176"/>
      <c r="B1384" s="175"/>
      <c r="C1384" s="32"/>
      <c r="D1384" s="32"/>
      <c r="E1384" s="33"/>
      <c r="F1384" s="43" t="s">
        <v>568</v>
      </c>
      <c r="G1384" s="31" t="str">
        <f>IF(ISNUMBER(F1384),E1384*F1384,"")</f>
        <v/>
      </c>
      <c r="H1384" s="35"/>
      <c r="I1384" s="31"/>
      <c r="J1384" s="155">
        <v>0</v>
      </c>
    </row>
    <row r="1385" spans="1:10" ht="15.75" hidden="1" thickBot="1" x14ac:dyDescent="0.3">
      <c r="A1385" s="176"/>
      <c r="B1385" s="175"/>
      <c r="C1385" s="36" t="s">
        <v>30</v>
      </c>
      <c r="D1385" s="36" t="s">
        <v>12</v>
      </c>
      <c r="E1385" s="37">
        <v>0.34599999999999997</v>
      </c>
      <c r="F1385" s="31">
        <v>22.268000000000001</v>
      </c>
      <c r="G1385" s="34">
        <f>IF(ISNUMBER(F1385),E1385*F1385,"")</f>
        <v>7.7047279999999994</v>
      </c>
      <c r="H1385" s="39">
        <f>SUM(G1385:G1387)</f>
        <v>54.170006999999998</v>
      </c>
      <c r="I1385" s="40"/>
      <c r="J1385" s="155">
        <v>0</v>
      </c>
    </row>
    <row r="1386" spans="1:10" ht="15.75" hidden="1" thickBot="1" x14ac:dyDescent="0.3">
      <c r="A1386" s="176"/>
      <c r="B1386" s="175"/>
      <c r="C1386" s="36" t="s">
        <v>23</v>
      </c>
      <c r="D1386" s="36" t="s">
        <v>12</v>
      </c>
      <c r="E1386" s="37">
        <v>0.34599999999999997</v>
      </c>
      <c r="F1386" s="31">
        <v>16.311500000000002</v>
      </c>
      <c r="G1386" s="34">
        <f>IF(ISNUMBER(F1386),E1386*F1386,"")</f>
        <v>5.6437790000000003</v>
      </c>
      <c r="H1386" s="35"/>
      <c r="I1386" s="31"/>
      <c r="J1386" s="155">
        <v>0</v>
      </c>
    </row>
    <row r="1387" spans="1:10" ht="26.25" hidden="1" thickBot="1" x14ac:dyDescent="0.3">
      <c r="A1387" s="176"/>
      <c r="B1387" s="175"/>
      <c r="C1387" s="36" t="s">
        <v>468</v>
      </c>
      <c r="D1387" s="36" t="s">
        <v>20</v>
      </c>
      <c r="E1387" s="37">
        <v>1</v>
      </c>
      <c r="F1387" s="34">
        <v>40.8215</v>
      </c>
      <c r="G1387" s="31">
        <f>IF(ISNUMBER(F1387),E1387*F1387,"")</f>
        <v>40.8215</v>
      </c>
      <c r="H1387" s="35"/>
      <c r="I1387" s="31"/>
      <c r="J1387" s="155">
        <v>0</v>
      </c>
    </row>
    <row r="1388" spans="1:10" ht="15.75" hidden="1" thickBot="1" x14ac:dyDescent="0.3">
      <c r="A1388" s="177"/>
      <c r="B1388" s="178"/>
      <c r="C1388" s="36"/>
      <c r="D1388" s="36"/>
      <c r="E1388" s="37"/>
      <c r="F1388" s="31" t="s">
        <v>568</v>
      </c>
      <c r="G1388" s="31" t="str">
        <f>IF(ISNUMBER(F1388),E1388*F1388,"")</f>
        <v/>
      </c>
      <c r="H1388" s="35"/>
      <c r="I1388" s="31"/>
      <c r="J1388" s="155">
        <v>0</v>
      </c>
    </row>
    <row r="1389" spans="1:10" ht="15.75" hidden="1" thickBot="1" x14ac:dyDescent="0.3">
      <c r="A1389" s="172" t="s">
        <v>469</v>
      </c>
      <c r="B1389" s="174" t="str">
        <f>INDEX(Orçamentária!A:B,MATCH(Composições!A1389,Orçamentária!A:A,0),2)</f>
        <v>Caixa para piso elevado</v>
      </c>
      <c r="C1389" s="41"/>
      <c r="D1389" s="26" t="str">
        <f>TRIM(INDEX(Orçamentária!C:C,MATCH(Composições!A1389,Orçamentária!A:A,0),1))</f>
        <v>un</v>
      </c>
      <c r="E1389" s="27"/>
      <c r="F1389" s="42" t="s">
        <v>568</v>
      </c>
      <c r="G1389" s="28" t="str">
        <f>IF(ISNUMBER(F1389),E1389*F1389,"")</f>
        <v/>
      </c>
      <c r="H1389" s="29"/>
      <c r="I1389" s="30"/>
      <c r="J1389" s="155">
        <v>0</v>
      </c>
    </row>
    <row r="1390" spans="1:10" ht="15.75" hidden="1" thickBot="1" x14ac:dyDescent="0.3">
      <c r="A1390" s="176"/>
      <c r="B1390" s="175"/>
      <c r="C1390" s="32"/>
      <c r="D1390" s="32"/>
      <c r="E1390" s="33"/>
      <c r="F1390" s="43" t="s">
        <v>568</v>
      </c>
      <c r="G1390" s="31" t="str">
        <f>IF(ISNUMBER(F1390),E1390*F1390,"")</f>
        <v/>
      </c>
      <c r="H1390" s="35"/>
      <c r="I1390" s="31"/>
      <c r="J1390" s="155">
        <v>0</v>
      </c>
    </row>
    <row r="1391" spans="1:10" ht="15.75" hidden="1" thickBot="1" x14ac:dyDescent="0.3">
      <c r="A1391" s="176"/>
      <c r="B1391" s="175"/>
      <c r="C1391" s="36" t="s">
        <v>30</v>
      </c>
      <c r="D1391" s="36" t="s">
        <v>12</v>
      </c>
      <c r="E1391" s="37">
        <v>0.34599999999999997</v>
      </c>
      <c r="F1391" s="31">
        <v>22.268000000000001</v>
      </c>
      <c r="G1391" s="31">
        <f>IF(ISNUMBER(F1391),E1391*F1391,"")</f>
        <v>7.7047279999999994</v>
      </c>
      <c r="H1391" s="39">
        <f>SUM(G1391:G1393)</f>
        <v>13.713363999999999</v>
      </c>
      <c r="I1391" s="40"/>
      <c r="J1391" s="155">
        <v>0</v>
      </c>
    </row>
    <row r="1392" spans="1:10" ht="15.75" hidden="1" thickBot="1" x14ac:dyDescent="0.3">
      <c r="A1392" s="176"/>
      <c r="B1392" s="175"/>
      <c r="C1392" s="36" t="s">
        <v>74</v>
      </c>
      <c r="D1392" s="36" t="s">
        <v>12</v>
      </c>
      <c r="E1392" s="37">
        <v>0.34599999999999997</v>
      </c>
      <c r="F1392" s="31">
        <v>17.366</v>
      </c>
      <c r="G1392" s="31">
        <f>IF(ISNUMBER(F1392),E1392*F1392,"")</f>
        <v>6.0086359999999992</v>
      </c>
      <c r="H1392" s="35"/>
      <c r="I1392" s="31"/>
      <c r="J1392" s="155">
        <v>0</v>
      </c>
    </row>
    <row r="1393" spans="1:10" ht="26.25" hidden="1" thickBot="1" x14ac:dyDescent="0.3">
      <c r="A1393" s="176"/>
      <c r="B1393" s="175"/>
      <c r="C1393" s="36" t="s">
        <v>470</v>
      </c>
      <c r="D1393" s="47" t="s">
        <v>20</v>
      </c>
      <c r="E1393" s="37">
        <v>1</v>
      </c>
      <c r="F1393" s="34" t="s">
        <v>568</v>
      </c>
      <c r="G1393" s="31" t="str">
        <f>IF(ISNUMBER(F1393),E1393*F1393,"")</f>
        <v/>
      </c>
      <c r="H1393" s="35"/>
      <c r="I1393" s="31"/>
      <c r="J1393" s="155">
        <v>0</v>
      </c>
    </row>
    <row r="1394" spans="1:10" ht="15.75" hidden="1" thickBot="1" x14ac:dyDescent="0.3">
      <c r="A1394" s="176"/>
      <c r="B1394" s="175"/>
      <c r="C1394" s="36"/>
      <c r="D1394" s="47"/>
      <c r="E1394" s="37"/>
      <c r="F1394" s="34" t="s">
        <v>568</v>
      </c>
      <c r="G1394" s="31" t="str">
        <f>IF(ISNUMBER(F1394),E1394*F1394,"")</f>
        <v/>
      </c>
      <c r="H1394" s="35"/>
      <c r="I1394" s="31"/>
      <c r="J1394" s="155">
        <v>0</v>
      </c>
    </row>
    <row r="1395" spans="1:10" ht="15.75" hidden="1" thickBot="1" x14ac:dyDescent="0.3">
      <c r="A1395" s="172" t="s">
        <v>471</v>
      </c>
      <c r="B1395" s="174" t="str">
        <f>INDEX(Orçamentária!A:B,MATCH(Composições!A1395,Orçamentária!A:A,0),2)</f>
        <v>Canaleta em alumínio aparente 73mmx25mm</v>
      </c>
      <c r="C1395" s="41"/>
      <c r="D1395" s="26" t="str">
        <f>TRIM(INDEX(Orçamentária!C:C,MATCH(Composições!A1395,Orçamentária!A:A,0),1))</f>
        <v>m</v>
      </c>
      <c r="E1395" s="27"/>
      <c r="F1395" s="42" t="s">
        <v>568</v>
      </c>
      <c r="G1395" s="28" t="str">
        <f>IF(ISNUMBER(F1395),E1395*F1395,"")</f>
        <v/>
      </c>
      <c r="H1395" s="29"/>
      <c r="I1395" s="30"/>
      <c r="J1395" s="155">
        <v>0</v>
      </c>
    </row>
    <row r="1396" spans="1:10" ht="15.75" hidden="1" thickBot="1" x14ac:dyDescent="0.3">
      <c r="A1396" s="176"/>
      <c r="B1396" s="175"/>
      <c r="C1396" s="32"/>
      <c r="D1396" s="32"/>
      <c r="E1396" s="33"/>
      <c r="F1396" s="43" t="s">
        <v>568</v>
      </c>
      <c r="G1396" s="31" t="str">
        <f>IF(ISNUMBER(F1396),E1396*F1396,"")</f>
        <v/>
      </c>
      <c r="H1396" s="35"/>
      <c r="I1396" s="31"/>
      <c r="J1396" s="155">
        <v>0</v>
      </c>
    </row>
    <row r="1397" spans="1:10" ht="26.25" hidden="1" thickBot="1" x14ac:dyDescent="0.3">
      <c r="A1397" s="176"/>
      <c r="B1397" s="175"/>
      <c r="C1397" s="36" t="s">
        <v>472</v>
      </c>
      <c r="D1397" s="36" t="s">
        <v>93</v>
      </c>
      <c r="E1397" s="37">
        <v>1.1499999999999999</v>
      </c>
      <c r="F1397" s="34" t="s">
        <v>568</v>
      </c>
      <c r="G1397" s="34" t="str">
        <f>IF(ISNUMBER(F1397),E1397*F1397,"")</f>
        <v/>
      </c>
      <c r="H1397" s="39">
        <f>SUM(G1397:G1399)</f>
        <v>7.1341199999999994</v>
      </c>
      <c r="I1397" s="40"/>
      <c r="J1397" s="155">
        <v>0</v>
      </c>
    </row>
    <row r="1398" spans="1:10" ht="15.75" hidden="1" thickBot="1" x14ac:dyDescent="0.3">
      <c r="A1398" s="176"/>
      <c r="B1398" s="175"/>
      <c r="C1398" s="36" t="s">
        <v>74</v>
      </c>
      <c r="D1398" s="47" t="s">
        <v>12</v>
      </c>
      <c r="E1398" s="37">
        <v>0.18</v>
      </c>
      <c r="F1398" s="31">
        <v>17.366</v>
      </c>
      <c r="G1398" s="34">
        <f>IF(ISNUMBER(F1398),E1398*F1398,"")</f>
        <v>3.12588</v>
      </c>
      <c r="H1398" s="35"/>
      <c r="I1398" s="31"/>
      <c r="J1398" s="155">
        <v>0</v>
      </c>
    </row>
    <row r="1399" spans="1:10" ht="15.75" hidden="1" thickBot="1" x14ac:dyDescent="0.3">
      <c r="A1399" s="176"/>
      <c r="B1399" s="175"/>
      <c r="C1399" s="36" t="s">
        <v>30</v>
      </c>
      <c r="D1399" s="36" t="s">
        <v>12</v>
      </c>
      <c r="E1399" s="37">
        <v>0.18</v>
      </c>
      <c r="F1399" s="31">
        <v>22.268000000000001</v>
      </c>
      <c r="G1399" s="34">
        <f>IF(ISNUMBER(F1399),E1399*F1399,"")</f>
        <v>4.0082399999999998</v>
      </c>
      <c r="H1399" s="35"/>
      <c r="I1399" s="31"/>
      <c r="J1399" s="155">
        <v>0</v>
      </c>
    </row>
    <row r="1400" spans="1:10" ht="15.75" hidden="1" thickBot="1" x14ac:dyDescent="0.3">
      <c r="A1400" s="177"/>
      <c r="B1400" s="178"/>
      <c r="C1400" s="36"/>
      <c r="D1400" s="36"/>
      <c r="E1400" s="37"/>
      <c r="F1400" s="31" t="s">
        <v>568</v>
      </c>
      <c r="G1400" s="31" t="str">
        <f>IF(ISNUMBER(F1400),E1400*F1400,"")</f>
        <v/>
      </c>
      <c r="H1400" s="35"/>
      <c r="I1400" s="31"/>
      <c r="J1400" s="155">
        <v>0</v>
      </c>
    </row>
    <row r="1401" spans="1:10" ht="15.75" thickBot="1" x14ac:dyDescent="0.3">
      <c r="A1401" s="172" t="s">
        <v>473</v>
      </c>
      <c r="B1401" s="174" t="str">
        <f>INDEX(Orçamentária!A:B,MATCH(Composições!A1401,Orçamentária!A:A,0),2)</f>
        <v>Condulete de alumínio de 1’’</v>
      </c>
      <c r="C1401" s="41"/>
      <c r="D1401" s="26" t="str">
        <f>TRIM(INDEX(Orçamentária!C:C,MATCH(Composições!A1401,Orçamentária!A:A,0),1))</f>
        <v>un</v>
      </c>
      <c r="E1401" s="27"/>
      <c r="F1401" s="42" t="s">
        <v>568</v>
      </c>
      <c r="G1401" s="28" t="str">
        <f>IF(ISNUMBER(F1401),E1401*F1401,"")</f>
        <v/>
      </c>
      <c r="H1401" s="29"/>
      <c r="I1401" s="30"/>
      <c r="J1401" s="155">
        <v>1</v>
      </c>
    </row>
    <row r="1402" spans="1:10" x14ac:dyDescent="0.25">
      <c r="A1402" s="176"/>
      <c r="B1402" s="175"/>
      <c r="C1402" s="32"/>
      <c r="D1402" s="32"/>
      <c r="E1402" s="33"/>
      <c r="F1402" s="43" t="s">
        <v>568</v>
      </c>
      <c r="G1402" s="31" t="str">
        <f>IF(ISNUMBER(F1402),E1402*F1402,"")</f>
        <v/>
      </c>
      <c r="H1402" s="35"/>
      <c r="I1402" s="31"/>
      <c r="J1402" s="155">
        <v>1</v>
      </c>
    </row>
    <row r="1403" spans="1:10" x14ac:dyDescent="0.25">
      <c r="A1403" s="176"/>
      <c r="B1403" s="175"/>
      <c r="C1403" s="36" t="s">
        <v>74</v>
      </c>
      <c r="D1403" s="36" t="s">
        <v>12</v>
      </c>
      <c r="E1403" s="37">
        <v>0.53849999999999998</v>
      </c>
      <c r="F1403" s="31">
        <v>17.366</v>
      </c>
      <c r="G1403" s="34">
        <f>IF(ISNUMBER(F1403),E1403*F1403,"")</f>
        <v>9.3515909999999991</v>
      </c>
      <c r="H1403" s="39">
        <f>SUM(G1403:G1406)</f>
        <v>32.011409</v>
      </c>
      <c r="I1403" s="40"/>
      <c r="J1403" s="155">
        <v>1</v>
      </c>
    </row>
    <row r="1404" spans="1:10" x14ac:dyDescent="0.25">
      <c r="A1404" s="176"/>
      <c r="B1404" s="175"/>
      <c r="C1404" s="36" t="s">
        <v>30</v>
      </c>
      <c r="D1404" s="36" t="s">
        <v>12</v>
      </c>
      <c r="E1404" s="37">
        <v>0.53849999999999998</v>
      </c>
      <c r="F1404" s="31">
        <v>22.268000000000001</v>
      </c>
      <c r="G1404" s="34">
        <f>IF(ISNUMBER(F1404),E1404*F1404,"")</f>
        <v>11.991318</v>
      </c>
      <c r="H1404" s="35"/>
      <c r="I1404" s="31"/>
      <c r="J1404" s="155">
        <v>1</v>
      </c>
    </row>
    <row r="1405" spans="1:10" ht="25.5" x14ac:dyDescent="0.25">
      <c r="A1405" s="176"/>
      <c r="B1405" s="175"/>
      <c r="C1405" s="36" t="s">
        <v>474</v>
      </c>
      <c r="D1405" s="36" t="s">
        <v>20</v>
      </c>
      <c r="E1405" s="37">
        <v>2</v>
      </c>
      <c r="F1405" s="34">
        <v>0.247</v>
      </c>
      <c r="G1405" s="34">
        <f>IF(ISNUMBER(F1405),E1405*F1405,"")</f>
        <v>0.49399999999999999</v>
      </c>
      <c r="H1405" s="35"/>
      <c r="I1405" s="31"/>
      <c r="J1405" s="155">
        <v>1</v>
      </c>
    </row>
    <row r="1406" spans="1:10" ht="25.5" x14ac:dyDescent="0.25">
      <c r="A1406" s="176"/>
      <c r="B1406" s="175"/>
      <c r="C1406" s="36" t="s">
        <v>475</v>
      </c>
      <c r="D1406" s="36" t="s">
        <v>20</v>
      </c>
      <c r="E1406" s="37">
        <v>1</v>
      </c>
      <c r="F1406" s="34">
        <v>10.1745</v>
      </c>
      <c r="G1406" s="31">
        <f>IF(ISNUMBER(F1406),E1406*F1406,"")</f>
        <v>10.1745</v>
      </c>
      <c r="H1406" s="35"/>
      <c r="I1406" s="31"/>
      <c r="J1406" s="155">
        <v>1</v>
      </c>
    </row>
    <row r="1407" spans="1:10" ht="15.75" thickBot="1" x14ac:dyDescent="0.3">
      <c r="A1407" s="177"/>
      <c r="B1407" s="178"/>
      <c r="C1407" s="36"/>
      <c r="D1407" s="36"/>
      <c r="E1407" s="37"/>
      <c r="F1407" s="31" t="s">
        <v>568</v>
      </c>
      <c r="G1407" s="31" t="str">
        <f>IF(ISNUMBER(F1407),E1407*F1407,"")</f>
        <v/>
      </c>
      <c r="H1407" s="35"/>
      <c r="I1407" s="31"/>
      <c r="J1407" s="155">
        <v>1</v>
      </c>
    </row>
    <row r="1408" spans="1:10" ht="15.75" hidden="1" thickBot="1" x14ac:dyDescent="0.3">
      <c r="A1408" s="172" t="s">
        <v>476</v>
      </c>
      <c r="B1408" s="174" t="str">
        <f>INDEX(Orçamentária!A:B,MATCH(Composições!A1408,Orçamentária!A:A,0),2)</f>
        <v>Eletrocalha 100x50 mm</v>
      </c>
      <c r="C1408" s="41"/>
      <c r="D1408" s="26" t="str">
        <f>TRIM(INDEX(Orçamentária!C:C,MATCH(Composições!A1408,Orçamentária!A:A,0),1))</f>
        <v>m</v>
      </c>
      <c r="E1408" s="27"/>
      <c r="F1408" s="42" t="s">
        <v>568</v>
      </c>
      <c r="G1408" s="28" t="str">
        <f>IF(ISNUMBER(F1408),E1408*F1408,"")</f>
        <v/>
      </c>
      <c r="H1408" s="29"/>
      <c r="I1408" s="30"/>
      <c r="J1408" s="155">
        <v>0</v>
      </c>
    </row>
    <row r="1409" spans="1:10" ht="15.75" hidden="1" thickBot="1" x14ac:dyDescent="0.3">
      <c r="A1409" s="176"/>
      <c r="B1409" s="175"/>
      <c r="C1409" s="32"/>
      <c r="D1409" s="32"/>
      <c r="E1409" s="33"/>
      <c r="F1409" s="43" t="s">
        <v>568</v>
      </c>
      <c r="G1409" s="31" t="str">
        <f>IF(ISNUMBER(F1409),E1409*F1409,"")</f>
        <v/>
      </c>
      <c r="H1409" s="35"/>
      <c r="I1409" s="31"/>
      <c r="J1409" s="155">
        <v>0</v>
      </c>
    </row>
    <row r="1410" spans="1:10" ht="15.75" hidden="1" thickBot="1" x14ac:dyDescent="0.3">
      <c r="A1410" s="176"/>
      <c r="B1410" s="175"/>
      <c r="C1410" s="36" t="s">
        <v>30</v>
      </c>
      <c r="D1410" s="36" t="s">
        <v>12</v>
      </c>
      <c r="E1410" s="37">
        <v>0.45</v>
      </c>
      <c r="F1410" s="31">
        <v>22.268000000000001</v>
      </c>
      <c r="G1410" s="31">
        <f>IF(ISNUMBER(F1410),E1410*F1410,"")</f>
        <v>10.0206</v>
      </c>
      <c r="H1410" s="39">
        <f>SUM(G1410:G1421)</f>
        <v>18.40577025</v>
      </c>
      <c r="I1410" s="40"/>
      <c r="J1410" s="155">
        <v>0</v>
      </c>
    </row>
    <row r="1411" spans="1:10" ht="15.75" hidden="1" thickBot="1" x14ac:dyDescent="0.3">
      <c r="A1411" s="176"/>
      <c r="B1411" s="175"/>
      <c r="C1411" s="36" t="s">
        <v>74</v>
      </c>
      <c r="D1411" s="47" t="s">
        <v>12</v>
      </c>
      <c r="E1411" s="37">
        <v>0.45</v>
      </c>
      <c r="F1411" s="31">
        <v>17.366</v>
      </c>
      <c r="G1411" s="31">
        <f>IF(ISNUMBER(F1411),E1411*F1411,"")</f>
        <v>7.8147000000000002</v>
      </c>
      <c r="H1411" s="35"/>
      <c r="I1411" s="31"/>
      <c r="J1411" s="155">
        <v>0</v>
      </c>
    </row>
    <row r="1412" spans="1:10" ht="26.25" hidden="1" thickBot="1" x14ac:dyDescent="0.3">
      <c r="A1412" s="176"/>
      <c r="B1412" s="175"/>
      <c r="C1412" s="36" t="s">
        <v>477</v>
      </c>
      <c r="D1412" s="36" t="s">
        <v>149</v>
      </c>
      <c r="E1412" s="37">
        <v>0.67</v>
      </c>
      <c r="F1412" s="31">
        <v>0</v>
      </c>
      <c r="G1412" s="31">
        <f>IF(ISNUMBER(F1412),E1412*F1412,"")</f>
        <v>0</v>
      </c>
      <c r="H1412" s="62"/>
      <c r="I1412" s="1"/>
      <c r="J1412" s="155">
        <v>0</v>
      </c>
    </row>
    <row r="1413" spans="1:10" ht="26.25" hidden="1" thickBot="1" x14ac:dyDescent="0.3">
      <c r="A1413" s="176"/>
      <c r="B1413" s="175"/>
      <c r="C1413" s="36" t="s">
        <v>478</v>
      </c>
      <c r="D1413" s="36" t="s">
        <v>93</v>
      </c>
      <c r="E1413" s="37">
        <v>1.05</v>
      </c>
      <c r="F1413" s="34" t="s">
        <v>568</v>
      </c>
      <c r="G1413" s="31" t="str">
        <f>IF(ISNUMBER(F1413),E1413*F1413,"")</f>
        <v/>
      </c>
      <c r="H1413" s="35"/>
      <c r="I1413" s="31"/>
      <c r="J1413" s="155">
        <v>0</v>
      </c>
    </row>
    <row r="1414" spans="1:10" ht="15.75" hidden="1" thickBot="1" x14ac:dyDescent="0.3">
      <c r="A1414" s="176"/>
      <c r="B1414" s="175"/>
      <c r="C1414" s="36" t="s">
        <v>479</v>
      </c>
      <c r="D1414" s="36" t="s">
        <v>93</v>
      </c>
      <c r="E1414" s="37">
        <v>0.8</v>
      </c>
      <c r="F1414" s="31">
        <v>0</v>
      </c>
      <c r="G1414" s="31">
        <f>IF(ISNUMBER(F1414),E1414*F1414,"")</f>
        <v>0</v>
      </c>
      <c r="H1414" s="35"/>
      <c r="I1414" s="31"/>
      <c r="J1414" s="155">
        <v>0</v>
      </c>
    </row>
    <row r="1415" spans="1:10" ht="15.75" hidden="1" thickBot="1" x14ac:dyDescent="0.3">
      <c r="A1415" s="176"/>
      <c r="B1415" s="175"/>
      <c r="C1415" s="36" t="s">
        <v>480</v>
      </c>
      <c r="D1415" s="36" t="s">
        <v>297</v>
      </c>
      <c r="E1415" s="37">
        <v>4.0033000000000003</v>
      </c>
      <c r="F1415" s="34">
        <v>0.14249999999999999</v>
      </c>
      <c r="G1415" s="31">
        <f>IF(ISNUMBER(F1415),E1415*F1415,"")</f>
        <v>0.57047024999999996</v>
      </c>
      <c r="H1415" s="35"/>
      <c r="I1415" s="31"/>
      <c r="J1415" s="155">
        <v>0</v>
      </c>
    </row>
    <row r="1416" spans="1:10" ht="15.75" hidden="1" thickBot="1" x14ac:dyDescent="0.3">
      <c r="A1416" s="176"/>
      <c r="B1416" s="175"/>
      <c r="C1416" s="36" t="s">
        <v>481</v>
      </c>
      <c r="D1416" s="36" t="s">
        <v>149</v>
      </c>
      <c r="E1416" s="37">
        <v>4.0033000000000003</v>
      </c>
      <c r="F1416" s="31">
        <v>0</v>
      </c>
      <c r="G1416" s="31">
        <f>IF(ISNUMBER(F1416),E1416*F1416,"")</f>
        <v>0</v>
      </c>
      <c r="H1416" s="35"/>
      <c r="I1416" s="31"/>
      <c r="J1416" s="155">
        <v>0</v>
      </c>
    </row>
    <row r="1417" spans="1:10" ht="15.75" hidden="1" thickBot="1" x14ac:dyDescent="0.3">
      <c r="A1417" s="176"/>
      <c r="B1417" s="175"/>
      <c r="C1417" s="36" t="s">
        <v>482</v>
      </c>
      <c r="D1417" s="36" t="s">
        <v>149</v>
      </c>
      <c r="E1417" s="37">
        <v>0.67</v>
      </c>
      <c r="F1417" s="31">
        <v>0</v>
      </c>
      <c r="G1417" s="31">
        <f>IF(ISNUMBER(F1417),E1417*F1417,"")</f>
        <v>0</v>
      </c>
      <c r="H1417" s="35"/>
      <c r="I1417" s="31"/>
      <c r="J1417" s="155">
        <v>0</v>
      </c>
    </row>
    <row r="1418" spans="1:10" ht="15.75" hidden="1" thickBot="1" x14ac:dyDescent="0.3">
      <c r="A1418" s="176"/>
      <c r="B1418" s="175"/>
      <c r="C1418" s="36" t="s">
        <v>483</v>
      </c>
      <c r="D1418" s="36" t="s">
        <v>149</v>
      </c>
      <c r="E1418" s="37">
        <v>1.05</v>
      </c>
      <c r="F1418" s="31">
        <v>0</v>
      </c>
      <c r="G1418" s="31">
        <f>IF(ISNUMBER(F1418),E1418*F1418,"")</f>
        <v>0</v>
      </c>
      <c r="H1418" s="35"/>
      <c r="I1418" s="31"/>
      <c r="J1418" s="155">
        <v>0</v>
      </c>
    </row>
    <row r="1419" spans="1:10" ht="15.75" hidden="1" thickBot="1" x14ac:dyDescent="0.3">
      <c r="A1419" s="176"/>
      <c r="B1419" s="175"/>
      <c r="C1419" s="36" t="s">
        <v>484</v>
      </c>
      <c r="D1419" s="36" t="s">
        <v>20</v>
      </c>
      <c r="E1419" s="37">
        <v>2.67</v>
      </c>
      <c r="F1419" s="31">
        <v>0</v>
      </c>
      <c r="G1419" s="31">
        <f>IF(ISNUMBER(F1419),E1419*F1419,"")</f>
        <v>0</v>
      </c>
      <c r="H1419" s="35"/>
      <c r="I1419" s="31"/>
      <c r="J1419" s="155">
        <v>0</v>
      </c>
    </row>
    <row r="1420" spans="1:10" ht="15.75" hidden="1" thickBot="1" x14ac:dyDescent="0.3">
      <c r="A1420" s="176"/>
      <c r="B1420" s="175"/>
      <c r="C1420" s="36" t="s">
        <v>485</v>
      </c>
      <c r="D1420" s="36" t="s">
        <v>149</v>
      </c>
      <c r="E1420" s="37">
        <v>0.66669999999999996</v>
      </c>
      <c r="F1420" s="31">
        <v>0</v>
      </c>
      <c r="G1420" s="31">
        <f>IF(ISNUMBER(F1420),E1420*F1420,"")</f>
        <v>0</v>
      </c>
      <c r="H1420" s="35"/>
      <c r="I1420" s="31"/>
      <c r="J1420" s="155">
        <v>0</v>
      </c>
    </row>
    <row r="1421" spans="1:10" ht="26.25" hidden="1" thickBot="1" x14ac:dyDescent="0.3">
      <c r="A1421" s="176"/>
      <c r="B1421" s="175"/>
      <c r="C1421" s="36" t="s">
        <v>486</v>
      </c>
      <c r="D1421" s="36" t="s">
        <v>93</v>
      </c>
      <c r="E1421" s="37">
        <v>1.05</v>
      </c>
      <c r="F1421" s="34" t="s">
        <v>568</v>
      </c>
      <c r="G1421" s="31" t="str">
        <f>IF(ISNUMBER(F1421),E1421*F1421,"")</f>
        <v/>
      </c>
      <c r="H1421" s="35"/>
      <c r="I1421" s="31"/>
      <c r="J1421" s="155">
        <v>0</v>
      </c>
    </row>
    <row r="1422" spans="1:10" ht="15.75" hidden="1" thickBot="1" x14ac:dyDescent="0.3">
      <c r="A1422" s="177"/>
      <c r="B1422" s="178"/>
      <c r="C1422" s="36"/>
      <c r="D1422" s="36"/>
      <c r="E1422" s="37"/>
      <c r="F1422" s="31" t="s">
        <v>568</v>
      </c>
      <c r="G1422" s="31" t="str">
        <f>IF(ISNUMBER(F1422),E1422*F1422,"")</f>
        <v/>
      </c>
      <c r="H1422" s="35"/>
      <c r="I1422" s="31"/>
      <c r="J1422" s="155">
        <v>0</v>
      </c>
    </row>
    <row r="1423" spans="1:10" ht="15.75" hidden="1" thickBot="1" x14ac:dyDescent="0.3">
      <c r="A1423" s="172" t="s">
        <v>487</v>
      </c>
      <c r="B1423" s="174" t="str">
        <f>INDEX(Orçamentária!A:B,MATCH(Composições!A1423,Orçamentária!A:A,0),2)</f>
        <v>Eletrocalha 200x100 mm</v>
      </c>
      <c r="C1423" s="41"/>
      <c r="D1423" s="26" t="str">
        <f>TRIM(INDEX(Orçamentária!C:C,MATCH(Composições!A1423,Orçamentária!A:A,0),1))</f>
        <v>m</v>
      </c>
      <c r="E1423" s="27"/>
      <c r="F1423" s="42" t="s">
        <v>568</v>
      </c>
      <c r="G1423" s="28" t="str">
        <f>IF(ISNUMBER(F1423),E1423*F1423,"")</f>
        <v/>
      </c>
      <c r="H1423" s="29"/>
      <c r="I1423" s="30"/>
      <c r="J1423" s="155">
        <v>0</v>
      </c>
    </row>
    <row r="1424" spans="1:10" ht="15.75" hidden="1" thickBot="1" x14ac:dyDescent="0.3">
      <c r="A1424" s="176"/>
      <c r="B1424" s="175"/>
      <c r="C1424" s="32"/>
      <c r="D1424" s="32"/>
      <c r="E1424" s="33"/>
      <c r="F1424" s="43" t="s">
        <v>568</v>
      </c>
      <c r="G1424" s="31" t="str">
        <f>IF(ISNUMBER(F1424),E1424*F1424,"")</f>
        <v/>
      </c>
      <c r="H1424" s="35"/>
      <c r="I1424" s="31"/>
      <c r="J1424" s="155">
        <v>0</v>
      </c>
    </row>
    <row r="1425" spans="1:10" ht="15.75" hidden="1" thickBot="1" x14ac:dyDescent="0.3">
      <c r="A1425" s="176"/>
      <c r="B1425" s="175"/>
      <c r="C1425" s="36" t="s">
        <v>30</v>
      </c>
      <c r="D1425" s="36" t="s">
        <v>12</v>
      </c>
      <c r="E1425" s="37">
        <v>0.6</v>
      </c>
      <c r="F1425" s="31">
        <v>22.268000000000001</v>
      </c>
      <c r="G1425" s="31">
        <f>IF(ISNUMBER(F1425),E1425*F1425,"")</f>
        <v>13.360799999999999</v>
      </c>
      <c r="H1425" s="39">
        <f>SUM(G1425:G1436)</f>
        <v>24.540879750000002</v>
      </c>
      <c r="I1425" s="40"/>
      <c r="J1425" s="155">
        <v>0</v>
      </c>
    </row>
    <row r="1426" spans="1:10" ht="15.75" hidden="1" thickBot="1" x14ac:dyDescent="0.3">
      <c r="A1426" s="176"/>
      <c r="B1426" s="175"/>
      <c r="C1426" s="36" t="s">
        <v>74</v>
      </c>
      <c r="D1426" s="47" t="s">
        <v>12</v>
      </c>
      <c r="E1426" s="37">
        <v>0.6</v>
      </c>
      <c r="F1426" s="31">
        <v>17.366</v>
      </c>
      <c r="G1426" s="31">
        <f>IF(ISNUMBER(F1426),E1426*F1426,"")</f>
        <v>10.419599999999999</v>
      </c>
      <c r="H1426" s="35"/>
      <c r="I1426" s="31"/>
      <c r="J1426" s="155">
        <v>0</v>
      </c>
    </row>
    <row r="1427" spans="1:10" ht="26.25" hidden="1" thickBot="1" x14ac:dyDescent="0.3">
      <c r="A1427" s="176"/>
      <c r="B1427" s="175"/>
      <c r="C1427" s="36" t="s">
        <v>477</v>
      </c>
      <c r="D1427" s="36" t="s">
        <v>149</v>
      </c>
      <c r="E1427" s="37">
        <v>1.3332999999999999</v>
      </c>
      <c r="F1427" s="31">
        <v>0</v>
      </c>
      <c r="G1427" s="31">
        <f>IF(ISNUMBER(F1427),E1427*F1427,"")</f>
        <v>0</v>
      </c>
      <c r="H1427" s="62"/>
      <c r="I1427" s="1"/>
      <c r="J1427" s="155">
        <v>0</v>
      </c>
    </row>
    <row r="1428" spans="1:10" ht="26.25" hidden="1" thickBot="1" x14ac:dyDescent="0.3">
      <c r="A1428" s="176"/>
      <c r="B1428" s="175"/>
      <c r="C1428" s="36" t="s">
        <v>488</v>
      </c>
      <c r="D1428" s="36" t="s">
        <v>93</v>
      </c>
      <c r="E1428" s="37">
        <v>1.05</v>
      </c>
      <c r="F1428" s="34" t="s">
        <v>568</v>
      </c>
      <c r="G1428" s="31" t="str">
        <f>IF(ISNUMBER(F1428),E1428*F1428,"")</f>
        <v/>
      </c>
      <c r="H1428" s="35"/>
      <c r="I1428" s="31"/>
      <c r="J1428" s="155">
        <v>0</v>
      </c>
    </row>
    <row r="1429" spans="1:10" ht="15.75" hidden="1" thickBot="1" x14ac:dyDescent="0.3">
      <c r="A1429" s="176"/>
      <c r="B1429" s="175"/>
      <c r="C1429" s="36" t="s">
        <v>479</v>
      </c>
      <c r="D1429" s="36" t="s">
        <v>93</v>
      </c>
      <c r="E1429" s="37">
        <v>1.6</v>
      </c>
      <c r="F1429" s="31">
        <v>0</v>
      </c>
      <c r="G1429" s="31">
        <f>IF(ISNUMBER(F1429),E1429*F1429,"")</f>
        <v>0</v>
      </c>
      <c r="H1429" s="35"/>
      <c r="I1429" s="31"/>
      <c r="J1429" s="155">
        <v>0</v>
      </c>
    </row>
    <row r="1430" spans="1:10" ht="15.75" hidden="1" thickBot="1" x14ac:dyDescent="0.3">
      <c r="A1430" s="176"/>
      <c r="B1430" s="175"/>
      <c r="C1430" s="36" t="s">
        <v>480</v>
      </c>
      <c r="D1430" s="36" t="s">
        <v>297</v>
      </c>
      <c r="E1430" s="37">
        <v>5.3367000000000004</v>
      </c>
      <c r="F1430" s="34">
        <v>0.14249999999999999</v>
      </c>
      <c r="G1430" s="31">
        <f>IF(ISNUMBER(F1430),E1430*F1430,"")</f>
        <v>0.76047975000000001</v>
      </c>
      <c r="H1430" s="35"/>
      <c r="I1430" s="31"/>
      <c r="J1430" s="155">
        <v>0</v>
      </c>
    </row>
    <row r="1431" spans="1:10" ht="15.75" hidden="1" thickBot="1" x14ac:dyDescent="0.3">
      <c r="A1431" s="176"/>
      <c r="B1431" s="175"/>
      <c r="C1431" s="36" t="s">
        <v>481</v>
      </c>
      <c r="D1431" s="36" t="s">
        <v>149</v>
      </c>
      <c r="E1431" s="37">
        <v>5.34</v>
      </c>
      <c r="F1431" s="31">
        <v>0</v>
      </c>
      <c r="G1431" s="31">
        <f>IF(ISNUMBER(F1431),E1431*F1431,"")</f>
        <v>0</v>
      </c>
      <c r="H1431" s="35"/>
      <c r="I1431" s="31"/>
      <c r="J1431" s="155">
        <v>0</v>
      </c>
    </row>
    <row r="1432" spans="1:10" ht="15.75" hidden="1" thickBot="1" x14ac:dyDescent="0.3">
      <c r="A1432" s="176"/>
      <c r="B1432" s="175"/>
      <c r="C1432" s="36" t="s">
        <v>489</v>
      </c>
      <c r="D1432" s="36" t="s">
        <v>149</v>
      </c>
      <c r="E1432" s="37">
        <v>0.67</v>
      </c>
      <c r="F1432" s="31">
        <v>0</v>
      </c>
      <c r="G1432" s="31">
        <f>IF(ISNUMBER(F1432),E1432*F1432,"")</f>
        <v>0</v>
      </c>
      <c r="H1432" s="35"/>
      <c r="I1432" s="31"/>
      <c r="J1432" s="155">
        <v>0</v>
      </c>
    </row>
    <row r="1433" spans="1:10" ht="15.75" hidden="1" thickBot="1" x14ac:dyDescent="0.3">
      <c r="A1433" s="176"/>
      <c r="B1433" s="175"/>
      <c r="C1433" s="36" t="s">
        <v>483</v>
      </c>
      <c r="D1433" s="36" t="s">
        <v>149</v>
      </c>
      <c r="E1433" s="37">
        <v>1.3332999999999999</v>
      </c>
      <c r="F1433" s="31">
        <v>0</v>
      </c>
      <c r="G1433" s="31">
        <f>IF(ISNUMBER(F1433),E1433*F1433,"")</f>
        <v>0</v>
      </c>
      <c r="H1433" s="35"/>
      <c r="I1433" s="31"/>
      <c r="J1433" s="155">
        <v>0</v>
      </c>
    </row>
    <row r="1434" spans="1:10" ht="15.75" hidden="1" thickBot="1" x14ac:dyDescent="0.3">
      <c r="A1434" s="176"/>
      <c r="B1434" s="175"/>
      <c r="C1434" s="36" t="s">
        <v>484</v>
      </c>
      <c r="D1434" s="36" t="s">
        <v>20</v>
      </c>
      <c r="E1434" s="37">
        <v>2.67</v>
      </c>
      <c r="F1434" s="31">
        <v>0</v>
      </c>
      <c r="G1434" s="31">
        <f>IF(ISNUMBER(F1434),E1434*F1434,"")</f>
        <v>0</v>
      </c>
      <c r="H1434" s="35"/>
      <c r="I1434" s="31"/>
      <c r="J1434" s="155">
        <v>0</v>
      </c>
    </row>
    <row r="1435" spans="1:10" ht="15.75" hidden="1" thickBot="1" x14ac:dyDescent="0.3">
      <c r="A1435" s="176"/>
      <c r="B1435" s="175"/>
      <c r="C1435" s="36" t="s">
        <v>490</v>
      </c>
      <c r="D1435" s="36" t="s">
        <v>149</v>
      </c>
      <c r="E1435" s="37">
        <v>0.67</v>
      </c>
      <c r="F1435" s="31">
        <v>0</v>
      </c>
      <c r="G1435" s="31">
        <f>IF(ISNUMBER(F1435),E1435*F1435,"")</f>
        <v>0</v>
      </c>
      <c r="H1435" s="35"/>
      <c r="I1435" s="31"/>
      <c r="J1435" s="155">
        <v>0</v>
      </c>
    </row>
    <row r="1436" spans="1:10" ht="26.25" hidden="1" thickBot="1" x14ac:dyDescent="0.3">
      <c r="A1436" s="176"/>
      <c r="B1436" s="175"/>
      <c r="C1436" s="36" t="s">
        <v>491</v>
      </c>
      <c r="D1436" s="36" t="s">
        <v>93</v>
      </c>
      <c r="E1436" s="37">
        <v>1.05</v>
      </c>
      <c r="F1436" s="34" t="s">
        <v>568</v>
      </c>
      <c r="G1436" s="31" t="str">
        <f>IF(ISNUMBER(F1436),E1436*F1436,"")</f>
        <v/>
      </c>
      <c r="H1436" s="35"/>
      <c r="I1436" s="31"/>
      <c r="J1436" s="155">
        <v>0</v>
      </c>
    </row>
    <row r="1437" spans="1:10" ht="15.75" hidden="1" thickBot="1" x14ac:dyDescent="0.3">
      <c r="A1437" s="177"/>
      <c r="B1437" s="178"/>
      <c r="C1437" s="36"/>
      <c r="D1437" s="36"/>
      <c r="E1437" s="37"/>
      <c r="F1437" s="31" t="s">
        <v>568</v>
      </c>
      <c r="G1437" s="31" t="str">
        <f>IF(ISNUMBER(F1437),E1437*F1437,"")</f>
        <v/>
      </c>
      <c r="H1437" s="35"/>
      <c r="I1437" s="31"/>
      <c r="J1437" s="155">
        <v>0</v>
      </c>
    </row>
    <row r="1438" spans="1:10" ht="15.75" hidden="1" thickBot="1" x14ac:dyDescent="0.3">
      <c r="A1438" s="172" t="s">
        <v>492</v>
      </c>
      <c r="B1438" s="174" t="str">
        <f>INDEX(Orçamentária!A:B,MATCH(Composições!A1438,Orçamentária!A:A,0),2)</f>
        <v>Eletrocalha 200x50 mm</v>
      </c>
      <c r="C1438" s="41"/>
      <c r="D1438" s="26" t="str">
        <f>TRIM(INDEX(Orçamentária!C:C,MATCH(Composições!A1438,Orçamentária!A:A,0),1))</f>
        <v>m</v>
      </c>
      <c r="E1438" s="27"/>
      <c r="F1438" s="42" t="s">
        <v>568</v>
      </c>
      <c r="G1438" s="28" t="str">
        <f>IF(ISNUMBER(F1438),E1438*F1438,"")</f>
        <v/>
      </c>
      <c r="H1438" s="29"/>
      <c r="I1438" s="30"/>
      <c r="J1438" s="155">
        <v>0</v>
      </c>
    </row>
    <row r="1439" spans="1:10" ht="15.75" hidden="1" thickBot="1" x14ac:dyDescent="0.3">
      <c r="A1439" s="176"/>
      <c r="B1439" s="175"/>
      <c r="C1439" s="32"/>
      <c r="D1439" s="32"/>
      <c r="E1439" s="33"/>
      <c r="F1439" s="43" t="s">
        <v>568</v>
      </c>
      <c r="G1439" s="31" t="str">
        <f>IF(ISNUMBER(F1439),E1439*F1439,"")</f>
        <v/>
      </c>
      <c r="H1439" s="35"/>
      <c r="I1439" s="31"/>
      <c r="J1439" s="155">
        <v>0</v>
      </c>
    </row>
    <row r="1440" spans="1:10" ht="15.75" hidden="1" thickBot="1" x14ac:dyDescent="0.3">
      <c r="A1440" s="176"/>
      <c r="B1440" s="175"/>
      <c r="C1440" s="36" t="s">
        <v>30</v>
      </c>
      <c r="D1440" s="36" t="s">
        <v>12</v>
      </c>
      <c r="E1440" s="37">
        <v>0.5</v>
      </c>
      <c r="F1440" s="31">
        <v>22.268000000000001</v>
      </c>
      <c r="G1440" s="31">
        <f>IF(ISNUMBER(F1440),E1440*F1440,"")</f>
        <v>11.134</v>
      </c>
      <c r="H1440" s="39">
        <f>SUM(G1440:G1451)</f>
        <v>20.577479750000002</v>
      </c>
      <c r="I1440" s="40"/>
      <c r="J1440" s="155">
        <v>0</v>
      </c>
    </row>
    <row r="1441" spans="1:10" ht="15.75" hidden="1" thickBot="1" x14ac:dyDescent="0.3">
      <c r="A1441" s="176"/>
      <c r="B1441" s="175"/>
      <c r="C1441" s="36" t="s">
        <v>74</v>
      </c>
      <c r="D1441" s="47" t="s">
        <v>12</v>
      </c>
      <c r="E1441" s="37">
        <v>0.5</v>
      </c>
      <c r="F1441" s="31">
        <v>17.366</v>
      </c>
      <c r="G1441" s="31">
        <f>IF(ISNUMBER(F1441),E1441*F1441,"")</f>
        <v>8.6829999999999998</v>
      </c>
      <c r="H1441" s="35"/>
      <c r="I1441" s="31"/>
      <c r="J1441" s="155">
        <v>0</v>
      </c>
    </row>
    <row r="1442" spans="1:10" ht="26.25" hidden="1" thickBot="1" x14ac:dyDescent="0.3">
      <c r="A1442" s="176"/>
      <c r="B1442" s="175"/>
      <c r="C1442" s="36" t="s">
        <v>477</v>
      </c>
      <c r="D1442" s="36" t="s">
        <v>149</v>
      </c>
      <c r="E1442" s="37">
        <v>1.3332999999999999</v>
      </c>
      <c r="F1442" s="31">
        <v>0</v>
      </c>
      <c r="G1442" s="31">
        <f>IF(ISNUMBER(F1442),E1442*F1442,"")</f>
        <v>0</v>
      </c>
      <c r="H1442" s="62"/>
      <c r="I1442" s="1"/>
      <c r="J1442" s="155">
        <v>0</v>
      </c>
    </row>
    <row r="1443" spans="1:10" ht="26.25" hidden="1" thickBot="1" x14ac:dyDescent="0.3">
      <c r="A1443" s="176"/>
      <c r="B1443" s="175"/>
      <c r="C1443" s="36" t="s">
        <v>493</v>
      </c>
      <c r="D1443" s="36" t="s">
        <v>93</v>
      </c>
      <c r="E1443" s="37">
        <v>1.05</v>
      </c>
      <c r="F1443" s="34" t="s">
        <v>568</v>
      </c>
      <c r="G1443" s="31" t="str">
        <f>IF(ISNUMBER(F1443),E1443*F1443,"")</f>
        <v/>
      </c>
      <c r="H1443" s="35"/>
      <c r="I1443" s="31"/>
      <c r="J1443" s="155">
        <v>0</v>
      </c>
    </row>
    <row r="1444" spans="1:10" ht="15.75" hidden="1" thickBot="1" x14ac:dyDescent="0.3">
      <c r="A1444" s="176"/>
      <c r="B1444" s="175"/>
      <c r="C1444" s="36" t="s">
        <v>479</v>
      </c>
      <c r="D1444" s="36" t="s">
        <v>93</v>
      </c>
      <c r="E1444" s="37">
        <v>1.6</v>
      </c>
      <c r="F1444" s="31">
        <v>0</v>
      </c>
      <c r="G1444" s="31">
        <f>IF(ISNUMBER(F1444),E1444*F1444,"")</f>
        <v>0</v>
      </c>
      <c r="H1444" s="35"/>
      <c r="I1444" s="31"/>
      <c r="J1444" s="155">
        <v>0</v>
      </c>
    </row>
    <row r="1445" spans="1:10" ht="15.75" hidden="1" thickBot="1" x14ac:dyDescent="0.3">
      <c r="A1445" s="176"/>
      <c r="B1445" s="175"/>
      <c r="C1445" s="36" t="s">
        <v>480</v>
      </c>
      <c r="D1445" s="36" t="s">
        <v>297</v>
      </c>
      <c r="E1445" s="37">
        <v>5.3367000000000004</v>
      </c>
      <c r="F1445" s="34">
        <v>0.14249999999999999</v>
      </c>
      <c r="G1445" s="31">
        <f>IF(ISNUMBER(F1445),E1445*F1445,"")</f>
        <v>0.76047975000000001</v>
      </c>
      <c r="H1445" s="35"/>
      <c r="I1445" s="31"/>
      <c r="J1445" s="155">
        <v>0</v>
      </c>
    </row>
    <row r="1446" spans="1:10" ht="15.75" hidden="1" thickBot="1" x14ac:dyDescent="0.3">
      <c r="A1446" s="176"/>
      <c r="B1446" s="175"/>
      <c r="C1446" s="36" t="s">
        <v>481</v>
      </c>
      <c r="D1446" s="36" t="s">
        <v>149</v>
      </c>
      <c r="E1446" s="37">
        <v>5.34</v>
      </c>
      <c r="F1446" s="31">
        <v>0</v>
      </c>
      <c r="G1446" s="31">
        <f>IF(ISNUMBER(F1446),E1446*F1446,"")</f>
        <v>0</v>
      </c>
      <c r="H1446" s="35"/>
      <c r="I1446" s="31"/>
      <c r="J1446" s="155">
        <v>0</v>
      </c>
    </row>
    <row r="1447" spans="1:10" ht="15.75" hidden="1" thickBot="1" x14ac:dyDescent="0.3">
      <c r="A1447" s="176"/>
      <c r="B1447" s="175"/>
      <c r="C1447" s="36" t="s">
        <v>494</v>
      </c>
      <c r="D1447" s="36" t="s">
        <v>149</v>
      </c>
      <c r="E1447" s="37">
        <v>0.67</v>
      </c>
      <c r="F1447" s="31">
        <v>0</v>
      </c>
      <c r="G1447" s="31">
        <f>IF(ISNUMBER(F1447),E1447*F1447,"")</f>
        <v>0</v>
      </c>
      <c r="H1447" s="35"/>
      <c r="I1447" s="31"/>
      <c r="J1447" s="155">
        <v>0</v>
      </c>
    </row>
    <row r="1448" spans="1:10" ht="15.75" hidden="1" thickBot="1" x14ac:dyDescent="0.3">
      <c r="A1448" s="176"/>
      <c r="B1448" s="175"/>
      <c r="C1448" s="36" t="s">
        <v>483</v>
      </c>
      <c r="D1448" s="36" t="s">
        <v>149</v>
      </c>
      <c r="E1448" s="37">
        <v>1.3332999999999999</v>
      </c>
      <c r="F1448" s="31">
        <v>0</v>
      </c>
      <c r="G1448" s="31">
        <f>IF(ISNUMBER(F1448),E1448*F1448,"")</f>
        <v>0</v>
      </c>
      <c r="H1448" s="35"/>
      <c r="I1448" s="31"/>
      <c r="J1448" s="155">
        <v>0</v>
      </c>
    </row>
    <row r="1449" spans="1:10" ht="15.75" hidden="1" thickBot="1" x14ac:dyDescent="0.3">
      <c r="A1449" s="176"/>
      <c r="B1449" s="175"/>
      <c r="C1449" s="36" t="s">
        <v>484</v>
      </c>
      <c r="D1449" s="36" t="s">
        <v>20</v>
      </c>
      <c r="E1449" s="37">
        <v>2.67</v>
      </c>
      <c r="F1449" s="31">
        <v>0</v>
      </c>
      <c r="G1449" s="31">
        <f>IF(ISNUMBER(F1449),E1449*F1449,"")</f>
        <v>0</v>
      </c>
      <c r="H1449" s="35"/>
      <c r="I1449" s="31"/>
      <c r="J1449" s="155">
        <v>0</v>
      </c>
    </row>
    <row r="1450" spans="1:10" ht="15.75" hidden="1" thickBot="1" x14ac:dyDescent="0.3">
      <c r="A1450" s="176"/>
      <c r="B1450" s="175"/>
      <c r="C1450" s="36" t="s">
        <v>485</v>
      </c>
      <c r="D1450" s="36" t="s">
        <v>149</v>
      </c>
      <c r="E1450" s="37">
        <v>0.67</v>
      </c>
      <c r="F1450" s="31">
        <v>0</v>
      </c>
      <c r="G1450" s="31">
        <f>IF(ISNUMBER(F1450),E1450*F1450,"")</f>
        <v>0</v>
      </c>
      <c r="H1450" s="35"/>
      <c r="I1450" s="31"/>
      <c r="J1450" s="155">
        <v>0</v>
      </c>
    </row>
    <row r="1451" spans="1:10" ht="26.25" hidden="1" thickBot="1" x14ac:dyDescent="0.3">
      <c r="A1451" s="176"/>
      <c r="B1451" s="175"/>
      <c r="C1451" s="36" t="s">
        <v>491</v>
      </c>
      <c r="D1451" s="36" t="s">
        <v>93</v>
      </c>
      <c r="E1451" s="37">
        <v>1.05</v>
      </c>
      <c r="F1451" s="34" t="s">
        <v>568</v>
      </c>
      <c r="G1451" s="31" t="str">
        <f>IF(ISNUMBER(F1451),E1451*F1451,"")</f>
        <v/>
      </c>
      <c r="H1451" s="35"/>
      <c r="I1451" s="31"/>
      <c r="J1451" s="155">
        <v>0</v>
      </c>
    </row>
    <row r="1452" spans="1:10" ht="15.75" hidden="1" thickBot="1" x14ac:dyDescent="0.3">
      <c r="A1452" s="177"/>
      <c r="B1452" s="178"/>
      <c r="C1452" s="36"/>
      <c r="D1452" s="36"/>
      <c r="E1452" s="37"/>
      <c r="F1452" s="31" t="s">
        <v>568</v>
      </c>
      <c r="G1452" s="31" t="str">
        <f>IF(ISNUMBER(F1452),E1452*F1452,"")</f>
        <v/>
      </c>
      <c r="H1452" s="35"/>
      <c r="I1452" s="31"/>
      <c r="J1452" s="155">
        <v>0</v>
      </c>
    </row>
    <row r="1453" spans="1:10" ht="15.75" hidden="1" thickBot="1" x14ac:dyDescent="0.3">
      <c r="A1453" s="172" t="s">
        <v>495</v>
      </c>
      <c r="B1453" s="174" t="str">
        <f>INDEX(Orçamentária!A:B,MATCH(Composições!A1453,Orçamentária!A:A,0),2)</f>
        <v>Eletrocalha 300x100 mm</v>
      </c>
      <c r="C1453" s="41"/>
      <c r="D1453" s="26" t="str">
        <f>TRIM(INDEX(Orçamentária!C:C,MATCH(Composições!A1453,Orçamentária!A:A,0),1))</f>
        <v>m</v>
      </c>
      <c r="E1453" s="27"/>
      <c r="F1453" s="42" t="s">
        <v>568</v>
      </c>
      <c r="G1453" s="28" t="str">
        <f>IF(ISNUMBER(F1453),E1453*F1453,"")</f>
        <v/>
      </c>
      <c r="H1453" s="29"/>
      <c r="I1453" s="30"/>
      <c r="J1453" s="155">
        <v>0</v>
      </c>
    </row>
    <row r="1454" spans="1:10" ht="15.75" hidden="1" thickBot="1" x14ac:dyDescent="0.3">
      <c r="A1454" s="176"/>
      <c r="B1454" s="175"/>
      <c r="C1454" s="32"/>
      <c r="D1454" s="32"/>
      <c r="E1454" s="33"/>
      <c r="F1454" s="43" t="s">
        <v>568</v>
      </c>
      <c r="G1454" s="31" t="str">
        <f>IF(ISNUMBER(F1454),E1454*F1454,"")</f>
        <v/>
      </c>
      <c r="H1454" s="35"/>
      <c r="I1454" s="31"/>
      <c r="J1454" s="155">
        <v>0</v>
      </c>
    </row>
    <row r="1455" spans="1:10" ht="15.75" hidden="1" thickBot="1" x14ac:dyDescent="0.3">
      <c r="A1455" s="176"/>
      <c r="B1455" s="175"/>
      <c r="C1455" s="36" t="s">
        <v>30</v>
      </c>
      <c r="D1455" s="36" t="s">
        <v>12</v>
      </c>
      <c r="E1455" s="37">
        <v>0.65</v>
      </c>
      <c r="F1455" s="31">
        <v>22.268000000000001</v>
      </c>
      <c r="G1455" s="31">
        <f>IF(ISNUMBER(F1455),E1455*F1455,"")</f>
        <v>14.474200000000002</v>
      </c>
      <c r="H1455" s="39">
        <f>SUM(G1455:G1466)</f>
        <v>26.522579750000006</v>
      </c>
      <c r="I1455" s="40"/>
      <c r="J1455" s="155">
        <v>0</v>
      </c>
    </row>
    <row r="1456" spans="1:10" ht="15.75" hidden="1" thickBot="1" x14ac:dyDescent="0.3">
      <c r="A1456" s="176"/>
      <c r="B1456" s="175"/>
      <c r="C1456" s="36" t="s">
        <v>74</v>
      </c>
      <c r="D1456" s="47" t="s">
        <v>12</v>
      </c>
      <c r="E1456" s="37">
        <v>0.65</v>
      </c>
      <c r="F1456" s="31">
        <v>17.366</v>
      </c>
      <c r="G1456" s="31">
        <f>IF(ISNUMBER(F1456),E1456*F1456,"")</f>
        <v>11.2879</v>
      </c>
      <c r="H1456" s="35"/>
      <c r="I1456" s="31"/>
      <c r="J1456" s="155">
        <v>0</v>
      </c>
    </row>
    <row r="1457" spans="1:10" ht="26.25" hidden="1" thickBot="1" x14ac:dyDescent="0.3">
      <c r="A1457" s="176"/>
      <c r="B1457" s="175"/>
      <c r="C1457" s="36" t="s">
        <v>477</v>
      </c>
      <c r="D1457" s="36" t="s">
        <v>149</v>
      </c>
      <c r="E1457" s="37">
        <v>1.3332999999999999</v>
      </c>
      <c r="F1457" s="31">
        <v>0</v>
      </c>
      <c r="G1457" s="31">
        <f>IF(ISNUMBER(F1457),E1457*F1457,"")</f>
        <v>0</v>
      </c>
      <c r="H1457" s="62"/>
      <c r="I1457" s="1"/>
      <c r="J1457" s="155">
        <v>0</v>
      </c>
    </row>
    <row r="1458" spans="1:10" ht="26.25" hidden="1" thickBot="1" x14ac:dyDescent="0.3">
      <c r="A1458" s="176"/>
      <c r="B1458" s="175"/>
      <c r="C1458" s="36" t="s">
        <v>496</v>
      </c>
      <c r="D1458" s="36" t="s">
        <v>93</v>
      </c>
      <c r="E1458" s="37">
        <v>1.05</v>
      </c>
      <c r="F1458" s="34" t="s">
        <v>568</v>
      </c>
      <c r="G1458" s="31" t="str">
        <f>IF(ISNUMBER(F1458),E1458*F1458,"")</f>
        <v/>
      </c>
      <c r="H1458" s="35"/>
      <c r="I1458" s="31"/>
      <c r="J1458" s="155">
        <v>0</v>
      </c>
    </row>
    <row r="1459" spans="1:10" ht="15.75" hidden="1" thickBot="1" x14ac:dyDescent="0.3">
      <c r="A1459" s="176"/>
      <c r="B1459" s="175"/>
      <c r="C1459" s="36" t="s">
        <v>479</v>
      </c>
      <c r="D1459" s="36" t="s">
        <v>93</v>
      </c>
      <c r="E1459" s="37">
        <v>1.6</v>
      </c>
      <c r="F1459" s="31">
        <v>0</v>
      </c>
      <c r="G1459" s="31">
        <f>IF(ISNUMBER(F1459),E1459*F1459,"")</f>
        <v>0</v>
      </c>
      <c r="H1459" s="35"/>
      <c r="I1459" s="31"/>
      <c r="J1459" s="155">
        <v>0</v>
      </c>
    </row>
    <row r="1460" spans="1:10" ht="15.75" hidden="1" thickBot="1" x14ac:dyDescent="0.3">
      <c r="A1460" s="176"/>
      <c r="B1460" s="175"/>
      <c r="C1460" s="36" t="s">
        <v>480</v>
      </c>
      <c r="D1460" s="36" t="s">
        <v>297</v>
      </c>
      <c r="E1460" s="37">
        <v>5.3367000000000004</v>
      </c>
      <c r="F1460" s="34">
        <v>0.14249999999999999</v>
      </c>
      <c r="G1460" s="31">
        <f>IF(ISNUMBER(F1460),E1460*F1460,"")</f>
        <v>0.76047975000000001</v>
      </c>
      <c r="H1460" s="35"/>
      <c r="I1460" s="31"/>
      <c r="J1460" s="155">
        <v>0</v>
      </c>
    </row>
    <row r="1461" spans="1:10" ht="15.75" hidden="1" thickBot="1" x14ac:dyDescent="0.3">
      <c r="A1461" s="176"/>
      <c r="B1461" s="175"/>
      <c r="C1461" s="36" t="s">
        <v>481</v>
      </c>
      <c r="D1461" s="36" t="s">
        <v>149</v>
      </c>
      <c r="E1461" s="37">
        <v>5.34</v>
      </c>
      <c r="F1461" s="31">
        <v>0</v>
      </c>
      <c r="G1461" s="31">
        <f>IF(ISNUMBER(F1461),E1461*F1461,"")</f>
        <v>0</v>
      </c>
      <c r="H1461" s="35"/>
      <c r="I1461" s="31"/>
      <c r="J1461" s="155">
        <v>0</v>
      </c>
    </row>
    <row r="1462" spans="1:10" ht="15.75" hidden="1" thickBot="1" x14ac:dyDescent="0.3">
      <c r="A1462" s="176"/>
      <c r="B1462" s="175"/>
      <c r="C1462" s="36" t="s">
        <v>497</v>
      </c>
      <c r="D1462" s="36" t="s">
        <v>149</v>
      </c>
      <c r="E1462" s="37">
        <v>0.67</v>
      </c>
      <c r="F1462" s="31">
        <v>0</v>
      </c>
      <c r="G1462" s="31">
        <f>IF(ISNUMBER(F1462),E1462*F1462,"")</f>
        <v>0</v>
      </c>
      <c r="H1462" s="35"/>
      <c r="I1462" s="31"/>
      <c r="J1462" s="155">
        <v>0</v>
      </c>
    </row>
    <row r="1463" spans="1:10" ht="15.75" hidden="1" thickBot="1" x14ac:dyDescent="0.3">
      <c r="A1463" s="176"/>
      <c r="B1463" s="175"/>
      <c r="C1463" s="36" t="s">
        <v>483</v>
      </c>
      <c r="D1463" s="36" t="s">
        <v>149</v>
      </c>
      <c r="E1463" s="37">
        <v>1.3332999999999999</v>
      </c>
      <c r="F1463" s="31">
        <v>0</v>
      </c>
      <c r="G1463" s="31">
        <f>IF(ISNUMBER(F1463),E1463*F1463,"")</f>
        <v>0</v>
      </c>
      <c r="H1463" s="35"/>
      <c r="I1463" s="31"/>
      <c r="J1463" s="155">
        <v>0</v>
      </c>
    </row>
    <row r="1464" spans="1:10" ht="15.75" hidden="1" thickBot="1" x14ac:dyDescent="0.3">
      <c r="A1464" s="176"/>
      <c r="B1464" s="175"/>
      <c r="C1464" s="36" t="s">
        <v>484</v>
      </c>
      <c r="D1464" s="36" t="s">
        <v>20</v>
      </c>
      <c r="E1464" s="37">
        <v>2.67</v>
      </c>
      <c r="F1464" s="31">
        <v>0</v>
      </c>
      <c r="G1464" s="31">
        <f>IF(ISNUMBER(F1464),E1464*F1464,"")</f>
        <v>0</v>
      </c>
      <c r="H1464" s="35"/>
      <c r="I1464" s="31"/>
      <c r="J1464" s="155">
        <v>0</v>
      </c>
    </row>
    <row r="1465" spans="1:10" ht="15.75" hidden="1" thickBot="1" x14ac:dyDescent="0.3">
      <c r="A1465" s="176"/>
      <c r="B1465" s="175"/>
      <c r="C1465" s="36" t="s">
        <v>490</v>
      </c>
      <c r="D1465" s="36" t="s">
        <v>149</v>
      </c>
      <c r="E1465" s="37">
        <v>0.67</v>
      </c>
      <c r="F1465" s="31">
        <v>0</v>
      </c>
      <c r="G1465" s="31">
        <f>IF(ISNUMBER(F1465),E1465*F1465,"")</f>
        <v>0</v>
      </c>
      <c r="H1465" s="35"/>
      <c r="I1465" s="31"/>
      <c r="J1465" s="155">
        <v>0</v>
      </c>
    </row>
    <row r="1466" spans="1:10" ht="26.25" hidden="1" thickBot="1" x14ac:dyDescent="0.3">
      <c r="A1466" s="176"/>
      <c r="B1466" s="175"/>
      <c r="C1466" s="36" t="s">
        <v>498</v>
      </c>
      <c r="D1466" s="36" t="s">
        <v>93</v>
      </c>
      <c r="E1466" s="37">
        <v>1.05</v>
      </c>
      <c r="F1466" s="34" t="s">
        <v>568</v>
      </c>
      <c r="G1466" s="31" t="str">
        <f>IF(ISNUMBER(F1466),E1466*F1466,"")</f>
        <v/>
      </c>
      <c r="H1466" s="35"/>
      <c r="I1466" s="31"/>
      <c r="J1466" s="155">
        <v>0</v>
      </c>
    </row>
    <row r="1467" spans="1:10" ht="15.75" hidden="1" thickBot="1" x14ac:dyDescent="0.3">
      <c r="A1467" s="177"/>
      <c r="B1467" s="178"/>
      <c r="C1467" s="36"/>
      <c r="D1467" s="36"/>
      <c r="E1467" s="37"/>
      <c r="F1467" s="31" t="s">
        <v>568</v>
      </c>
      <c r="G1467" s="31" t="str">
        <f>IF(ISNUMBER(F1467),E1467*F1467,"")</f>
        <v/>
      </c>
      <c r="H1467" s="35"/>
      <c r="I1467" s="31"/>
      <c r="J1467" s="155">
        <v>0</v>
      </c>
    </row>
    <row r="1468" spans="1:10" ht="15.75" hidden="1" thickBot="1" x14ac:dyDescent="0.3">
      <c r="A1468" s="172" t="s">
        <v>499</v>
      </c>
      <c r="B1468" s="174" t="str">
        <f>INDEX(Orçamentária!A:B,MATCH(Composições!A1468,Orçamentária!A:A,0),2)</f>
        <v>Eletrocalha 300x50 mm</v>
      </c>
      <c r="C1468" s="41"/>
      <c r="D1468" s="26" t="str">
        <f>TRIM(INDEX(Orçamentária!C:C,MATCH(Composições!A1468,Orçamentária!A:A,0),1))</f>
        <v>m</v>
      </c>
      <c r="E1468" s="27"/>
      <c r="F1468" s="42" t="s">
        <v>568</v>
      </c>
      <c r="G1468" s="28" t="str">
        <f>IF(ISNUMBER(F1468),E1468*F1468,"")</f>
        <v/>
      </c>
      <c r="H1468" s="29"/>
      <c r="I1468" s="30"/>
      <c r="J1468" s="155">
        <v>0</v>
      </c>
    </row>
    <row r="1469" spans="1:10" ht="15.75" hidden="1" thickBot="1" x14ac:dyDescent="0.3">
      <c r="A1469" s="176"/>
      <c r="B1469" s="175"/>
      <c r="C1469" s="32"/>
      <c r="D1469" s="32"/>
      <c r="E1469" s="33"/>
      <c r="F1469" s="43" t="s">
        <v>568</v>
      </c>
      <c r="G1469" s="31" t="str">
        <f>IF(ISNUMBER(F1469),E1469*F1469,"")</f>
        <v/>
      </c>
      <c r="H1469" s="35"/>
      <c r="I1469" s="31"/>
      <c r="J1469" s="155">
        <v>0</v>
      </c>
    </row>
    <row r="1470" spans="1:10" ht="15.75" hidden="1" thickBot="1" x14ac:dyDescent="0.3">
      <c r="A1470" s="176"/>
      <c r="B1470" s="175"/>
      <c r="C1470" s="36" t="s">
        <v>30</v>
      </c>
      <c r="D1470" s="36" t="s">
        <v>12</v>
      </c>
      <c r="E1470" s="37">
        <v>0.55000000000000004</v>
      </c>
      <c r="F1470" s="31">
        <v>22.268000000000001</v>
      </c>
      <c r="G1470" s="31">
        <f>IF(ISNUMBER(F1470),E1470*F1470,"")</f>
        <v>12.247400000000001</v>
      </c>
      <c r="H1470" s="39">
        <f>SUM(G1470:G1481)</f>
        <v>22.559179750000006</v>
      </c>
      <c r="I1470" s="40"/>
      <c r="J1470" s="155">
        <v>0</v>
      </c>
    </row>
    <row r="1471" spans="1:10" ht="15.75" hidden="1" thickBot="1" x14ac:dyDescent="0.3">
      <c r="A1471" s="176"/>
      <c r="B1471" s="175"/>
      <c r="C1471" s="36" t="s">
        <v>74</v>
      </c>
      <c r="D1471" s="47" t="s">
        <v>12</v>
      </c>
      <c r="E1471" s="37">
        <v>0.55000000000000004</v>
      </c>
      <c r="F1471" s="31">
        <v>17.366</v>
      </c>
      <c r="G1471" s="31">
        <f>IF(ISNUMBER(F1471),E1471*F1471,"")</f>
        <v>9.5513000000000012</v>
      </c>
      <c r="H1471" s="35"/>
      <c r="I1471" s="31"/>
      <c r="J1471" s="155">
        <v>0</v>
      </c>
    </row>
    <row r="1472" spans="1:10" ht="26.25" hidden="1" thickBot="1" x14ac:dyDescent="0.3">
      <c r="A1472" s="176"/>
      <c r="B1472" s="175"/>
      <c r="C1472" s="36" t="s">
        <v>477</v>
      </c>
      <c r="D1472" s="36" t="s">
        <v>149</v>
      </c>
      <c r="E1472" s="37">
        <v>1.3332999999999999</v>
      </c>
      <c r="F1472" s="31">
        <v>0</v>
      </c>
      <c r="G1472" s="31">
        <f>IF(ISNUMBER(F1472),E1472*F1472,"")</f>
        <v>0</v>
      </c>
      <c r="H1472" s="62"/>
      <c r="I1472" s="1"/>
      <c r="J1472" s="155">
        <v>0</v>
      </c>
    </row>
    <row r="1473" spans="1:10" ht="26.25" hidden="1" thickBot="1" x14ac:dyDescent="0.3">
      <c r="A1473" s="176"/>
      <c r="B1473" s="175"/>
      <c r="C1473" s="36" t="s">
        <v>500</v>
      </c>
      <c r="D1473" s="36" t="s">
        <v>93</v>
      </c>
      <c r="E1473" s="37">
        <v>1.05</v>
      </c>
      <c r="F1473" s="34" t="s">
        <v>568</v>
      </c>
      <c r="G1473" s="31" t="str">
        <f>IF(ISNUMBER(F1473),E1473*F1473,"")</f>
        <v/>
      </c>
      <c r="H1473" s="35"/>
      <c r="I1473" s="31"/>
      <c r="J1473" s="155">
        <v>0</v>
      </c>
    </row>
    <row r="1474" spans="1:10" ht="15.75" hidden="1" thickBot="1" x14ac:dyDescent="0.3">
      <c r="A1474" s="176"/>
      <c r="B1474" s="175"/>
      <c r="C1474" s="36" t="s">
        <v>479</v>
      </c>
      <c r="D1474" s="36" t="s">
        <v>93</v>
      </c>
      <c r="E1474" s="37">
        <v>1.6</v>
      </c>
      <c r="F1474" s="31">
        <v>0</v>
      </c>
      <c r="G1474" s="31">
        <f>IF(ISNUMBER(F1474),E1474*F1474,"")</f>
        <v>0</v>
      </c>
      <c r="H1474" s="35"/>
      <c r="I1474" s="31"/>
      <c r="J1474" s="155">
        <v>0</v>
      </c>
    </row>
    <row r="1475" spans="1:10" ht="15.75" hidden="1" thickBot="1" x14ac:dyDescent="0.3">
      <c r="A1475" s="176"/>
      <c r="B1475" s="175"/>
      <c r="C1475" s="36" t="s">
        <v>480</v>
      </c>
      <c r="D1475" s="36" t="s">
        <v>297</v>
      </c>
      <c r="E1475" s="37">
        <v>5.3367000000000004</v>
      </c>
      <c r="F1475" s="34">
        <v>0.14249999999999999</v>
      </c>
      <c r="G1475" s="31">
        <f>IF(ISNUMBER(F1475),E1475*F1475,"")</f>
        <v>0.76047975000000001</v>
      </c>
      <c r="H1475" s="35"/>
      <c r="I1475" s="31"/>
      <c r="J1475" s="155">
        <v>0</v>
      </c>
    </row>
    <row r="1476" spans="1:10" ht="15.75" hidden="1" thickBot="1" x14ac:dyDescent="0.3">
      <c r="A1476" s="176"/>
      <c r="B1476" s="175"/>
      <c r="C1476" s="36" t="s">
        <v>481</v>
      </c>
      <c r="D1476" s="36" t="s">
        <v>149</v>
      </c>
      <c r="E1476" s="37">
        <v>5.34</v>
      </c>
      <c r="F1476" s="31">
        <v>0</v>
      </c>
      <c r="G1476" s="31">
        <f>IF(ISNUMBER(F1476),E1476*F1476,"")</f>
        <v>0</v>
      </c>
      <c r="H1476" s="35"/>
      <c r="I1476" s="31"/>
      <c r="J1476" s="155">
        <v>0</v>
      </c>
    </row>
    <row r="1477" spans="1:10" ht="15.75" hidden="1" thickBot="1" x14ac:dyDescent="0.3">
      <c r="A1477" s="176"/>
      <c r="B1477" s="175"/>
      <c r="C1477" s="36" t="s">
        <v>501</v>
      </c>
      <c r="D1477" s="36" t="s">
        <v>149</v>
      </c>
      <c r="E1477" s="37">
        <v>0.67</v>
      </c>
      <c r="F1477" s="31">
        <v>0</v>
      </c>
      <c r="G1477" s="31">
        <f>IF(ISNUMBER(F1477),E1477*F1477,"")</f>
        <v>0</v>
      </c>
      <c r="H1477" s="35"/>
      <c r="I1477" s="31"/>
      <c r="J1477" s="155">
        <v>0</v>
      </c>
    </row>
    <row r="1478" spans="1:10" ht="15.75" hidden="1" thickBot="1" x14ac:dyDescent="0.3">
      <c r="A1478" s="176"/>
      <c r="B1478" s="175"/>
      <c r="C1478" s="36" t="s">
        <v>483</v>
      </c>
      <c r="D1478" s="36" t="s">
        <v>149</v>
      </c>
      <c r="E1478" s="37">
        <v>1.3332999999999999</v>
      </c>
      <c r="F1478" s="31">
        <v>0</v>
      </c>
      <c r="G1478" s="31">
        <f>IF(ISNUMBER(F1478),E1478*F1478,"")</f>
        <v>0</v>
      </c>
      <c r="H1478" s="35"/>
      <c r="I1478" s="31"/>
      <c r="J1478" s="155">
        <v>0</v>
      </c>
    </row>
    <row r="1479" spans="1:10" ht="15.75" hidden="1" thickBot="1" x14ac:dyDescent="0.3">
      <c r="A1479" s="176"/>
      <c r="B1479" s="175"/>
      <c r="C1479" s="36" t="s">
        <v>484</v>
      </c>
      <c r="D1479" s="36" t="s">
        <v>20</v>
      </c>
      <c r="E1479" s="37">
        <v>2.67</v>
      </c>
      <c r="F1479" s="31">
        <v>0</v>
      </c>
      <c r="G1479" s="31">
        <f>IF(ISNUMBER(F1479),E1479*F1479,"")</f>
        <v>0</v>
      </c>
      <c r="H1479" s="35"/>
      <c r="I1479" s="31"/>
      <c r="J1479" s="155">
        <v>0</v>
      </c>
    </row>
    <row r="1480" spans="1:10" ht="15.75" hidden="1" thickBot="1" x14ac:dyDescent="0.3">
      <c r="A1480" s="176"/>
      <c r="B1480" s="175"/>
      <c r="C1480" s="36" t="s">
        <v>485</v>
      </c>
      <c r="D1480" s="36" t="s">
        <v>149</v>
      </c>
      <c r="E1480" s="37">
        <v>0.67</v>
      </c>
      <c r="F1480" s="31">
        <v>0</v>
      </c>
      <c r="G1480" s="31">
        <f>IF(ISNUMBER(F1480),E1480*F1480,"")</f>
        <v>0</v>
      </c>
      <c r="H1480" s="35"/>
      <c r="I1480" s="31"/>
      <c r="J1480" s="155">
        <v>0</v>
      </c>
    </row>
    <row r="1481" spans="1:10" ht="26.25" hidden="1" thickBot="1" x14ac:dyDescent="0.3">
      <c r="A1481" s="176"/>
      <c r="B1481" s="175"/>
      <c r="C1481" s="36" t="s">
        <v>498</v>
      </c>
      <c r="D1481" s="36" t="s">
        <v>93</v>
      </c>
      <c r="E1481" s="37">
        <v>1.05</v>
      </c>
      <c r="F1481" s="34" t="s">
        <v>568</v>
      </c>
      <c r="G1481" s="31" t="str">
        <f>IF(ISNUMBER(F1481),E1481*F1481,"")</f>
        <v/>
      </c>
      <c r="H1481" s="35"/>
      <c r="I1481" s="31"/>
      <c r="J1481" s="155">
        <v>0</v>
      </c>
    </row>
    <row r="1482" spans="1:10" ht="15.75" hidden="1" thickBot="1" x14ac:dyDescent="0.3">
      <c r="A1482" s="177"/>
      <c r="B1482" s="178"/>
      <c r="C1482" s="36"/>
      <c r="D1482" s="36"/>
      <c r="E1482" s="37"/>
      <c r="F1482" s="31" t="s">
        <v>568</v>
      </c>
      <c r="G1482" s="31" t="str">
        <f>IF(ISNUMBER(F1482),E1482*F1482,"")</f>
        <v/>
      </c>
      <c r="H1482" s="35"/>
      <c r="I1482" s="31"/>
      <c r="J1482" s="155">
        <v>0</v>
      </c>
    </row>
    <row r="1483" spans="1:10" ht="15.75" hidden="1" thickBot="1" x14ac:dyDescent="0.3">
      <c r="A1483" s="172" t="s">
        <v>502</v>
      </c>
      <c r="B1483" s="174" t="str">
        <f>INDEX(Orçamentária!A:B,MATCH(Composições!A1483,Orçamentária!A:A,0),2)</f>
        <v>Eletrocalha 400x50 mm</v>
      </c>
      <c r="C1483" s="41"/>
      <c r="D1483" s="26" t="str">
        <f>TRIM(INDEX(Orçamentária!C:C,MATCH(Composições!A1483,Orçamentária!A:A,0),1))</f>
        <v>m</v>
      </c>
      <c r="E1483" s="27"/>
      <c r="F1483" s="42" t="s">
        <v>568</v>
      </c>
      <c r="G1483" s="28" t="str">
        <f>IF(ISNUMBER(F1483),E1483*F1483,"")</f>
        <v/>
      </c>
      <c r="H1483" s="29"/>
      <c r="I1483" s="30"/>
      <c r="J1483" s="155">
        <v>0</v>
      </c>
    </row>
    <row r="1484" spans="1:10" ht="15.75" hidden="1" thickBot="1" x14ac:dyDescent="0.3">
      <c r="A1484" s="176"/>
      <c r="B1484" s="175"/>
      <c r="C1484" s="32"/>
      <c r="D1484" s="32"/>
      <c r="E1484" s="33"/>
      <c r="F1484" s="43" t="s">
        <v>568</v>
      </c>
      <c r="G1484" s="31" t="str">
        <f>IF(ISNUMBER(F1484),E1484*F1484,"")</f>
        <v/>
      </c>
      <c r="H1484" s="35"/>
      <c r="I1484" s="31"/>
      <c r="J1484" s="155">
        <v>0</v>
      </c>
    </row>
    <row r="1485" spans="1:10" ht="15.75" hidden="1" thickBot="1" x14ac:dyDescent="0.3">
      <c r="A1485" s="176"/>
      <c r="B1485" s="175"/>
      <c r="C1485" s="36" t="s">
        <v>30</v>
      </c>
      <c r="D1485" s="36" t="s">
        <v>12</v>
      </c>
      <c r="E1485" s="37">
        <v>0.55000000000000004</v>
      </c>
      <c r="F1485" s="31">
        <v>22.268000000000001</v>
      </c>
      <c r="G1485" s="31">
        <f>IF(ISNUMBER(F1485),E1485*F1485,"")</f>
        <v>12.247400000000001</v>
      </c>
      <c r="H1485" s="39">
        <f>SUM(G1485:G1496)</f>
        <v>22.559179750000006</v>
      </c>
      <c r="I1485" s="40"/>
      <c r="J1485" s="155">
        <v>0</v>
      </c>
    </row>
    <row r="1486" spans="1:10" ht="15.75" hidden="1" thickBot="1" x14ac:dyDescent="0.3">
      <c r="A1486" s="176"/>
      <c r="B1486" s="175"/>
      <c r="C1486" s="36" t="s">
        <v>74</v>
      </c>
      <c r="D1486" s="47" t="s">
        <v>12</v>
      </c>
      <c r="E1486" s="37">
        <v>0.55000000000000004</v>
      </c>
      <c r="F1486" s="31">
        <v>17.366</v>
      </c>
      <c r="G1486" s="31">
        <f>IF(ISNUMBER(F1486),E1486*F1486,"")</f>
        <v>9.5513000000000012</v>
      </c>
      <c r="H1486" s="35"/>
      <c r="I1486" s="31"/>
      <c r="J1486" s="155">
        <v>0</v>
      </c>
    </row>
    <row r="1487" spans="1:10" ht="26.25" hidden="1" thickBot="1" x14ac:dyDescent="0.3">
      <c r="A1487" s="176"/>
      <c r="B1487" s="175"/>
      <c r="C1487" s="36" t="s">
        <v>477</v>
      </c>
      <c r="D1487" s="36" t="s">
        <v>149</v>
      </c>
      <c r="E1487" s="37">
        <v>1.3332999999999999</v>
      </c>
      <c r="F1487" s="31">
        <v>0</v>
      </c>
      <c r="G1487" s="31">
        <f>IF(ISNUMBER(F1487),E1487*F1487,"")</f>
        <v>0</v>
      </c>
      <c r="H1487" s="62"/>
      <c r="I1487" s="1"/>
      <c r="J1487" s="155">
        <v>0</v>
      </c>
    </row>
    <row r="1488" spans="1:10" ht="26.25" hidden="1" thickBot="1" x14ac:dyDescent="0.3">
      <c r="A1488" s="176"/>
      <c r="B1488" s="175"/>
      <c r="C1488" s="36" t="s">
        <v>503</v>
      </c>
      <c r="D1488" s="36" t="s">
        <v>93</v>
      </c>
      <c r="E1488" s="37">
        <v>1.05</v>
      </c>
      <c r="F1488" s="34" t="s">
        <v>568</v>
      </c>
      <c r="G1488" s="31" t="str">
        <f>IF(ISNUMBER(F1488),E1488*F1488,"")</f>
        <v/>
      </c>
      <c r="H1488" s="35"/>
      <c r="I1488" s="31"/>
      <c r="J1488" s="155">
        <v>0</v>
      </c>
    </row>
    <row r="1489" spans="1:10" ht="15.75" hidden="1" thickBot="1" x14ac:dyDescent="0.3">
      <c r="A1489" s="176"/>
      <c r="B1489" s="175"/>
      <c r="C1489" s="36" t="s">
        <v>479</v>
      </c>
      <c r="D1489" s="36" t="s">
        <v>93</v>
      </c>
      <c r="E1489" s="37">
        <v>1.6</v>
      </c>
      <c r="F1489" s="31">
        <v>0</v>
      </c>
      <c r="G1489" s="31">
        <f>IF(ISNUMBER(F1489),E1489*F1489,"")</f>
        <v>0</v>
      </c>
      <c r="H1489" s="35"/>
      <c r="I1489" s="31"/>
      <c r="J1489" s="155">
        <v>0</v>
      </c>
    </row>
    <row r="1490" spans="1:10" ht="15.75" hidden="1" thickBot="1" x14ac:dyDescent="0.3">
      <c r="A1490" s="176"/>
      <c r="B1490" s="175"/>
      <c r="C1490" s="36" t="s">
        <v>480</v>
      </c>
      <c r="D1490" s="36" t="s">
        <v>297</v>
      </c>
      <c r="E1490" s="37">
        <v>5.3367000000000004</v>
      </c>
      <c r="F1490" s="34">
        <v>0.14249999999999999</v>
      </c>
      <c r="G1490" s="31">
        <f>IF(ISNUMBER(F1490),E1490*F1490,"")</f>
        <v>0.76047975000000001</v>
      </c>
      <c r="H1490" s="35"/>
      <c r="I1490" s="31"/>
      <c r="J1490" s="155">
        <v>0</v>
      </c>
    </row>
    <row r="1491" spans="1:10" ht="15.75" hidden="1" thickBot="1" x14ac:dyDescent="0.3">
      <c r="A1491" s="176"/>
      <c r="B1491" s="175"/>
      <c r="C1491" s="36" t="s">
        <v>481</v>
      </c>
      <c r="D1491" s="36" t="s">
        <v>149</v>
      </c>
      <c r="E1491" s="37">
        <v>5.34</v>
      </c>
      <c r="F1491" s="31">
        <v>0</v>
      </c>
      <c r="G1491" s="31">
        <f>IF(ISNUMBER(F1491),E1491*F1491,"")</f>
        <v>0</v>
      </c>
      <c r="H1491" s="35"/>
      <c r="I1491" s="31"/>
      <c r="J1491" s="155">
        <v>0</v>
      </c>
    </row>
    <row r="1492" spans="1:10" ht="15.75" hidden="1" thickBot="1" x14ac:dyDescent="0.3">
      <c r="A1492" s="176"/>
      <c r="B1492" s="175"/>
      <c r="C1492" s="36" t="s">
        <v>504</v>
      </c>
      <c r="D1492" s="36" t="s">
        <v>149</v>
      </c>
      <c r="E1492" s="37">
        <v>0.67</v>
      </c>
      <c r="F1492" s="31">
        <v>0</v>
      </c>
      <c r="G1492" s="31">
        <f>IF(ISNUMBER(F1492),E1492*F1492,"")</f>
        <v>0</v>
      </c>
      <c r="H1492" s="35"/>
      <c r="I1492" s="31"/>
      <c r="J1492" s="155">
        <v>0</v>
      </c>
    </row>
    <row r="1493" spans="1:10" ht="15.75" hidden="1" thickBot="1" x14ac:dyDescent="0.3">
      <c r="A1493" s="176"/>
      <c r="B1493" s="175"/>
      <c r="C1493" s="36" t="s">
        <v>483</v>
      </c>
      <c r="D1493" s="36" t="s">
        <v>149</v>
      </c>
      <c r="E1493" s="37">
        <v>1.3332999999999999</v>
      </c>
      <c r="F1493" s="31">
        <v>0</v>
      </c>
      <c r="G1493" s="31">
        <f>IF(ISNUMBER(F1493),E1493*F1493,"")</f>
        <v>0</v>
      </c>
      <c r="H1493" s="35"/>
      <c r="I1493" s="31"/>
      <c r="J1493" s="155">
        <v>0</v>
      </c>
    </row>
    <row r="1494" spans="1:10" ht="15.75" hidden="1" thickBot="1" x14ac:dyDescent="0.3">
      <c r="A1494" s="176"/>
      <c r="B1494" s="175"/>
      <c r="C1494" s="36" t="s">
        <v>484</v>
      </c>
      <c r="D1494" s="36" t="s">
        <v>20</v>
      </c>
      <c r="E1494" s="37">
        <v>2.67</v>
      </c>
      <c r="F1494" s="31">
        <v>0</v>
      </c>
      <c r="G1494" s="31">
        <f>IF(ISNUMBER(F1494),E1494*F1494,"")</f>
        <v>0</v>
      </c>
      <c r="H1494" s="35"/>
      <c r="I1494" s="31"/>
      <c r="J1494" s="155">
        <v>0</v>
      </c>
    </row>
    <row r="1495" spans="1:10" ht="15.75" hidden="1" thickBot="1" x14ac:dyDescent="0.3">
      <c r="A1495" s="176"/>
      <c r="B1495" s="175"/>
      <c r="C1495" s="36" t="s">
        <v>485</v>
      </c>
      <c r="D1495" s="36" t="s">
        <v>149</v>
      </c>
      <c r="E1495" s="37">
        <v>0.67</v>
      </c>
      <c r="F1495" s="31">
        <v>0</v>
      </c>
      <c r="G1495" s="31">
        <f>IF(ISNUMBER(F1495),E1495*F1495,"")</f>
        <v>0</v>
      </c>
      <c r="H1495" s="35"/>
      <c r="I1495" s="31"/>
      <c r="J1495" s="155">
        <v>0</v>
      </c>
    </row>
    <row r="1496" spans="1:10" ht="26.25" hidden="1" thickBot="1" x14ac:dyDescent="0.3">
      <c r="A1496" s="176"/>
      <c r="B1496" s="175"/>
      <c r="C1496" s="36" t="s">
        <v>505</v>
      </c>
      <c r="D1496" s="36" t="s">
        <v>93</v>
      </c>
      <c r="E1496" s="37">
        <v>1.05</v>
      </c>
      <c r="F1496" s="34" t="s">
        <v>568</v>
      </c>
      <c r="G1496" s="31" t="str">
        <f>IF(ISNUMBER(F1496),E1496*F1496,"")</f>
        <v/>
      </c>
      <c r="H1496" s="35"/>
      <c r="I1496" s="31"/>
      <c r="J1496" s="155">
        <v>0</v>
      </c>
    </row>
    <row r="1497" spans="1:10" ht="15.75" hidden="1" thickBot="1" x14ac:dyDescent="0.3">
      <c r="A1497" s="177"/>
      <c r="B1497" s="178"/>
      <c r="C1497" s="36"/>
      <c r="D1497" s="36"/>
      <c r="E1497" s="37"/>
      <c r="F1497" s="31" t="s">
        <v>568</v>
      </c>
      <c r="G1497" s="31" t="str">
        <f>IF(ISNUMBER(F1497),E1497*F1497,"")</f>
        <v/>
      </c>
      <c r="H1497" s="35"/>
      <c r="I1497" s="31"/>
      <c r="J1497" s="155">
        <v>0</v>
      </c>
    </row>
    <row r="1498" spans="1:10" ht="15.75" hidden="1" thickBot="1" x14ac:dyDescent="0.3">
      <c r="A1498" s="172" t="s">
        <v>506</v>
      </c>
      <c r="B1498" s="174" t="str">
        <f>INDEX(Orçamentária!A:B,MATCH(Composições!A1498,Orçamentária!A:A,0),2)</f>
        <v>Eletrocalha 50x50 mm</v>
      </c>
      <c r="C1498" s="41"/>
      <c r="D1498" s="26" t="str">
        <f>TRIM(INDEX(Orçamentária!C:C,MATCH(Composições!A1498,Orçamentária!A:A,0),1))</f>
        <v>m</v>
      </c>
      <c r="E1498" s="27"/>
      <c r="F1498" s="42" t="s">
        <v>568</v>
      </c>
      <c r="G1498" s="28" t="str">
        <f>IF(ISNUMBER(F1498),E1498*F1498,"")</f>
        <v/>
      </c>
      <c r="H1498" s="29"/>
      <c r="I1498" s="30"/>
      <c r="J1498" s="155">
        <v>0</v>
      </c>
    </row>
    <row r="1499" spans="1:10" ht="15.75" hidden="1" thickBot="1" x14ac:dyDescent="0.3">
      <c r="A1499" s="173"/>
      <c r="B1499" s="175"/>
      <c r="C1499" s="32"/>
      <c r="D1499" s="32"/>
      <c r="E1499" s="33"/>
      <c r="F1499" s="43" t="s">
        <v>568</v>
      </c>
      <c r="G1499" s="31" t="str">
        <f>IF(ISNUMBER(F1499),E1499*F1499,"")</f>
        <v/>
      </c>
      <c r="H1499" s="35"/>
      <c r="I1499" s="31"/>
      <c r="J1499" s="155">
        <v>0</v>
      </c>
    </row>
    <row r="1500" spans="1:10" ht="15.75" hidden="1" thickBot="1" x14ac:dyDescent="0.3">
      <c r="A1500" s="173"/>
      <c r="B1500" s="175"/>
      <c r="C1500" s="36" t="s">
        <v>30</v>
      </c>
      <c r="D1500" s="36" t="s">
        <v>12</v>
      </c>
      <c r="E1500" s="37">
        <v>0.45</v>
      </c>
      <c r="F1500" s="31">
        <v>22.268000000000001</v>
      </c>
      <c r="G1500" s="31">
        <f>IF(ISNUMBER(F1500),E1500*F1500,"")</f>
        <v>10.0206</v>
      </c>
      <c r="H1500" s="39">
        <f>SUM(G1500:G1511)</f>
        <v>19.042270250000001</v>
      </c>
      <c r="I1500" s="40"/>
      <c r="J1500" s="155">
        <v>0</v>
      </c>
    </row>
    <row r="1501" spans="1:10" ht="15.75" hidden="1" thickBot="1" x14ac:dyDescent="0.3">
      <c r="A1501" s="173"/>
      <c r="B1501" s="175"/>
      <c r="C1501" s="36" t="s">
        <v>74</v>
      </c>
      <c r="D1501" s="47" t="s">
        <v>12</v>
      </c>
      <c r="E1501" s="37">
        <v>0.45</v>
      </c>
      <c r="F1501" s="31">
        <v>17.366</v>
      </c>
      <c r="G1501" s="31">
        <f>IF(ISNUMBER(F1501),E1501*F1501,"")</f>
        <v>7.8147000000000002</v>
      </c>
      <c r="H1501" s="35"/>
      <c r="I1501" s="31"/>
      <c r="J1501" s="155">
        <v>0</v>
      </c>
    </row>
    <row r="1502" spans="1:10" ht="26.25" hidden="1" thickBot="1" x14ac:dyDescent="0.3">
      <c r="A1502" s="173"/>
      <c r="B1502" s="175"/>
      <c r="C1502" s="36" t="s">
        <v>477</v>
      </c>
      <c r="D1502" s="36" t="s">
        <v>149</v>
      </c>
      <c r="E1502" s="37">
        <v>0.67</v>
      </c>
      <c r="F1502" s="31">
        <v>0</v>
      </c>
      <c r="G1502" s="31">
        <f>IF(ISNUMBER(F1502),E1502*F1502,"")</f>
        <v>0</v>
      </c>
      <c r="H1502" s="62"/>
      <c r="I1502" s="1"/>
      <c r="J1502" s="155">
        <v>0</v>
      </c>
    </row>
    <row r="1503" spans="1:10" ht="26.25" hidden="1" thickBot="1" x14ac:dyDescent="0.3">
      <c r="A1503" s="173"/>
      <c r="B1503" s="175"/>
      <c r="C1503" s="36" t="s">
        <v>507</v>
      </c>
      <c r="D1503" s="36" t="s">
        <v>93</v>
      </c>
      <c r="E1503" s="37">
        <v>1.05</v>
      </c>
      <c r="F1503" s="34" t="s">
        <v>568</v>
      </c>
      <c r="G1503" s="31" t="str">
        <f>IF(ISNUMBER(F1503),E1503*F1503,"")</f>
        <v/>
      </c>
      <c r="H1503" s="35"/>
      <c r="I1503" s="31"/>
      <c r="J1503" s="155">
        <v>0</v>
      </c>
    </row>
    <row r="1504" spans="1:10" ht="15.75" hidden="1" thickBot="1" x14ac:dyDescent="0.3">
      <c r="A1504" s="173"/>
      <c r="B1504" s="175"/>
      <c r="C1504" s="36" t="s">
        <v>479</v>
      </c>
      <c r="D1504" s="36" t="s">
        <v>93</v>
      </c>
      <c r="E1504" s="37">
        <v>0.8</v>
      </c>
      <c r="F1504" s="31">
        <v>0</v>
      </c>
      <c r="G1504" s="31">
        <f>IF(ISNUMBER(F1504),E1504*F1504,"")</f>
        <v>0</v>
      </c>
      <c r="H1504" s="35"/>
      <c r="I1504" s="31"/>
      <c r="J1504" s="155">
        <v>0</v>
      </c>
    </row>
    <row r="1505" spans="1:10" ht="15.75" hidden="1" thickBot="1" x14ac:dyDescent="0.3">
      <c r="A1505" s="173"/>
      <c r="B1505" s="175"/>
      <c r="C1505" s="36" t="s">
        <v>480</v>
      </c>
      <c r="D1505" s="36" t="s">
        <v>297</v>
      </c>
      <c r="E1505" s="37">
        <v>4.0033000000000003</v>
      </c>
      <c r="F1505" s="34">
        <v>0.14249999999999999</v>
      </c>
      <c r="G1505" s="31">
        <f>IF(ISNUMBER(F1505),E1505*F1505,"")</f>
        <v>0.57047024999999996</v>
      </c>
      <c r="H1505" s="35"/>
      <c r="I1505" s="31"/>
      <c r="J1505" s="155">
        <v>0</v>
      </c>
    </row>
    <row r="1506" spans="1:10" ht="15.75" hidden="1" thickBot="1" x14ac:dyDescent="0.3">
      <c r="A1506" s="173"/>
      <c r="B1506" s="175"/>
      <c r="C1506" s="36" t="s">
        <v>481</v>
      </c>
      <c r="D1506" s="36" t="s">
        <v>149</v>
      </c>
      <c r="E1506" s="37">
        <v>4.0033000000000003</v>
      </c>
      <c r="F1506" s="31">
        <v>0</v>
      </c>
      <c r="G1506" s="31">
        <f>IF(ISNUMBER(F1506),E1506*F1506,"")</f>
        <v>0</v>
      </c>
      <c r="H1506" s="35"/>
      <c r="I1506" s="31"/>
      <c r="J1506" s="155">
        <v>0</v>
      </c>
    </row>
    <row r="1507" spans="1:10" ht="15.75" hidden="1" thickBot="1" x14ac:dyDescent="0.3">
      <c r="A1507" s="173"/>
      <c r="B1507" s="175"/>
      <c r="C1507" s="36" t="s">
        <v>508</v>
      </c>
      <c r="D1507" s="36" t="s">
        <v>149</v>
      </c>
      <c r="E1507" s="37">
        <v>0.67</v>
      </c>
      <c r="F1507" s="31">
        <v>0.95</v>
      </c>
      <c r="G1507" s="31">
        <f>IF(ISNUMBER(F1507),E1507*F1507,"")</f>
        <v>0.63649999999999995</v>
      </c>
      <c r="H1507" s="35"/>
      <c r="I1507" s="31"/>
      <c r="J1507" s="155">
        <v>0</v>
      </c>
    </row>
    <row r="1508" spans="1:10" ht="15.75" hidden="1" thickBot="1" x14ac:dyDescent="0.3">
      <c r="A1508" s="173"/>
      <c r="B1508" s="175"/>
      <c r="C1508" s="36" t="s">
        <v>483</v>
      </c>
      <c r="D1508" s="36" t="s">
        <v>149</v>
      </c>
      <c r="E1508" s="37">
        <v>1.05</v>
      </c>
      <c r="F1508" s="31">
        <v>0</v>
      </c>
      <c r="G1508" s="31">
        <f>IF(ISNUMBER(F1508),E1508*F1508,"")</f>
        <v>0</v>
      </c>
      <c r="H1508" s="35"/>
      <c r="I1508" s="31"/>
      <c r="J1508" s="155">
        <v>0</v>
      </c>
    </row>
    <row r="1509" spans="1:10" ht="15.75" hidden="1" thickBot="1" x14ac:dyDescent="0.3">
      <c r="A1509" s="173"/>
      <c r="B1509" s="175"/>
      <c r="C1509" s="36" t="s">
        <v>484</v>
      </c>
      <c r="D1509" s="36" t="s">
        <v>20</v>
      </c>
      <c r="E1509" s="37">
        <v>2.67</v>
      </c>
      <c r="F1509" s="31">
        <v>0</v>
      </c>
      <c r="G1509" s="31">
        <f>IF(ISNUMBER(F1509),E1509*F1509,"")</f>
        <v>0</v>
      </c>
      <c r="H1509" s="35"/>
      <c r="I1509" s="31"/>
      <c r="J1509" s="155">
        <v>0</v>
      </c>
    </row>
    <row r="1510" spans="1:10" ht="15.75" hidden="1" thickBot="1" x14ac:dyDescent="0.3">
      <c r="A1510" s="173"/>
      <c r="B1510" s="175"/>
      <c r="C1510" s="36" t="s">
        <v>485</v>
      </c>
      <c r="D1510" s="36" t="s">
        <v>149</v>
      </c>
      <c r="E1510" s="37">
        <v>0.66669999999999996</v>
      </c>
      <c r="F1510" s="31">
        <v>0</v>
      </c>
      <c r="G1510" s="31">
        <f>IF(ISNUMBER(F1510),E1510*F1510,"")</f>
        <v>0</v>
      </c>
      <c r="H1510" s="35"/>
      <c r="I1510" s="31"/>
      <c r="J1510" s="155">
        <v>0</v>
      </c>
    </row>
    <row r="1511" spans="1:10" ht="26.25" hidden="1" thickBot="1" x14ac:dyDescent="0.3">
      <c r="A1511" s="173"/>
      <c r="B1511" s="175"/>
      <c r="C1511" s="36" t="s">
        <v>509</v>
      </c>
      <c r="D1511" s="36" t="s">
        <v>93</v>
      </c>
      <c r="E1511" s="37">
        <v>1.05</v>
      </c>
      <c r="F1511" s="34" t="s">
        <v>568</v>
      </c>
      <c r="G1511" s="31" t="str">
        <f>IF(ISNUMBER(F1511),E1511*F1511,"")</f>
        <v/>
      </c>
      <c r="H1511" s="35"/>
      <c r="I1511" s="31"/>
      <c r="J1511" s="155">
        <v>0</v>
      </c>
    </row>
    <row r="1512" spans="1:10" ht="15.75" hidden="1" thickBot="1" x14ac:dyDescent="0.3">
      <c r="A1512" s="185"/>
      <c r="B1512" s="178"/>
      <c r="C1512" s="36"/>
      <c r="D1512" s="36"/>
      <c r="E1512" s="37"/>
      <c r="F1512" s="31" t="s">
        <v>568</v>
      </c>
      <c r="G1512" s="31" t="str">
        <f>IF(ISNUMBER(F1512),E1512*F1512,"")</f>
        <v/>
      </c>
      <c r="H1512" s="35"/>
      <c r="I1512" s="31"/>
      <c r="J1512" s="155">
        <v>0</v>
      </c>
    </row>
    <row r="1513" spans="1:10" ht="15.75" thickBot="1" x14ac:dyDescent="0.3">
      <c r="A1513" s="172" t="s">
        <v>510</v>
      </c>
      <c r="B1513" s="174" t="str">
        <f>INDEX(Orçamentária!A:B,MATCH(Composições!A1513,Orçamentária!A:A,0),2)</f>
        <v>Eletroduto de aço galvanizado de 1 1/2"</v>
      </c>
      <c r="C1513" s="41"/>
      <c r="D1513" s="26" t="str">
        <f>TRIM(INDEX(Orçamentária!C:C,MATCH(Composições!A1513,Orçamentária!A:A,0),1))</f>
        <v>m</v>
      </c>
      <c r="E1513" s="27"/>
      <c r="F1513" s="42" t="s">
        <v>568</v>
      </c>
      <c r="G1513" s="28" t="str">
        <f>IF(ISNUMBER(F1513),E1513*F1513,"")</f>
        <v/>
      </c>
      <c r="H1513" s="29"/>
      <c r="I1513" s="30"/>
      <c r="J1513" s="155">
        <v>8</v>
      </c>
    </row>
    <row r="1514" spans="1:10" x14ac:dyDescent="0.25">
      <c r="A1514" s="176"/>
      <c r="B1514" s="175"/>
      <c r="C1514" s="32"/>
      <c r="D1514" s="32"/>
      <c r="E1514" s="33"/>
      <c r="F1514" s="43" t="s">
        <v>568</v>
      </c>
      <c r="G1514" s="31" t="str">
        <f>IF(ISNUMBER(F1514),E1514*F1514,"")</f>
        <v/>
      </c>
      <c r="H1514" s="35"/>
      <c r="I1514" s="31"/>
      <c r="J1514" s="155">
        <v>8</v>
      </c>
    </row>
    <row r="1515" spans="1:10" x14ac:dyDescent="0.25">
      <c r="A1515" s="176"/>
      <c r="B1515" s="175"/>
      <c r="C1515" s="36" t="s">
        <v>511</v>
      </c>
      <c r="D1515" s="36" t="s">
        <v>93</v>
      </c>
      <c r="E1515" s="37">
        <v>1.05</v>
      </c>
      <c r="F1515" s="31">
        <v>31.900999999999996</v>
      </c>
      <c r="G1515" s="34">
        <f>IF(ISNUMBER(F1515),E1515*F1515,"")</f>
        <v>33.496049999999997</v>
      </c>
      <c r="H1515" s="39">
        <f>SUM(G1515:G1519)</f>
        <v>52.336644434219991</v>
      </c>
      <c r="I1515" s="40"/>
      <c r="J1515" s="155">
        <v>8</v>
      </c>
    </row>
    <row r="1516" spans="1:10" x14ac:dyDescent="0.25">
      <c r="A1516" s="176"/>
      <c r="B1516" s="175"/>
      <c r="C1516" s="36" t="s">
        <v>30</v>
      </c>
      <c r="D1516" s="36" t="s">
        <v>12</v>
      </c>
      <c r="E1516" s="37">
        <v>0.28210000000000002</v>
      </c>
      <c r="F1516" s="31">
        <v>22.268000000000001</v>
      </c>
      <c r="G1516" s="34">
        <f>IF(ISNUMBER(F1516),E1516*F1516,"")</f>
        <v>6.2818028000000004</v>
      </c>
      <c r="H1516" s="35"/>
      <c r="I1516" s="31"/>
      <c r="J1516" s="155">
        <v>8</v>
      </c>
    </row>
    <row r="1517" spans="1:10" x14ac:dyDescent="0.25">
      <c r="A1517" s="176"/>
      <c r="B1517" s="175"/>
      <c r="C1517" s="36" t="s">
        <v>74</v>
      </c>
      <c r="D1517" s="36" t="s">
        <v>12</v>
      </c>
      <c r="E1517" s="37">
        <v>0.28210000000000002</v>
      </c>
      <c r="F1517" s="31">
        <v>17.366</v>
      </c>
      <c r="G1517" s="34">
        <f>IF(ISNUMBER(F1517),E1517*F1517,"")</f>
        <v>4.8989485999999998</v>
      </c>
      <c r="H1517" s="35"/>
      <c r="I1517" s="31"/>
      <c r="J1517" s="155">
        <v>8</v>
      </c>
    </row>
    <row r="1518" spans="1:10" ht="38.25" x14ac:dyDescent="0.25">
      <c r="A1518" s="176"/>
      <c r="B1518" s="175"/>
      <c r="C1518" s="36" t="s">
        <v>512</v>
      </c>
      <c r="D1518" s="36" t="s">
        <v>93</v>
      </c>
      <c r="E1518" s="37">
        <v>2</v>
      </c>
      <c r="F1518" s="34">
        <v>1.2113545000000001</v>
      </c>
      <c r="G1518" s="34">
        <f>IF(ISNUMBER(F1518),E1518*F1518,"")</f>
        <v>2.4227090000000002</v>
      </c>
      <c r="H1518" s="35"/>
      <c r="I1518" s="31"/>
      <c r="J1518" s="155">
        <v>8</v>
      </c>
    </row>
    <row r="1519" spans="1:10" ht="25.5" x14ac:dyDescent="0.25">
      <c r="A1519" s="176"/>
      <c r="B1519" s="175"/>
      <c r="C1519" s="36" t="s">
        <v>513</v>
      </c>
      <c r="D1519" s="36" t="s">
        <v>297</v>
      </c>
      <c r="E1519" s="37">
        <v>0.33329999999999999</v>
      </c>
      <c r="F1519" s="34">
        <v>15.712973400000001</v>
      </c>
      <c r="G1519" s="34">
        <f>IF(ISNUMBER(F1519),E1519*F1519,"")</f>
        <v>5.2371340342200003</v>
      </c>
      <c r="H1519" s="35"/>
      <c r="I1519" s="31"/>
      <c r="J1519" s="155">
        <v>8</v>
      </c>
    </row>
    <row r="1520" spans="1:10" ht="15.75" thickBot="1" x14ac:dyDescent="0.3">
      <c r="A1520" s="177"/>
      <c r="B1520" s="178"/>
      <c r="C1520" s="36"/>
      <c r="D1520" s="36"/>
      <c r="E1520" s="37"/>
      <c r="F1520" s="31" t="s">
        <v>568</v>
      </c>
      <c r="G1520" s="31" t="str">
        <f>IF(ISNUMBER(F1520),E1520*F1520,"")</f>
        <v/>
      </c>
      <c r="H1520" s="35"/>
      <c r="I1520" s="31"/>
      <c r="J1520" s="155">
        <v>8</v>
      </c>
    </row>
    <row r="1521" spans="1:10" ht="15.75" thickBot="1" x14ac:dyDescent="0.3">
      <c r="A1521" s="172" t="s">
        <v>514</v>
      </c>
      <c r="B1521" s="174" t="str">
        <f>INDEX(Orçamentária!A:B,MATCH(Composições!A1521,Orçamentária!A:A,0),2)</f>
        <v>Eletroduto de aço galvanizado de 1 1/4"</v>
      </c>
      <c r="C1521" s="41"/>
      <c r="D1521" s="26" t="str">
        <f>TRIM(INDEX(Orçamentária!C:C,MATCH(Composições!A1521,Orçamentária!A:A,0),1))</f>
        <v>m</v>
      </c>
      <c r="E1521" s="27"/>
      <c r="F1521" s="42" t="s">
        <v>568</v>
      </c>
      <c r="G1521" s="28" t="str">
        <f>IF(ISNUMBER(F1521),E1521*F1521,"")</f>
        <v/>
      </c>
      <c r="H1521" s="29"/>
      <c r="I1521" s="30"/>
      <c r="J1521" s="155">
        <v>44.7</v>
      </c>
    </row>
    <row r="1522" spans="1:10" x14ac:dyDescent="0.25">
      <c r="A1522" s="176"/>
      <c r="B1522" s="175"/>
      <c r="C1522" s="32"/>
      <c r="D1522" s="32"/>
      <c r="E1522" s="33"/>
      <c r="F1522" s="43" t="s">
        <v>568</v>
      </c>
      <c r="G1522" s="31" t="str">
        <f>IF(ISNUMBER(F1522),E1522*F1522,"")</f>
        <v/>
      </c>
      <c r="H1522" s="35"/>
      <c r="I1522" s="31"/>
      <c r="J1522" s="155">
        <v>44.7</v>
      </c>
    </row>
    <row r="1523" spans="1:10" x14ac:dyDescent="0.25">
      <c r="A1523" s="176"/>
      <c r="B1523" s="175"/>
      <c r="C1523" s="36" t="s">
        <v>515</v>
      </c>
      <c r="D1523" s="36" t="s">
        <v>93</v>
      </c>
      <c r="E1523" s="37">
        <v>1.05</v>
      </c>
      <c r="F1523" s="31">
        <v>28.651999999999997</v>
      </c>
      <c r="G1523" s="34">
        <f>IF(ISNUMBER(F1523),E1523*F1523,"")</f>
        <v>30.084599999999998</v>
      </c>
      <c r="H1523" s="39">
        <f>SUM(G1523:G1527)</f>
        <v>46.561152132839993</v>
      </c>
      <c r="I1523" s="40"/>
      <c r="J1523" s="155">
        <v>44.7</v>
      </c>
    </row>
    <row r="1524" spans="1:10" x14ac:dyDescent="0.25">
      <c r="A1524" s="176"/>
      <c r="B1524" s="175"/>
      <c r="C1524" s="36" t="s">
        <v>30</v>
      </c>
      <c r="D1524" s="36" t="s">
        <v>12</v>
      </c>
      <c r="E1524" s="37">
        <v>0.247</v>
      </c>
      <c r="F1524" s="31">
        <v>22.268000000000001</v>
      </c>
      <c r="G1524" s="34">
        <f>IF(ISNUMBER(F1524),E1524*F1524,"")</f>
        <v>5.5001959999999999</v>
      </c>
      <c r="H1524" s="35"/>
      <c r="I1524" s="31"/>
      <c r="J1524" s="155">
        <v>44.7</v>
      </c>
    </row>
    <row r="1525" spans="1:10" x14ac:dyDescent="0.25">
      <c r="A1525" s="176"/>
      <c r="B1525" s="175"/>
      <c r="C1525" s="36" t="s">
        <v>74</v>
      </c>
      <c r="D1525" s="36" t="s">
        <v>12</v>
      </c>
      <c r="E1525" s="37">
        <v>0.247</v>
      </c>
      <c r="F1525" s="31">
        <v>17.366</v>
      </c>
      <c r="G1525" s="34">
        <f>IF(ISNUMBER(F1525),E1525*F1525,"")</f>
        <v>4.2894019999999999</v>
      </c>
      <c r="H1525" s="35"/>
      <c r="I1525" s="31"/>
      <c r="J1525" s="155">
        <v>44.7</v>
      </c>
    </row>
    <row r="1526" spans="1:10" ht="38.25" x14ac:dyDescent="0.25">
      <c r="A1526" s="176"/>
      <c r="B1526" s="175"/>
      <c r="C1526" s="36" t="s">
        <v>512</v>
      </c>
      <c r="D1526" s="36" t="s">
        <v>93</v>
      </c>
      <c r="E1526" s="37">
        <v>2</v>
      </c>
      <c r="F1526" s="34">
        <v>1.2113545000000001</v>
      </c>
      <c r="G1526" s="34">
        <f>IF(ISNUMBER(F1526),E1526*F1526,"")</f>
        <v>2.4227090000000002</v>
      </c>
      <c r="H1526" s="35"/>
      <c r="I1526" s="31"/>
      <c r="J1526" s="155">
        <v>44.7</v>
      </c>
    </row>
    <row r="1527" spans="1:10" ht="25.5" x14ac:dyDescent="0.25">
      <c r="A1527" s="176"/>
      <c r="B1527" s="175"/>
      <c r="C1527" s="36" t="s">
        <v>516</v>
      </c>
      <c r="D1527" s="36" t="s">
        <v>297</v>
      </c>
      <c r="E1527" s="37">
        <v>0.33329999999999999</v>
      </c>
      <c r="F1527" s="34">
        <v>12.794014799999999</v>
      </c>
      <c r="G1527" s="34">
        <f>IF(ISNUMBER(F1527),E1527*F1527,"")</f>
        <v>4.2642451328399993</v>
      </c>
      <c r="H1527" s="35"/>
      <c r="I1527" s="31"/>
      <c r="J1527" s="155">
        <v>44.7</v>
      </c>
    </row>
    <row r="1528" spans="1:10" ht="15.75" thickBot="1" x14ac:dyDescent="0.3">
      <c r="A1528" s="177"/>
      <c r="B1528" s="178"/>
      <c r="C1528" s="36"/>
      <c r="D1528" s="36"/>
      <c r="E1528" s="37"/>
      <c r="F1528" s="31" t="s">
        <v>568</v>
      </c>
      <c r="G1528" s="31" t="str">
        <f>IF(ISNUMBER(F1528),E1528*F1528,"")</f>
        <v/>
      </c>
      <c r="H1528" s="35"/>
      <c r="I1528" s="31"/>
      <c r="J1528" s="155">
        <v>44.7</v>
      </c>
    </row>
    <row r="1529" spans="1:10" ht="15.75" thickBot="1" x14ac:dyDescent="0.3">
      <c r="A1529" s="172" t="s">
        <v>517</v>
      </c>
      <c r="B1529" s="174" t="str">
        <f>INDEX(Orçamentária!A:B,MATCH(Composições!A1529,Orçamentária!A:A,0),2)</f>
        <v>Eletroduto de aço galvanizado de 1"</v>
      </c>
      <c r="C1529" s="41"/>
      <c r="D1529" s="26" t="str">
        <f>TRIM(INDEX(Orçamentária!C:C,MATCH(Composições!A1529,Orçamentária!A:A,0),1))</f>
        <v>m</v>
      </c>
      <c r="E1529" s="27"/>
      <c r="F1529" s="42" t="s">
        <v>568</v>
      </c>
      <c r="G1529" s="28" t="str">
        <f>IF(ISNUMBER(F1529),E1529*F1529,"")</f>
        <v/>
      </c>
      <c r="H1529" s="29"/>
      <c r="I1529" s="30"/>
      <c r="J1529" s="155">
        <v>59</v>
      </c>
    </row>
    <row r="1530" spans="1:10" x14ac:dyDescent="0.25">
      <c r="A1530" s="176"/>
      <c r="B1530" s="175"/>
      <c r="C1530" s="32"/>
      <c r="D1530" s="32"/>
      <c r="E1530" s="33"/>
      <c r="F1530" s="43" t="s">
        <v>568</v>
      </c>
      <c r="G1530" s="31" t="str">
        <f>IF(ISNUMBER(F1530),E1530*F1530,"")</f>
        <v/>
      </c>
      <c r="H1530" s="35"/>
      <c r="I1530" s="31"/>
      <c r="J1530" s="155">
        <v>59</v>
      </c>
    </row>
    <row r="1531" spans="1:10" x14ac:dyDescent="0.25">
      <c r="A1531" s="176"/>
      <c r="B1531" s="175"/>
      <c r="C1531" s="36" t="s">
        <v>518</v>
      </c>
      <c r="D1531" s="36" t="s">
        <v>93</v>
      </c>
      <c r="E1531" s="37">
        <v>1.05</v>
      </c>
      <c r="F1531" s="31">
        <v>16.320999999999998</v>
      </c>
      <c r="G1531" s="34">
        <f>IF(ISNUMBER(F1531),E1531*F1531,"")</f>
        <v>17.137049999999999</v>
      </c>
      <c r="H1531" s="39">
        <f>SUM(G1531:G1535)</f>
        <v>31.492621230260003</v>
      </c>
      <c r="I1531" s="40"/>
      <c r="J1531" s="155">
        <v>59</v>
      </c>
    </row>
    <row r="1532" spans="1:10" x14ac:dyDescent="0.25">
      <c r="A1532" s="176"/>
      <c r="B1532" s="175"/>
      <c r="C1532" s="36" t="s">
        <v>30</v>
      </c>
      <c r="D1532" s="36" t="s">
        <v>12</v>
      </c>
      <c r="E1532" s="37">
        <v>0.21629999999999999</v>
      </c>
      <c r="F1532" s="31">
        <v>22.268000000000001</v>
      </c>
      <c r="G1532" s="34">
        <f>IF(ISNUMBER(F1532),E1532*F1532,"")</f>
        <v>4.8165684000000004</v>
      </c>
      <c r="H1532" s="35"/>
      <c r="I1532" s="31"/>
      <c r="J1532" s="155">
        <v>59</v>
      </c>
    </row>
    <row r="1533" spans="1:10" x14ac:dyDescent="0.25">
      <c r="A1533" s="176"/>
      <c r="B1533" s="175"/>
      <c r="C1533" s="36" t="s">
        <v>74</v>
      </c>
      <c r="D1533" s="36" t="s">
        <v>12</v>
      </c>
      <c r="E1533" s="37">
        <v>0.21629999999999999</v>
      </c>
      <c r="F1533" s="31">
        <v>17.366</v>
      </c>
      <c r="G1533" s="34">
        <f>IF(ISNUMBER(F1533),E1533*F1533,"")</f>
        <v>3.7562658</v>
      </c>
      <c r="H1533" s="35"/>
      <c r="I1533" s="31"/>
      <c r="J1533" s="155">
        <v>59</v>
      </c>
    </row>
    <row r="1534" spans="1:10" ht="38.25" x14ac:dyDescent="0.25">
      <c r="A1534" s="176"/>
      <c r="B1534" s="175"/>
      <c r="C1534" s="36" t="s">
        <v>512</v>
      </c>
      <c r="D1534" s="36" t="s">
        <v>93</v>
      </c>
      <c r="E1534" s="37">
        <v>2</v>
      </c>
      <c r="F1534" s="34">
        <v>1.2113545000000001</v>
      </c>
      <c r="G1534" s="34">
        <f>IF(ISNUMBER(F1534),E1534*F1534,"")</f>
        <v>2.4227090000000002</v>
      </c>
      <c r="H1534" s="35"/>
      <c r="I1534" s="31"/>
      <c r="J1534" s="155">
        <v>59</v>
      </c>
    </row>
    <row r="1535" spans="1:10" ht="25.5" x14ac:dyDescent="0.25">
      <c r="A1535" s="176"/>
      <c r="B1535" s="175"/>
      <c r="C1535" s="36" t="s">
        <v>519</v>
      </c>
      <c r="D1535" s="36" t="s">
        <v>297</v>
      </c>
      <c r="E1535" s="37">
        <v>0.33329999999999999</v>
      </c>
      <c r="F1535" s="34">
        <v>10.081092199999999</v>
      </c>
      <c r="G1535" s="34">
        <f>IF(ISNUMBER(F1535),E1535*F1535,"")</f>
        <v>3.3600280302599996</v>
      </c>
      <c r="H1535" s="35"/>
      <c r="I1535" s="31"/>
      <c r="J1535" s="155">
        <v>59</v>
      </c>
    </row>
    <row r="1536" spans="1:10" ht="15.75" thickBot="1" x14ac:dyDescent="0.3">
      <c r="A1536" s="177"/>
      <c r="B1536" s="178"/>
      <c r="C1536" s="36"/>
      <c r="D1536" s="36"/>
      <c r="E1536" s="37"/>
      <c r="F1536" s="31" t="s">
        <v>568</v>
      </c>
      <c r="G1536" s="31" t="str">
        <f>IF(ISNUMBER(F1536),E1536*F1536,"")</f>
        <v/>
      </c>
      <c r="H1536" s="35"/>
      <c r="I1536" s="31"/>
      <c r="J1536" s="155">
        <v>59</v>
      </c>
    </row>
    <row r="1537" spans="1:10" ht="15.75" hidden="1" thickBot="1" x14ac:dyDescent="0.3">
      <c r="A1537" s="172" t="s">
        <v>520</v>
      </c>
      <c r="B1537" s="174" t="str">
        <f>INDEX(Orçamentária!A:B,MATCH(Composições!A1537,Orçamentária!A:A,0),2)</f>
        <v>Eletroduto de aço galvanizado de 2"</v>
      </c>
      <c r="C1537" s="41"/>
      <c r="D1537" s="26" t="str">
        <f>TRIM(INDEX(Orçamentária!C:C,MATCH(Composições!A1537,Orçamentária!A:A,0),1))</f>
        <v>m</v>
      </c>
      <c r="E1537" s="27"/>
      <c r="F1537" s="42" t="s">
        <v>568</v>
      </c>
      <c r="G1537" s="28" t="str">
        <f>IF(ISNUMBER(F1537),E1537*F1537,"")</f>
        <v/>
      </c>
      <c r="H1537" s="29"/>
      <c r="I1537" s="30"/>
      <c r="J1537" s="155">
        <v>0</v>
      </c>
    </row>
    <row r="1538" spans="1:10" ht="15.75" hidden="1" thickBot="1" x14ac:dyDescent="0.3">
      <c r="A1538" s="176"/>
      <c r="B1538" s="175"/>
      <c r="C1538" s="32"/>
      <c r="D1538" s="32"/>
      <c r="E1538" s="33"/>
      <c r="F1538" s="43" t="s">
        <v>568</v>
      </c>
      <c r="G1538" s="31" t="str">
        <f>IF(ISNUMBER(F1538),E1538*F1538,"")</f>
        <v/>
      </c>
      <c r="H1538" s="35"/>
      <c r="I1538" s="31"/>
      <c r="J1538" s="155">
        <v>0</v>
      </c>
    </row>
    <row r="1539" spans="1:10" ht="15.75" hidden="1" thickBot="1" x14ac:dyDescent="0.3">
      <c r="A1539" s="176"/>
      <c r="B1539" s="175"/>
      <c r="C1539" s="36" t="s">
        <v>521</v>
      </c>
      <c r="D1539" s="36" t="s">
        <v>93</v>
      </c>
      <c r="E1539" s="37">
        <v>1.05</v>
      </c>
      <c r="F1539" s="31">
        <v>0</v>
      </c>
      <c r="G1539" s="34">
        <f>IF(ISNUMBER(F1539),E1539*F1539,"")</f>
        <v>0</v>
      </c>
      <c r="H1539" s="39">
        <f>SUM(G1539:G1543)</f>
        <v>21.998839034220001</v>
      </c>
      <c r="I1539" s="40"/>
      <c r="J1539" s="155">
        <v>0</v>
      </c>
    </row>
    <row r="1540" spans="1:10" ht="15.75" hidden="1" thickBot="1" x14ac:dyDescent="0.3">
      <c r="A1540" s="176"/>
      <c r="B1540" s="175"/>
      <c r="C1540" s="36" t="s">
        <v>30</v>
      </c>
      <c r="D1540" s="36" t="s">
        <v>12</v>
      </c>
      <c r="E1540" s="37">
        <v>0.28210000000000002</v>
      </c>
      <c r="F1540" s="31">
        <v>22.268000000000001</v>
      </c>
      <c r="G1540" s="34">
        <f>IF(ISNUMBER(F1540),E1540*F1540,"")</f>
        <v>6.2818028000000004</v>
      </c>
      <c r="H1540" s="35"/>
      <c r="I1540" s="31"/>
      <c r="J1540" s="155">
        <v>0</v>
      </c>
    </row>
    <row r="1541" spans="1:10" ht="15.75" hidden="1" thickBot="1" x14ac:dyDescent="0.3">
      <c r="A1541" s="176"/>
      <c r="B1541" s="175"/>
      <c r="C1541" s="36" t="s">
        <v>74</v>
      </c>
      <c r="D1541" s="36" t="s">
        <v>12</v>
      </c>
      <c r="E1541" s="37">
        <v>0.28210000000000002</v>
      </c>
      <c r="F1541" s="31">
        <v>17.366</v>
      </c>
      <c r="G1541" s="34">
        <f>IF(ISNUMBER(F1541),E1541*F1541,"")</f>
        <v>4.8989485999999998</v>
      </c>
      <c r="H1541" s="35"/>
      <c r="I1541" s="31"/>
      <c r="J1541" s="155">
        <v>0</v>
      </c>
    </row>
    <row r="1542" spans="1:10" ht="51.75" hidden="1" thickBot="1" x14ac:dyDescent="0.3">
      <c r="A1542" s="176"/>
      <c r="B1542" s="175"/>
      <c r="C1542" s="36" t="s">
        <v>522</v>
      </c>
      <c r="D1542" s="36" t="s">
        <v>523</v>
      </c>
      <c r="E1542" s="37">
        <v>2</v>
      </c>
      <c r="F1542" s="34">
        <v>2.4485110000000003</v>
      </c>
      <c r="G1542" s="34">
        <f>IF(ISNUMBER(F1542),E1542*F1542,"")</f>
        <v>4.8970220000000007</v>
      </c>
      <c r="H1542" s="35"/>
      <c r="I1542" s="31"/>
      <c r="J1542" s="155">
        <v>0</v>
      </c>
    </row>
    <row r="1543" spans="1:10" ht="26.25" hidden="1" thickBot="1" x14ac:dyDescent="0.3">
      <c r="A1543" s="176"/>
      <c r="B1543" s="175"/>
      <c r="C1543" s="36" t="s">
        <v>524</v>
      </c>
      <c r="D1543" s="36" t="s">
        <v>297</v>
      </c>
      <c r="E1543" s="37">
        <v>0.33329999999999999</v>
      </c>
      <c r="F1543" s="34">
        <v>17.764973400000002</v>
      </c>
      <c r="G1543" s="31">
        <f>IF(ISNUMBER(F1543),E1543*F1543,"")</f>
        <v>5.9210656342200005</v>
      </c>
      <c r="H1543" s="35"/>
      <c r="I1543" s="31"/>
      <c r="J1543" s="155">
        <v>0</v>
      </c>
    </row>
    <row r="1544" spans="1:10" ht="15.75" hidden="1" thickBot="1" x14ac:dyDescent="0.3">
      <c r="A1544" s="177"/>
      <c r="B1544" s="178"/>
      <c r="C1544" s="36"/>
      <c r="D1544" s="36"/>
      <c r="E1544" s="37"/>
      <c r="F1544" s="31" t="s">
        <v>568</v>
      </c>
      <c r="G1544" s="31" t="str">
        <f>IF(ISNUMBER(F1544),E1544*F1544,"")</f>
        <v/>
      </c>
      <c r="H1544" s="35"/>
      <c r="I1544" s="31"/>
      <c r="J1544" s="155">
        <v>0</v>
      </c>
    </row>
    <row r="1545" spans="1:10" ht="15.75" thickBot="1" x14ac:dyDescent="0.3">
      <c r="A1545" s="172" t="s">
        <v>525</v>
      </c>
      <c r="B1545" s="174" t="str">
        <f>INDEX(Orçamentária!A:B,MATCH(Composições!A1545,Orçamentária!A:A,0),2)</f>
        <v>Eletroduto de aço galvanizado de 3/4"</v>
      </c>
      <c r="C1545" s="41"/>
      <c r="D1545" s="26" t="str">
        <f>TRIM(INDEX(Orçamentária!C:C,MATCH(Composições!A1545,Orçamentária!A:A,0),1))</f>
        <v>m</v>
      </c>
      <c r="E1545" s="27"/>
      <c r="F1545" s="42" t="s">
        <v>568</v>
      </c>
      <c r="G1545" s="28" t="str">
        <f>IF(ISNUMBER(F1545),E1545*F1545,"")</f>
        <v/>
      </c>
      <c r="H1545" s="29"/>
      <c r="I1545" s="30"/>
      <c r="J1545" s="155">
        <v>323.2</v>
      </c>
    </row>
    <row r="1546" spans="1:10" x14ac:dyDescent="0.25">
      <c r="A1546" s="176"/>
      <c r="B1546" s="175"/>
      <c r="C1546" s="32"/>
      <c r="D1546" s="32"/>
      <c r="E1546" s="33"/>
      <c r="F1546" s="43" t="s">
        <v>568</v>
      </c>
      <c r="G1546" s="31" t="str">
        <f>IF(ISNUMBER(F1546),E1546*F1546,"")</f>
        <v/>
      </c>
      <c r="H1546" s="35"/>
      <c r="I1546" s="31"/>
      <c r="J1546" s="155">
        <v>323.2</v>
      </c>
    </row>
    <row r="1547" spans="1:10" x14ac:dyDescent="0.25">
      <c r="A1547" s="176"/>
      <c r="B1547" s="175"/>
      <c r="C1547" s="36" t="s">
        <v>526</v>
      </c>
      <c r="D1547" s="36" t="s">
        <v>93</v>
      </c>
      <c r="E1547" s="37">
        <v>1.05</v>
      </c>
      <c r="F1547" s="31">
        <v>13.299999999999999</v>
      </c>
      <c r="G1547" s="34">
        <f>IF(ISNUMBER(F1547),E1547*F1547,"")</f>
        <v>13.965</v>
      </c>
      <c r="H1547" s="39">
        <f>SUM(G1547:G1551)</f>
        <v>27.08546987894</v>
      </c>
      <c r="I1547" s="40"/>
      <c r="J1547" s="155">
        <v>323.2</v>
      </c>
    </row>
    <row r="1548" spans="1:10" x14ac:dyDescent="0.25">
      <c r="A1548" s="176"/>
      <c r="B1548" s="175"/>
      <c r="C1548" s="36" t="s">
        <v>30</v>
      </c>
      <c r="D1548" s="36" t="s">
        <v>12</v>
      </c>
      <c r="E1548" s="37">
        <v>0.19439999999999999</v>
      </c>
      <c r="F1548" s="31">
        <v>22.268000000000001</v>
      </c>
      <c r="G1548" s="34">
        <f>IF(ISNUMBER(F1548),E1548*F1548,"")</f>
        <v>4.3288991999999995</v>
      </c>
      <c r="H1548" s="35"/>
      <c r="I1548" s="31"/>
      <c r="J1548" s="155">
        <v>323.2</v>
      </c>
    </row>
    <row r="1549" spans="1:10" x14ac:dyDescent="0.25">
      <c r="A1549" s="176"/>
      <c r="B1549" s="175"/>
      <c r="C1549" s="36" t="s">
        <v>74</v>
      </c>
      <c r="D1549" s="36" t="s">
        <v>12</v>
      </c>
      <c r="E1549" s="37">
        <v>0.19439999999999999</v>
      </c>
      <c r="F1549" s="31">
        <v>17.366</v>
      </c>
      <c r="G1549" s="34">
        <f>IF(ISNUMBER(F1549),E1549*F1549,"")</f>
        <v>3.3759503999999998</v>
      </c>
      <c r="H1549" s="35"/>
      <c r="I1549" s="31"/>
      <c r="J1549" s="155">
        <v>323.2</v>
      </c>
    </row>
    <row r="1550" spans="1:10" ht="38.25" x14ac:dyDescent="0.25">
      <c r="A1550" s="176"/>
      <c r="B1550" s="175"/>
      <c r="C1550" s="36" t="s">
        <v>512</v>
      </c>
      <c r="D1550" s="36" t="s">
        <v>93</v>
      </c>
      <c r="E1550" s="37">
        <v>2</v>
      </c>
      <c r="F1550" s="34">
        <v>1.2113545000000001</v>
      </c>
      <c r="G1550" s="34">
        <f>IF(ISNUMBER(F1550),E1550*F1550,"")</f>
        <v>2.4227090000000002</v>
      </c>
      <c r="H1550" s="35"/>
      <c r="I1550" s="31"/>
      <c r="J1550" s="155">
        <v>323.2</v>
      </c>
    </row>
    <row r="1551" spans="1:10" ht="25.5" x14ac:dyDescent="0.25">
      <c r="A1551" s="176"/>
      <c r="B1551" s="175"/>
      <c r="C1551" s="36" t="s">
        <v>527</v>
      </c>
      <c r="D1551" s="36" t="s">
        <v>297</v>
      </c>
      <c r="E1551" s="37">
        <v>0.33329999999999999</v>
      </c>
      <c r="F1551" s="34">
        <v>8.9796317999999999</v>
      </c>
      <c r="G1551" s="34">
        <f>IF(ISNUMBER(F1551),E1551*F1551,"")</f>
        <v>2.9929112789399999</v>
      </c>
      <c r="H1551" s="35"/>
      <c r="I1551" s="31"/>
      <c r="J1551" s="155">
        <v>323.2</v>
      </c>
    </row>
    <row r="1552" spans="1:10" ht="15.75" thickBot="1" x14ac:dyDescent="0.3">
      <c r="A1552" s="177"/>
      <c r="B1552" s="178"/>
      <c r="C1552" s="36"/>
      <c r="D1552" s="36"/>
      <c r="E1552" s="37"/>
      <c r="F1552" s="31" t="s">
        <v>568</v>
      </c>
      <c r="G1552" s="31" t="str">
        <f>IF(ISNUMBER(F1552),E1552*F1552,"")</f>
        <v/>
      </c>
      <c r="H1552" s="35"/>
      <c r="I1552" s="31"/>
      <c r="J1552" s="155">
        <v>323.2</v>
      </c>
    </row>
    <row r="1553" spans="1:10" ht="15.75" hidden="1" thickBot="1" x14ac:dyDescent="0.3">
      <c r="A1553" s="172" t="s">
        <v>528</v>
      </c>
      <c r="B1553" s="174" t="str">
        <f>INDEX(Orçamentária!A:B,MATCH(Composições!A1553,Orçamentária!A:A,0),2)</f>
        <v>Eletroduto de PVC Corrugado Reforçado 1'' (DE 32mm)</v>
      </c>
      <c r="C1553" s="41"/>
      <c r="D1553" s="26" t="str">
        <f>TRIM(INDEX(Orçamentária!C:C,MATCH(Composições!A1553,Orçamentária!A:A,0),1))</f>
        <v>m</v>
      </c>
      <c r="E1553" s="27"/>
      <c r="F1553" s="42" t="s">
        <v>568</v>
      </c>
      <c r="G1553" s="28" t="str">
        <f>IF(ISNUMBER(F1553),E1553*F1553,"")</f>
        <v/>
      </c>
      <c r="H1553" s="29"/>
      <c r="I1553" s="30"/>
      <c r="J1553" s="155">
        <v>0</v>
      </c>
    </row>
    <row r="1554" spans="1:10" ht="15.75" hidden="1" thickBot="1" x14ac:dyDescent="0.3">
      <c r="A1554" s="176"/>
      <c r="B1554" s="175"/>
      <c r="C1554" s="32"/>
      <c r="D1554" s="32"/>
      <c r="E1554" s="33"/>
      <c r="F1554" s="43" t="s">
        <v>568</v>
      </c>
      <c r="G1554" s="31" t="str">
        <f>IF(ISNUMBER(F1554),E1554*F1554,"")</f>
        <v/>
      </c>
      <c r="H1554" s="35"/>
      <c r="I1554" s="31"/>
      <c r="J1554" s="155">
        <v>0</v>
      </c>
    </row>
    <row r="1555" spans="1:10" ht="26.25" hidden="1" thickBot="1" x14ac:dyDescent="0.3">
      <c r="A1555" s="176"/>
      <c r="B1555" s="175"/>
      <c r="C1555" s="36" t="s">
        <v>529</v>
      </c>
      <c r="D1555" s="36" t="s">
        <v>93</v>
      </c>
      <c r="E1555" s="37">
        <v>1.1000000000000001</v>
      </c>
      <c r="F1555" s="34">
        <v>5.6144999999999996</v>
      </c>
      <c r="G1555" s="34">
        <f>IF(ISNUMBER(F1555),E1555*F1555,"")</f>
        <v>6.1759500000000003</v>
      </c>
      <c r="H1555" s="39">
        <f>SUM(G1555:G1558)</f>
        <v>12.126313</v>
      </c>
      <c r="I1555" s="40"/>
      <c r="J1555" s="155">
        <v>0</v>
      </c>
    </row>
    <row r="1556" spans="1:10" ht="15.75" hidden="1" thickBot="1" x14ac:dyDescent="0.3">
      <c r="A1556" s="176"/>
      <c r="B1556" s="175"/>
      <c r="C1556" s="36" t="s">
        <v>30</v>
      </c>
      <c r="D1556" s="36" t="s">
        <v>12</v>
      </c>
      <c r="E1556" s="37">
        <v>0.09</v>
      </c>
      <c r="F1556" s="31">
        <v>22.268000000000001</v>
      </c>
      <c r="G1556" s="34">
        <f>IF(ISNUMBER(F1556),E1556*F1556,"")</f>
        <v>2.0041199999999999</v>
      </c>
      <c r="H1556" s="35"/>
      <c r="I1556" s="31"/>
      <c r="J1556" s="155">
        <v>0</v>
      </c>
    </row>
    <row r="1557" spans="1:10" ht="15.75" hidden="1" thickBot="1" x14ac:dyDescent="0.3">
      <c r="A1557" s="176"/>
      <c r="B1557" s="175"/>
      <c r="C1557" s="36" t="s">
        <v>74</v>
      </c>
      <c r="D1557" s="36" t="s">
        <v>12</v>
      </c>
      <c r="E1557" s="37">
        <v>0.09</v>
      </c>
      <c r="F1557" s="31">
        <v>17.366</v>
      </c>
      <c r="G1557" s="34">
        <f>IF(ISNUMBER(F1557),E1557*F1557,"")</f>
        <v>1.56294</v>
      </c>
      <c r="H1557" s="35"/>
      <c r="I1557" s="31"/>
      <c r="J1557" s="155">
        <v>0</v>
      </c>
    </row>
    <row r="1558" spans="1:10" ht="39" hidden="1" thickBot="1" x14ac:dyDescent="0.3">
      <c r="A1558" s="176"/>
      <c r="B1558" s="175"/>
      <c r="C1558" s="36" t="s">
        <v>530</v>
      </c>
      <c r="D1558" s="36" t="s">
        <v>93</v>
      </c>
      <c r="E1558" s="37">
        <v>1</v>
      </c>
      <c r="F1558" s="34">
        <v>2.3833030000000002</v>
      </c>
      <c r="G1558" s="31">
        <f>IF(ISNUMBER(F1558),E1558*F1558,"")</f>
        <v>2.3833030000000002</v>
      </c>
      <c r="H1558" s="35"/>
      <c r="I1558" s="31"/>
      <c r="J1558" s="155">
        <v>0</v>
      </c>
    </row>
    <row r="1559" spans="1:10" ht="15.75" hidden="1" thickBot="1" x14ac:dyDescent="0.3">
      <c r="A1559" s="177"/>
      <c r="B1559" s="178"/>
      <c r="C1559" s="36"/>
      <c r="D1559" s="36"/>
      <c r="E1559" s="37"/>
      <c r="F1559" s="31" t="s">
        <v>568</v>
      </c>
      <c r="G1559" s="31" t="str">
        <f>IF(ISNUMBER(F1559),E1559*F1559,"")</f>
        <v/>
      </c>
      <c r="H1559" s="35"/>
      <c r="I1559" s="31"/>
      <c r="J1559" s="155">
        <v>0</v>
      </c>
    </row>
    <row r="1560" spans="1:10" ht="15.75" hidden="1" thickBot="1" x14ac:dyDescent="0.3">
      <c r="A1560" s="172" t="s">
        <v>531</v>
      </c>
      <c r="B1560" s="174" t="str">
        <f>INDEX(Orçamentária!A:B,MATCH(Composições!A1560,Orçamentária!A:A,0),2)</f>
        <v>Eletroduto de PVC Corrugado Reforçado 3/4'' (DE 25mm)</v>
      </c>
      <c r="C1560" s="41"/>
      <c r="D1560" s="26" t="str">
        <f>TRIM(INDEX(Orçamentária!C:C,MATCH(Composições!A1560,Orçamentária!A:A,0),1))</f>
        <v>m</v>
      </c>
      <c r="E1560" s="27"/>
      <c r="F1560" s="42" t="s">
        <v>568</v>
      </c>
      <c r="G1560" s="28" t="str">
        <f>IF(ISNUMBER(F1560),E1560*F1560,"")</f>
        <v/>
      </c>
      <c r="H1560" s="29"/>
      <c r="I1560" s="30"/>
      <c r="J1560" s="155">
        <v>0</v>
      </c>
    </row>
    <row r="1561" spans="1:10" ht="15.75" hidden="1" thickBot="1" x14ac:dyDescent="0.3">
      <c r="A1561" s="176"/>
      <c r="B1561" s="175"/>
      <c r="C1561" s="32"/>
      <c r="D1561" s="32"/>
      <c r="E1561" s="33"/>
      <c r="F1561" s="43" t="s">
        <v>568</v>
      </c>
      <c r="G1561" s="31" t="str">
        <f>IF(ISNUMBER(F1561),E1561*F1561,"")</f>
        <v/>
      </c>
      <c r="H1561" s="35"/>
      <c r="I1561" s="31"/>
      <c r="J1561" s="155">
        <v>0</v>
      </c>
    </row>
    <row r="1562" spans="1:10" ht="15.75" hidden="1" thickBot="1" x14ac:dyDescent="0.3">
      <c r="A1562" s="176"/>
      <c r="B1562" s="175"/>
      <c r="C1562" s="36" t="s">
        <v>30</v>
      </c>
      <c r="D1562" s="36" t="s">
        <v>12</v>
      </c>
      <c r="E1562" s="37">
        <v>7.0000000000000007E-2</v>
      </c>
      <c r="F1562" s="31">
        <v>22.268000000000001</v>
      </c>
      <c r="G1562" s="31">
        <f>IF(ISNUMBER(F1562),E1562*F1562,"")</f>
        <v>1.5587600000000001</v>
      </c>
      <c r="H1562" s="39">
        <f>SUM(G1562:G1565)</f>
        <v>8.3658330000000003</v>
      </c>
      <c r="I1562" s="40"/>
      <c r="J1562" s="155">
        <v>0</v>
      </c>
    </row>
    <row r="1563" spans="1:10" ht="15.75" hidden="1" thickBot="1" x14ac:dyDescent="0.3">
      <c r="A1563" s="176"/>
      <c r="B1563" s="175"/>
      <c r="C1563" s="36" t="s">
        <v>74</v>
      </c>
      <c r="D1563" s="36" t="s">
        <v>12</v>
      </c>
      <c r="E1563" s="37">
        <v>7.0000000000000007E-2</v>
      </c>
      <c r="F1563" s="31">
        <v>17.366</v>
      </c>
      <c r="G1563" s="31">
        <f>IF(ISNUMBER(F1563),E1563*F1563,"")</f>
        <v>1.2156200000000001</v>
      </c>
      <c r="H1563" s="35"/>
      <c r="I1563" s="31"/>
      <c r="J1563" s="155">
        <v>0</v>
      </c>
    </row>
    <row r="1564" spans="1:10" ht="26.25" hidden="1" thickBot="1" x14ac:dyDescent="0.3">
      <c r="A1564" s="176"/>
      <c r="B1564" s="175"/>
      <c r="C1564" s="36" t="s">
        <v>532</v>
      </c>
      <c r="D1564" s="36" t="s">
        <v>93</v>
      </c>
      <c r="E1564" s="37">
        <v>1.1000000000000001</v>
      </c>
      <c r="F1564" s="34">
        <v>2.9164999999999996</v>
      </c>
      <c r="G1564" s="31">
        <f>IF(ISNUMBER(F1564),E1564*F1564,"")</f>
        <v>3.2081499999999998</v>
      </c>
      <c r="H1564" s="35"/>
      <c r="I1564" s="31"/>
      <c r="J1564" s="155">
        <v>0</v>
      </c>
    </row>
    <row r="1565" spans="1:10" ht="39" hidden="1" thickBot="1" x14ac:dyDescent="0.3">
      <c r="A1565" s="176"/>
      <c r="B1565" s="175"/>
      <c r="C1565" s="36" t="s">
        <v>530</v>
      </c>
      <c r="D1565" s="36" t="s">
        <v>93</v>
      </c>
      <c r="E1565" s="37">
        <v>1</v>
      </c>
      <c r="F1565" s="34">
        <v>2.3833030000000002</v>
      </c>
      <c r="G1565" s="31">
        <f>IF(ISNUMBER(F1565),E1565*F1565,"")</f>
        <v>2.3833030000000002</v>
      </c>
      <c r="H1565" s="35"/>
      <c r="I1565" s="31"/>
      <c r="J1565" s="155">
        <v>0</v>
      </c>
    </row>
    <row r="1566" spans="1:10" ht="15.75" hidden="1" thickBot="1" x14ac:dyDescent="0.3">
      <c r="A1566" s="177"/>
      <c r="B1566" s="178"/>
      <c r="C1566" s="36"/>
      <c r="D1566" s="36"/>
      <c r="E1566" s="37"/>
      <c r="F1566" s="31" t="s">
        <v>568</v>
      </c>
      <c r="G1566" s="31" t="str">
        <f>IF(ISNUMBER(F1566),E1566*F1566,"")</f>
        <v/>
      </c>
      <c r="H1566" s="35"/>
      <c r="I1566" s="31"/>
      <c r="J1566" s="155">
        <v>0</v>
      </c>
    </row>
    <row r="1567" spans="1:10" ht="15.75" hidden="1" thickBot="1" x14ac:dyDescent="0.3">
      <c r="A1567" s="172" t="s">
        <v>533</v>
      </c>
      <c r="B1567" s="174" t="str">
        <f>INDEX(Orçamentária!A:B,MATCH(Composições!A1567,Orçamentária!A:A,0),2)</f>
        <v>Eletroduto flexível metálico com capa de PVC 1’’</v>
      </c>
      <c r="C1567" s="41"/>
      <c r="D1567" s="26" t="str">
        <f>TRIM(INDEX(Orçamentária!C:C,MATCH(Composições!A1567,Orçamentária!A:A,0),1))</f>
        <v>m</v>
      </c>
      <c r="E1567" s="27"/>
      <c r="F1567" s="42" t="s">
        <v>568</v>
      </c>
      <c r="G1567" s="28" t="str">
        <f>IF(ISNUMBER(F1567),E1567*F1567,"")</f>
        <v/>
      </c>
      <c r="H1567" s="29"/>
      <c r="I1567" s="30"/>
      <c r="J1567" s="155">
        <v>0</v>
      </c>
    </row>
    <row r="1568" spans="1:10" ht="15.75" hidden="1" thickBot="1" x14ac:dyDescent="0.3">
      <c r="A1568" s="176"/>
      <c r="B1568" s="175"/>
      <c r="C1568" s="32"/>
      <c r="D1568" s="32"/>
      <c r="E1568" s="33"/>
      <c r="F1568" s="43" t="s">
        <v>568</v>
      </c>
      <c r="G1568" s="31" t="str">
        <f>IF(ISNUMBER(F1568),E1568*F1568,"")</f>
        <v/>
      </c>
      <c r="H1568" s="35"/>
      <c r="I1568" s="31"/>
      <c r="J1568" s="155">
        <v>0</v>
      </c>
    </row>
    <row r="1569" spans="1:10" ht="26.25" hidden="1" thickBot="1" x14ac:dyDescent="0.3">
      <c r="A1569" s="176"/>
      <c r="B1569" s="175"/>
      <c r="C1569" s="36" t="s">
        <v>534</v>
      </c>
      <c r="D1569" s="36" t="s">
        <v>93</v>
      </c>
      <c r="E1569" s="37">
        <v>1.1000000000000001</v>
      </c>
      <c r="F1569" s="34">
        <v>13.7845</v>
      </c>
      <c r="G1569" s="31">
        <f>IF(ISNUMBER(F1569),E1569*F1569,"")</f>
        <v>15.16295</v>
      </c>
      <c r="H1569" s="39">
        <f>SUM(G1569:G1572)</f>
        <v>19.441465000000001</v>
      </c>
      <c r="I1569" s="40"/>
      <c r="J1569" s="155">
        <v>0</v>
      </c>
    </row>
    <row r="1570" spans="1:10" ht="26.25" hidden="1" thickBot="1" x14ac:dyDescent="0.3">
      <c r="A1570" s="176"/>
      <c r="B1570" s="175"/>
      <c r="C1570" s="36" t="s">
        <v>3599</v>
      </c>
      <c r="D1570" s="36" t="s">
        <v>42</v>
      </c>
      <c r="E1570" s="37">
        <v>2E-3</v>
      </c>
      <c r="F1570" s="34">
        <v>18.838499999999996</v>
      </c>
      <c r="G1570" s="31">
        <f>IF(ISNUMBER(F1570),E1570*F1570,"")</f>
        <v>3.7676999999999995E-2</v>
      </c>
      <c r="H1570" s="35"/>
      <c r="I1570" s="31"/>
      <c r="J1570" s="155">
        <v>0</v>
      </c>
    </row>
    <row r="1571" spans="1:10" ht="15.75" hidden="1" thickBot="1" x14ac:dyDescent="0.3">
      <c r="A1571" s="176"/>
      <c r="B1571" s="175"/>
      <c r="C1571" s="36" t="s">
        <v>74</v>
      </c>
      <c r="D1571" s="47" t="s">
        <v>12</v>
      </c>
      <c r="E1571" s="37">
        <v>0.107</v>
      </c>
      <c r="F1571" s="31">
        <v>17.366</v>
      </c>
      <c r="G1571" s="31">
        <f>IF(ISNUMBER(F1571),E1571*F1571,"")</f>
        <v>1.8581619999999999</v>
      </c>
      <c r="H1571" s="35"/>
      <c r="I1571" s="31"/>
      <c r="J1571" s="155">
        <v>0</v>
      </c>
    </row>
    <row r="1572" spans="1:10" ht="15.75" hidden="1" thickBot="1" x14ac:dyDescent="0.3">
      <c r="A1572" s="176"/>
      <c r="B1572" s="175"/>
      <c r="C1572" s="36" t="s">
        <v>30</v>
      </c>
      <c r="D1572" s="36" t="s">
        <v>12</v>
      </c>
      <c r="E1572" s="37">
        <v>0.107</v>
      </c>
      <c r="F1572" s="31">
        <v>22.268000000000001</v>
      </c>
      <c r="G1572" s="31">
        <f>IF(ISNUMBER(F1572),E1572*F1572,"")</f>
        <v>2.382676</v>
      </c>
      <c r="H1572" s="35"/>
      <c r="I1572" s="31"/>
      <c r="J1572" s="155">
        <v>0</v>
      </c>
    </row>
    <row r="1573" spans="1:10" ht="15.75" hidden="1" thickBot="1" x14ac:dyDescent="0.3">
      <c r="A1573" s="177"/>
      <c r="B1573" s="178"/>
      <c r="C1573" s="36"/>
      <c r="D1573" s="36"/>
      <c r="E1573" s="37"/>
      <c r="F1573" s="31" t="s">
        <v>568</v>
      </c>
      <c r="G1573" s="31" t="str">
        <f>IF(ISNUMBER(F1573),E1573*F1573,"")</f>
        <v/>
      </c>
      <c r="H1573" s="35"/>
      <c r="I1573" s="31"/>
      <c r="J1573" s="155">
        <v>0</v>
      </c>
    </row>
    <row r="1574" spans="1:10" ht="15.75" hidden="1" thickBot="1" x14ac:dyDescent="0.3">
      <c r="A1574" s="172" t="s">
        <v>535</v>
      </c>
      <c r="B1574" s="174" t="str">
        <f>INDEX(Orçamentária!A:B,MATCH(Composições!A1574,Orçamentária!A:A,0),2)</f>
        <v>Eletroduto flexível metálico com capa de PVC 3/4"</v>
      </c>
      <c r="C1574" s="41"/>
      <c r="D1574" s="26" t="str">
        <f>TRIM(INDEX(Orçamentária!C:C,MATCH(Composições!A1574,Orçamentária!A:A,0),1))</f>
        <v>m</v>
      </c>
      <c r="E1574" s="27"/>
      <c r="F1574" s="42" t="s">
        <v>568</v>
      </c>
      <c r="G1574" s="28" t="str">
        <f>IF(ISNUMBER(F1574),E1574*F1574,"")</f>
        <v/>
      </c>
      <c r="H1574" s="29"/>
      <c r="I1574" s="30"/>
      <c r="J1574" s="155">
        <v>0</v>
      </c>
    </row>
    <row r="1575" spans="1:10" ht="15.75" hidden="1" thickBot="1" x14ac:dyDescent="0.3">
      <c r="A1575" s="176"/>
      <c r="B1575" s="175"/>
      <c r="C1575" s="32"/>
      <c r="D1575" s="32"/>
      <c r="E1575" s="33"/>
      <c r="F1575" s="43" t="s">
        <v>568</v>
      </c>
      <c r="G1575" s="31" t="str">
        <f>IF(ISNUMBER(F1575),E1575*F1575,"")</f>
        <v/>
      </c>
      <c r="H1575" s="35"/>
      <c r="I1575" s="31"/>
      <c r="J1575" s="155">
        <v>0</v>
      </c>
    </row>
    <row r="1576" spans="1:10" ht="26.25" hidden="1" thickBot="1" x14ac:dyDescent="0.3">
      <c r="A1576" s="176"/>
      <c r="B1576" s="175"/>
      <c r="C1576" s="36" t="s">
        <v>536</v>
      </c>
      <c r="D1576" s="36" t="s">
        <v>93</v>
      </c>
      <c r="E1576" s="37">
        <v>1.1000000000000001</v>
      </c>
      <c r="F1576" s="34">
        <v>10.507</v>
      </c>
      <c r="G1576" s="34">
        <f>IF(ISNUMBER(F1576),E1576*F1576,"")</f>
        <v>11.557700000000001</v>
      </c>
      <c r="H1576" s="39">
        <f>SUM(G1576:G1579)</f>
        <v>15.039767299999999</v>
      </c>
      <c r="I1576" s="40"/>
      <c r="J1576" s="155">
        <v>0</v>
      </c>
    </row>
    <row r="1577" spans="1:10" ht="26.25" hidden="1" thickBot="1" x14ac:dyDescent="0.3">
      <c r="A1577" s="176"/>
      <c r="B1577" s="175"/>
      <c r="C1577" s="36" t="s">
        <v>3599</v>
      </c>
      <c r="D1577" s="36" t="s">
        <v>42</v>
      </c>
      <c r="E1577" s="37">
        <v>1.8E-3</v>
      </c>
      <c r="F1577" s="34">
        <v>18.838499999999996</v>
      </c>
      <c r="G1577" s="34">
        <f>IF(ISNUMBER(F1577),E1577*F1577,"")</f>
        <v>3.3909299999999989E-2</v>
      </c>
      <c r="H1577" s="35"/>
      <c r="I1577" s="31"/>
      <c r="J1577" s="155">
        <v>0</v>
      </c>
    </row>
    <row r="1578" spans="1:10" ht="15.75" hidden="1" thickBot="1" x14ac:dyDescent="0.3">
      <c r="A1578" s="176"/>
      <c r="B1578" s="175"/>
      <c r="C1578" s="36" t="s">
        <v>74</v>
      </c>
      <c r="D1578" s="47" t="s">
        <v>12</v>
      </c>
      <c r="E1578" s="37">
        <v>8.6999999999999994E-2</v>
      </c>
      <c r="F1578" s="31">
        <v>17.366</v>
      </c>
      <c r="G1578" s="34">
        <f>IF(ISNUMBER(F1578),E1578*F1578,"")</f>
        <v>1.5108419999999998</v>
      </c>
      <c r="H1578" s="35"/>
      <c r="I1578" s="31"/>
      <c r="J1578" s="155">
        <v>0</v>
      </c>
    </row>
    <row r="1579" spans="1:10" ht="15.75" hidden="1" thickBot="1" x14ac:dyDescent="0.3">
      <c r="A1579" s="176"/>
      <c r="B1579" s="175"/>
      <c r="C1579" s="36" t="s">
        <v>30</v>
      </c>
      <c r="D1579" s="36" t="s">
        <v>12</v>
      </c>
      <c r="E1579" s="37">
        <v>8.6999999999999994E-2</v>
      </c>
      <c r="F1579" s="31">
        <v>22.268000000000001</v>
      </c>
      <c r="G1579" s="34">
        <f>IF(ISNUMBER(F1579),E1579*F1579,"")</f>
        <v>1.9373159999999998</v>
      </c>
      <c r="H1579" s="35"/>
      <c r="I1579" s="31"/>
      <c r="J1579" s="155">
        <v>0</v>
      </c>
    </row>
    <row r="1580" spans="1:10" ht="15.75" hidden="1" thickBot="1" x14ac:dyDescent="0.3">
      <c r="A1580" s="177"/>
      <c r="B1580" s="178"/>
      <c r="C1580" s="36"/>
      <c r="D1580" s="36"/>
      <c r="E1580" s="37"/>
      <c r="F1580" s="31" t="s">
        <v>568</v>
      </c>
      <c r="G1580" s="31" t="str">
        <f>IF(ISNUMBER(F1580),E1580*F1580,"")</f>
        <v/>
      </c>
      <c r="H1580" s="35"/>
      <c r="I1580" s="31"/>
      <c r="J1580" s="155">
        <v>0</v>
      </c>
    </row>
    <row r="1581" spans="1:10" ht="15.75" hidden="1" thickBot="1" x14ac:dyDescent="0.3">
      <c r="A1581" s="172" t="s">
        <v>537</v>
      </c>
      <c r="B1581" s="174" t="str">
        <f>INDEX(Orçamentária!A:B,MATCH(Composições!A1581,Orçamentária!A:A,0),2)</f>
        <v>Perfilado 38x38mm</v>
      </c>
      <c r="C1581" s="41"/>
      <c r="D1581" s="26" t="str">
        <f>TRIM(INDEX(Orçamentária!C:C,MATCH(Composições!A1581,Orçamentária!A:A,0),1))</f>
        <v>m</v>
      </c>
      <c r="E1581" s="27"/>
      <c r="F1581" s="42" t="s">
        <v>568</v>
      </c>
      <c r="G1581" s="28" t="str">
        <f>IF(ISNUMBER(F1581),E1581*F1581,"")</f>
        <v/>
      </c>
      <c r="H1581" s="29"/>
      <c r="I1581" s="30"/>
      <c r="J1581" s="155">
        <v>0</v>
      </c>
    </row>
    <row r="1582" spans="1:10" ht="15.75" hidden="1" thickBot="1" x14ac:dyDescent="0.3">
      <c r="A1582" s="176"/>
      <c r="B1582" s="175"/>
      <c r="C1582" s="32"/>
      <c r="D1582" s="32"/>
      <c r="E1582" s="33"/>
      <c r="F1582" s="43" t="s">
        <v>568</v>
      </c>
      <c r="G1582" s="31" t="str">
        <f>IF(ISNUMBER(F1582),E1582*F1582,"")</f>
        <v/>
      </c>
      <c r="H1582" s="35"/>
      <c r="I1582" s="31"/>
      <c r="J1582" s="155">
        <v>0</v>
      </c>
    </row>
    <row r="1583" spans="1:10" ht="15.75" hidden="1" thickBot="1" x14ac:dyDescent="0.3">
      <c r="A1583" s="176"/>
      <c r="B1583" s="175"/>
      <c r="C1583" s="36" t="s">
        <v>538</v>
      </c>
      <c r="D1583" s="36" t="s">
        <v>93</v>
      </c>
      <c r="E1583" s="37">
        <v>1.05</v>
      </c>
      <c r="F1583" s="34" t="s">
        <v>568</v>
      </c>
      <c r="G1583" s="34" t="str">
        <f>IF(ISNUMBER(F1583),E1583*F1583,"")</f>
        <v/>
      </c>
      <c r="H1583" s="39">
        <f>SUM(G1583:G1594)</f>
        <v>19.167955250000002</v>
      </c>
      <c r="I1583" s="40"/>
      <c r="J1583" s="155">
        <v>0</v>
      </c>
    </row>
    <row r="1584" spans="1:10" ht="15.75" hidden="1" thickBot="1" x14ac:dyDescent="0.3">
      <c r="A1584" s="176"/>
      <c r="B1584" s="175"/>
      <c r="C1584" s="36" t="s">
        <v>74</v>
      </c>
      <c r="D1584" s="36" t="s">
        <v>12</v>
      </c>
      <c r="E1584" s="37">
        <v>0.45</v>
      </c>
      <c r="F1584" s="31">
        <v>17.366</v>
      </c>
      <c r="G1584" s="34">
        <f>IF(ISNUMBER(F1584),E1584*F1584,"")</f>
        <v>7.8147000000000002</v>
      </c>
      <c r="H1584" s="35"/>
      <c r="I1584" s="31"/>
      <c r="J1584" s="155">
        <v>0</v>
      </c>
    </row>
    <row r="1585" spans="1:10" ht="15.75" hidden="1" thickBot="1" x14ac:dyDescent="0.3">
      <c r="A1585" s="176"/>
      <c r="B1585" s="175"/>
      <c r="C1585" s="36" t="s">
        <v>30</v>
      </c>
      <c r="D1585" s="36" t="s">
        <v>12</v>
      </c>
      <c r="E1585" s="37">
        <v>0.45</v>
      </c>
      <c r="F1585" s="31">
        <v>22.268000000000001</v>
      </c>
      <c r="G1585" s="34">
        <f>IF(ISNUMBER(F1585),E1585*F1585,"")</f>
        <v>10.0206</v>
      </c>
      <c r="H1585" s="35"/>
      <c r="I1585" s="31"/>
      <c r="J1585" s="155">
        <v>0</v>
      </c>
    </row>
    <row r="1586" spans="1:10" ht="26.25" hidden="1" thickBot="1" x14ac:dyDescent="0.3">
      <c r="A1586" s="176"/>
      <c r="B1586" s="175"/>
      <c r="C1586" s="36" t="s">
        <v>477</v>
      </c>
      <c r="D1586" s="36" t="s">
        <v>149</v>
      </c>
      <c r="E1586" s="37">
        <v>0.67</v>
      </c>
      <c r="F1586" s="31">
        <v>0</v>
      </c>
      <c r="G1586" s="34">
        <f>IF(ISNUMBER(F1586),E1586*F1586,"")</f>
        <v>0</v>
      </c>
      <c r="H1586" s="35"/>
      <c r="I1586" s="31"/>
      <c r="J1586" s="155">
        <v>0</v>
      </c>
    </row>
    <row r="1587" spans="1:10" ht="15.75" hidden="1" thickBot="1" x14ac:dyDescent="0.3">
      <c r="A1587" s="176"/>
      <c r="B1587" s="175"/>
      <c r="C1587" s="36" t="s">
        <v>539</v>
      </c>
      <c r="D1587" s="36" t="s">
        <v>149</v>
      </c>
      <c r="E1587" s="37">
        <v>0.67</v>
      </c>
      <c r="F1587" s="31">
        <v>0.95</v>
      </c>
      <c r="G1587" s="34">
        <f>IF(ISNUMBER(F1587),E1587*F1587,"")</f>
        <v>0.63649999999999995</v>
      </c>
      <c r="H1587" s="35"/>
      <c r="I1587" s="31"/>
      <c r="J1587" s="155">
        <v>0</v>
      </c>
    </row>
    <row r="1588" spans="1:10" ht="15.75" hidden="1" thickBot="1" x14ac:dyDescent="0.3">
      <c r="A1588" s="176"/>
      <c r="B1588" s="175"/>
      <c r="C1588" s="36" t="s">
        <v>479</v>
      </c>
      <c r="D1588" s="36" t="s">
        <v>93</v>
      </c>
      <c r="E1588" s="37">
        <v>0.8</v>
      </c>
      <c r="F1588" s="31">
        <v>0</v>
      </c>
      <c r="G1588" s="34">
        <f>IF(ISNUMBER(F1588),E1588*F1588,"")</f>
        <v>0</v>
      </c>
      <c r="H1588" s="35"/>
      <c r="I1588" s="31"/>
      <c r="J1588" s="155">
        <v>0</v>
      </c>
    </row>
    <row r="1589" spans="1:10" ht="15.75" hidden="1" thickBot="1" x14ac:dyDescent="0.3">
      <c r="A1589" s="176"/>
      <c r="B1589" s="175"/>
      <c r="C1589" s="36" t="s">
        <v>480</v>
      </c>
      <c r="D1589" s="36" t="s">
        <v>297</v>
      </c>
      <c r="E1589" s="37">
        <v>2.6633</v>
      </c>
      <c r="F1589" s="34">
        <v>0.14249999999999999</v>
      </c>
      <c r="G1589" s="34">
        <f>IF(ISNUMBER(F1589),E1589*F1589,"")</f>
        <v>0.37952024999999995</v>
      </c>
      <c r="H1589" s="35"/>
      <c r="I1589" s="31"/>
      <c r="J1589" s="155">
        <v>0</v>
      </c>
    </row>
    <row r="1590" spans="1:10" ht="15.75" hidden="1" thickBot="1" x14ac:dyDescent="0.3">
      <c r="A1590" s="176"/>
      <c r="B1590" s="175"/>
      <c r="C1590" s="36" t="s">
        <v>481</v>
      </c>
      <c r="D1590" s="36" t="s">
        <v>149</v>
      </c>
      <c r="E1590" s="37">
        <v>2.6633</v>
      </c>
      <c r="F1590" s="31">
        <v>0</v>
      </c>
      <c r="G1590" s="34">
        <f>IF(ISNUMBER(F1590),E1590*F1590,"")</f>
        <v>0</v>
      </c>
      <c r="H1590" s="35"/>
      <c r="I1590" s="31"/>
      <c r="J1590" s="155">
        <v>0</v>
      </c>
    </row>
    <row r="1591" spans="1:10" ht="15.75" hidden="1" thickBot="1" x14ac:dyDescent="0.3">
      <c r="A1591" s="176"/>
      <c r="B1591" s="175"/>
      <c r="C1591" s="36" t="s">
        <v>483</v>
      </c>
      <c r="D1591" s="36" t="s">
        <v>149</v>
      </c>
      <c r="E1591" s="37">
        <v>0.67</v>
      </c>
      <c r="F1591" s="31">
        <v>0</v>
      </c>
      <c r="G1591" s="34">
        <f>IF(ISNUMBER(F1591),E1591*F1591,"")</f>
        <v>0</v>
      </c>
      <c r="H1591" s="35"/>
      <c r="I1591" s="31"/>
      <c r="J1591" s="155">
        <v>0</v>
      </c>
    </row>
    <row r="1592" spans="1:10" ht="15.75" hidden="1" thickBot="1" x14ac:dyDescent="0.3">
      <c r="A1592" s="176"/>
      <c r="B1592" s="175"/>
      <c r="C1592" s="36" t="s">
        <v>484</v>
      </c>
      <c r="D1592" s="36" t="s">
        <v>20</v>
      </c>
      <c r="E1592" s="37">
        <v>1.33</v>
      </c>
      <c r="F1592" s="31">
        <v>0</v>
      </c>
      <c r="G1592" s="34">
        <f>IF(ISNUMBER(F1592),E1592*F1592,"")</f>
        <v>0</v>
      </c>
      <c r="H1592" s="35"/>
      <c r="I1592" s="31"/>
      <c r="J1592" s="155">
        <v>0</v>
      </c>
    </row>
    <row r="1593" spans="1:10" ht="15.75" hidden="1" thickBot="1" x14ac:dyDescent="0.3">
      <c r="A1593" s="176"/>
      <c r="B1593" s="175"/>
      <c r="C1593" s="36" t="s">
        <v>540</v>
      </c>
      <c r="D1593" s="36" t="s">
        <v>149</v>
      </c>
      <c r="E1593" s="37">
        <v>0.33329999999999999</v>
      </c>
      <c r="F1593" s="31">
        <v>0.95</v>
      </c>
      <c r="G1593" s="34">
        <f>IF(ISNUMBER(F1593),E1593*F1593,"")</f>
        <v>0.31663499999999994</v>
      </c>
      <c r="H1593" s="35"/>
      <c r="I1593" s="31"/>
      <c r="J1593" s="155">
        <v>0</v>
      </c>
    </row>
    <row r="1594" spans="1:10" ht="15.75" hidden="1" thickBot="1" x14ac:dyDescent="0.3">
      <c r="A1594" s="176"/>
      <c r="B1594" s="175"/>
      <c r="C1594" s="36" t="s">
        <v>541</v>
      </c>
      <c r="D1594" s="36" t="s">
        <v>93</v>
      </c>
      <c r="E1594" s="37">
        <v>1.05</v>
      </c>
      <c r="F1594" s="31">
        <v>0</v>
      </c>
      <c r="G1594" s="34">
        <f>IF(ISNUMBER(F1594),E1594*F1594,"")</f>
        <v>0</v>
      </c>
      <c r="H1594" s="35"/>
      <c r="I1594" s="31"/>
      <c r="J1594" s="155">
        <v>0</v>
      </c>
    </row>
    <row r="1595" spans="1:10" ht="15.75" hidden="1" thickBot="1" x14ac:dyDescent="0.3">
      <c r="A1595" s="177"/>
      <c r="B1595" s="178"/>
      <c r="C1595" s="36"/>
      <c r="D1595" s="36"/>
      <c r="E1595" s="37"/>
      <c r="F1595" s="31" t="s">
        <v>568</v>
      </c>
      <c r="G1595" s="31" t="str">
        <f>IF(ISNUMBER(F1595),E1595*F1595,"")</f>
        <v/>
      </c>
      <c r="H1595" s="35"/>
      <c r="I1595" s="31"/>
      <c r="J1595" s="155">
        <v>0</v>
      </c>
    </row>
    <row r="1596" spans="1:10" ht="15.75" thickBot="1" x14ac:dyDescent="0.3">
      <c r="A1596" s="172" t="s">
        <v>542</v>
      </c>
      <c r="B1596" s="174" t="str">
        <f>INDEX(Orçamentária!A:B,MATCH(Composições!A1596,Orçamentária!A:A,0),2)</f>
        <v>Espelho 4x2</v>
      </c>
      <c r="C1596" s="41"/>
      <c r="D1596" s="26" t="str">
        <f>TRIM(INDEX(Orçamentária!C:C,MATCH(Composições!A1596,Orçamentária!A:A,0),1))</f>
        <v>un</v>
      </c>
      <c r="E1596" s="27"/>
      <c r="F1596" s="42" t="s">
        <v>568</v>
      </c>
      <c r="G1596" s="28" t="str">
        <f>IF(ISNUMBER(F1596),E1596*F1596,"")</f>
        <v/>
      </c>
      <c r="H1596" s="29"/>
      <c r="I1596" s="30"/>
      <c r="J1596" s="155">
        <v>107</v>
      </c>
    </row>
    <row r="1597" spans="1:10" x14ac:dyDescent="0.25">
      <c r="A1597" s="176"/>
      <c r="B1597" s="175"/>
      <c r="C1597" s="32"/>
      <c r="D1597" s="32"/>
      <c r="E1597" s="33"/>
      <c r="F1597" s="43" t="s">
        <v>568</v>
      </c>
      <c r="G1597" s="31" t="str">
        <f>IF(ISNUMBER(F1597),E1597*F1597,"")</f>
        <v/>
      </c>
      <c r="H1597" s="35"/>
      <c r="I1597" s="31"/>
      <c r="J1597" s="155">
        <v>107</v>
      </c>
    </row>
    <row r="1598" spans="1:10" ht="25.5" x14ac:dyDescent="0.25">
      <c r="A1598" s="176"/>
      <c r="B1598" s="175"/>
      <c r="C1598" s="36" t="s">
        <v>543</v>
      </c>
      <c r="D1598" s="36" t="s">
        <v>20</v>
      </c>
      <c r="E1598" s="37">
        <v>1</v>
      </c>
      <c r="F1598" s="34">
        <v>2.4034999999999997</v>
      </c>
      <c r="G1598" s="34">
        <f>IF(ISNUMBER(F1598),E1598*F1598,"")</f>
        <v>2.4034999999999997</v>
      </c>
      <c r="H1598" s="39">
        <f>SUM(G1598:G1600)</f>
        <v>5.6075839999999992</v>
      </c>
      <c r="I1598" s="40"/>
      <c r="J1598" s="155">
        <v>107</v>
      </c>
    </row>
    <row r="1599" spans="1:10" ht="25.5" x14ac:dyDescent="0.25">
      <c r="A1599" s="176"/>
      <c r="B1599" s="175"/>
      <c r="C1599" s="36" t="s">
        <v>544</v>
      </c>
      <c r="D1599" s="36" t="s">
        <v>20</v>
      </c>
      <c r="E1599" s="37">
        <v>1</v>
      </c>
      <c r="F1599" s="34">
        <v>1.2444999999999999</v>
      </c>
      <c r="G1599" s="34">
        <f>IF(ISNUMBER(F1599),E1599*F1599,"")</f>
        <v>1.2444999999999999</v>
      </c>
      <c r="H1599" s="35"/>
      <c r="I1599" s="31"/>
      <c r="J1599" s="155">
        <v>107</v>
      </c>
    </row>
    <row r="1600" spans="1:10" x14ac:dyDescent="0.25">
      <c r="A1600" s="176"/>
      <c r="B1600" s="175"/>
      <c r="C1600" s="36" t="s">
        <v>30</v>
      </c>
      <c r="D1600" s="36" t="s">
        <v>12</v>
      </c>
      <c r="E1600" s="37">
        <v>8.7999999999999995E-2</v>
      </c>
      <c r="F1600" s="31">
        <v>22.268000000000001</v>
      </c>
      <c r="G1600" s="34">
        <f>IF(ISNUMBER(F1600),E1600*F1600,"")</f>
        <v>1.959584</v>
      </c>
      <c r="H1600" s="35"/>
      <c r="I1600" s="31"/>
      <c r="J1600" s="155">
        <v>107</v>
      </c>
    </row>
    <row r="1601" spans="1:10" ht="15.75" thickBot="1" x14ac:dyDescent="0.3">
      <c r="A1601" s="177"/>
      <c r="B1601" s="178"/>
      <c r="C1601" s="36"/>
      <c r="D1601" s="36"/>
      <c r="E1601" s="37"/>
      <c r="F1601" s="31" t="s">
        <v>568</v>
      </c>
      <c r="G1601" s="31" t="str">
        <f>IF(ISNUMBER(F1601),E1601*F1601,"")</f>
        <v/>
      </c>
      <c r="H1601" s="35"/>
      <c r="I1601" s="31"/>
      <c r="J1601" s="155">
        <v>107</v>
      </c>
    </row>
    <row r="1602" spans="1:10" ht="15.75" hidden="1" thickBot="1" x14ac:dyDescent="0.3">
      <c r="A1602" s="172" t="s">
        <v>545</v>
      </c>
      <c r="B1602" s="174" t="str">
        <f>INDEX(Orçamentária!A:B,MATCH(Composições!A1602,Orçamentária!A:A,0),2)</f>
        <v>Espelho 4x4</v>
      </c>
      <c r="C1602" s="41"/>
      <c r="D1602" s="26" t="str">
        <f>TRIM(INDEX(Orçamentária!C:C,MATCH(Composições!A1602,Orçamentária!A:A,0),1))</f>
        <v>un</v>
      </c>
      <c r="E1602" s="27"/>
      <c r="F1602" s="42" t="s">
        <v>568</v>
      </c>
      <c r="G1602" s="28" t="str">
        <f>IF(ISNUMBER(F1602),E1602*F1602,"")</f>
        <v/>
      </c>
      <c r="H1602" s="29"/>
      <c r="I1602" s="30"/>
      <c r="J1602" s="155">
        <v>0</v>
      </c>
    </row>
    <row r="1603" spans="1:10" ht="15.75" hidden="1" thickBot="1" x14ac:dyDescent="0.3">
      <c r="A1603" s="176"/>
      <c r="B1603" s="175"/>
      <c r="C1603" s="32"/>
      <c r="D1603" s="32"/>
      <c r="E1603" s="33"/>
      <c r="F1603" s="43" t="s">
        <v>568</v>
      </c>
      <c r="G1603" s="31" t="str">
        <f>IF(ISNUMBER(F1603),E1603*F1603,"")</f>
        <v/>
      </c>
      <c r="H1603" s="35"/>
      <c r="I1603" s="31"/>
      <c r="J1603" s="155">
        <v>0</v>
      </c>
    </row>
    <row r="1604" spans="1:10" ht="26.25" hidden="1" thickBot="1" x14ac:dyDescent="0.3">
      <c r="A1604" s="176"/>
      <c r="B1604" s="175"/>
      <c r="C1604" s="36" t="s">
        <v>546</v>
      </c>
      <c r="D1604" s="36" t="s">
        <v>20</v>
      </c>
      <c r="E1604" s="37">
        <v>1</v>
      </c>
      <c r="F1604" s="34">
        <v>4.8829999999999991</v>
      </c>
      <c r="G1604" s="31">
        <f>IF(ISNUMBER(F1604),E1604*F1604,"")</f>
        <v>4.8829999999999991</v>
      </c>
      <c r="H1604" s="39">
        <f>SUM(G1604:G1606)</f>
        <v>9.2413720000000001</v>
      </c>
      <c r="I1604" s="40"/>
      <c r="J1604" s="155">
        <v>0</v>
      </c>
    </row>
    <row r="1605" spans="1:10" ht="26.25" hidden="1" thickBot="1" x14ac:dyDescent="0.3">
      <c r="A1605" s="176"/>
      <c r="B1605" s="175"/>
      <c r="C1605" s="36" t="s">
        <v>547</v>
      </c>
      <c r="D1605" s="47" t="s">
        <v>20</v>
      </c>
      <c r="E1605" s="37">
        <v>1</v>
      </c>
      <c r="F1605" s="34">
        <v>2.0425</v>
      </c>
      <c r="G1605" s="34">
        <f>IF(ISNUMBER(F1605),E1605*F1605,"")</f>
        <v>2.0425</v>
      </c>
      <c r="H1605" s="35"/>
      <c r="I1605" s="31"/>
      <c r="J1605" s="155">
        <v>0</v>
      </c>
    </row>
    <row r="1606" spans="1:10" ht="15.75" hidden="1" thickBot="1" x14ac:dyDescent="0.3">
      <c r="A1606" s="176"/>
      <c r="B1606" s="175"/>
      <c r="C1606" s="36" t="s">
        <v>30</v>
      </c>
      <c r="D1606" s="36" t="s">
        <v>12</v>
      </c>
      <c r="E1606" s="37">
        <v>0.104</v>
      </c>
      <c r="F1606" s="31">
        <v>22.268000000000001</v>
      </c>
      <c r="G1606" s="34">
        <f>IF(ISNUMBER(F1606),E1606*F1606,"")</f>
        <v>2.3158720000000002</v>
      </c>
      <c r="H1606" s="35"/>
      <c r="I1606" s="31"/>
      <c r="J1606" s="155">
        <v>0</v>
      </c>
    </row>
    <row r="1607" spans="1:10" ht="15.75" hidden="1" thickBot="1" x14ac:dyDescent="0.3">
      <c r="A1607" s="177"/>
      <c r="B1607" s="178"/>
      <c r="C1607" s="36"/>
      <c r="D1607" s="36"/>
      <c r="E1607" s="37"/>
      <c r="F1607" s="31" t="s">
        <v>568</v>
      </c>
      <c r="G1607" s="31" t="str">
        <f>IF(ISNUMBER(F1607),E1607*F1607,"")</f>
        <v/>
      </c>
      <c r="H1607" s="35"/>
      <c r="I1607" s="31"/>
      <c r="J1607" s="155">
        <v>0</v>
      </c>
    </row>
    <row r="1608" spans="1:10" ht="15.75" hidden="1" thickBot="1" x14ac:dyDescent="0.3">
      <c r="A1608" s="172" t="s">
        <v>548</v>
      </c>
      <c r="B1608" s="174" t="str">
        <f>INDEX(Orçamentária!A:B,MATCH(Composições!A1608,Orçamentária!A:A,0),2)</f>
        <v>Espelho cego redondo</v>
      </c>
      <c r="C1608" s="41"/>
      <c r="D1608" s="26" t="str">
        <f>TRIM(INDEX(Orçamentária!C:C,MATCH(Composições!A1608,Orçamentária!A:A,0),1))</f>
        <v>un</v>
      </c>
      <c r="E1608" s="27"/>
      <c r="F1608" s="42" t="s">
        <v>568</v>
      </c>
      <c r="G1608" s="28" t="str">
        <f>IF(ISNUMBER(F1608),E1608*F1608,"")</f>
        <v/>
      </c>
      <c r="H1608" s="29"/>
      <c r="I1608" s="30"/>
      <c r="J1608" s="155">
        <v>0</v>
      </c>
    </row>
    <row r="1609" spans="1:10" ht="15.75" hidden="1" thickBot="1" x14ac:dyDescent="0.3">
      <c r="A1609" s="176"/>
      <c r="B1609" s="175"/>
      <c r="C1609" s="32"/>
      <c r="D1609" s="32"/>
      <c r="E1609" s="33"/>
      <c r="F1609" s="43" t="s">
        <v>568</v>
      </c>
      <c r="G1609" s="31" t="str">
        <f>IF(ISNUMBER(F1609),E1609*F1609,"")</f>
        <v/>
      </c>
      <c r="H1609" s="35"/>
      <c r="I1609" s="31"/>
      <c r="J1609" s="155">
        <v>0</v>
      </c>
    </row>
    <row r="1610" spans="1:10" ht="15.75" hidden="1" thickBot="1" x14ac:dyDescent="0.3">
      <c r="A1610" s="176"/>
      <c r="B1610" s="175"/>
      <c r="C1610" s="36" t="s">
        <v>549</v>
      </c>
      <c r="D1610" s="36" t="s">
        <v>20</v>
      </c>
      <c r="E1610" s="37">
        <v>1</v>
      </c>
      <c r="F1610" s="34" t="s">
        <v>568</v>
      </c>
      <c r="G1610" s="31" t="str">
        <f>IF(ISNUMBER(F1610),E1610*F1610,"")</f>
        <v/>
      </c>
      <c r="H1610" s="39">
        <f>SUM(G1610:G1612)</f>
        <v>4.3583720000000001</v>
      </c>
      <c r="I1610" s="40"/>
      <c r="J1610" s="155">
        <v>0</v>
      </c>
    </row>
    <row r="1611" spans="1:10" ht="26.25" hidden="1" thickBot="1" x14ac:dyDescent="0.3">
      <c r="A1611" s="176"/>
      <c r="B1611" s="175"/>
      <c r="C1611" s="36" t="s">
        <v>547</v>
      </c>
      <c r="D1611" s="47" t="s">
        <v>20</v>
      </c>
      <c r="E1611" s="37">
        <v>1</v>
      </c>
      <c r="F1611" s="34">
        <v>2.0425</v>
      </c>
      <c r="G1611" s="34">
        <f>IF(ISNUMBER(F1611),E1611*F1611,"")</f>
        <v>2.0425</v>
      </c>
      <c r="H1611" s="35"/>
      <c r="I1611" s="31"/>
      <c r="J1611" s="155">
        <v>0</v>
      </c>
    </row>
    <row r="1612" spans="1:10" ht="15.75" hidden="1" thickBot="1" x14ac:dyDescent="0.3">
      <c r="A1612" s="176"/>
      <c r="B1612" s="175"/>
      <c r="C1612" s="36" t="s">
        <v>30</v>
      </c>
      <c r="D1612" s="36" t="s">
        <v>12</v>
      </c>
      <c r="E1612" s="37">
        <v>0.104</v>
      </c>
      <c r="F1612" s="31">
        <v>22.268000000000001</v>
      </c>
      <c r="G1612" s="34">
        <f>IF(ISNUMBER(F1612),E1612*F1612,"")</f>
        <v>2.3158720000000002</v>
      </c>
      <c r="H1612" s="35"/>
      <c r="I1612" s="31"/>
      <c r="J1612" s="155">
        <v>0</v>
      </c>
    </row>
    <row r="1613" spans="1:10" ht="15.75" hidden="1" thickBot="1" x14ac:dyDescent="0.3">
      <c r="A1613" s="177"/>
      <c r="B1613" s="178"/>
      <c r="C1613" s="36"/>
      <c r="D1613" s="36"/>
      <c r="E1613" s="37"/>
      <c r="F1613" s="31" t="s">
        <v>568</v>
      </c>
      <c r="G1613" s="31" t="str">
        <f>IF(ISNUMBER(F1613),E1613*F1613,"")</f>
        <v/>
      </c>
      <c r="H1613" s="35"/>
      <c r="I1613" s="31"/>
      <c r="J1613" s="155">
        <v>0</v>
      </c>
    </row>
    <row r="1614" spans="1:10" ht="15.75" thickBot="1" x14ac:dyDescent="0.3">
      <c r="A1614" s="172" t="s">
        <v>550</v>
      </c>
      <c r="B1614" s="174" t="str">
        <f>INDEX(Orçamentária!A:B,MATCH(Composições!A1614,Orçamentária!A:A,0),2)</f>
        <v>Interruptor para condulete</v>
      </c>
      <c r="C1614" s="41"/>
      <c r="D1614" s="26" t="str">
        <f>TRIM(INDEX(Orçamentária!C:C,MATCH(Composições!A1614,Orçamentária!A:A,0),1))</f>
        <v>un</v>
      </c>
      <c r="E1614" s="27"/>
      <c r="F1614" s="42" t="s">
        <v>568</v>
      </c>
      <c r="G1614" s="28" t="str">
        <f>IF(ISNUMBER(F1614),E1614*F1614,"")</f>
        <v/>
      </c>
      <c r="H1614" s="29"/>
      <c r="I1614" s="30"/>
      <c r="J1614" s="155">
        <v>2</v>
      </c>
    </row>
    <row r="1615" spans="1:10" x14ac:dyDescent="0.25">
      <c r="A1615" s="176"/>
      <c r="B1615" s="175"/>
      <c r="C1615" s="32"/>
      <c r="D1615" s="32"/>
      <c r="E1615" s="33"/>
      <c r="F1615" s="43" t="s">
        <v>568</v>
      </c>
      <c r="G1615" s="31" t="str">
        <f>IF(ISNUMBER(F1615),E1615*F1615,"")</f>
        <v/>
      </c>
      <c r="H1615" s="35"/>
      <c r="I1615" s="31"/>
      <c r="J1615" s="155">
        <v>2</v>
      </c>
    </row>
    <row r="1616" spans="1:10" x14ac:dyDescent="0.25">
      <c r="A1616" s="176"/>
      <c r="B1616" s="175"/>
      <c r="C1616" s="36" t="s">
        <v>30</v>
      </c>
      <c r="D1616" s="36" t="s">
        <v>12</v>
      </c>
      <c r="E1616" s="37">
        <f>0.3/2</f>
        <v>0.15</v>
      </c>
      <c r="F1616" s="31">
        <v>22.268000000000001</v>
      </c>
      <c r="G1616" s="34">
        <f>IF(ISNUMBER(F1616),E1616*F1616,"")</f>
        <v>3.3401999999999998</v>
      </c>
      <c r="H1616" s="39">
        <f>SUM(G1616:G1619)</f>
        <v>25.2151</v>
      </c>
      <c r="I1616" s="40"/>
      <c r="J1616" s="155">
        <v>2</v>
      </c>
    </row>
    <row r="1617" spans="1:10" x14ac:dyDescent="0.25">
      <c r="A1617" s="176"/>
      <c r="B1617" s="175"/>
      <c r="C1617" s="36" t="s">
        <v>74</v>
      </c>
      <c r="D1617" s="36" t="s">
        <v>12</v>
      </c>
      <c r="E1617" s="37">
        <f>0.3/2</f>
        <v>0.15</v>
      </c>
      <c r="F1617" s="31">
        <v>17.366</v>
      </c>
      <c r="G1617" s="34">
        <f>IF(ISNUMBER(F1617),E1617*F1617,"")</f>
        <v>2.6048999999999998</v>
      </c>
      <c r="H1617" s="35"/>
      <c r="I1617" s="31"/>
      <c r="J1617" s="155">
        <v>2</v>
      </c>
    </row>
    <row r="1618" spans="1:10" ht="25.5" x14ac:dyDescent="0.25">
      <c r="A1618" s="176"/>
      <c r="B1618" s="175"/>
      <c r="C1618" s="36" t="s">
        <v>551</v>
      </c>
      <c r="D1618" s="36" t="s">
        <v>20</v>
      </c>
      <c r="E1618" s="37">
        <v>1</v>
      </c>
      <c r="F1618" s="34">
        <v>4.2699999999999996</v>
      </c>
      <c r="G1618" s="34">
        <f>IF(ISNUMBER(F1618),E1618*F1618,"")</f>
        <v>4.2699999999999996</v>
      </c>
      <c r="H1618" s="35"/>
      <c r="I1618" s="31"/>
      <c r="J1618" s="155">
        <v>2</v>
      </c>
    </row>
    <row r="1619" spans="1:10" ht="25.5" x14ac:dyDescent="0.25">
      <c r="A1619" s="176"/>
      <c r="B1619" s="175"/>
      <c r="C1619" s="36" t="s">
        <v>552</v>
      </c>
      <c r="D1619" s="36" t="s">
        <v>20</v>
      </c>
      <c r="E1619" s="37">
        <v>1</v>
      </c>
      <c r="F1619" s="34">
        <v>15</v>
      </c>
      <c r="G1619" s="31">
        <f>IF(ISNUMBER(F1619),E1619*F1619,"")</f>
        <v>15</v>
      </c>
      <c r="H1619" s="35"/>
      <c r="I1619" s="31"/>
      <c r="J1619" s="155">
        <v>2</v>
      </c>
    </row>
    <row r="1620" spans="1:10" ht="15.75" thickBot="1" x14ac:dyDescent="0.3">
      <c r="A1620" s="177"/>
      <c r="B1620" s="178"/>
      <c r="C1620" s="36"/>
      <c r="D1620" s="36"/>
      <c r="E1620" s="37"/>
      <c r="F1620" s="31" t="s">
        <v>568</v>
      </c>
      <c r="G1620" s="31" t="str">
        <f>IF(ISNUMBER(F1620),E1620*F1620,"")</f>
        <v/>
      </c>
      <c r="H1620" s="35"/>
      <c r="I1620" s="31"/>
      <c r="J1620" s="155">
        <v>2</v>
      </c>
    </row>
    <row r="1621" spans="1:10" ht="15.75" thickBot="1" x14ac:dyDescent="0.3">
      <c r="A1621" s="172" t="s">
        <v>553</v>
      </c>
      <c r="B1621" s="174" t="str">
        <f>INDEX(Orçamentária!A:B,MATCH(Composições!A1621,Orçamentária!A:A,0),2)</f>
        <v>Módulo cego</v>
      </c>
      <c r="C1621" s="41"/>
      <c r="D1621" s="26" t="str">
        <f>TRIM(INDEX(Orçamentária!C:C,MATCH(Composições!A1621,Orçamentária!A:A,0),1))</f>
        <v>un</v>
      </c>
      <c r="E1621" s="27"/>
      <c r="F1621" s="42" t="s">
        <v>568</v>
      </c>
      <c r="G1621" s="28" t="str">
        <f>IF(ISNUMBER(F1621),E1621*F1621,"")</f>
        <v/>
      </c>
      <c r="H1621" s="29"/>
      <c r="I1621" s="30"/>
      <c r="J1621" s="155">
        <v>160</v>
      </c>
    </row>
    <row r="1622" spans="1:10" x14ac:dyDescent="0.25">
      <c r="A1622" s="176"/>
      <c r="B1622" s="175"/>
      <c r="C1622" s="32"/>
      <c r="D1622" s="32"/>
      <c r="E1622" s="33"/>
      <c r="F1622" s="43" t="s">
        <v>568</v>
      </c>
      <c r="G1622" s="31" t="str">
        <f>IF(ISNUMBER(F1622),E1622*F1622,"")</f>
        <v/>
      </c>
      <c r="H1622" s="35"/>
      <c r="I1622" s="31"/>
      <c r="J1622" s="155">
        <v>160</v>
      </c>
    </row>
    <row r="1623" spans="1:10" x14ac:dyDescent="0.25">
      <c r="A1623" s="176"/>
      <c r="B1623" s="175"/>
      <c r="C1623" s="36" t="s">
        <v>30</v>
      </c>
      <c r="D1623" s="36" t="s">
        <v>12</v>
      </c>
      <c r="E1623" s="37">
        <v>0.1</v>
      </c>
      <c r="F1623" s="31">
        <v>22.268000000000001</v>
      </c>
      <c r="G1623" s="34">
        <f>IF(ISNUMBER(F1623),E1623*F1623,"")</f>
        <v>2.2268000000000003</v>
      </c>
      <c r="H1623" s="39">
        <f>SUM(G1623:G1624)</f>
        <v>3.8068000000000004</v>
      </c>
      <c r="I1623" s="40"/>
      <c r="J1623" s="155">
        <v>160</v>
      </c>
    </row>
    <row r="1624" spans="1:10" x14ac:dyDescent="0.25">
      <c r="A1624" s="176"/>
      <c r="B1624" s="175"/>
      <c r="C1624" s="36" t="s">
        <v>554</v>
      </c>
      <c r="D1624" s="36" t="s">
        <v>20</v>
      </c>
      <c r="E1624" s="37">
        <v>1</v>
      </c>
      <c r="F1624" s="34">
        <v>1.58</v>
      </c>
      <c r="G1624" s="31">
        <f>IF(ISNUMBER(F1624),E1624*F1624,"")</f>
        <v>1.58</v>
      </c>
      <c r="H1624" s="35"/>
      <c r="I1624" s="31"/>
      <c r="J1624" s="155">
        <v>160</v>
      </c>
    </row>
    <row r="1625" spans="1:10" ht="15.75" thickBot="1" x14ac:dyDescent="0.3">
      <c r="A1625" s="177"/>
      <c r="B1625" s="178"/>
      <c r="C1625" s="36"/>
      <c r="D1625" s="36"/>
      <c r="E1625" s="37"/>
      <c r="F1625" s="31" t="s">
        <v>568</v>
      </c>
      <c r="G1625" s="31" t="str">
        <f>IF(ISNUMBER(F1625),E1625*F1625,"")</f>
        <v/>
      </c>
      <c r="H1625" s="35"/>
      <c r="I1625" s="31"/>
      <c r="J1625" s="155">
        <v>160</v>
      </c>
    </row>
    <row r="1626" spans="1:10" ht="15.75" thickBot="1" x14ac:dyDescent="0.3">
      <c r="A1626" s="172" t="s">
        <v>555</v>
      </c>
      <c r="B1626" s="174" t="str">
        <f>INDEX(Orçamentária!A:B,MATCH(Composições!A1626,Orçamentária!A:A,0),2)</f>
        <v>Módulo interruptor paralelo</v>
      </c>
      <c r="C1626" s="41"/>
      <c r="D1626" s="26" t="str">
        <f>TRIM(INDEX(Orçamentária!C:C,MATCH(Composições!A1626,Orçamentária!A:A,0),1))</f>
        <v>un</v>
      </c>
      <c r="E1626" s="27"/>
      <c r="F1626" s="42" t="s">
        <v>568</v>
      </c>
      <c r="G1626" s="28" t="str">
        <f>IF(ISNUMBER(F1626),E1626*F1626,"")</f>
        <v/>
      </c>
      <c r="H1626" s="29"/>
      <c r="I1626" s="30"/>
      <c r="J1626" s="155">
        <v>4</v>
      </c>
    </row>
    <row r="1627" spans="1:10" x14ac:dyDescent="0.25">
      <c r="A1627" s="176"/>
      <c r="B1627" s="175"/>
      <c r="C1627" s="32"/>
      <c r="D1627" s="32"/>
      <c r="E1627" s="33"/>
      <c r="F1627" s="43" t="s">
        <v>568</v>
      </c>
      <c r="G1627" s="31" t="str">
        <f>IF(ISNUMBER(F1627),E1627*F1627,"")</f>
        <v/>
      </c>
      <c r="H1627" s="35"/>
      <c r="I1627" s="31"/>
      <c r="J1627" s="155">
        <v>4</v>
      </c>
    </row>
    <row r="1628" spans="1:10" x14ac:dyDescent="0.25">
      <c r="A1628" s="176"/>
      <c r="B1628" s="175"/>
      <c r="C1628" s="36" t="s">
        <v>556</v>
      </c>
      <c r="D1628" s="36" t="s">
        <v>20</v>
      </c>
      <c r="E1628" s="37">
        <v>1</v>
      </c>
      <c r="F1628" s="34">
        <v>7.391</v>
      </c>
      <c r="G1628" s="31">
        <f>IF(ISNUMBER(F1628),E1628*F1628,"")</f>
        <v>7.391</v>
      </c>
      <c r="H1628" s="39">
        <f>SUM(G1628:G1630)</f>
        <v>19.598272000000001</v>
      </c>
      <c r="I1628" s="40"/>
      <c r="J1628" s="155">
        <v>4</v>
      </c>
    </row>
    <row r="1629" spans="1:10" x14ac:dyDescent="0.25">
      <c r="A1629" s="176"/>
      <c r="B1629" s="175"/>
      <c r="C1629" s="36" t="s">
        <v>74</v>
      </c>
      <c r="D1629" s="36" t="s">
        <v>12</v>
      </c>
      <c r="E1629" s="37">
        <v>0.308</v>
      </c>
      <c r="F1629" s="31">
        <v>17.366</v>
      </c>
      <c r="G1629" s="34">
        <f>IF(ISNUMBER(F1629),E1629*F1629,"")</f>
        <v>5.3487279999999995</v>
      </c>
      <c r="H1629" s="35"/>
      <c r="I1629" s="31"/>
      <c r="J1629" s="155">
        <v>4</v>
      </c>
    </row>
    <row r="1630" spans="1:10" x14ac:dyDescent="0.25">
      <c r="A1630" s="176"/>
      <c r="B1630" s="175"/>
      <c r="C1630" s="36" t="s">
        <v>30</v>
      </c>
      <c r="D1630" s="36" t="s">
        <v>12</v>
      </c>
      <c r="E1630" s="37">
        <v>0.308</v>
      </c>
      <c r="F1630" s="31">
        <v>22.268000000000001</v>
      </c>
      <c r="G1630" s="34">
        <f>IF(ISNUMBER(F1630),E1630*F1630,"")</f>
        <v>6.8585440000000002</v>
      </c>
      <c r="H1630" s="35"/>
      <c r="I1630" s="31"/>
      <c r="J1630" s="155">
        <v>4</v>
      </c>
    </row>
    <row r="1631" spans="1:10" ht="15.75" thickBot="1" x14ac:dyDescent="0.3">
      <c r="A1631" s="177"/>
      <c r="B1631" s="178"/>
      <c r="C1631" s="36"/>
      <c r="D1631" s="36"/>
      <c r="E1631" s="37"/>
      <c r="F1631" s="31" t="s">
        <v>568</v>
      </c>
      <c r="G1631" s="31" t="str">
        <f>IF(ISNUMBER(F1631),E1631*F1631,"")</f>
        <v/>
      </c>
      <c r="H1631" s="35"/>
      <c r="I1631" s="31"/>
      <c r="J1631" s="155">
        <v>4</v>
      </c>
    </row>
    <row r="1632" spans="1:10" ht="15.75" thickBot="1" x14ac:dyDescent="0.3">
      <c r="A1632" s="172" t="s">
        <v>557</v>
      </c>
      <c r="B1632" s="174" t="str">
        <f>INDEX(Orçamentária!A:B,MATCH(Composições!A1632,Orçamentária!A:A,0),2)</f>
        <v>Módulo interruptor simples</v>
      </c>
      <c r="C1632" s="41"/>
      <c r="D1632" s="26" t="str">
        <f>TRIM(INDEX(Orçamentária!C:C,MATCH(Composições!A1632,Orçamentária!A:A,0),1))</f>
        <v>un</v>
      </c>
      <c r="E1632" s="27"/>
      <c r="F1632" s="42" t="s">
        <v>568</v>
      </c>
      <c r="G1632" s="28" t="str">
        <f>IF(ISNUMBER(F1632),E1632*F1632,"")</f>
        <v/>
      </c>
      <c r="H1632" s="29"/>
      <c r="I1632" s="30"/>
      <c r="J1632" s="155">
        <v>7</v>
      </c>
    </row>
    <row r="1633" spans="1:10" x14ac:dyDescent="0.25">
      <c r="A1633" s="176"/>
      <c r="B1633" s="175"/>
      <c r="C1633" s="32"/>
      <c r="D1633" s="32"/>
      <c r="E1633" s="33"/>
      <c r="F1633" s="43" t="s">
        <v>568</v>
      </c>
      <c r="G1633" s="31" t="str">
        <f>IF(ISNUMBER(F1633),E1633*F1633,"")</f>
        <v/>
      </c>
      <c r="H1633" s="35"/>
      <c r="I1633" s="31"/>
      <c r="J1633" s="155">
        <v>7</v>
      </c>
    </row>
    <row r="1634" spans="1:10" x14ac:dyDescent="0.25">
      <c r="A1634" s="176"/>
      <c r="B1634" s="175"/>
      <c r="C1634" s="36" t="s">
        <v>558</v>
      </c>
      <c r="D1634" s="36" t="s">
        <v>20</v>
      </c>
      <c r="E1634" s="37">
        <v>1</v>
      </c>
      <c r="F1634" s="34">
        <v>5.6714999999999991</v>
      </c>
      <c r="G1634" s="31">
        <f>IF(ISNUMBER(F1634),E1634*F1634,"")</f>
        <v>5.6714999999999991</v>
      </c>
      <c r="H1634" s="39">
        <f>SUM(G1634:G1636)</f>
        <v>14.58915</v>
      </c>
      <c r="I1634" s="40"/>
      <c r="J1634" s="155">
        <v>7</v>
      </c>
    </row>
    <row r="1635" spans="1:10" x14ac:dyDescent="0.25">
      <c r="A1635" s="176"/>
      <c r="B1635" s="175"/>
      <c r="C1635" s="36" t="s">
        <v>74</v>
      </c>
      <c r="D1635" s="36" t="s">
        <v>12</v>
      </c>
      <c r="E1635" s="37">
        <v>0.22500000000000001</v>
      </c>
      <c r="F1635" s="31">
        <v>17.366</v>
      </c>
      <c r="G1635" s="34">
        <f>IF(ISNUMBER(F1635),E1635*F1635,"")</f>
        <v>3.9073500000000001</v>
      </c>
      <c r="H1635" s="35"/>
      <c r="I1635" s="31"/>
      <c r="J1635" s="155">
        <v>7</v>
      </c>
    </row>
    <row r="1636" spans="1:10" x14ac:dyDescent="0.25">
      <c r="A1636" s="176"/>
      <c r="B1636" s="175"/>
      <c r="C1636" s="36" t="s">
        <v>30</v>
      </c>
      <c r="D1636" s="36" t="s">
        <v>12</v>
      </c>
      <c r="E1636" s="37">
        <v>0.22500000000000001</v>
      </c>
      <c r="F1636" s="31">
        <v>22.268000000000001</v>
      </c>
      <c r="G1636" s="34">
        <f>IF(ISNUMBER(F1636),E1636*F1636,"")</f>
        <v>5.0103</v>
      </c>
      <c r="H1636" s="35"/>
      <c r="I1636" s="31"/>
      <c r="J1636" s="155">
        <v>7</v>
      </c>
    </row>
    <row r="1637" spans="1:10" ht="15.75" thickBot="1" x14ac:dyDescent="0.3">
      <c r="A1637" s="177"/>
      <c r="B1637" s="178"/>
      <c r="C1637" s="36"/>
      <c r="D1637" s="36"/>
      <c r="E1637" s="37"/>
      <c r="F1637" s="31" t="s">
        <v>568</v>
      </c>
      <c r="G1637" s="31" t="str">
        <f>IF(ISNUMBER(F1637),E1637*F1637,"")</f>
        <v/>
      </c>
      <c r="H1637" s="35"/>
      <c r="I1637" s="31"/>
      <c r="J1637" s="155">
        <v>7</v>
      </c>
    </row>
    <row r="1638" spans="1:10" ht="15.75" hidden="1" thickBot="1" x14ac:dyDescent="0.3">
      <c r="A1638" s="172" t="s">
        <v>559</v>
      </c>
      <c r="B1638" s="174" t="str">
        <f>INDEX(Orçamentária!A:B,MATCH(Composições!A1638,Orçamentária!A:A,0),2)</f>
        <v>Módulo para saída de fio</v>
      </c>
      <c r="C1638" s="41"/>
      <c r="D1638" s="26" t="str">
        <f>TRIM(INDEX(Orçamentária!C:C,MATCH(Composições!A1638,Orçamentária!A:A,0),1))</f>
        <v>un</v>
      </c>
      <c r="E1638" s="27"/>
      <c r="F1638" s="42" t="s">
        <v>568</v>
      </c>
      <c r="G1638" s="28" t="str">
        <f>IF(ISNUMBER(F1638),E1638*F1638,"")</f>
        <v/>
      </c>
      <c r="H1638" s="29"/>
      <c r="I1638" s="30"/>
      <c r="J1638" s="155">
        <v>0</v>
      </c>
    </row>
    <row r="1639" spans="1:10" ht="15.75" hidden="1" thickBot="1" x14ac:dyDescent="0.3">
      <c r="A1639" s="176"/>
      <c r="B1639" s="175"/>
      <c r="C1639" s="32"/>
      <c r="D1639" s="32"/>
      <c r="E1639" s="33"/>
      <c r="F1639" s="43" t="s">
        <v>568</v>
      </c>
      <c r="G1639" s="31" t="str">
        <f>IF(ISNUMBER(F1639),E1639*F1639,"")</f>
        <v/>
      </c>
      <c r="H1639" s="35"/>
      <c r="I1639" s="31"/>
      <c r="J1639" s="155">
        <v>0</v>
      </c>
    </row>
    <row r="1640" spans="1:10" ht="15.75" hidden="1" thickBot="1" x14ac:dyDescent="0.3">
      <c r="A1640" s="176"/>
      <c r="B1640" s="175"/>
      <c r="C1640" s="36" t="s">
        <v>30</v>
      </c>
      <c r="D1640" s="36" t="s">
        <v>12</v>
      </c>
      <c r="E1640" s="37">
        <v>0.1</v>
      </c>
      <c r="F1640" s="31">
        <v>22.268000000000001</v>
      </c>
      <c r="G1640" s="34">
        <f>IF(ISNUMBER(F1640),E1640*F1640,"")</f>
        <v>2.2268000000000003</v>
      </c>
      <c r="H1640" s="39">
        <f>SUM(G1640:G1641)</f>
        <v>2.2268000000000003</v>
      </c>
      <c r="I1640" s="40"/>
      <c r="J1640" s="155">
        <v>0</v>
      </c>
    </row>
    <row r="1641" spans="1:10" ht="15.75" hidden="1" thickBot="1" x14ac:dyDescent="0.3">
      <c r="A1641" s="176"/>
      <c r="B1641" s="175"/>
      <c r="C1641" s="36" t="s">
        <v>560</v>
      </c>
      <c r="D1641" s="36" t="s">
        <v>20</v>
      </c>
      <c r="E1641" s="37">
        <v>1</v>
      </c>
      <c r="F1641" s="34" t="s">
        <v>568</v>
      </c>
      <c r="G1641" s="31" t="str">
        <f>IF(ISNUMBER(F1641),E1641*F1641,"")</f>
        <v/>
      </c>
      <c r="H1641" s="35"/>
      <c r="I1641" s="31"/>
      <c r="J1641" s="155">
        <v>0</v>
      </c>
    </row>
    <row r="1642" spans="1:10" ht="15.75" hidden="1" thickBot="1" x14ac:dyDescent="0.3">
      <c r="A1642" s="177"/>
      <c r="B1642" s="178"/>
      <c r="C1642" s="36"/>
      <c r="D1642" s="36"/>
      <c r="E1642" s="37"/>
      <c r="F1642" s="31" t="s">
        <v>568</v>
      </c>
      <c r="G1642" s="31" t="str">
        <f>IF(ISNUMBER(F1642),E1642*F1642,"")</f>
        <v/>
      </c>
      <c r="H1642" s="35"/>
      <c r="I1642" s="31"/>
      <c r="J1642" s="155">
        <v>0</v>
      </c>
    </row>
    <row r="1643" spans="1:10" ht="15.75" hidden="1" thickBot="1" x14ac:dyDescent="0.3">
      <c r="A1643" s="172" t="s">
        <v>561</v>
      </c>
      <c r="B1643" s="174" t="str">
        <f>INDEX(Orçamentária!A:B,MATCH(Composições!A1643,Orçamentária!A:A,0),2)</f>
        <v>Módulo sensor de presença</v>
      </c>
      <c r="C1643" s="41"/>
      <c r="D1643" s="26" t="str">
        <f>TRIM(INDEX(Orçamentária!C:C,MATCH(Composições!A1643,Orçamentária!A:A,0),1))</f>
        <v>un</v>
      </c>
      <c r="E1643" s="27"/>
      <c r="F1643" s="42" t="s">
        <v>568</v>
      </c>
      <c r="G1643" s="28" t="str">
        <f>IF(ISNUMBER(F1643),E1643*F1643,"")</f>
        <v/>
      </c>
      <c r="H1643" s="29"/>
      <c r="I1643" s="30"/>
      <c r="J1643" s="155">
        <v>0</v>
      </c>
    </row>
    <row r="1644" spans="1:10" ht="15.75" hidden="1" thickBot="1" x14ac:dyDescent="0.3">
      <c r="A1644" s="176"/>
      <c r="B1644" s="175"/>
      <c r="C1644" s="32"/>
      <c r="D1644" s="32"/>
      <c r="E1644" s="33"/>
      <c r="F1644" s="43" t="s">
        <v>568</v>
      </c>
      <c r="G1644" s="31" t="str">
        <f>IF(ISNUMBER(F1644),E1644*F1644,"")</f>
        <v/>
      </c>
      <c r="H1644" s="35"/>
      <c r="I1644" s="31"/>
      <c r="J1644" s="155">
        <v>0</v>
      </c>
    </row>
    <row r="1645" spans="1:10" ht="15.75" hidden="1" thickBot="1" x14ac:dyDescent="0.3">
      <c r="A1645" s="176"/>
      <c r="B1645" s="175"/>
      <c r="C1645" s="36" t="s">
        <v>30</v>
      </c>
      <c r="D1645" s="36" t="s">
        <v>12</v>
      </c>
      <c r="E1645" s="37">
        <v>0.308</v>
      </c>
      <c r="F1645" s="31">
        <v>22.268000000000001</v>
      </c>
      <c r="G1645" s="34">
        <f>IF(ISNUMBER(F1645),E1645*F1645,"")</f>
        <v>6.8585440000000002</v>
      </c>
      <c r="H1645" s="39">
        <f>SUM(G1645:G1647)</f>
        <v>12.207272</v>
      </c>
      <c r="I1645" s="40"/>
      <c r="J1645" s="155">
        <v>0</v>
      </c>
    </row>
    <row r="1646" spans="1:10" ht="15.75" hidden="1" thickBot="1" x14ac:dyDescent="0.3">
      <c r="A1646" s="176"/>
      <c r="B1646" s="175"/>
      <c r="C1646" s="36" t="s">
        <v>74</v>
      </c>
      <c r="D1646" s="36" t="s">
        <v>12</v>
      </c>
      <c r="E1646" s="37">
        <v>0.308</v>
      </c>
      <c r="F1646" s="31">
        <v>17.366</v>
      </c>
      <c r="G1646" s="34">
        <f>IF(ISNUMBER(F1646),E1646*F1646,"")</f>
        <v>5.3487279999999995</v>
      </c>
      <c r="H1646" s="45"/>
      <c r="I1646" s="46"/>
      <c r="J1646" s="155">
        <v>0</v>
      </c>
    </row>
    <row r="1647" spans="1:10" ht="15.75" hidden="1" thickBot="1" x14ac:dyDescent="0.3">
      <c r="A1647" s="176"/>
      <c r="B1647" s="175"/>
      <c r="C1647" s="36" t="s">
        <v>562</v>
      </c>
      <c r="D1647" s="36" t="s">
        <v>20</v>
      </c>
      <c r="E1647" s="37">
        <v>1</v>
      </c>
      <c r="F1647" s="34" t="s">
        <v>568</v>
      </c>
      <c r="G1647" s="31" t="str">
        <f>IF(ISNUMBER(F1647),E1647*F1647,"")</f>
        <v/>
      </c>
      <c r="H1647" s="35"/>
      <c r="I1647" s="31"/>
      <c r="J1647" s="155">
        <v>0</v>
      </c>
    </row>
    <row r="1648" spans="1:10" ht="15.75" hidden="1" thickBot="1" x14ac:dyDescent="0.3">
      <c r="A1648" s="177"/>
      <c r="B1648" s="178"/>
      <c r="C1648" s="52"/>
      <c r="D1648" s="36"/>
      <c r="E1648" s="37"/>
      <c r="F1648" s="31" t="s">
        <v>568</v>
      </c>
      <c r="G1648" s="31" t="str">
        <f>IF(ISNUMBER(F1648),E1648*F1648,"")</f>
        <v/>
      </c>
      <c r="H1648" s="35"/>
      <c r="I1648" s="31"/>
      <c r="J1648" s="155">
        <v>0</v>
      </c>
    </row>
    <row r="1649" spans="1:10" ht="15.75" thickBot="1" x14ac:dyDescent="0.3">
      <c r="A1649" s="172" t="s">
        <v>563</v>
      </c>
      <c r="B1649" s="174" t="str">
        <f>INDEX(Orçamentária!A:B,MATCH(Composições!A1649,Orçamentária!A:A,0),2)</f>
        <v>Módulo tomada 10 A</v>
      </c>
      <c r="C1649" s="41"/>
      <c r="D1649" s="26" t="str">
        <f>TRIM(INDEX(Orçamentária!C:C,MATCH(Composições!A1649,Orçamentária!A:A,0),1))</f>
        <v>un</v>
      </c>
      <c r="E1649" s="27"/>
      <c r="F1649" s="42" t="s">
        <v>568</v>
      </c>
      <c r="G1649" s="28" t="str">
        <f>IF(ISNUMBER(F1649),E1649*F1649,"")</f>
        <v/>
      </c>
      <c r="H1649" s="29"/>
      <c r="I1649" s="30"/>
      <c r="J1649" s="155">
        <v>120</v>
      </c>
    </row>
    <row r="1650" spans="1:10" x14ac:dyDescent="0.25">
      <c r="A1650" s="176"/>
      <c r="B1650" s="175"/>
      <c r="C1650" s="32"/>
      <c r="D1650" s="32"/>
      <c r="E1650" s="33"/>
      <c r="F1650" s="43" t="s">
        <v>568</v>
      </c>
      <c r="G1650" s="31" t="str">
        <f>IF(ISNUMBER(F1650),E1650*F1650,"")</f>
        <v/>
      </c>
      <c r="H1650" s="35"/>
      <c r="I1650" s="31"/>
      <c r="J1650" s="155">
        <v>120</v>
      </c>
    </row>
    <row r="1651" spans="1:10" x14ac:dyDescent="0.25">
      <c r="A1651" s="176"/>
      <c r="B1651" s="175"/>
      <c r="C1651" s="36" t="s">
        <v>564</v>
      </c>
      <c r="D1651" s="36" t="s">
        <v>20</v>
      </c>
      <c r="E1651" s="37">
        <v>1</v>
      </c>
      <c r="F1651" s="34">
        <v>6.46</v>
      </c>
      <c r="G1651" s="31">
        <f>IF(ISNUMBER(F1651),E1651*F1651,"")</f>
        <v>6.46</v>
      </c>
      <c r="H1651" s="39">
        <f>SUM(G1651:G1653)</f>
        <v>15.77399</v>
      </c>
      <c r="I1651" s="40"/>
      <c r="J1651" s="155">
        <v>120</v>
      </c>
    </row>
    <row r="1652" spans="1:10" x14ac:dyDescent="0.25">
      <c r="A1652" s="176"/>
      <c r="B1652" s="175"/>
      <c r="C1652" s="36" t="s">
        <v>74</v>
      </c>
      <c r="D1652" s="36" t="s">
        <v>12</v>
      </c>
      <c r="E1652" s="37">
        <v>0.23499999999999999</v>
      </c>
      <c r="F1652" s="31">
        <v>17.366</v>
      </c>
      <c r="G1652" s="34">
        <f>IF(ISNUMBER(F1652),E1652*F1652,"")</f>
        <v>4.08101</v>
      </c>
      <c r="H1652" s="35"/>
      <c r="I1652" s="31"/>
      <c r="J1652" s="155">
        <v>120</v>
      </c>
    </row>
    <row r="1653" spans="1:10" x14ac:dyDescent="0.25">
      <c r="A1653" s="176"/>
      <c r="B1653" s="175"/>
      <c r="C1653" s="36" t="s">
        <v>30</v>
      </c>
      <c r="D1653" s="36" t="s">
        <v>12</v>
      </c>
      <c r="E1653" s="37">
        <v>0.23499999999999999</v>
      </c>
      <c r="F1653" s="31">
        <v>22.268000000000001</v>
      </c>
      <c r="G1653" s="34">
        <f>IF(ISNUMBER(F1653),E1653*F1653,"")</f>
        <v>5.2329799999999995</v>
      </c>
      <c r="H1653" s="35"/>
      <c r="I1653" s="31"/>
      <c r="J1653" s="155">
        <v>120</v>
      </c>
    </row>
    <row r="1654" spans="1:10" ht="15.75" thickBot="1" x14ac:dyDescent="0.3">
      <c r="A1654" s="177"/>
      <c r="B1654" s="178"/>
      <c r="C1654" s="36"/>
      <c r="D1654" s="36"/>
      <c r="E1654" s="37"/>
      <c r="F1654" s="31" t="s">
        <v>568</v>
      </c>
      <c r="G1654" s="31" t="str">
        <f>IF(ISNUMBER(F1654),E1654*F1654,"")</f>
        <v/>
      </c>
      <c r="H1654" s="35"/>
      <c r="I1654" s="31"/>
      <c r="J1654" s="155">
        <v>120</v>
      </c>
    </row>
    <row r="1655" spans="1:10" ht="15.75" thickBot="1" x14ac:dyDescent="0.3">
      <c r="A1655" s="172" t="s">
        <v>565</v>
      </c>
      <c r="B1655" s="174" t="str">
        <f>INDEX(Orçamentária!A:B,MATCH(Composições!A1655,Orçamentária!A:A,0),2)</f>
        <v>Módulo tomada 20 A</v>
      </c>
      <c r="C1655" s="41"/>
      <c r="D1655" s="26" t="str">
        <f>TRIM(INDEX(Orçamentária!C:C,MATCH(Composições!A1655,Orçamentária!A:A,0),1))</f>
        <v>un</v>
      </c>
      <c r="E1655" s="27"/>
      <c r="F1655" s="42" t="s">
        <v>568</v>
      </c>
      <c r="G1655" s="28" t="str">
        <f>IF(ISNUMBER(F1655),E1655*F1655,"")</f>
        <v/>
      </c>
      <c r="H1655" s="29"/>
      <c r="I1655" s="30"/>
      <c r="J1655" s="155">
        <v>4</v>
      </c>
    </row>
    <row r="1656" spans="1:10" x14ac:dyDescent="0.25">
      <c r="A1656" s="176"/>
      <c r="B1656" s="175"/>
      <c r="C1656" s="32"/>
      <c r="D1656" s="32"/>
      <c r="E1656" s="33"/>
      <c r="F1656" s="43" t="s">
        <v>568</v>
      </c>
      <c r="G1656" s="31" t="str">
        <f>IF(ISNUMBER(F1656),E1656*F1656,"")</f>
        <v/>
      </c>
      <c r="H1656" s="35"/>
      <c r="I1656" s="31"/>
      <c r="J1656" s="155">
        <v>4</v>
      </c>
    </row>
    <row r="1657" spans="1:10" x14ac:dyDescent="0.25">
      <c r="A1657" s="176"/>
      <c r="B1657" s="175"/>
      <c r="C1657" s="36" t="s">
        <v>566</v>
      </c>
      <c r="D1657" s="36" t="s">
        <v>20</v>
      </c>
      <c r="E1657" s="37">
        <v>1</v>
      </c>
      <c r="F1657" s="34">
        <v>8.2649999999999988</v>
      </c>
      <c r="G1657" s="31">
        <f>IF(ISNUMBER(F1657),E1657*F1657,"")</f>
        <v>8.2649999999999988</v>
      </c>
      <c r="H1657" s="39">
        <f>SUM(G1657:G1659)</f>
        <v>17.578989999999997</v>
      </c>
      <c r="I1657" s="40"/>
      <c r="J1657" s="155">
        <v>4</v>
      </c>
    </row>
    <row r="1658" spans="1:10" x14ac:dyDescent="0.25">
      <c r="A1658" s="176"/>
      <c r="B1658" s="175"/>
      <c r="C1658" s="36" t="s">
        <v>74</v>
      </c>
      <c r="D1658" s="36" t="s">
        <v>12</v>
      </c>
      <c r="E1658" s="37">
        <v>0.23499999999999999</v>
      </c>
      <c r="F1658" s="31">
        <v>17.366</v>
      </c>
      <c r="G1658" s="34">
        <f>IF(ISNUMBER(F1658),E1658*F1658,"")</f>
        <v>4.08101</v>
      </c>
      <c r="H1658" s="35"/>
      <c r="I1658" s="31"/>
      <c r="J1658" s="155">
        <v>4</v>
      </c>
    </row>
    <row r="1659" spans="1:10" x14ac:dyDescent="0.25">
      <c r="A1659" s="176"/>
      <c r="B1659" s="175"/>
      <c r="C1659" s="36" t="s">
        <v>30</v>
      </c>
      <c r="D1659" s="36" t="s">
        <v>12</v>
      </c>
      <c r="E1659" s="37">
        <v>0.23499999999999999</v>
      </c>
      <c r="F1659" s="31">
        <v>22.268000000000001</v>
      </c>
      <c r="G1659" s="34">
        <f>IF(ISNUMBER(F1659),E1659*F1659,"")</f>
        <v>5.2329799999999995</v>
      </c>
      <c r="H1659" s="35"/>
      <c r="I1659" s="31"/>
      <c r="J1659" s="155">
        <v>4</v>
      </c>
    </row>
    <row r="1660" spans="1:10" ht="15.75" thickBot="1" x14ac:dyDescent="0.3">
      <c r="A1660" s="177"/>
      <c r="B1660" s="178"/>
      <c r="C1660" s="36"/>
      <c r="D1660" s="36"/>
      <c r="E1660" s="37"/>
      <c r="F1660" s="31" t="s">
        <v>568</v>
      </c>
      <c r="G1660" s="31" t="str">
        <f>IF(ISNUMBER(F1660),E1660*F1660,"")</f>
        <v/>
      </c>
      <c r="H1660" s="35"/>
      <c r="I1660" s="31"/>
      <c r="J1660" s="155">
        <v>4</v>
      </c>
    </row>
    <row r="1661" spans="1:10" ht="15.75" hidden="1" thickBot="1" x14ac:dyDescent="0.3">
      <c r="A1661" s="172" t="s">
        <v>567</v>
      </c>
      <c r="B1661" s="174" t="str">
        <f>INDEX(Orçamentária!A:B,MATCH(Composições!A1661,Orçamentária!A:A,0),2)</f>
        <v>Porta equipamentos para canaleta de alumínio aparente</v>
      </c>
      <c r="C1661" s="41"/>
      <c r="D1661" s="26" t="str">
        <f>TRIM(INDEX(Orçamentária!C:C,MATCH(Composições!A1661,Orçamentária!A:A,0),1))</f>
        <v>un</v>
      </c>
      <c r="E1661" s="27"/>
      <c r="F1661" s="42" t="s">
        <v>568</v>
      </c>
      <c r="G1661" s="28" t="str">
        <f>IF(ISNUMBER(F1661),E1661*F1661,"")</f>
        <v/>
      </c>
      <c r="H1661" s="29"/>
      <c r="I1661" s="30"/>
      <c r="J1661" s="155">
        <v>0</v>
      </c>
    </row>
    <row r="1662" spans="1:10" ht="15.75" hidden="1" thickBot="1" x14ac:dyDescent="0.3">
      <c r="A1662" s="176"/>
      <c r="B1662" s="175"/>
      <c r="C1662" s="32"/>
      <c r="D1662" s="32"/>
      <c r="E1662" s="33"/>
      <c r="F1662" s="43" t="s">
        <v>568</v>
      </c>
      <c r="G1662" s="31" t="str">
        <f>IF(ISNUMBER(F1662),E1662*F1662,"")</f>
        <v/>
      </c>
      <c r="H1662" s="35"/>
      <c r="I1662" s="31"/>
      <c r="J1662" s="155">
        <v>0</v>
      </c>
    </row>
    <row r="1663" spans="1:10" ht="15.75" hidden="1" thickBot="1" x14ac:dyDescent="0.3">
      <c r="A1663" s="176"/>
      <c r="B1663" s="175"/>
      <c r="C1663" s="36" t="s">
        <v>74</v>
      </c>
      <c r="D1663" s="36" t="s">
        <v>12</v>
      </c>
      <c r="E1663" s="37">
        <f>0.35/2</f>
        <v>0.17499999999999999</v>
      </c>
      <c r="F1663" s="31">
        <v>17.366</v>
      </c>
      <c r="G1663" s="34">
        <f>IF(ISNUMBER(F1663),E1663*F1663,"")</f>
        <v>3.0390499999999996</v>
      </c>
      <c r="H1663" s="39">
        <f>SUM(G1663:G1665)</f>
        <v>6.9359500000000001</v>
      </c>
      <c r="I1663" s="40"/>
      <c r="J1663" s="155">
        <v>0</v>
      </c>
    </row>
    <row r="1664" spans="1:10" ht="15.75" hidden="1" thickBot="1" x14ac:dyDescent="0.3">
      <c r="A1664" s="176"/>
      <c r="B1664" s="175"/>
      <c r="C1664" s="36" t="s">
        <v>30</v>
      </c>
      <c r="D1664" s="36" t="s">
        <v>12</v>
      </c>
      <c r="E1664" s="37">
        <f>0.35/2</f>
        <v>0.17499999999999999</v>
      </c>
      <c r="F1664" s="31">
        <v>22.268000000000001</v>
      </c>
      <c r="G1664" s="34">
        <f>IF(ISNUMBER(F1664),E1664*F1664,"")</f>
        <v>3.8969</v>
      </c>
      <c r="H1664" s="63" t="s">
        <v>568</v>
      </c>
      <c r="I1664" s="64"/>
      <c r="J1664" s="155">
        <v>0</v>
      </c>
    </row>
    <row r="1665" spans="1:10" ht="15.75" hidden="1" thickBot="1" x14ac:dyDescent="0.3">
      <c r="A1665" s="176"/>
      <c r="B1665" s="175"/>
      <c r="C1665" s="36" t="s">
        <v>569</v>
      </c>
      <c r="D1665" s="36" t="s">
        <v>20</v>
      </c>
      <c r="E1665" s="37">
        <v>1</v>
      </c>
      <c r="F1665" s="34" t="s">
        <v>568</v>
      </c>
      <c r="G1665" s="34" t="str">
        <f>IF(ISNUMBER(F1665),E1665*F1665,"")</f>
        <v/>
      </c>
      <c r="H1665" s="35"/>
      <c r="I1665" s="31"/>
      <c r="J1665" s="155">
        <v>0</v>
      </c>
    </row>
    <row r="1666" spans="1:10" ht="15.75" hidden="1" thickBot="1" x14ac:dyDescent="0.3">
      <c r="A1666" s="177"/>
      <c r="B1666" s="178"/>
      <c r="C1666" s="36"/>
      <c r="D1666" s="36"/>
      <c r="E1666" s="37"/>
      <c r="F1666" s="31" t="s">
        <v>568</v>
      </c>
      <c r="G1666" s="31" t="str">
        <f>IF(ISNUMBER(F1666),E1666*F1666,"")</f>
        <v/>
      </c>
      <c r="H1666" s="35"/>
      <c r="I1666" s="31"/>
      <c r="J1666" s="155">
        <v>0</v>
      </c>
    </row>
    <row r="1667" spans="1:10" ht="15.75" hidden="1" thickBot="1" x14ac:dyDescent="0.3">
      <c r="A1667" s="172" t="s">
        <v>570</v>
      </c>
      <c r="B1667" s="174" t="str">
        <f>INDEX(Orçamentária!A:B,MATCH(Composições!A1667,Orçamentária!A:A,0),2)</f>
        <v>Tampa cega metálica para caixas de piso 4x2</v>
      </c>
      <c r="C1667" s="41"/>
      <c r="D1667" s="26" t="str">
        <f>TRIM(INDEX(Orçamentária!C:C,MATCH(Composições!A1667,Orçamentária!A:A,0),1))</f>
        <v>un</v>
      </c>
      <c r="E1667" s="27"/>
      <c r="F1667" s="42" t="s">
        <v>568</v>
      </c>
      <c r="G1667" s="28" t="str">
        <f>IF(ISNUMBER(F1667),E1667*F1667,"")</f>
        <v/>
      </c>
      <c r="H1667" s="29"/>
      <c r="I1667" s="30"/>
      <c r="J1667" s="155">
        <v>0</v>
      </c>
    </row>
    <row r="1668" spans="1:10" ht="15.75" hidden="1" thickBot="1" x14ac:dyDescent="0.3">
      <c r="A1668" s="176"/>
      <c r="B1668" s="175"/>
      <c r="C1668" s="32"/>
      <c r="D1668" s="32"/>
      <c r="E1668" s="33"/>
      <c r="F1668" s="43" t="s">
        <v>568</v>
      </c>
      <c r="G1668" s="31" t="str">
        <f>IF(ISNUMBER(F1668),E1668*F1668,"")</f>
        <v/>
      </c>
      <c r="H1668" s="35"/>
      <c r="I1668" s="31"/>
      <c r="J1668" s="155">
        <v>0</v>
      </c>
    </row>
    <row r="1669" spans="1:10" ht="15.75" hidden="1" thickBot="1" x14ac:dyDescent="0.3">
      <c r="A1669" s="176"/>
      <c r="B1669" s="175"/>
      <c r="C1669" s="36" t="s">
        <v>74</v>
      </c>
      <c r="D1669" s="36" t="s">
        <v>12</v>
      </c>
      <c r="E1669" s="37">
        <v>0.1</v>
      </c>
      <c r="F1669" s="31">
        <v>17.366</v>
      </c>
      <c r="G1669" s="31">
        <f>IF(ISNUMBER(F1669),E1669*F1669,"")</f>
        <v>1.7366000000000001</v>
      </c>
      <c r="H1669" s="39">
        <f>SUM(G1669:G1670)</f>
        <v>1.7366000000000001</v>
      </c>
      <c r="I1669" s="40"/>
      <c r="J1669" s="155">
        <v>0</v>
      </c>
    </row>
    <row r="1670" spans="1:10" ht="15.75" hidden="1" thickBot="1" x14ac:dyDescent="0.3">
      <c r="A1670" s="176"/>
      <c r="B1670" s="175"/>
      <c r="C1670" s="36" t="s">
        <v>571</v>
      </c>
      <c r="D1670" s="36" t="s">
        <v>20</v>
      </c>
      <c r="E1670" s="37">
        <v>1</v>
      </c>
      <c r="F1670" s="34" t="s">
        <v>568</v>
      </c>
      <c r="G1670" s="31" t="str">
        <f>IF(ISNUMBER(F1670),E1670*F1670,"")</f>
        <v/>
      </c>
      <c r="H1670" s="35"/>
      <c r="I1670" s="31"/>
      <c r="J1670" s="155">
        <v>0</v>
      </c>
    </row>
    <row r="1671" spans="1:10" ht="15.75" hidden="1" thickBot="1" x14ac:dyDescent="0.3">
      <c r="A1671" s="177"/>
      <c r="B1671" s="178"/>
      <c r="C1671" s="36"/>
      <c r="D1671" s="36"/>
      <c r="E1671" s="37"/>
      <c r="F1671" s="31" t="s">
        <v>568</v>
      </c>
      <c r="G1671" s="31" t="str">
        <f>IF(ISNUMBER(F1671),E1671*F1671,"")</f>
        <v/>
      </c>
      <c r="H1671" s="35"/>
      <c r="I1671" s="31"/>
      <c r="J1671" s="155">
        <v>0</v>
      </c>
    </row>
    <row r="1672" spans="1:10" ht="15.75" hidden="1" thickBot="1" x14ac:dyDescent="0.3">
      <c r="A1672" s="172" t="s">
        <v>572</v>
      </c>
      <c r="B1672" s="174" t="str">
        <f>INDEX(Orçamentária!A:B,MATCH(Composições!A1672,Orçamentária!A:A,0),2)</f>
        <v>Tampa cega metálica para caixas de piso 4x4</v>
      </c>
      <c r="C1672" s="41"/>
      <c r="D1672" s="26" t="str">
        <f>TRIM(INDEX(Orçamentária!C:C,MATCH(Composições!A1672,Orçamentária!A:A,0),1))</f>
        <v>un</v>
      </c>
      <c r="E1672" s="27"/>
      <c r="F1672" s="42" t="s">
        <v>568</v>
      </c>
      <c r="G1672" s="28" t="str">
        <f>IF(ISNUMBER(F1672),E1672*F1672,"")</f>
        <v/>
      </c>
      <c r="H1672" s="29"/>
      <c r="I1672" s="30"/>
      <c r="J1672" s="155">
        <v>0</v>
      </c>
    </row>
    <row r="1673" spans="1:10" ht="15.75" hidden="1" thickBot="1" x14ac:dyDescent="0.3">
      <c r="A1673" s="176"/>
      <c r="B1673" s="175"/>
      <c r="C1673" s="32"/>
      <c r="D1673" s="32"/>
      <c r="E1673" s="33"/>
      <c r="F1673" s="43" t="s">
        <v>568</v>
      </c>
      <c r="G1673" s="31" t="str">
        <f>IF(ISNUMBER(F1673),E1673*F1673,"")</f>
        <v/>
      </c>
      <c r="H1673" s="35"/>
      <c r="I1673" s="31"/>
      <c r="J1673" s="155">
        <v>0</v>
      </c>
    </row>
    <row r="1674" spans="1:10" ht="15.75" hidden="1" thickBot="1" x14ac:dyDescent="0.3">
      <c r="A1674" s="176"/>
      <c r="B1674" s="175"/>
      <c r="C1674" s="36" t="s">
        <v>74</v>
      </c>
      <c r="D1674" s="36" t="s">
        <v>12</v>
      </c>
      <c r="E1674" s="37">
        <v>0.1</v>
      </c>
      <c r="F1674" s="31">
        <v>17.366</v>
      </c>
      <c r="G1674" s="31">
        <f>IF(ISNUMBER(F1674),E1674*F1674,"")</f>
        <v>1.7366000000000001</v>
      </c>
      <c r="H1674" s="39">
        <f>SUM(G1674:G1675)</f>
        <v>1.7366000000000001</v>
      </c>
      <c r="I1674" s="40"/>
      <c r="J1674" s="155">
        <v>0</v>
      </c>
    </row>
    <row r="1675" spans="1:10" ht="15.75" hidden="1" thickBot="1" x14ac:dyDescent="0.3">
      <c r="A1675" s="176"/>
      <c r="B1675" s="175"/>
      <c r="C1675" s="36" t="s">
        <v>573</v>
      </c>
      <c r="D1675" s="36" t="s">
        <v>20</v>
      </c>
      <c r="E1675" s="37">
        <v>1</v>
      </c>
      <c r="F1675" s="34" t="s">
        <v>568</v>
      </c>
      <c r="G1675" s="31" t="str">
        <f>IF(ISNUMBER(F1675),E1675*F1675,"")</f>
        <v/>
      </c>
      <c r="H1675" s="35"/>
      <c r="I1675" s="31"/>
      <c r="J1675" s="155">
        <v>0</v>
      </c>
    </row>
    <row r="1676" spans="1:10" ht="15.75" hidden="1" thickBot="1" x14ac:dyDescent="0.3">
      <c r="A1676" s="177"/>
      <c r="B1676" s="178"/>
      <c r="C1676" s="36"/>
      <c r="D1676" s="36"/>
      <c r="E1676" s="37"/>
      <c r="F1676" s="31" t="s">
        <v>568</v>
      </c>
      <c r="G1676" s="31" t="str">
        <f>IF(ISNUMBER(F1676),E1676*F1676,"")</f>
        <v/>
      </c>
      <c r="H1676" s="35"/>
      <c r="I1676" s="31"/>
      <c r="J1676" s="155">
        <v>0</v>
      </c>
    </row>
    <row r="1677" spans="1:10" ht="15.75" hidden="1" thickBot="1" x14ac:dyDescent="0.3">
      <c r="A1677" s="172" t="s">
        <v>574</v>
      </c>
      <c r="B1677" s="174" t="str">
        <f>INDEX(Orçamentária!A:B,MATCH(Composições!A1677,Orçamentária!A:A,0),2)</f>
        <v>Tampa cega para condulete</v>
      </c>
      <c r="C1677" s="41"/>
      <c r="D1677" s="26" t="str">
        <f>TRIM(INDEX(Orçamentária!C:C,MATCH(Composições!A1677,Orçamentária!A:A,0),1))</f>
        <v>un</v>
      </c>
      <c r="E1677" s="27"/>
      <c r="F1677" s="42" t="s">
        <v>568</v>
      </c>
      <c r="G1677" s="28" t="str">
        <f>IF(ISNUMBER(F1677),E1677*F1677,"")</f>
        <v/>
      </c>
      <c r="H1677" s="29"/>
      <c r="I1677" s="30"/>
      <c r="J1677" s="155">
        <v>0</v>
      </c>
    </row>
    <row r="1678" spans="1:10" ht="15.75" hidden="1" thickBot="1" x14ac:dyDescent="0.3">
      <c r="A1678" s="176"/>
      <c r="B1678" s="175"/>
      <c r="C1678" s="32"/>
      <c r="D1678" s="32"/>
      <c r="E1678" s="33"/>
      <c r="F1678" s="43" t="s">
        <v>568</v>
      </c>
      <c r="G1678" s="31" t="str">
        <f>IF(ISNUMBER(F1678),E1678*F1678,"")</f>
        <v/>
      </c>
      <c r="H1678" s="35"/>
      <c r="I1678" s="31"/>
      <c r="J1678" s="155">
        <v>0</v>
      </c>
    </row>
    <row r="1679" spans="1:10" ht="15.75" hidden="1" thickBot="1" x14ac:dyDescent="0.3">
      <c r="A1679" s="176"/>
      <c r="B1679" s="175"/>
      <c r="C1679" s="36" t="s">
        <v>74</v>
      </c>
      <c r="D1679" s="36" t="s">
        <v>12</v>
      </c>
      <c r="E1679" s="37">
        <v>0.15</v>
      </c>
      <c r="F1679" s="31">
        <v>17.366</v>
      </c>
      <c r="G1679" s="34">
        <f>IF(ISNUMBER(F1679),E1679*F1679,"")</f>
        <v>2.6048999999999998</v>
      </c>
      <c r="H1679" s="39">
        <f>SUM(G1679:G1680)</f>
        <v>2.6048999999999998</v>
      </c>
      <c r="I1679" s="40"/>
      <c r="J1679" s="155">
        <v>0</v>
      </c>
    </row>
    <row r="1680" spans="1:10" ht="26.25" hidden="1" thickBot="1" x14ac:dyDescent="0.3">
      <c r="A1680" s="176"/>
      <c r="B1680" s="175"/>
      <c r="C1680" s="36" t="s">
        <v>575</v>
      </c>
      <c r="D1680" s="36" t="s">
        <v>20</v>
      </c>
      <c r="E1680" s="37">
        <v>1</v>
      </c>
      <c r="F1680" s="34" t="s">
        <v>568</v>
      </c>
      <c r="G1680" s="31" t="str">
        <f>IF(ISNUMBER(F1680),E1680*F1680,"")</f>
        <v/>
      </c>
      <c r="H1680" s="35"/>
      <c r="I1680" s="31"/>
      <c r="J1680" s="155">
        <v>0</v>
      </c>
    </row>
    <row r="1681" spans="1:10" ht="15.75" hidden="1" thickBot="1" x14ac:dyDescent="0.3">
      <c r="A1681" s="176"/>
      <c r="B1681" s="175"/>
      <c r="C1681" s="36"/>
      <c r="D1681" s="36"/>
      <c r="E1681" s="37"/>
      <c r="F1681" s="34" t="s">
        <v>568</v>
      </c>
      <c r="G1681" s="31" t="str">
        <f>IF(ISNUMBER(F1681),E1681*F1681,"")</f>
        <v/>
      </c>
      <c r="H1681" s="35"/>
      <c r="I1681" s="31"/>
      <c r="J1681" s="155">
        <v>0</v>
      </c>
    </row>
    <row r="1682" spans="1:10" ht="15.75" hidden="1" thickBot="1" x14ac:dyDescent="0.3">
      <c r="A1682" s="172" t="s">
        <v>576</v>
      </c>
      <c r="B1682" s="174" t="str">
        <f>INDEX(Orçamentária!A:B,MATCH(Composições!A1682,Orçamentária!A:A,0),2)</f>
        <v>Tampa RJ45 dupla para condulete</v>
      </c>
      <c r="C1682" s="41"/>
      <c r="D1682" s="26" t="str">
        <f>TRIM(INDEX(Orçamentária!C:C,MATCH(Composições!A1682,Orçamentária!A:A,0),1))</f>
        <v>un</v>
      </c>
      <c r="E1682" s="27"/>
      <c r="F1682" s="42" t="s">
        <v>568</v>
      </c>
      <c r="G1682" s="28" t="str">
        <f>IF(ISNUMBER(F1682),E1682*F1682,"")</f>
        <v/>
      </c>
      <c r="H1682" s="29"/>
      <c r="I1682" s="30"/>
      <c r="J1682" s="155">
        <v>0</v>
      </c>
    </row>
    <row r="1683" spans="1:10" ht="15.75" hidden="1" thickBot="1" x14ac:dyDescent="0.3">
      <c r="A1683" s="176"/>
      <c r="B1683" s="175"/>
      <c r="C1683" s="32"/>
      <c r="D1683" s="32"/>
      <c r="E1683" s="33"/>
      <c r="F1683" s="43" t="s">
        <v>568</v>
      </c>
      <c r="G1683" s="31" t="str">
        <f>IF(ISNUMBER(F1683),E1683*F1683,"")</f>
        <v/>
      </c>
      <c r="H1683" s="35"/>
      <c r="I1683" s="31"/>
      <c r="J1683" s="155">
        <v>0</v>
      </c>
    </row>
    <row r="1684" spans="1:10" ht="15.75" hidden="1" thickBot="1" x14ac:dyDescent="0.3">
      <c r="A1684" s="176"/>
      <c r="B1684" s="175"/>
      <c r="C1684" s="36" t="s">
        <v>74</v>
      </c>
      <c r="D1684" s="36" t="s">
        <v>12</v>
      </c>
      <c r="E1684" s="37">
        <v>0.15</v>
      </c>
      <c r="F1684" s="31">
        <v>17.366</v>
      </c>
      <c r="G1684" s="34">
        <f>IF(ISNUMBER(F1684),E1684*F1684,"")</f>
        <v>2.6048999999999998</v>
      </c>
      <c r="H1684" s="39">
        <f>SUM(G1684:G1686)</f>
        <v>5.9451000000000001</v>
      </c>
      <c r="I1684" s="40"/>
      <c r="J1684" s="155">
        <v>0</v>
      </c>
    </row>
    <row r="1685" spans="1:10" ht="15.75" hidden="1" thickBot="1" x14ac:dyDescent="0.3">
      <c r="A1685" s="176"/>
      <c r="B1685" s="175"/>
      <c r="C1685" s="36" t="s">
        <v>30</v>
      </c>
      <c r="D1685" s="36" t="s">
        <v>12</v>
      </c>
      <c r="E1685" s="37">
        <v>0.15</v>
      </c>
      <c r="F1685" s="31">
        <v>22.268000000000001</v>
      </c>
      <c r="G1685" s="34">
        <f>IF(ISNUMBER(F1685),E1685*F1685,"")</f>
        <v>3.3401999999999998</v>
      </c>
      <c r="H1685" s="62"/>
      <c r="I1685" s="1"/>
      <c r="J1685" s="155">
        <v>0</v>
      </c>
    </row>
    <row r="1686" spans="1:10" ht="26.25" hidden="1" thickBot="1" x14ac:dyDescent="0.3">
      <c r="A1686" s="176"/>
      <c r="B1686" s="175"/>
      <c r="C1686" s="36" t="s">
        <v>577</v>
      </c>
      <c r="D1686" s="36" t="s">
        <v>20</v>
      </c>
      <c r="E1686" s="37">
        <v>1</v>
      </c>
      <c r="F1686" s="34" t="s">
        <v>568</v>
      </c>
      <c r="G1686" s="31" t="str">
        <f>IF(ISNUMBER(F1686),E1686*F1686,"")</f>
        <v/>
      </c>
      <c r="H1686" s="35"/>
      <c r="I1686" s="31"/>
      <c r="J1686" s="155">
        <v>0</v>
      </c>
    </row>
    <row r="1687" spans="1:10" ht="15.75" hidden="1" thickBot="1" x14ac:dyDescent="0.3">
      <c r="A1687" s="177"/>
      <c r="B1687" s="178"/>
      <c r="C1687" s="36"/>
      <c r="D1687" s="36"/>
      <c r="E1687" s="37"/>
      <c r="F1687" s="31" t="s">
        <v>568</v>
      </c>
      <c r="G1687" s="31" t="str">
        <f>IF(ISNUMBER(F1687),E1687*F1687,"")</f>
        <v/>
      </c>
      <c r="H1687" s="35"/>
      <c r="I1687" s="31"/>
      <c r="J1687" s="155">
        <v>0</v>
      </c>
    </row>
    <row r="1688" spans="1:10" ht="15.75" hidden="1" thickBot="1" x14ac:dyDescent="0.3">
      <c r="A1688" s="172" t="s">
        <v>578</v>
      </c>
      <c r="B1688" s="174" t="str">
        <f>INDEX(Orçamentária!A:B,MATCH(Composições!A1688,Orçamentária!A:A,0),2)</f>
        <v>Tomada para condulete</v>
      </c>
      <c r="C1688" s="41"/>
      <c r="D1688" s="26" t="str">
        <f>TRIM(INDEX(Orçamentária!C:C,MATCH(Composições!A1688,Orçamentária!A:A,0),1))</f>
        <v>un</v>
      </c>
      <c r="E1688" s="27"/>
      <c r="F1688" s="42" t="s">
        <v>568</v>
      </c>
      <c r="G1688" s="28" t="str">
        <f>IF(ISNUMBER(F1688),E1688*F1688,"")</f>
        <v/>
      </c>
      <c r="H1688" s="29"/>
      <c r="I1688" s="30"/>
      <c r="J1688" s="155">
        <v>0</v>
      </c>
    </row>
    <row r="1689" spans="1:10" ht="15.75" hidden="1" thickBot="1" x14ac:dyDescent="0.3">
      <c r="A1689" s="176"/>
      <c r="B1689" s="175"/>
      <c r="C1689" s="32"/>
      <c r="D1689" s="32"/>
      <c r="E1689" s="33"/>
      <c r="F1689" s="43" t="s">
        <v>568</v>
      </c>
      <c r="G1689" s="31" t="str">
        <f>IF(ISNUMBER(F1689),E1689*F1689,"")</f>
        <v/>
      </c>
      <c r="H1689" s="35"/>
      <c r="I1689" s="31"/>
      <c r="J1689" s="155">
        <v>0</v>
      </c>
    </row>
    <row r="1690" spans="1:10" ht="15.75" hidden="1" thickBot="1" x14ac:dyDescent="0.3">
      <c r="A1690" s="176"/>
      <c r="B1690" s="175"/>
      <c r="C1690" s="36" t="s">
        <v>30</v>
      </c>
      <c r="D1690" s="36" t="s">
        <v>12</v>
      </c>
      <c r="E1690" s="37">
        <v>0.308</v>
      </c>
      <c r="F1690" s="31">
        <v>22.268000000000001</v>
      </c>
      <c r="G1690" s="34">
        <f>IF(ISNUMBER(F1690),E1690*F1690,"")</f>
        <v>6.8585440000000002</v>
      </c>
      <c r="H1690" s="39">
        <f>SUM(G1690:G1693)</f>
        <v>16.477271999999999</v>
      </c>
      <c r="I1690" s="40"/>
      <c r="J1690" s="155">
        <v>0</v>
      </c>
    </row>
    <row r="1691" spans="1:10" ht="15.75" hidden="1" thickBot="1" x14ac:dyDescent="0.3">
      <c r="A1691" s="176"/>
      <c r="B1691" s="175"/>
      <c r="C1691" s="36" t="s">
        <v>74</v>
      </c>
      <c r="D1691" s="36" t="s">
        <v>12</v>
      </c>
      <c r="E1691" s="37">
        <v>0.308</v>
      </c>
      <c r="F1691" s="31">
        <v>17.366</v>
      </c>
      <c r="G1691" s="34">
        <f>IF(ISNUMBER(F1691),E1691*F1691,"")</f>
        <v>5.3487279999999995</v>
      </c>
      <c r="H1691" s="35"/>
      <c r="I1691" s="31"/>
      <c r="J1691" s="155">
        <v>0</v>
      </c>
    </row>
    <row r="1692" spans="1:10" ht="26.25" hidden="1" thickBot="1" x14ac:dyDescent="0.3">
      <c r="A1692" s="176"/>
      <c r="B1692" s="175"/>
      <c r="C1692" s="36" t="s">
        <v>551</v>
      </c>
      <c r="D1692" s="36" t="s">
        <v>20</v>
      </c>
      <c r="E1692" s="37">
        <v>1</v>
      </c>
      <c r="F1692" s="34">
        <v>4.2699999999999996</v>
      </c>
      <c r="G1692" s="34">
        <f>IF(ISNUMBER(F1692),E1692*F1692,"")</f>
        <v>4.2699999999999996</v>
      </c>
      <c r="H1692" s="35"/>
      <c r="I1692" s="31"/>
      <c r="J1692" s="155">
        <v>0</v>
      </c>
    </row>
    <row r="1693" spans="1:10" ht="26.25" hidden="1" thickBot="1" x14ac:dyDescent="0.3">
      <c r="A1693" s="176"/>
      <c r="B1693" s="175"/>
      <c r="C1693" s="36" t="s">
        <v>579</v>
      </c>
      <c r="D1693" s="36" t="s">
        <v>20</v>
      </c>
      <c r="E1693" s="37">
        <v>1</v>
      </c>
      <c r="F1693" s="34" t="s">
        <v>568</v>
      </c>
      <c r="G1693" s="31" t="str">
        <f>IF(ISNUMBER(F1693),E1693*F1693,"")</f>
        <v/>
      </c>
      <c r="H1693" s="35"/>
      <c r="I1693" s="31"/>
      <c r="J1693" s="155">
        <v>0</v>
      </c>
    </row>
    <row r="1694" spans="1:10" ht="15.75" hidden="1" thickBot="1" x14ac:dyDescent="0.3">
      <c r="A1694" s="177"/>
      <c r="B1694" s="178"/>
      <c r="C1694" s="36"/>
      <c r="D1694" s="36"/>
      <c r="E1694" s="37"/>
      <c r="F1694" s="31" t="s">
        <v>568</v>
      </c>
      <c r="G1694" s="31" t="str">
        <f>IF(ISNUMBER(F1694),E1694*F1694,"")</f>
        <v/>
      </c>
      <c r="H1694" s="35"/>
      <c r="I1694" s="31"/>
      <c r="J1694" s="155">
        <v>0</v>
      </c>
    </row>
    <row r="1695" spans="1:10" ht="15.75" hidden="1" thickBot="1" x14ac:dyDescent="0.3">
      <c r="A1695" s="172" t="s">
        <v>580</v>
      </c>
      <c r="B1695" s="174" t="str">
        <f>INDEX(Orçamentária!A:B,MATCH(Composições!A1695,Orçamentária!A:A,0),2)</f>
        <v>Tomada para perfilado e eletrocalha</v>
      </c>
      <c r="C1695" s="41"/>
      <c r="D1695" s="26" t="str">
        <f>TRIM(INDEX(Orçamentária!C:C,MATCH(Composições!A1695,Orçamentária!A:A,0),1))</f>
        <v>un</v>
      </c>
      <c r="E1695" s="27"/>
      <c r="F1695" s="42" t="s">
        <v>568</v>
      </c>
      <c r="G1695" s="28" t="str">
        <f>IF(ISNUMBER(F1695),E1695*F1695,"")</f>
        <v/>
      </c>
      <c r="H1695" s="29"/>
      <c r="I1695" s="30"/>
      <c r="J1695" s="155">
        <v>0</v>
      </c>
    </row>
    <row r="1696" spans="1:10" ht="15.75" hidden="1" thickBot="1" x14ac:dyDescent="0.3">
      <c r="A1696" s="176"/>
      <c r="B1696" s="175"/>
      <c r="C1696" s="32"/>
      <c r="D1696" s="32"/>
      <c r="E1696" s="33"/>
      <c r="F1696" s="43" t="s">
        <v>568</v>
      </c>
      <c r="G1696" s="31" t="str">
        <f>IF(ISNUMBER(F1696),E1696*F1696,"")</f>
        <v/>
      </c>
      <c r="H1696" s="35"/>
      <c r="I1696" s="31"/>
      <c r="J1696" s="155">
        <v>0</v>
      </c>
    </row>
    <row r="1697" spans="1:10" ht="15.75" hidden="1" thickBot="1" x14ac:dyDescent="0.3">
      <c r="A1697" s="176"/>
      <c r="B1697" s="175"/>
      <c r="C1697" s="36" t="s">
        <v>74</v>
      </c>
      <c r="D1697" s="36" t="s">
        <v>12</v>
      </c>
      <c r="E1697" s="37">
        <v>0.65</v>
      </c>
      <c r="F1697" s="31">
        <v>17.366</v>
      </c>
      <c r="G1697" s="34">
        <f>IF(ISNUMBER(F1697),E1697*F1697,"")</f>
        <v>11.2879</v>
      </c>
      <c r="H1697" s="39">
        <f>SUM(G1697:G1700)</f>
        <v>25.762100000000004</v>
      </c>
      <c r="I1697" s="40"/>
      <c r="J1697" s="155">
        <v>0</v>
      </c>
    </row>
    <row r="1698" spans="1:10" ht="15.75" hidden="1" thickBot="1" x14ac:dyDescent="0.3">
      <c r="A1698" s="176"/>
      <c r="B1698" s="175"/>
      <c r="C1698" s="36" t="s">
        <v>30</v>
      </c>
      <c r="D1698" s="36" t="s">
        <v>12</v>
      </c>
      <c r="E1698" s="37">
        <v>0.65</v>
      </c>
      <c r="F1698" s="31">
        <v>22.268000000000001</v>
      </c>
      <c r="G1698" s="34">
        <f>IF(ISNUMBER(F1698),E1698*F1698,"")</f>
        <v>14.474200000000002</v>
      </c>
      <c r="H1698" s="35"/>
      <c r="I1698" s="31"/>
      <c r="J1698" s="155">
        <v>0</v>
      </c>
    </row>
    <row r="1699" spans="1:10" ht="15.75" hidden="1" thickBot="1" x14ac:dyDescent="0.3">
      <c r="A1699" s="176"/>
      <c r="B1699" s="175"/>
      <c r="C1699" s="36" t="s">
        <v>581</v>
      </c>
      <c r="D1699" s="36" t="s">
        <v>20</v>
      </c>
      <c r="E1699" s="37">
        <v>1</v>
      </c>
      <c r="F1699" s="31">
        <v>0</v>
      </c>
      <c r="G1699" s="31">
        <f>IF(ISNUMBER(F1699),E1699*F1699,"")</f>
        <v>0</v>
      </c>
      <c r="H1699" s="35"/>
      <c r="I1699" s="31"/>
      <c r="J1699" s="155">
        <v>0</v>
      </c>
    </row>
    <row r="1700" spans="1:10" ht="15.75" hidden="1" thickBot="1" x14ac:dyDescent="0.3">
      <c r="A1700" s="176"/>
      <c r="B1700" s="175"/>
      <c r="C1700" s="36" t="s">
        <v>582</v>
      </c>
      <c r="D1700" s="36" t="s">
        <v>20</v>
      </c>
      <c r="E1700" s="37">
        <v>1</v>
      </c>
      <c r="F1700" s="31">
        <v>0</v>
      </c>
      <c r="G1700" s="31">
        <f>IF(ISNUMBER(F1700),E1700*F1700,"")</f>
        <v>0</v>
      </c>
      <c r="H1700" s="35"/>
      <c r="I1700" s="31"/>
      <c r="J1700" s="155">
        <v>0</v>
      </c>
    </row>
    <row r="1701" spans="1:10" ht="15.75" hidden="1" thickBot="1" x14ac:dyDescent="0.3">
      <c r="A1701" s="177"/>
      <c r="B1701" s="178"/>
      <c r="C1701" s="36"/>
      <c r="D1701" s="36"/>
      <c r="E1701" s="37"/>
      <c r="F1701" s="31" t="s">
        <v>568</v>
      </c>
      <c r="G1701" s="31" t="str">
        <f>IF(ISNUMBER(F1701),E1701*F1701,"")</f>
        <v/>
      </c>
      <c r="H1701" s="35"/>
      <c r="I1701" s="31"/>
      <c r="J1701" s="155">
        <v>0</v>
      </c>
    </row>
    <row r="1702" spans="1:10" ht="15.75" hidden="1" thickBot="1" x14ac:dyDescent="0.3">
      <c r="A1702" s="172" t="s">
        <v>583</v>
      </c>
      <c r="B1702" s="174" t="str">
        <f>INDEX(Orçamentária!A:B,MATCH(Composições!A1702,Orçamentária!A:A,0),2)</f>
        <v>Bloco autônomo de emergência</v>
      </c>
      <c r="C1702" s="41"/>
      <c r="D1702" s="26" t="str">
        <f>TRIM(INDEX(Orçamentária!C:C,MATCH(Composições!A1702,Orçamentária!A:A,0),1))</f>
        <v>un</v>
      </c>
      <c r="E1702" s="27"/>
      <c r="F1702" s="42" t="s">
        <v>568</v>
      </c>
      <c r="G1702" s="28" t="str">
        <f>IF(ISNUMBER(F1702),E1702*F1702,"")</f>
        <v/>
      </c>
      <c r="H1702" s="29"/>
      <c r="I1702" s="30"/>
      <c r="J1702" s="155">
        <v>0</v>
      </c>
    </row>
    <row r="1703" spans="1:10" ht="15.75" hidden="1" thickBot="1" x14ac:dyDescent="0.3">
      <c r="A1703" s="176"/>
      <c r="B1703" s="175"/>
      <c r="C1703" s="32"/>
      <c r="D1703" s="32"/>
      <c r="E1703" s="33"/>
      <c r="F1703" s="43" t="s">
        <v>568</v>
      </c>
      <c r="G1703" s="31" t="str">
        <f>IF(ISNUMBER(F1703),E1703*F1703,"")</f>
        <v/>
      </c>
      <c r="H1703" s="35"/>
      <c r="I1703" s="31"/>
      <c r="J1703" s="155">
        <v>0</v>
      </c>
    </row>
    <row r="1704" spans="1:10" ht="26.25" hidden="1" thickBot="1" x14ac:dyDescent="0.3">
      <c r="A1704" s="176"/>
      <c r="B1704" s="175"/>
      <c r="C1704" s="36" t="s">
        <v>584</v>
      </c>
      <c r="D1704" s="36" t="s">
        <v>149</v>
      </c>
      <c r="E1704" s="37">
        <v>1</v>
      </c>
      <c r="F1704" s="34" t="s">
        <v>568</v>
      </c>
      <c r="G1704" s="31" t="str">
        <f>IF(ISNUMBER(F1704),E1704*F1704,"")</f>
        <v/>
      </c>
      <c r="H1704" s="39">
        <f>SUM(G1704:G1706)</f>
        <v>5.2960828000000006</v>
      </c>
      <c r="I1704" s="40"/>
      <c r="J1704" s="155">
        <v>0</v>
      </c>
    </row>
    <row r="1705" spans="1:10" ht="15.75" hidden="1" thickBot="1" x14ac:dyDescent="0.3">
      <c r="A1705" s="176"/>
      <c r="B1705" s="175"/>
      <c r="C1705" s="36" t="s">
        <v>74</v>
      </c>
      <c r="D1705" s="47" t="s">
        <v>12</v>
      </c>
      <c r="E1705" s="37">
        <v>7.4800000000000005E-2</v>
      </c>
      <c r="F1705" s="31">
        <v>17.366</v>
      </c>
      <c r="G1705" s="31">
        <f>IF(ISNUMBER(F1705),E1705*F1705,"")</f>
        <v>1.2989768000000002</v>
      </c>
      <c r="H1705" s="35"/>
      <c r="I1705" s="31"/>
      <c r="J1705" s="155">
        <v>0</v>
      </c>
    </row>
    <row r="1706" spans="1:10" ht="15.75" hidden="1" thickBot="1" x14ac:dyDescent="0.3">
      <c r="A1706" s="176"/>
      <c r="B1706" s="175"/>
      <c r="C1706" s="36" t="s">
        <v>30</v>
      </c>
      <c r="D1706" s="36" t="s">
        <v>12</v>
      </c>
      <c r="E1706" s="37">
        <v>0.17949999999999999</v>
      </c>
      <c r="F1706" s="31">
        <v>22.268000000000001</v>
      </c>
      <c r="G1706" s="31">
        <f>IF(ISNUMBER(F1706),E1706*F1706,"")</f>
        <v>3.997106</v>
      </c>
      <c r="H1706" s="35"/>
      <c r="I1706" s="31"/>
      <c r="J1706" s="155">
        <v>0</v>
      </c>
    </row>
    <row r="1707" spans="1:10" ht="15.75" hidden="1" thickBot="1" x14ac:dyDescent="0.3">
      <c r="A1707" s="177"/>
      <c r="B1707" s="178"/>
      <c r="C1707" s="36"/>
      <c r="D1707" s="36"/>
      <c r="E1707" s="37"/>
      <c r="F1707" s="31" t="s">
        <v>568</v>
      </c>
      <c r="G1707" s="31" t="str">
        <f>IF(ISNUMBER(F1707),E1707*F1707,"")</f>
        <v/>
      </c>
      <c r="H1707" s="35"/>
      <c r="I1707" s="31"/>
      <c r="J1707" s="155">
        <v>0</v>
      </c>
    </row>
    <row r="1708" spans="1:10" ht="15.75" hidden="1" thickBot="1" x14ac:dyDescent="0.3">
      <c r="A1708" s="172" t="s">
        <v>585</v>
      </c>
      <c r="B1708" s="174" t="str">
        <f>INDEX(Orçamentária!A:B,MATCH(Composições!A1708,Orçamentária!A:A,0),2)</f>
        <v>Instalação de luminária reaproveitada</v>
      </c>
      <c r="C1708" s="41"/>
      <c r="D1708" s="26" t="str">
        <f>TRIM(INDEX(Orçamentária!C:C,MATCH(Composições!A1708,Orçamentária!A:A,0),1))</f>
        <v>un</v>
      </c>
      <c r="E1708" s="27"/>
      <c r="F1708" s="42" t="s">
        <v>568</v>
      </c>
      <c r="G1708" s="28" t="str">
        <f>IF(ISNUMBER(F1708),E1708*F1708,"")</f>
        <v/>
      </c>
      <c r="H1708" s="29"/>
      <c r="I1708" s="30"/>
      <c r="J1708" s="155">
        <v>0</v>
      </c>
    </row>
    <row r="1709" spans="1:10" ht="15.75" hidden="1" thickBot="1" x14ac:dyDescent="0.3">
      <c r="A1709" s="176"/>
      <c r="B1709" s="175"/>
      <c r="C1709" s="32"/>
      <c r="D1709" s="32"/>
      <c r="E1709" s="33"/>
      <c r="F1709" s="43" t="s">
        <v>568</v>
      </c>
      <c r="G1709" s="31" t="str">
        <f>IF(ISNUMBER(F1709),E1709*F1709,"")</f>
        <v/>
      </c>
      <c r="H1709" s="35"/>
      <c r="I1709" s="31"/>
      <c r="J1709" s="155">
        <v>0</v>
      </c>
    </row>
    <row r="1710" spans="1:10" ht="15.75" hidden="1" thickBot="1" x14ac:dyDescent="0.3">
      <c r="A1710" s="176"/>
      <c r="B1710" s="175"/>
      <c r="C1710" s="36" t="s">
        <v>74</v>
      </c>
      <c r="D1710" s="47" t="s">
        <v>12</v>
      </c>
      <c r="E1710" s="37">
        <v>0.14799999999999999</v>
      </c>
      <c r="F1710" s="31">
        <v>17.366</v>
      </c>
      <c r="G1710" s="31">
        <f>IF(ISNUMBER(F1710),E1710*F1710,"")</f>
        <v>2.5701679999999998</v>
      </c>
      <c r="H1710" s="39">
        <f>SUM(G1710:G1714)</f>
        <v>38.167534799999999</v>
      </c>
      <c r="I1710" s="40"/>
      <c r="J1710" s="155">
        <v>0</v>
      </c>
    </row>
    <row r="1711" spans="1:10" ht="15.75" hidden="1" thickBot="1" x14ac:dyDescent="0.3">
      <c r="A1711" s="176"/>
      <c r="B1711" s="175"/>
      <c r="C1711" s="36" t="s">
        <v>30</v>
      </c>
      <c r="D1711" s="36" t="s">
        <v>12</v>
      </c>
      <c r="E1711" s="37">
        <v>0.35510000000000003</v>
      </c>
      <c r="F1711" s="31">
        <v>22.268000000000001</v>
      </c>
      <c r="G1711" s="31">
        <f>IF(ISNUMBER(F1711),E1711*F1711,"")</f>
        <v>7.907366800000001</v>
      </c>
      <c r="H1711" s="45"/>
      <c r="I1711" s="46"/>
      <c r="J1711" s="155">
        <v>0</v>
      </c>
    </row>
    <row r="1712" spans="1:10" ht="26.25" hidden="1" thickBot="1" x14ac:dyDescent="0.3">
      <c r="A1712" s="176"/>
      <c r="B1712" s="175"/>
      <c r="C1712" s="36" t="s">
        <v>586</v>
      </c>
      <c r="D1712" s="36" t="s">
        <v>93</v>
      </c>
      <c r="E1712" s="37">
        <v>1.5</v>
      </c>
      <c r="F1712" s="34">
        <v>9.34</v>
      </c>
      <c r="G1712" s="31">
        <f>IF(ISNUMBER(F1712),E1712*F1712,"")</f>
        <v>14.01</v>
      </c>
      <c r="H1712" s="35"/>
      <c r="I1712" s="31"/>
      <c r="J1712" s="155">
        <v>0</v>
      </c>
    </row>
    <row r="1713" spans="1:10" ht="15.75" hidden="1" thickBot="1" x14ac:dyDescent="0.3">
      <c r="A1713" s="176"/>
      <c r="B1713" s="175"/>
      <c r="C1713" s="36" t="s">
        <v>587</v>
      </c>
      <c r="D1713" s="36" t="s">
        <v>149</v>
      </c>
      <c r="E1713" s="37">
        <v>1</v>
      </c>
      <c r="F1713" s="34">
        <v>6.64</v>
      </c>
      <c r="G1713" s="31">
        <f>IF(ISNUMBER(F1713),E1713*F1713,"")</f>
        <v>6.64</v>
      </c>
      <c r="H1713" s="35"/>
      <c r="I1713" s="31"/>
      <c r="J1713" s="155">
        <v>0</v>
      </c>
    </row>
    <row r="1714" spans="1:10" ht="15.75" hidden="1" thickBot="1" x14ac:dyDescent="0.3">
      <c r="A1714" s="176"/>
      <c r="B1714" s="175"/>
      <c r="C1714" s="36" t="s">
        <v>588</v>
      </c>
      <c r="D1714" s="36" t="s">
        <v>149</v>
      </c>
      <c r="E1714" s="37">
        <v>1</v>
      </c>
      <c r="F1714" s="34">
        <v>7.04</v>
      </c>
      <c r="G1714" s="31">
        <f>IF(ISNUMBER(F1714),E1714*F1714,"")</f>
        <v>7.04</v>
      </c>
      <c r="H1714" s="35"/>
      <c r="I1714" s="31"/>
      <c r="J1714" s="155">
        <v>0</v>
      </c>
    </row>
    <row r="1715" spans="1:10" ht="15.75" hidden="1" thickBot="1" x14ac:dyDescent="0.3">
      <c r="A1715" s="177"/>
      <c r="B1715" s="178"/>
      <c r="C1715" s="36"/>
      <c r="D1715" s="36"/>
      <c r="E1715" s="37"/>
      <c r="F1715" s="31" t="s">
        <v>568</v>
      </c>
      <c r="G1715" s="31" t="str">
        <f>IF(ISNUMBER(F1715),E1715*F1715,"")</f>
        <v/>
      </c>
      <c r="H1715" s="35"/>
      <c r="I1715" s="31"/>
      <c r="J1715" s="155">
        <v>0</v>
      </c>
    </row>
    <row r="1716" spans="1:10" ht="15.75" hidden="1" thickBot="1" x14ac:dyDescent="0.3">
      <c r="A1716" s="172" t="s">
        <v>589</v>
      </c>
      <c r="B1716" s="174" t="str">
        <f>INDEX(Orçamentária!A:B,MATCH(Composições!A1716,Orçamentária!A:A,0),2)</f>
        <v>Luminária 2x14 W de embutir</v>
      </c>
      <c r="C1716" s="41"/>
      <c r="D1716" s="26" t="str">
        <f>TRIM(INDEX(Orçamentária!C:C,MATCH(Composições!A1716,Orçamentária!A:A,0),1))</f>
        <v>un</v>
      </c>
      <c r="E1716" s="27"/>
      <c r="F1716" s="42" t="s">
        <v>568</v>
      </c>
      <c r="G1716" s="28" t="str">
        <f>IF(ISNUMBER(F1716),E1716*F1716,"")</f>
        <v/>
      </c>
      <c r="H1716" s="29"/>
      <c r="I1716" s="30"/>
      <c r="J1716" s="155">
        <v>0</v>
      </c>
    </row>
    <row r="1717" spans="1:10" ht="15.75" hidden="1" thickBot="1" x14ac:dyDescent="0.3">
      <c r="A1717" s="176"/>
      <c r="B1717" s="175"/>
      <c r="C1717" s="32"/>
      <c r="D1717" s="32"/>
      <c r="E1717" s="33"/>
      <c r="F1717" s="43" t="s">
        <v>568</v>
      </c>
      <c r="G1717" s="31" t="str">
        <f>IF(ISNUMBER(F1717),E1717*F1717,"")</f>
        <v/>
      </c>
      <c r="H1717" s="35"/>
      <c r="I1717" s="31"/>
      <c r="J1717" s="155">
        <v>0</v>
      </c>
    </row>
    <row r="1718" spans="1:10" ht="26.25" hidden="1" thickBot="1" x14ac:dyDescent="0.3">
      <c r="A1718" s="176"/>
      <c r="B1718" s="175"/>
      <c r="C1718" s="36" t="s">
        <v>590</v>
      </c>
      <c r="D1718" s="36" t="s">
        <v>149</v>
      </c>
      <c r="E1718" s="37">
        <v>1</v>
      </c>
      <c r="F1718" s="34" t="s">
        <v>568</v>
      </c>
      <c r="G1718" s="34" t="str">
        <f>IF(ISNUMBER(F1718),E1718*F1718,"")</f>
        <v/>
      </c>
      <c r="H1718" s="39">
        <f>SUM(G1718:G1725)</f>
        <v>163.08753479999999</v>
      </c>
      <c r="I1718" s="40"/>
      <c r="J1718" s="155">
        <v>0</v>
      </c>
    </row>
    <row r="1719" spans="1:10" ht="26.25" hidden="1" thickBot="1" x14ac:dyDescent="0.3">
      <c r="A1719" s="176"/>
      <c r="B1719" s="175"/>
      <c r="C1719" s="36" t="s">
        <v>591</v>
      </c>
      <c r="D1719" s="36" t="s">
        <v>149</v>
      </c>
      <c r="E1719" s="37">
        <v>1</v>
      </c>
      <c r="F1719" s="34">
        <v>97</v>
      </c>
      <c r="G1719" s="34">
        <f>IF(ISNUMBER(F1719),E1719*F1719,"")</f>
        <v>97</v>
      </c>
      <c r="H1719" s="45"/>
      <c r="I1719" s="46"/>
      <c r="J1719" s="155">
        <v>0</v>
      </c>
    </row>
    <row r="1720" spans="1:10" ht="26.25" hidden="1" thickBot="1" x14ac:dyDescent="0.3">
      <c r="A1720" s="176"/>
      <c r="B1720" s="175"/>
      <c r="C1720" s="36" t="s">
        <v>592</v>
      </c>
      <c r="D1720" s="36" t="s">
        <v>149</v>
      </c>
      <c r="E1720" s="37">
        <v>2</v>
      </c>
      <c r="F1720" s="34">
        <v>13.96</v>
      </c>
      <c r="G1720" s="34">
        <f>IF(ISNUMBER(F1720),E1720*F1720,"")</f>
        <v>27.92</v>
      </c>
      <c r="H1720" s="45"/>
      <c r="I1720" s="46"/>
      <c r="J1720" s="155">
        <v>0</v>
      </c>
    </row>
    <row r="1721" spans="1:10" ht="26.25" hidden="1" thickBot="1" x14ac:dyDescent="0.3">
      <c r="A1721" s="176"/>
      <c r="B1721" s="175"/>
      <c r="C1721" s="36" t="s">
        <v>586</v>
      </c>
      <c r="D1721" s="36" t="s">
        <v>93</v>
      </c>
      <c r="E1721" s="37">
        <v>1.5</v>
      </c>
      <c r="F1721" s="34">
        <v>9.34</v>
      </c>
      <c r="G1721" s="31">
        <f>IF(ISNUMBER(F1721),E1721*F1721,"")</f>
        <v>14.01</v>
      </c>
      <c r="H1721" s="35"/>
      <c r="I1721" s="31"/>
      <c r="J1721" s="155">
        <v>0</v>
      </c>
    </row>
    <row r="1722" spans="1:10" ht="15.75" hidden="1" thickBot="1" x14ac:dyDescent="0.3">
      <c r="A1722" s="176"/>
      <c r="B1722" s="175"/>
      <c r="C1722" s="36" t="s">
        <v>587</v>
      </c>
      <c r="D1722" s="36" t="s">
        <v>149</v>
      </c>
      <c r="E1722" s="37">
        <v>1</v>
      </c>
      <c r="F1722" s="34">
        <v>6.64</v>
      </c>
      <c r="G1722" s="31">
        <f>IF(ISNUMBER(F1722),E1722*F1722,"")</f>
        <v>6.64</v>
      </c>
      <c r="H1722" s="35"/>
      <c r="I1722" s="31"/>
      <c r="J1722" s="155">
        <v>0</v>
      </c>
    </row>
    <row r="1723" spans="1:10" ht="15.75" hidden="1" thickBot="1" x14ac:dyDescent="0.3">
      <c r="A1723" s="176"/>
      <c r="B1723" s="175"/>
      <c r="C1723" s="36" t="s">
        <v>588</v>
      </c>
      <c r="D1723" s="36" t="s">
        <v>149</v>
      </c>
      <c r="E1723" s="37">
        <v>1</v>
      </c>
      <c r="F1723" s="34">
        <v>7.04</v>
      </c>
      <c r="G1723" s="31">
        <f>IF(ISNUMBER(F1723),E1723*F1723,"")</f>
        <v>7.04</v>
      </c>
      <c r="H1723" s="35"/>
      <c r="I1723" s="31"/>
      <c r="J1723" s="155">
        <v>0</v>
      </c>
    </row>
    <row r="1724" spans="1:10" ht="15.75" hidden="1" thickBot="1" x14ac:dyDescent="0.3">
      <c r="A1724" s="176"/>
      <c r="B1724" s="175"/>
      <c r="C1724" s="36" t="s">
        <v>74</v>
      </c>
      <c r="D1724" s="36" t="s">
        <v>12</v>
      </c>
      <c r="E1724" s="37">
        <v>0.14799999999999999</v>
      </c>
      <c r="F1724" s="31">
        <v>17.366</v>
      </c>
      <c r="G1724" s="34">
        <f>IF(ISNUMBER(F1724),E1724*F1724,"")</f>
        <v>2.5701679999999998</v>
      </c>
      <c r="H1724" s="35"/>
      <c r="I1724" s="31"/>
      <c r="J1724" s="155">
        <v>0</v>
      </c>
    </row>
    <row r="1725" spans="1:10" ht="15.75" hidden="1" thickBot="1" x14ac:dyDescent="0.3">
      <c r="A1725" s="176"/>
      <c r="B1725" s="175"/>
      <c r="C1725" s="36" t="s">
        <v>30</v>
      </c>
      <c r="D1725" s="36" t="s">
        <v>12</v>
      </c>
      <c r="E1725" s="37">
        <v>0.35510000000000003</v>
      </c>
      <c r="F1725" s="31">
        <v>22.268000000000001</v>
      </c>
      <c r="G1725" s="31">
        <f>IF(ISNUMBER(F1725),E1725*F1725,"")</f>
        <v>7.907366800000001</v>
      </c>
      <c r="H1725" s="35"/>
      <c r="I1725" s="31"/>
      <c r="J1725" s="155">
        <v>0</v>
      </c>
    </row>
    <row r="1726" spans="1:10" ht="15.75" hidden="1" thickBot="1" x14ac:dyDescent="0.3">
      <c r="A1726" s="177"/>
      <c r="B1726" s="178"/>
      <c r="C1726" s="36"/>
      <c r="D1726" s="36"/>
      <c r="E1726" s="37"/>
      <c r="F1726" s="31" t="s">
        <v>568</v>
      </c>
      <c r="G1726" s="31" t="str">
        <f>IF(ISNUMBER(F1726),E1726*F1726,"")</f>
        <v/>
      </c>
      <c r="H1726" s="35"/>
      <c r="I1726" s="31"/>
      <c r="J1726" s="155">
        <v>0</v>
      </c>
    </row>
    <row r="1727" spans="1:10" ht="15.75" thickBot="1" x14ac:dyDescent="0.3">
      <c r="A1727" s="172" t="s">
        <v>593</v>
      </c>
      <c r="B1727" s="174" t="str">
        <f>INDEX(Orçamentária!A:B,MATCH(Composições!A1727,Orçamentária!A:A,0),2)</f>
        <v>Luminária 2x14 W de sobrepor</v>
      </c>
      <c r="C1727" s="41"/>
      <c r="D1727" s="26" t="str">
        <f>TRIM(INDEX(Orçamentária!C:C,MATCH(Composições!A1727,Orçamentária!A:A,0),1))</f>
        <v>un</v>
      </c>
      <c r="E1727" s="27"/>
      <c r="F1727" s="42" t="s">
        <v>568</v>
      </c>
      <c r="G1727" s="28" t="str">
        <f>IF(ISNUMBER(F1727),E1727*F1727,"")</f>
        <v/>
      </c>
      <c r="H1727" s="29"/>
      <c r="I1727" s="30"/>
      <c r="J1727" s="155">
        <v>1</v>
      </c>
    </row>
    <row r="1728" spans="1:10" x14ac:dyDescent="0.25">
      <c r="A1728" s="176"/>
      <c r="B1728" s="175"/>
      <c r="C1728" s="32"/>
      <c r="D1728" s="32"/>
      <c r="E1728" s="33"/>
      <c r="F1728" s="43" t="s">
        <v>568</v>
      </c>
      <c r="G1728" s="31" t="str">
        <f>IF(ISNUMBER(F1728),E1728*F1728,"")</f>
        <v/>
      </c>
      <c r="H1728" s="35"/>
      <c r="I1728" s="31"/>
      <c r="J1728" s="155">
        <v>1</v>
      </c>
    </row>
    <row r="1729" spans="1:10" ht="25.5" x14ac:dyDescent="0.25">
      <c r="A1729" s="176"/>
      <c r="B1729" s="175"/>
      <c r="C1729" s="36" t="s">
        <v>594</v>
      </c>
      <c r="D1729" s="36" t="s">
        <v>149</v>
      </c>
      <c r="E1729" s="37">
        <v>1</v>
      </c>
      <c r="F1729" s="34">
        <v>103.3</v>
      </c>
      <c r="G1729" s="34">
        <f>IF(ISNUMBER(F1729),E1729*F1729,"")</f>
        <v>103.3</v>
      </c>
      <c r="H1729" s="39">
        <f>SUM(G1729:G1736)</f>
        <v>268.1369674</v>
      </c>
      <c r="I1729" s="40"/>
      <c r="J1729" s="155">
        <v>1</v>
      </c>
    </row>
    <row r="1730" spans="1:10" ht="25.5" x14ac:dyDescent="0.25">
      <c r="A1730" s="176"/>
      <c r="B1730" s="175"/>
      <c r="C1730" s="36" t="s">
        <v>591</v>
      </c>
      <c r="D1730" s="36" t="s">
        <v>149</v>
      </c>
      <c r="E1730" s="37">
        <v>1</v>
      </c>
      <c r="F1730" s="34">
        <v>97</v>
      </c>
      <c r="G1730" s="34">
        <f>IF(ISNUMBER(F1730),E1730*F1730,"")</f>
        <v>97</v>
      </c>
      <c r="H1730" s="45"/>
      <c r="I1730" s="46"/>
      <c r="J1730" s="155">
        <v>1</v>
      </c>
    </row>
    <row r="1731" spans="1:10" ht="25.5" x14ac:dyDescent="0.25">
      <c r="A1731" s="176"/>
      <c r="B1731" s="175"/>
      <c r="C1731" s="36" t="s">
        <v>592</v>
      </c>
      <c r="D1731" s="36" t="s">
        <v>149</v>
      </c>
      <c r="E1731" s="37">
        <v>2</v>
      </c>
      <c r="F1731" s="34">
        <v>13.96</v>
      </c>
      <c r="G1731" s="34">
        <f>IF(ISNUMBER(F1731),E1731*F1731,"")</f>
        <v>27.92</v>
      </c>
      <c r="H1731" s="45"/>
      <c r="I1731" s="46"/>
      <c r="J1731" s="155">
        <v>1</v>
      </c>
    </row>
    <row r="1732" spans="1:10" ht="25.5" x14ac:dyDescent="0.25">
      <c r="A1732" s="176"/>
      <c r="B1732" s="175"/>
      <c r="C1732" s="36" t="s">
        <v>586</v>
      </c>
      <c r="D1732" s="36" t="s">
        <v>93</v>
      </c>
      <c r="E1732" s="37">
        <v>1.5</v>
      </c>
      <c r="F1732" s="34">
        <v>9.34</v>
      </c>
      <c r="G1732" s="31">
        <f>IF(ISNUMBER(F1732),E1732*F1732,"")</f>
        <v>14.01</v>
      </c>
      <c r="H1732" s="35"/>
      <c r="I1732" s="31"/>
      <c r="J1732" s="155">
        <v>1</v>
      </c>
    </row>
    <row r="1733" spans="1:10" x14ac:dyDescent="0.25">
      <c r="A1733" s="176"/>
      <c r="B1733" s="175"/>
      <c r="C1733" s="36" t="s">
        <v>587</v>
      </c>
      <c r="D1733" s="36" t="s">
        <v>149</v>
      </c>
      <c r="E1733" s="37">
        <v>1</v>
      </c>
      <c r="F1733" s="34">
        <v>6.64</v>
      </c>
      <c r="G1733" s="31">
        <f>IF(ISNUMBER(F1733),E1733*F1733,"")</f>
        <v>6.64</v>
      </c>
      <c r="H1733" s="35"/>
      <c r="I1733" s="31"/>
      <c r="J1733" s="155">
        <v>1</v>
      </c>
    </row>
    <row r="1734" spans="1:10" x14ac:dyDescent="0.25">
      <c r="A1734" s="176"/>
      <c r="B1734" s="175"/>
      <c r="C1734" s="36" t="s">
        <v>588</v>
      </c>
      <c r="D1734" s="36" t="s">
        <v>149</v>
      </c>
      <c r="E1734" s="37">
        <v>1</v>
      </c>
      <c r="F1734" s="34">
        <v>7.04</v>
      </c>
      <c r="G1734" s="31">
        <f>IF(ISNUMBER(F1734),E1734*F1734,"")</f>
        <v>7.04</v>
      </c>
      <c r="H1734" s="35"/>
      <c r="I1734" s="31"/>
      <c r="J1734" s="155">
        <v>1</v>
      </c>
    </row>
    <row r="1735" spans="1:10" x14ac:dyDescent="0.25">
      <c r="A1735" s="176"/>
      <c r="B1735" s="175"/>
      <c r="C1735" s="36" t="s">
        <v>74</v>
      </c>
      <c r="D1735" s="47" t="s">
        <v>12</v>
      </c>
      <c r="E1735" s="37">
        <v>0.17269999999999999</v>
      </c>
      <c r="F1735" s="31">
        <v>17.366</v>
      </c>
      <c r="G1735" s="31">
        <f>IF(ISNUMBER(F1735),E1735*F1735,"")</f>
        <v>2.9991081999999998</v>
      </c>
      <c r="H1735" s="35"/>
      <c r="I1735" s="31"/>
      <c r="J1735" s="155">
        <v>1</v>
      </c>
    </row>
    <row r="1736" spans="1:10" x14ac:dyDescent="0.25">
      <c r="A1736" s="176"/>
      <c r="B1736" s="175"/>
      <c r="C1736" s="36" t="s">
        <v>30</v>
      </c>
      <c r="D1736" s="36" t="s">
        <v>12</v>
      </c>
      <c r="E1736" s="37">
        <v>0.41439999999999999</v>
      </c>
      <c r="F1736" s="31">
        <v>22.268000000000001</v>
      </c>
      <c r="G1736" s="31">
        <f>IF(ISNUMBER(F1736),E1736*F1736,"")</f>
        <v>9.2278591999999993</v>
      </c>
      <c r="H1736" s="35"/>
      <c r="I1736" s="31"/>
      <c r="J1736" s="155">
        <v>1</v>
      </c>
    </row>
    <row r="1737" spans="1:10" ht="15.75" thickBot="1" x14ac:dyDescent="0.3">
      <c r="A1737" s="177"/>
      <c r="B1737" s="178"/>
      <c r="C1737" s="36"/>
      <c r="D1737" s="36"/>
      <c r="E1737" s="37"/>
      <c r="F1737" s="31" t="s">
        <v>568</v>
      </c>
      <c r="G1737" s="31" t="str">
        <f>IF(ISNUMBER(F1737),E1737*F1737,"")</f>
        <v/>
      </c>
      <c r="H1737" s="35"/>
      <c r="I1737" s="31"/>
      <c r="J1737" s="155">
        <v>1</v>
      </c>
    </row>
    <row r="1738" spans="1:10" ht="15.75" thickBot="1" x14ac:dyDescent="0.3">
      <c r="A1738" s="172" t="s">
        <v>595</v>
      </c>
      <c r="B1738" s="174" t="str">
        <f>INDEX(Orçamentária!A:B,MATCH(Composições!A1738,Orçamentária!A:A,0),2)</f>
        <v>Luminária 2x28 W de embutir</v>
      </c>
      <c r="C1738" s="41"/>
      <c r="D1738" s="26" t="str">
        <f>TRIM(INDEX(Orçamentária!C:C,MATCH(Composições!A1738,Orçamentária!A:A,0),1))</f>
        <v>un</v>
      </c>
      <c r="E1738" s="27"/>
      <c r="F1738" s="42" t="s">
        <v>568</v>
      </c>
      <c r="G1738" s="28" t="str">
        <f>IF(ISNUMBER(F1738),E1738*F1738,"")</f>
        <v/>
      </c>
      <c r="H1738" s="29"/>
      <c r="I1738" s="30"/>
      <c r="J1738" s="155">
        <v>67</v>
      </c>
    </row>
    <row r="1739" spans="1:10" x14ac:dyDescent="0.25">
      <c r="A1739" s="176"/>
      <c r="B1739" s="175"/>
      <c r="C1739" s="32"/>
      <c r="D1739" s="32"/>
      <c r="E1739" s="33"/>
      <c r="F1739" s="43" t="s">
        <v>568</v>
      </c>
      <c r="G1739" s="31" t="str">
        <f>IF(ISNUMBER(F1739),E1739*F1739,"")</f>
        <v/>
      </c>
      <c r="H1739" s="35"/>
      <c r="I1739" s="31"/>
      <c r="J1739" s="155">
        <v>67</v>
      </c>
    </row>
    <row r="1740" spans="1:10" ht="25.5" x14ac:dyDescent="0.25">
      <c r="A1740" s="176"/>
      <c r="B1740" s="175"/>
      <c r="C1740" s="36" t="s">
        <v>596</v>
      </c>
      <c r="D1740" s="36" t="s">
        <v>149</v>
      </c>
      <c r="E1740" s="37">
        <v>1</v>
      </c>
      <c r="F1740" s="34">
        <v>192.22</v>
      </c>
      <c r="G1740" s="31">
        <f>IF(ISNUMBER(F1740),E1740*F1740,"")</f>
        <v>192.22</v>
      </c>
      <c r="H1740" s="39">
        <f>SUM(G1740:G1747)</f>
        <v>329.0375348</v>
      </c>
      <c r="I1740" s="40"/>
      <c r="J1740" s="155">
        <v>67</v>
      </c>
    </row>
    <row r="1741" spans="1:10" ht="25.5" x14ac:dyDescent="0.25">
      <c r="A1741" s="176"/>
      <c r="B1741" s="175"/>
      <c r="C1741" s="36" t="s">
        <v>597</v>
      </c>
      <c r="D1741" s="36" t="s">
        <v>149</v>
      </c>
      <c r="E1741" s="37">
        <v>1</v>
      </c>
      <c r="F1741" s="34">
        <v>65.91</v>
      </c>
      <c r="G1741" s="31">
        <f>IF(ISNUMBER(F1741),E1741*F1741,"")</f>
        <v>65.91</v>
      </c>
      <c r="H1741" s="45"/>
      <c r="I1741" s="46"/>
      <c r="J1741" s="155">
        <v>67</v>
      </c>
    </row>
    <row r="1742" spans="1:10" ht="25.5" x14ac:dyDescent="0.25">
      <c r="A1742" s="176"/>
      <c r="B1742" s="175"/>
      <c r="C1742" s="36" t="s">
        <v>598</v>
      </c>
      <c r="D1742" s="36" t="s">
        <v>149</v>
      </c>
      <c r="E1742" s="37">
        <v>2</v>
      </c>
      <c r="F1742" s="34">
        <v>16.37</v>
      </c>
      <c r="G1742" s="31">
        <f>IF(ISNUMBER(F1742),E1742*F1742,"")</f>
        <v>32.74</v>
      </c>
      <c r="H1742" s="45"/>
      <c r="I1742" s="46"/>
      <c r="J1742" s="155">
        <v>67</v>
      </c>
    </row>
    <row r="1743" spans="1:10" ht="25.5" x14ac:dyDescent="0.25">
      <c r="A1743" s="176"/>
      <c r="B1743" s="175"/>
      <c r="C1743" s="36" t="s">
        <v>586</v>
      </c>
      <c r="D1743" s="36" t="s">
        <v>93</v>
      </c>
      <c r="E1743" s="37">
        <v>1.5</v>
      </c>
      <c r="F1743" s="34">
        <v>9.34</v>
      </c>
      <c r="G1743" s="31">
        <f>IF(ISNUMBER(F1743),E1743*F1743,"")</f>
        <v>14.01</v>
      </c>
      <c r="H1743" s="35"/>
      <c r="I1743" s="31"/>
      <c r="J1743" s="155">
        <v>67</v>
      </c>
    </row>
    <row r="1744" spans="1:10" x14ac:dyDescent="0.25">
      <c r="A1744" s="176"/>
      <c r="B1744" s="175"/>
      <c r="C1744" s="36" t="s">
        <v>587</v>
      </c>
      <c r="D1744" s="36" t="s">
        <v>149</v>
      </c>
      <c r="E1744" s="37">
        <v>1</v>
      </c>
      <c r="F1744" s="34">
        <v>6.64</v>
      </c>
      <c r="G1744" s="31">
        <f>IF(ISNUMBER(F1744),E1744*F1744,"")</f>
        <v>6.64</v>
      </c>
      <c r="H1744" s="35"/>
      <c r="I1744" s="31"/>
      <c r="J1744" s="155">
        <v>67</v>
      </c>
    </row>
    <row r="1745" spans="1:10" x14ac:dyDescent="0.25">
      <c r="A1745" s="176"/>
      <c r="B1745" s="175"/>
      <c r="C1745" s="36" t="s">
        <v>588</v>
      </c>
      <c r="D1745" s="36" t="s">
        <v>149</v>
      </c>
      <c r="E1745" s="37">
        <v>1</v>
      </c>
      <c r="F1745" s="34">
        <v>7.04</v>
      </c>
      <c r="G1745" s="31">
        <f>IF(ISNUMBER(F1745),E1745*F1745,"")</f>
        <v>7.04</v>
      </c>
      <c r="H1745" s="35"/>
      <c r="I1745" s="31"/>
      <c r="J1745" s="155">
        <v>67</v>
      </c>
    </row>
    <row r="1746" spans="1:10" x14ac:dyDescent="0.25">
      <c r="A1746" s="176"/>
      <c r="B1746" s="175"/>
      <c r="C1746" s="36" t="s">
        <v>74</v>
      </c>
      <c r="D1746" s="36" t="s">
        <v>12</v>
      </c>
      <c r="E1746" s="37">
        <v>0.14799999999999999</v>
      </c>
      <c r="F1746" s="31">
        <v>17.366</v>
      </c>
      <c r="G1746" s="34">
        <f>IF(ISNUMBER(F1746),E1746*F1746,"")</f>
        <v>2.5701679999999998</v>
      </c>
      <c r="H1746" s="35"/>
      <c r="I1746" s="31"/>
      <c r="J1746" s="155">
        <v>67</v>
      </c>
    </row>
    <row r="1747" spans="1:10" x14ac:dyDescent="0.25">
      <c r="A1747" s="176"/>
      <c r="B1747" s="175"/>
      <c r="C1747" s="36" t="s">
        <v>30</v>
      </c>
      <c r="D1747" s="36" t="s">
        <v>12</v>
      </c>
      <c r="E1747" s="37">
        <v>0.35510000000000003</v>
      </c>
      <c r="F1747" s="31">
        <v>22.268000000000001</v>
      </c>
      <c r="G1747" s="31">
        <f>IF(ISNUMBER(F1747),E1747*F1747,"")</f>
        <v>7.907366800000001</v>
      </c>
      <c r="H1747" s="35"/>
      <c r="I1747" s="31"/>
      <c r="J1747" s="155">
        <v>67</v>
      </c>
    </row>
    <row r="1748" spans="1:10" ht="15.75" thickBot="1" x14ac:dyDescent="0.3">
      <c r="A1748" s="177"/>
      <c r="B1748" s="178"/>
      <c r="C1748" s="36"/>
      <c r="D1748" s="36"/>
      <c r="E1748" s="37"/>
      <c r="F1748" s="31" t="s">
        <v>568</v>
      </c>
      <c r="G1748" s="31" t="str">
        <f>IF(ISNUMBER(F1748),E1748*F1748,"")</f>
        <v/>
      </c>
      <c r="H1748" s="35"/>
      <c r="I1748" s="31"/>
      <c r="J1748" s="155">
        <v>67</v>
      </c>
    </row>
    <row r="1749" spans="1:10" ht="15.75" thickBot="1" x14ac:dyDescent="0.3">
      <c r="A1749" s="172" t="s">
        <v>599</v>
      </c>
      <c r="B1749" s="174" t="str">
        <f>INDEX(Orçamentária!A:B,MATCH(Composições!A1749,Orçamentária!A:A,0),2)</f>
        <v>Luminária 2x28 W de sobrepor</v>
      </c>
      <c r="C1749" s="41"/>
      <c r="D1749" s="26" t="str">
        <f>TRIM(INDEX(Orçamentária!C:C,MATCH(Composições!A1749,Orçamentária!A:A,0),1))</f>
        <v>un</v>
      </c>
      <c r="E1749" s="27"/>
      <c r="F1749" s="42" t="s">
        <v>568</v>
      </c>
      <c r="G1749" s="28" t="str">
        <f>IF(ISNUMBER(F1749),E1749*F1749,"")</f>
        <v/>
      </c>
      <c r="H1749" s="29"/>
      <c r="I1749" s="30"/>
      <c r="J1749" s="155">
        <v>18</v>
      </c>
    </row>
    <row r="1750" spans="1:10" x14ac:dyDescent="0.25">
      <c r="A1750" s="176"/>
      <c r="B1750" s="175"/>
      <c r="C1750" s="32"/>
      <c r="D1750" s="32"/>
      <c r="E1750" s="33"/>
      <c r="F1750" s="43" t="s">
        <v>568</v>
      </c>
      <c r="G1750" s="31" t="str">
        <f>IF(ISNUMBER(F1750),E1750*F1750,"")</f>
        <v/>
      </c>
      <c r="H1750" s="35"/>
      <c r="I1750" s="31"/>
      <c r="J1750" s="155">
        <v>18</v>
      </c>
    </row>
    <row r="1751" spans="1:10" ht="25.5" x14ac:dyDescent="0.25">
      <c r="A1751" s="176"/>
      <c r="B1751" s="175"/>
      <c r="C1751" s="36" t="s">
        <v>600</v>
      </c>
      <c r="D1751" s="36" t="s">
        <v>149</v>
      </c>
      <c r="E1751" s="37">
        <v>1</v>
      </c>
      <c r="F1751" s="34">
        <v>125.51</v>
      </c>
      <c r="G1751" s="31">
        <f>IF(ISNUMBER(F1751),E1751*F1751,"")</f>
        <v>125.51</v>
      </c>
      <c r="H1751" s="39">
        <f>SUM(G1751:G1758)</f>
        <v>264.0769674</v>
      </c>
      <c r="I1751" s="40"/>
      <c r="J1751" s="155">
        <v>18</v>
      </c>
    </row>
    <row r="1752" spans="1:10" ht="25.5" x14ac:dyDescent="0.25">
      <c r="A1752" s="176"/>
      <c r="B1752" s="175"/>
      <c r="C1752" s="36" t="s">
        <v>597</v>
      </c>
      <c r="D1752" s="36" t="s">
        <v>149</v>
      </c>
      <c r="E1752" s="37">
        <v>1</v>
      </c>
      <c r="F1752" s="34">
        <v>65.91</v>
      </c>
      <c r="G1752" s="31">
        <f>IF(ISNUMBER(F1752),E1752*F1752,"")</f>
        <v>65.91</v>
      </c>
      <c r="H1752" s="45"/>
      <c r="I1752" s="46"/>
      <c r="J1752" s="155">
        <v>18</v>
      </c>
    </row>
    <row r="1753" spans="1:10" ht="25.5" x14ac:dyDescent="0.25">
      <c r="A1753" s="176"/>
      <c r="B1753" s="175"/>
      <c r="C1753" s="36" t="s">
        <v>598</v>
      </c>
      <c r="D1753" s="36" t="s">
        <v>149</v>
      </c>
      <c r="E1753" s="37">
        <v>2</v>
      </c>
      <c r="F1753" s="34">
        <v>16.37</v>
      </c>
      <c r="G1753" s="31">
        <f>IF(ISNUMBER(F1753),E1753*F1753,"")</f>
        <v>32.74</v>
      </c>
      <c r="H1753" s="45"/>
      <c r="I1753" s="46"/>
      <c r="J1753" s="155">
        <v>18</v>
      </c>
    </row>
    <row r="1754" spans="1:10" ht="25.5" x14ac:dyDescent="0.25">
      <c r="A1754" s="176"/>
      <c r="B1754" s="175"/>
      <c r="C1754" s="36" t="s">
        <v>586</v>
      </c>
      <c r="D1754" s="36" t="s">
        <v>93</v>
      </c>
      <c r="E1754" s="37">
        <v>1.5</v>
      </c>
      <c r="F1754" s="34">
        <v>9.34</v>
      </c>
      <c r="G1754" s="31">
        <f>IF(ISNUMBER(F1754),E1754*F1754,"")</f>
        <v>14.01</v>
      </c>
      <c r="H1754" s="35"/>
      <c r="I1754" s="31"/>
      <c r="J1754" s="155">
        <v>18</v>
      </c>
    </row>
    <row r="1755" spans="1:10" x14ac:dyDescent="0.25">
      <c r="A1755" s="176"/>
      <c r="B1755" s="175"/>
      <c r="C1755" s="36" t="s">
        <v>587</v>
      </c>
      <c r="D1755" s="36" t="s">
        <v>149</v>
      </c>
      <c r="E1755" s="37">
        <v>1</v>
      </c>
      <c r="F1755" s="34">
        <v>6.64</v>
      </c>
      <c r="G1755" s="31">
        <f>IF(ISNUMBER(F1755),E1755*F1755,"")</f>
        <v>6.64</v>
      </c>
      <c r="H1755" s="35"/>
      <c r="I1755" s="31"/>
      <c r="J1755" s="155">
        <v>18</v>
      </c>
    </row>
    <row r="1756" spans="1:10" x14ac:dyDescent="0.25">
      <c r="A1756" s="176"/>
      <c r="B1756" s="175"/>
      <c r="C1756" s="36" t="s">
        <v>588</v>
      </c>
      <c r="D1756" s="36" t="s">
        <v>149</v>
      </c>
      <c r="E1756" s="37">
        <v>1</v>
      </c>
      <c r="F1756" s="34">
        <v>7.04</v>
      </c>
      <c r="G1756" s="31">
        <f>IF(ISNUMBER(F1756),E1756*F1756,"")</f>
        <v>7.04</v>
      </c>
      <c r="H1756" s="35"/>
      <c r="I1756" s="31"/>
      <c r="J1756" s="155">
        <v>18</v>
      </c>
    </row>
    <row r="1757" spans="1:10" x14ac:dyDescent="0.25">
      <c r="A1757" s="176"/>
      <c r="B1757" s="175"/>
      <c r="C1757" s="36" t="s">
        <v>74</v>
      </c>
      <c r="D1757" s="36" t="s">
        <v>12</v>
      </c>
      <c r="E1757" s="37">
        <v>0.17269999999999999</v>
      </c>
      <c r="F1757" s="31">
        <v>17.366</v>
      </c>
      <c r="G1757" s="31">
        <f>IF(ISNUMBER(F1757),E1757*F1757,"")</f>
        <v>2.9991081999999998</v>
      </c>
      <c r="H1757" s="35"/>
      <c r="I1757" s="31"/>
      <c r="J1757" s="155">
        <v>18</v>
      </c>
    </row>
    <row r="1758" spans="1:10" x14ac:dyDescent="0.25">
      <c r="A1758" s="176"/>
      <c r="B1758" s="175"/>
      <c r="C1758" s="36" t="s">
        <v>30</v>
      </c>
      <c r="D1758" s="36" t="s">
        <v>12</v>
      </c>
      <c r="E1758" s="37">
        <v>0.41439999999999999</v>
      </c>
      <c r="F1758" s="31">
        <v>22.268000000000001</v>
      </c>
      <c r="G1758" s="31">
        <f>IF(ISNUMBER(F1758),E1758*F1758,"")</f>
        <v>9.2278591999999993</v>
      </c>
      <c r="H1758" s="35"/>
      <c r="I1758" s="31"/>
      <c r="J1758" s="155">
        <v>18</v>
      </c>
    </row>
    <row r="1759" spans="1:10" ht="15.75" thickBot="1" x14ac:dyDescent="0.3">
      <c r="A1759" s="177"/>
      <c r="B1759" s="178"/>
      <c r="C1759" s="36"/>
      <c r="D1759" s="36"/>
      <c r="E1759" s="37"/>
      <c r="F1759" s="31" t="s">
        <v>568</v>
      </c>
      <c r="G1759" s="31" t="str">
        <f>IF(ISNUMBER(F1759),E1759*F1759,"")</f>
        <v/>
      </c>
      <c r="H1759" s="35"/>
      <c r="I1759" s="31"/>
      <c r="J1759" s="155">
        <v>18</v>
      </c>
    </row>
    <row r="1760" spans="1:10" ht="15.75" hidden="1" thickBot="1" x14ac:dyDescent="0.3">
      <c r="A1760" s="172" t="s">
        <v>601</v>
      </c>
      <c r="B1760" s="174" t="str">
        <f>INDEX(Orçamentária!A:B,MATCH(Composições!A1760,Orçamentária!A:A,0),2)</f>
        <v>Condutor 10mm²</v>
      </c>
      <c r="C1760" s="41"/>
      <c r="D1760" s="26" t="str">
        <f>TRIM(INDEX(Orçamentária!C:C,MATCH(Composições!A1760,Orçamentária!A:A,0),1))</f>
        <v>m</v>
      </c>
      <c r="E1760" s="27"/>
      <c r="F1760" s="42" t="s">
        <v>568</v>
      </c>
      <c r="G1760" s="28" t="str">
        <f>IF(ISNUMBER(F1760),E1760*F1760,"")</f>
        <v/>
      </c>
      <c r="H1760" s="29"/>
      <c r="I1760" s="30"/>
      <c r="J1760" s="155">
        <v>0</v>
      </c>
    </row>
    <row r="1761" spans="1:10" ht="15.75" hidden="1" thickBot="1" x14ac:dyDescent="0.3">
      <c r="A1761" s="176"/>
      <c r="B1761" s="175"/>
      <c r="C1761" s="32"/>
      <c r="D1761" s="32"/>
      <c r="E1761" s="33"/>
      <c r="F1761" s="43" t="s">
        <v>568</v>
      </c>
      <c r="G1761" s="31" t="str">
        <f>IF(ISNUMBER(F1761),E1761*F1761,"")</f>
        <v/>
      </c>
      <c r="H1761" s="35"/>
      <c r="I1761" s="31"/>
      <c r="J1761" s="155">
        <v>0</v>
      </c>
    </row>
    <row r="1762" spans="1:10" ht="15.75" hidden="1" thickBot="1" x14ac:dyDescent="0.3">
      <c r="A1762" s="176"/>
      <c r="B1762" s="175"/>
      <c r="C1762" s="36" t="s">
        <v>74</v>
      </c>
      <c r="D1762" s="36" t="s">
        <v>12</v>
      </c>
      <c r="E1762" s="37">
        <v>8.9999999999999993E-3</v>
      </c>
      <c r="F1762" s="31">
        <v>17.366</v>
      </c>
      <c r="G1762" s="34">
        <f>IF(ISNUMBER(F1762),E1762*F1762,"")</f>
        <v>0.15629399999999999</v>
      </c>
      <c r="H1762" s="39">
        <f>SUM(G1762:G1765)</f>
        <v>1.3653209999999998</v>
      </c>
      <c r="I1762" s="40"/>
      <c r="J1762" s="155">
        <v>0</v>
      </c>
    </row>
    <row r="1763" spans="1:10" ht="15.75" hidden="1" thickBot="1" x14ac:dyDescent="0.3">
      <c r="A1763" s="176"/>
      <c r="B1763" s="175"/>
      <c r="C1763" s="36" t="s">
        <v>30</v>
      </c>
      <c r="D1763" s="36" t="s">
        <v>12</v>
      </c>
      <c r="E1763" s="37">
        <v>8.9999999999999993E-3</v>
      </c>
      <c r="F1763" s="31">
        <v>22.268000000000001</v>
      </c>
      <c r="G1763" s="34">
        <f>IF(ISNUMBER(F1763),E1763*F1763,"")</f>
        <v>0.20041199999999998</v>
      </c>
      <c r="H1763" s="35"/>
      <c r="I1763" s="31"/>
      <c r="J1763" s="155">
        <v>0</v>
      </c>
    </row>
    <row r="1764" spans="1:10" ht="15.75" hidden="1" thickBot="1" x14ac:dyDescent="0.3">
      <c r="A1764" s="176"/>
      <c r="B1764" s="175"/>
      <c r="C1764" s="36" t="s">
        <v>602</v>
      </c>
      <c r="D1764" s="36" t="s">
        <v>93</v>
      </c>
      <c r="E1764" s="37">
        <v>1.0269999999999999</v>
      </c>
      <c r="F1764" s="34">
        <v>0.95</v>
      </c>
      <c r="G1764" s="34">
        <f>IF(ISNUMBER(F1764),E1764*F1764,"")</f>
        <v>0.97564999999999991</v>
      </c>
      <c r="H1764" s="35"/>
      <c r="I1764" s="31"/>
      <c r="J1764" s="155">
        <v>0</v>
      </c>
    </row>
    <row r="1765" spans="1:10" ht="15.75" hidden="1" thickBot="1" x14ac:dyDescent="0.3">
      <c r="A1765" s="176"/>
      <c r="B1765" s="175"/>
      <c r="C1765" s="36" t="s">
        <v>603</v>
      </c>
      <c r="D1765" s="36" t="s">
        <v>20</v>
      </c>
      <c r="E1765" s="37">
        <v>0.01</v>
      </c>
      <c r="F1765" s="34">
        <v>3.2965</v>
      </c>
      <c r="G1765" s="34">
        <f>IF(ISNUMBER(F1765),E1765*F1765,"")</f>
        <v>3.2965000000000001E-2</v>
      </c>
      <c r="H1765" s="35"/>
      <c r="I1765" s="31"/>
      <c r="J1765" s="155">
        <v>0</v>
      </c>
    </row>
    <row r="1766" spans="1:10" ht="15.75" hidden="1" thickBot="1" x14ac:dyDescent="0.3">
      <c r="A1766" s="177"/>
      <c r="B1766" s="178"/>
      <c r="C1766" s="36"/>
      <c r="D1766" s="36"/>
      <c r="E1766" s="37"/>
      <c r="F1766" s="31" t="s">
        <v>568</v>
      </c>
      <c r="G1766" s="31" t="str">
        <f>IF(ISNUMBER(F1766),E1766*F1766,"")</f>
        <v/>
      </c>
      <c r="H1766" s="35"/>
      <c r="I1766" s="31"/>
      <c r="J1766" s="155">
        <v>0</v>
      </c>
    </row>
    <row r="1767" spans="1:10" ht="15.75" hidden="1" thickBot="1" x14ac:dyDescent="0.3">
      <c r="A1767" s="172" t="s">
        <v>604</v>
      </c>
      <c r="B1767" s="174" t="str">
        <f>INDEX(Orçamentária!A:B,MATCH(Composições!A1767,Orçamentária!A:A,0),2)</f>
        <v>Condutor 16mm²</v>
      </c>
      <c r="C1767" s="41"/>
      <c r="D1767" s="26" t="str">
        <f>TRIM(INDEX(Orçamentária!C:C,MATCH(Composições!A1767,Orçamentária!A:A,0),1))</f>
        <v>m</v>
      </c>
      <c r="E1767" s="27"/>
      <c r="F1767" s="42" t="s">
        <v>568</v>
      </c>
      <c r="G1767" s="28" t="str">
        <f>IF(ISNUMBER(F1767),E1767*F1767,"")</f>
        <v/>
      </c>
      <c r="H1767" s="29"/>
      <c r="I1767" s="30"/>
      <c r="J1767" s="155">
        <v>0</v>
      </c>
    </row>
    <row r="1768" spans="1:10" ht="15.75" hidden="1" thickBot="1" x14ac:dyDescent="0.3">
      <c r="A1768" s="176"/>
      <c r="B1768" s="175"/>
      <c r="C1768" s="32"/>
      <c r="D1768" s="32"/>
      <c r="E1768" s="33"/>
      <c r="F1768" s="43" t="s">
        <v>568</v>
      </c>
      <c r="G1768" s="31" t="str">
        <f>IF(ISNUMBER(F1768),E1768*F1768,"")</f>
        <v/>
      </c>
      <c r="H1768" s="35"/>
      <c r="I1768" s="31"/>
      <c r="J1768" s="155">
        <v>0</v>
      </c>
    </row>
    <row r="1769" spans="1:10" ht="15.75" hidden="1" thickBot="1" x14ac:dyDescent="0.3">
      <c r="A1769" s="176"/>
      <c r="B1769" s="175"/>
      <c r="C1769" s="36" t="s">
        <v>74</v>
      </c>
      <c r="D1769" s="36" t="s">
        <v>12</v>
      </c>
      <c r="E1769" s="37">
        <v>1.2999999999999999E-2</v>
      </c>
      <c r="F1769" s="31">
        <v>17.366</v>
      </c>
      <c r="G1769" s="34">
        <f>IF(ISNUMBER(F1769),E1769*F1769,"")</f>
        <v>0.22575799999999999</v>
      </c>
      <c r="H1769" s="39">
        <f>SUM(G1769:G1772)</f>
        <v>1.5238569999999998</v>
      </c>
      <c r="I1769" s="40"/>
      <c r="J1769" s="155">
        <v>0</v>
      </c>
    </row>
    <row r="1770" spans="1:10" ht="15.75" hidden="1" thickBot="1" x14ac:dyDescent="0.3">
      <c r="A1770" s="176"/>
      <c r="B1770" s="175"/>
      <c r="C1770" s="36" t="s">
        <v>30</v>
      </c>
      <c r="D1770" s="36" t="s">
        <v>12</v>
      </c>
      <c r="E1770" s="37">
        <v>1.2999999999999999E-2</v>
      </c>
      <c r="F1770" s="31">
        <v>22.268000000000001</v>
      </c>
      <c r="G1770" s="34">
        <f>IF(ISNUMBER(F1770),E1770*F1770,"")</f>
        <v>0.28948400000000002</v>
      </c>
      <c r="H1770" s="35"/>
      <c r="I1770" s="31"/>
      <c r="J1770" s="155">
        <v>0</v>
      </c>
    </row>
    <row r="1771" spans="1:10" ht="15.75" hidden="1" thickBot="1" x14ac:dyDescent="0.3">
      <c r="A1771" s="176"/>
      <c r="B1771" s="175"/>
      <c r="C1771" s="36" t="s">
        <v>605</v>
      </c>
      <c r="D1771" s="36" t="s">
        <v>93</v>
      </c>
      <c r="E1771" s="37">
        <v>1.0269999999999999</v>
      </c>
      <c r="F1771" s="34">
        <v>0.95</v>
      </c>
      <c r="G1771" s="34">
        <f>IF(ISNUMBER(F1771),E1771*F1771,"")</f>
        <v>0.97564999999999991</v>
      </c>
      <c r="H1771" s="35"/>
      <c r="I1771" s="31"/>
      <c r="J1771" s="155">
        <v>0</v>
      </c>
    </row>
    <row r="1772" spans="1:10" ht="15.75" hidden="1" thickBot="1" x14ac:dyDescent="0.3">
      <c r="A1772" s="176"/>
      <c r="B1772" s="175"/>
      <c r="C1772" s="36" t="s">
        <v>603</v>
      </c>
      <c r="D1772" s="36" t="s">
        <v>20</v>
      </c>
      <c r="E1772" s="37">
        <v>0.01</v>
      </c>
      <c r="F1772" s="34">
        <v>3.2965</v>
      </c>
      <c r="G1772" s="34">
        <f>IF(ISNUMBER(F1772),E1772*F1772,"")</f>
        <v>3.2965000000000001E-2</v>
      </c>
      <c r="H1772" s="35"/>
      <c r="I1772" s="31"/>
      <c r="J1772" s="155">
        <v>0</v>
      </c>
    </row>
    <row r="1773" spans="1:10" ht="15.75" hidden="1" thickBot="1" x14ac:dyDescent="0.3">
      <c r="A1773" s="177"/>
      <c r="B1773" s="178"/>
      <c r="C1773" s="36"/>
      <c r="D1773" s="36"/>
      <c r="E1773" s="37"/>
      <c r="F1773" s="31" t="s">
        <v>568</v>
      </c>
      <c r="G1773" s="31" t="str">
        <f>IF(ISNUMBER(F1773),E1773*F1773,"")</f>
        <v/>
      </c>
      <c r="H1773" s="35"/>
      <c r="I1773" s="31"/>
      <c r="J1773" s="155">
        <v>0</v>
      </c>
    </row>
    <row r="1774" spans="1:10" ht="15.75" thickBot="1" x14ac:dyDescent="0.3">
      <c r="A1774" s="172" t="s">
        <v>606</v>
      </c>
      <c r="B1774" s="174" t="str">
        <f>INDEX(Orçamentária!A:B,MATCH(Composições!A1774,Orçamentária!A:A,0),2)</f>
        <v>Condutor 2,5 mm²</v>
      </c>
      <c r="C1774" s="41"/>
      <c r="D1774" s="26" t="str">
        <f>TRIM(INDEX(Orçamentária!C:C,MATCH(Composições!A1774,Orçamentária!A:A,0),1))</f>
        <v>m</v>
      </c>
      <c r="E1774" s="27"/>
      <c r="F1774" s="42" t="s">
        <v>568</v>
      </c>
      <c r="G1774" s="28" t="str">
        <f>IF(ISNUMBER(F1774),E1774*F1774,"")</f>
        <v/>
      </c>
      <c r="H1774" s="29"/>
      <c r="I1774" s="30"/>
      <c r="J1774" s="155">
        <v>1790</v>
      </c>
    </row>
    <row r="1775" spans="1:10" x14ac:dyDescent="0.25">
      <c r="A1775" s="176"/>
      <c r="B1775" s="175"/>
      <c r="C1775" s="32"/>
      <c r="D1775" s="32"/>
      <c r="E1775" s="33"/>
      <c r="F1775" s="43" t="s">
        <v>568</v>
      </c>
      <c r="G1775" s="31" t="str">
        <f>IF(ISNUMBER(F1775),E1775*F1775,"")</f>
        <v/>
      </c>
      <c r="H1775" s="35"/>
      <c r="I1775" s="31"/>
      <c r="J1775" s="155">
        <v>1790</v>
      </c>
    </row>
    <row r="1776" spans="1:10" x14ac:dyDescent="0.25">
      <c r="A1776" s="176"/>
      <c r="B1776" s="175"/>
      <c r="C1776" s="36" t="s">
        <v>74</v>
      </c>
      <c r="D1776" s="36" t="s">
        <v>12</v>
      </c>
      <c r="E1776" s="37">
        <v>0.03</v>
      </c>
      <c r="F1776" s="31">
        <v>17.366</v>
      </c>
      <c r="G1776" s="34">
        <f>IF(ISNUMBER(F1776),E1776*F1776,"")</f>
        <v>0.52098</v>
      </c>
      <c r="H1776" s="39">
        <f>SUM(G1776:G1779)</f>
        <v>5.1456884999999994</v>
      </c>
      <c r="I1776" s="40"/>
      <c r="J1776" s="155">
        <v>1790</v>
      </c>
    </row>
    <row r="1777" spans="1:10" x14ac:dyDescent="0.25">
      <c r="A1777" s="176"/>
      <c r="B1777" s="175"/>
      <c r="C1777" s="36" t="s">
        <v>30</v>
      </c>
      <c r="D1777" s="36" t="s">
        <v>12</v>
      </c>
      <c r="E1777" s="37">
        <v>0.03</v>
      </c>
      <c r="F1777" s="31">
        <v>22.268000000000001</v>
      </c>
      <c r="G1777" s="34">
        <f>IF(ISNUMBER(F1777),E1777*F1777,"")</f>
        <v>0.66803999999999997</v>
      </c>
      <c r="H1777" s="35"/>
      <c r="I1777" s="31"/>
      <c r="J1777" s="155">
        <v>1790</v>
      </c>
    </row>
    <row r="1778" spans="1:10" ht="25.5" x14ac:dyDescent="0.25">
      <c r="A1778" s="176"/>
      <c r="B1778" s="175"/>
      <c r="C1778" s="36" t="s">
        <v>607</v>
      </c>
      <c r="D1778" s="36" t="s">
        <v>93</v>
      </c>
      <c r="E1778" s="37">
        <v>1.19</v>
      </c>
      <c r="F1778" s="34">
        <v>3.3</v>
      </c>
      <c r="G1778" s="34">
        <f>IF(ISNUMBER(F1778),E1778*F1778,"")</f>
        <v>3.9269999999999996</v>
      </c>
      <c r="H1778" s="35"/>
      <c r="I1778" s="31"/>
      <c r="J1778" s="155">
        <v>1790</v>
      </c>
    </row>
    <row r="1779" spans="1:10" x14ac:dyDescent="0.25">
      <c r="A1779" s="176"/>
      <c r="B1779" s="175"/>
      <c r="C1779" s="36" t="s">
        <v>603</v>
      </c>
      <c r="D1779" s="36" t="s">
        <v>20</v>
      </c>
      <c r="E1779" s="37">
        <v>8.9999999999999993E-3</v>
      </c>
      <c r="F1779" s="34">
        <v>3.2965</v>
      </c>
      <c r="G1779" s="34">
        <f>IF(ISNUMBER(F1779),E1779*F1779,"")</f>
        <v>2.9668499999999997E-2</v>
      </c>
      <c r="H1779" s="35"/>
      <c r="I1779" s="31"/>
      <c r="J1779" s="155">
        <v>1790</v>
      </c>
    </row>
    <row r="1780" spans="1:10" ht="15.75" thickBot="1" x14ac:dyDescent="0.3">
      <c r="A1780" s="177"/>
      <c r="B1780" s="178"/>
      <c r="C1780" s="36"/>
      <c r="D1780" s="36"/>
      <c r="E1780" s="37"/>
      <c r="F1780" s="31" t="s">
        <v>568</v>
      </c>
      <c r="G1780" s="31" t="str">
        <f>IF(ISNUMBER(F1780),E1780*F1780,"")</f>
        <v/>
      </c>
      <c r="H1780" s="35"/>
      <c r="I1780" s="31"/>
      <c r="J1780" s="155">
        <v>1790</v>
      </c>
    </row>
    <row r="1781" spans="1:10" ht="15.75" hidden="1" thickBot="1" x14ac:dyDescent="0.3">
      <c r="A1781" s="172" t="s">
        <v>608</v>
      </c>
      <c r="B1781" s="174" t="str">
        <f>INDEX(Orçamentária!A:B,MATCH(Composições!A1781,Orçamentária!A:A,0),2)</f>
        <v>Condutor 3x2,5 mm²</v>
      </c>
      <c r="C1781" s="41"/>
      <c r="D1781" s="26" t="str">
        <f>TRIM(INDEX(Orçamentária!C:C,MATCH(Composições!A1781,Orçamentária!A:A,0),1))</f>
        <v>m</v>
      </c>
      <c r="E1781" s="27"/>
      <c r="F1781" s="42" t="s">
        <v>568</v>
      </c>
      <c r="G1781" s="28" t="str">
        <f>IF(ISNUMBER(F1781),E1781*F1781,"")</f>
        <v/>
      </c>
      <c r="H1781" s="29"/>
      <c r="I1781" s="30"/>
      <c r="J1781" s="155">
        <v>0</v>
      </c>
    </row>
    <row r="1782" spans="1:10" ht="15.75" hidden="1" thickBot="1" x14ac:dyDescent="0.3">
      <c r="A1782" s="176"/>
      <c r="B1782" s="175"/>
      <c r="C1782" s="32"/>
      <c r="D1782" s="32"/>
      <c r="E1782" s="33"/>
      <c r="F1782" s="43" t="s">
        <v>568</v>
      </c>
      <c r="G1782" s="31" t="str">
        <f>IF(ISNUMBER(F1782),E1782*F1782,"")</f>
        <v/>
      </c>
      <c r="H1782" s="35"/>
      <c r="I1782" s="31"/>
      <c r="J1782" s="155">
        <v>0</v>
      </c>
    </row>
    <row r="1783" spans="1:10" ht="15.75" hidden="1" thickBot="1" x14ac:dyDescent="0.3">
      <c r="A1783" s="176"/>
      <c r="B1783" s="175"/>
      <c r="C1783" s="36" t="s">
        <v>74</v>
      </c>
      <c r="D1783" s="36" t="s">
        <v>12</v>
      </c>
      <c r="E1783" s="37">
        <v>5.1999999999999998E-2</v>
      </c>
      <c r="F1783" s="31">
        <v>17.366</v>
      </c>
      <c r="G1783" s="34">
        <f>IF(ISNUMBER(F1783),E1783*F1783,"")</f>
        <v>0.90303199999999995</v>
      </c>
      <c r="H1783" s="39">
        <f>SUM(G1783:G1786)</f>
        <v>2.0906365</v>
      </c>
      <c r="I1783" s="40"/>
      <c r="J1783" s="155">
        <v>0</v>
      </c>
    </row>
    <row r="1784" spans="1:10" ht="15.75" hidden="1" thickBot="1" x14ac:dyDescent="0.3">
      <c r="A1784" s="176"/>
      <c r="B1784" s="175"/>
      <c r="C1784" s="36" t="s">
        <v>30</v>
      </c>
      <c r="D1784" s="36" t="s">
        <v>12</v>
      </c>
      <c r="E1784" s="37">
        <v>5.1999999999999998E-2</v>
      </c>
      <c r="F1784" s="31">
        <v>22.268000000000001</v>
      </c>
      <c r="G1784" s="34">
        <f>IF(ISNUMBER(F1784),E1784*F1784,"")</f>
        <v>1.1579360000000001</v>
      </c>
      <c r="H1784" s="35"/>
      <c r="I1784" s="31"/>
      <c r="J1784" s="155">
        <v>0</v>
      </c>
    </row>
    <row r="1785" spans="1:10" ht="26.25" hidden="1" thickBot="1" x14ac:dyDescent="0.3">
      <c r="A1785" s="176"/>
      <c r="B1785" s="175"/>
      <c r="C1785" s="36" t="s">
        <v>609</v>
      </c>
      <c r="D1785" s="36" t="s">
        <v>93</v>
      </c>
      <c r="E1785" s="37">
        <v>1.19</v>
      </c>
      <c r="F1785" s="34" t="s">
        <v>568</v>
      </c>
      <c r="G1785" s="34" t="str">
        <f>IF(ISNUMBER(F1785),E1785*F1785,"")</f>
        <v/>
      </c>
      <c r="H1785" s="35"/>
      <c r="I1785" s="31"/>
      <c r="J1785" s="155">
        <v>0</v>
      </c>
    </row>
    <row r="1786" spans="1:10" ht="15.75" hidden="1" thickBot="1" x14ac:dyDescent="0.3">
      <c r="A1786" s="176"/>
      <c r="B1786" s="175"/>
      <c r="C1786" s="36" t="s">
        <v>603</v>
      </c>
      <c r="D1786" s="36" t="s">
        <v>20</v>
      </c>
      <c r="E1786" s="37">
        <v>8.9999999999999993E-3</v>
      </c>
      <c r="F1786" s="34">
        <v>3.2965</v>
      </c>
      <c r="G1786" s="34">
        <f>IF(ISNUMBER(F1786),E1786*F1786,"")</f>
        <v>2.9668499999999997E-2</v>
      </c>
      <c r="H1786" s="35"/>
      <c r="I1786" s="31"/>
      <c r="J1786" s="155">
        <v>0</v>
      </c>
    </row>
    <row r="1787" spans="1:10" ht="15.75" hidden="1" thickBot="1" x14ac:dyDescent="0.3">
      <c r="A1787" s="177"/>
      <c r="B1787" s="178"/>
      <c r="C1787" s="36"/>
      <c r="D1787" s="36"/>
      <c r="E1787" s="37"/>
      <c r="F1787" s="31" t="s">
        <v>568</v>
      </c>
      <c r="G1787" s="31" t="str">
        <f>IF(ISNUMBER(F1787),E1787*F1787,"")</f>
        <v/>
      </c>
      <c r="H1787" s="35"/>
      <c r="I1787" s="31"/>
      <c r="J1787" s="155">
        <v>0</v>
      </c>
    </row>
    <row r="1788" spans="1:10" ht="15.75" thickBot="1" x14ac:dyDescent="0.3">
      <c r="A1788" s="172" t="s">
        <v>610</v>
      </c>
      <c r="B1788" s="174" t="str">
        <f>INDEX(Orçamentária!A:B,MATCH(Composições!A1788,Orçamentária!A:A,0),2)</f>
        <v>Condutor 4 mm²</v>
      </c>
      <c r="C1788" s="41"/>
      <c r="D1788" s="26" t="str">
        <f>TRIM(INDEX(Orçamentária!C:C,MATCH(Composições!A1788,Orçamentária!A:A,0),1))</f>
        <v>m</v>
      </c>
      <c r="E1788" s="27"/>
      <c r="F1788" s="42" t="s">
        <v>568</v>
      </c>
      <c r="G1788" s="28" t="str">
        <f>IF(ISNUMBER(F1788),E1788*F1788,"")</f>
        <v/>
      </c>
      <c r="H1788" s="29"/>
      <c r="I1788" s="30"/>
      <c r="J1788" s="155">
        <v>113</v>
      </c>
    </row>
    <row r="1789" spans="1:10" x14ac:dyDescent="0.25">
      <c r="A1789" s="176"/>
      <c r="B1789" s="175"/>
      <c r="C1789" s="32"/>
      <c r="D1789" s="32"/>
      <c r="E1789" s="33"/>
      <c r="F1789" s="43" t="s">
        <v>568</v>
      </c>
      <c r="G1789" s="31" t="str">
        <f>IF(ISNUMBER(F1789),E1789*F1789,"")</f>
        <v/>
      </c>
      <c r="H1789" s="35"/>
      <c r="I1789" s="31"/>
      <c r="J1789" s="155">
        <v>113</v>
      </c>
    </row>
    <row r="1790" spans="1:10" x14ac:dyDescent="0.25">
      <c r="A1790" s="176"/>
      <c r="B1790" s="175"/>
      <c r="C1790" s="36" t="s">
        <v>74</v>
      </c>
      <c r="D1790" s="36" t="s">
        <v>12</v>
      </c>
      <c r="E1790" s="37">
        <v>0.04</v>
      </c>
      <c r="F1790" s="31">
        <v>17.366</v>
      </c>
      <c r="G1790" s="34">
        <f>IF(ISNUMBER(F1790),E1790*F1790,"")</f>
        <v>0.69464000000000004</v>
      </c>
      <c r="H1790" s="39">
        <f>SUM(G1790:G1793)</f>
        <v>7.6959284999999991</v>
      </c>
      <c r="I1790" s="40"/>
      <c r="J1790" s="155">
        <v>113</v>
      </c>
    </row>
    <row r="1791" spans="1:10" x14ac:dyDescent="0.25">
      <c r="A1791" s="176"/>
      <c r="B1791" s="175"/>
      <c r="C1791" s="36" t="s">
        <v>30</v>
      </c>
      <c r="D1791" s="36" t="s">
        <v>12</v>
      </c>
      <c r="E1791" s="37">
        <v>0.04</v>
      </c>
      <c r="F1791" s="31">
        <v>22.268000000000001</v>
      </c>
      <c r="G1791" s="34">
        <f>IF(ISNUMBER(F1791),E1791*F1791,"")</f>
        <v>0.89072000000000007</v>
      </c>
      <c r="H1791" s="35"/>
      <c r="I1791" s="31"/>
      <c r="J1791" s="155">
        <v>113</v>
      </c>
    </row>
    <row r="1792" spans="1:10" ht="25.5" x14ac:dyDescent="0.25">
      <c r="A1792" s="176"/>
      <c r="B1792" s="175"/>
      <c r="C1792" s="36" t="s">
        <v>611</v>
      </c>
      <c r="D1792" s="36" t="s">
        <v>93</v>
      </c>
      <c r="E1792" s="37">
        <v>1.19</v>
      </c>
      <c r="F1792" s="34">
        <v>5.1100000000000003</v>
      </c>
      <c r="G1792" s="34">
        <f>IF(ISNUMBER(F1792),E1792*F1792,"")</f>
        <v>6.0808999999999997</v>
      </c>
      <c r="H1792" s="35"/>
      <c r="I1792" s="31"/>
      <c r="J1792" s="155">
        <v>113</v>
      </c>
    </row>
    <row r="1793" spans="1:10" x14ac:dyDescent="0.25">
      <c r="A1793" s="176"/>
      <c r="B1793" s="175"/>
      <c r="C1793" s="36" t="s">
        <v>603</v>
      </c>
      <c r="D1793" s="36" t="s">
        <v>20</v>
      </c>
      <c r="E1793" s="37">
        <v>8.9999999999999993E-3</v>
      </c>
      <c r="F1793" s="34">
        <v>3.2965</v>
      </c>
      <c r="G1793" s="34">
        <f>IF(ISNUMBER(F1793),E1793*F1793,"")</f>
        <v>2.9668499999999997E-2</v>
      </c>
      <c r="H1793" s="35"/>
      <c r="I1793" s="31"/>
      <c r="J1793" s="155">
        <v>113</v>
      </c>
    </row>
    <row r="1794" spans="1:10" ht="15.75" thickBot="1" x14ac:dyDescent="0.3">
      <c r="A1794" s="177"/>
      <c r="B1794" s="178"/>
      <c r="C1794" s="36"/>
      <c r="D1794" s="36"/>
      <c r="E1794" s="37"/>
      <c r="F1794" s="31" t="s">
        <v>568</v>
      </c>
      <c r="G1794" s="31" t="str">
        <f>IF(ISNUMBER(F1794),E1794*F1794,"")</f>
        <v/>
      </c>
      <c r="H1794" s="35"/>
      <c r="I1794" s="31"/>
      <c r="J1794" s="155">
        <v>113</v>
      </c>
    </row>
    <row r="1795" spans="1:10" ht="15.75" hidden="1" thickBot="1" x14ac:dyDescent="0.3">
      <c r="A1795" s="172" t="s">
        <v>612</v>
      </c>
      <c r="B1795" s="174" t="str">
        <f>INDEX(Orçamentária!A:B,MATCH(Composições!A1795,Orçamentária!A:A,0),2)</f>
        <v>Condutor 4x2,5 mm²</v>
      </c>
      <c r="C1795" s="41"/>
      <c r="D1795" s="26" t="str">
        <f>TRIM(INDEX(Orçamentária!C:C,MATCH(Composições!A1795,Orçamentária!A:A,0),1))</f>
        <v>m</v>
      </c>
      <c r="E1795" s="27"/>
      <c r="F1795" s="42" t="s">
        <v>568</v>
      </c>
      <c r="G1795" s="28" t="str">
        <f>IF(ISNUMBER(F1795),E1795*F1795,"")</f>
        <v/>
      </c>
      <c r="H1795" s="29"/>
      <c r="I1795" s="30"/>
      <c r="J1795" s="155">
        <v>0</v>
      </c>
    </row>
    <row r="1796" spans="1:10" ht="15.75" hidden="1" thickBot="1" x14ac:dyDescent="0.3">
      <c r="A1796" s="176"/>
      <c r="B1796" s="175"/>
      <c r="C1796" s="32"/>
      <c r="D1796" s="32"/>
      <c r="E1796" s="33"/>
      <c r="F1796" s="43" t="s">
        <v>568</v>
      </c>
      <c r="G1796" s="31" t="str">
        <f>IF(ISNUMBER(F1796),E1796*F1796,"")</f>
        <v/>
      </c>
      <c r="H1796" s="35"/>
      <c r="I1796" s="31"/>
      <c r="J1796" s="155">
        <v>0</v>
      </c>
    </row>
    <row r="1797" spans="1:10" ht="15.75" hidden="1" thickBot="1" x14ac:dyDescent="0.3">
      <c r="A1797" s="176"/>
      <c r="B1797" s="175"/>
      <c r="C1797" s="36" t="s">
        <v>74</v>
      </c>
      <c r="D1797" s="36" t="s">
        <v>12</v>
      </c>
      <c r="E1797" s="37">
        <v>8.9999999999999993E-3</v>
      </c>
      <c r="F1797" s="31">
        <v>17.366</v>
      </c>
      <c r="G1797" s="34">
        <f>IF(ISNUMBER(F1797),E1797*F1797,"")</f>
        <v>0.15629399999999999</v>
      </c>
      <c r="H1797" s="39">
        <f>SUM(G1797:G1800)</f>
        <v>0.38967099999999999</v>
      </c>
      <c r="I1797" s="40"/>
      <c r="J1797" s="155">
        <v>0</v>
      </c>
    </row>
    <row r="1798" spans="1:10" ht="15.75" hidden="1" thickBot="1" x14ac:dyDescent="0.3">
      <c r="A1798" s="176"/>
      <c r="B1798" s="175"/>
      <c r="C1798" s="36" t="s">
        <v>30</v>
      </c>
      <c r="D1798" s="36" t="s">
        <v>12</v>
      </c>
      <c r="E1798" s="37">
        <v>8.9999999999999993E-3</v>
      </c>
      <c r="F1798" s="31">
        <v>22.268000000000001</v>
      </c>
      <c r="G1798" s="34">
        <f>IF(ISNUMBER(F1798),E1798*F1798,"")</f>
        <v>0.20041199999999998</v>
      </c>
      <c r="H1798" s="35"/>
      <c r="I1798" s="31"/>
      <c r="J1798" s="155">
        <v>0</v>
      </c>
    </row>
    <row r="1799" spans="1:10" ht="26.25" hidden="1" thickBot="1" x14ac:dyDescent="0.3">
      <c r="A1799" s="176"/>
      <c r="B1799" s="175"/>
      <c r="C1799" s="36" t="s">
        <v>613</v>
      </c>
      <c r="D1799" s="36" t="s">
        <v>93</v>
      </c>
      <c r="E1799" s="37">
        <v>1.0269999999999999</v>
      </c>
      <c r="F1799" s="34" t="s">
        <v>568</v>
      </c>
      <c r="G1799" s="34" t="str">
        <f>IF(ISNUMBER(F1799),E1799*F1799,"")</f>
        <v/>
      </c>
      <c r="H1799" s="35"/>
      <c r="I1799" s="31"/>
      <c r="J1799" s="155">
        <v>0</v>
      </c>
    </row>
    <row r="1800" spans="1:10" ht="15.75" hidden="1" thickBot="1" x14ac:dyDescent="0.3">
      <c r="A1800" s="176"/>
      <c r="B1800" s="175"/>
      <c r="C1800" s="36" t="s">
        <v>603</v>
      </c>
      <c r="D1800" s="36" t="s">
        <v>20</v>
      </c>
      <c r="E1800" s="37">
        <v>0.01</v>
      </c>
      <c r="F1800" s="34">
        <v>3.2965</v>
      </c>
      <c r="G1800" s="34">
        <f>IF(ISNUMBER(F1800),E1800*F1800,"")</f>
        <v>3.2965000000000001E-2</v>
      </c>
      <c r="H1800" s="35"/>
      <c r="I1800" s="31"/>
      <c r="J1800" s="155">
        <v>0</v>
      </c>
    </row>
    <row r="1801" spans="1:10" ht="15.75" hidden="1" thickBot="1" x14ac:dyDescent="0.3">
      <c r="A1801" s="177"/>
      <c r="B1801" s="178"/>
      <c r="C1801" s="36"/>
      <c r="D1801" s="36"/>
      <c r="E1801" s="37"/>
      <c r="F1801" s="31" t="s">
        <v>568</v>
      </c>
      <c r="G1801" s="31" t="str">
        <f>IF(ISNUMBER(F1801),E1801*F1801,"")</f>
        <v/>
      </c>
      <c r="H1801" s="35"/>
      <c r="I1801" s="31"/>
      <c r="J1801" s="155">
        <v>0</v>
      </c>
    </row>
    <row r="1802" spans="1:10" ht="15.75" hidden="1" thickBot="1" x14ac:dyDescent="0.3">
      <c r="A1802" s="172" t="s">
        <v>614</v>
      </c>
      <c r="B1802" s="174" t="str">
        <f>INDEX(Orçamentária!A:B,MATCH(Composições!A1802,Orçamentária!A:A,0),2)</f>
        <v>Condutor 6 mm²</v>
      </c>
      <c r="C1802" s="41"/>
      <c r="D1802" s="26" t="str">
        <f>TRIM(INDEX(Orçamentária!C:C,MATCH(Composições!A1802,Orçamentária!A:A,0),1))</f>
        <v>m</v>
      </c>
      <c r="E1802" s="27"/>
      <c r="F1802" s="42" t="s">
        <v>568</v>
      </c>
      <c r="G1802" s="28" t="str">
        <f>IF(ISNUMBER(F1802),E1802*F1802,"")</f>
        <v/>
      </c>
      <c r="H1802" s="29"/>
      <c r="I1802" s="30"/>
      <c r="J1802" s="155">
        <v>0</v>
      </c>
    </row>
    <row r="1803" spans="1:10" ht="15.75" hidden="1" thickBot="1" x14ac:dyDescent="0.3">
      <c r="A1803" s="176"/>
      <c r="B1803" s="175"/>
      <c r="C1803" s="32"/>
      <c r="D1803" s="32"/>
      <c r="E1803" s="33"/>
      <c r="F1803" s="43" t="s">
        <v>568</v>
      </c>
      <c r="G1803" s="31" t="str">
        <f>IF(ISNUMBER(F1803),E1803*F1803,"")</f>
        <v/>
      </c>
      <c r="H1803" s="35"/>
      <c r="I1803" s="31"/>
      <c r="J1803" s="155">
        <v>0</v>
      </c>
    </row>
    <row r="1804" spans="1:10" ht="15.75" hidden="1" thickBot="1" x14ac:dyDescent="0.3">
      <c r="A1804" s="176"/>
      <c r="B1804" s="175"/>
      <c r="C1804" s="36" t="s">
        <v>74</v>
      </c>
      <c r="D1804" s="36" t="s">
        <v>12</v>
      </c>
      <c r="E1804" s="37">
        <v>5.1999999999999998E-2</v>
      </c>
      <c r="F1804" s="31">
        <v>17.366</v>
      </c>
      <c r="G1804" s="31">
        <f>IF(ISNUMBER(F1804),E1804*F1804,"")</f>
        <v>0.90303199999999995</v>
      </c>
      <c r="H1804" s="39">
        <f>SUM(G1804:G1807)</f>
        <v>2.0906365</v>
      </c>
      <c r="I1804" s="40"/>
      <c r="J1804" s="155">
        <v>0</v>
      </c>
    </row>
    <row r="1805" spans="1:10" ht="15.75" hidden="1" thickBot="1" x14ac:dyDescent="0.3">
      <c r="A1805" s="176"/>
      <c r="B1805" s="175"/>
      <c r="C1805" s="36" t="s">
        <v>30</v>
      </c>
      <c r="D1805" s="36" t="s">
        <v>12</v>
      </c>
      <c r="E1805" s="37">
        <v>5.1999999999999998E-2</v>
      </c>
      <c r="F1805" s="31">
        <v>22.268000000000001</v>
      </c>
      <c r="G1805" s="31">
        <f>IF(ISNUMBER(F1805),E1805*F1805,"")</f>
        <v>1.1579360000000001</v>
      </c>
      <c r="H1805" s="35"/>
      <c r="I1805" s="31"/>
      <c r="J1805" s="155">
        <v>0</v>
      </c>
    </row>
    <row r="1806" spans="1:10" ht="26.25" hidden="1" thickBot="1" x14ac:dyDescent="0.3">
      <c r="A1806" s="176"/>
      <c r="B1806" s="175"/>
      <c r="C1806" s="36" t="s">
        <v>615</v>
      </c>
      <c r="D1806" s="36" t="s">
        <v>93</v>
      </c>
      <c r="E1806" s="37">
        <v>1.19</v>
      </c>
      <c r="F1806" s="34" t="s">
        <v>568</v>
      </c>
      <c r="G1806" s="31" t="str">
        <f>IF(ISNUMBER(F1806),E1806*F1806,"")</f>
        <v/>
      </c>
      <c r="H1806" s="35"/>
      <c r="I1806" s="31"/>
      <c r="J1806" s="155">
        <v>0</v>
      </c>
    </row>
    <row r="1807" spans="1:10" ht="15.75" hidden="1" thickBot="1" x14ac:dyDescent="0.3">
      <c r="A1807" s="176"/>
      <c r="B1807" s="175"/>
      <c r="C1807" s="36" t="s">
        <v>603</v>
      </c>
      <c r="D1807" s="36" t="s">
        <v>20</v>
      </c>
      <c r="E1807" s="37">
        <v>8.9999999999999993E-3</v>
      </c>
      <c r="F1807" s="34">
        <v>3.2965</v>
      </c>
      <c r="G1807" s="31">
        <f>IF(ISNUMBER(F1807),E1807*F1807,"")</f>
        <v>2.9668499999999997E-2</v>
      </c>
      <c r="H1807" s="35"/>
      <c r="I1807" s="31"/>
      <c r="J1807" s="155">
        <v>0</v>
      </c>
    </row>
    <row r="1808" spans="1:10" ht="15.75" hidden="1" thickBot="1" x14ac:dyDescent="0.3">
      <c r="A1808" s="177"/>
      <c r="B1808" s="178"/>
      <c r="C1808" s="36"/>
      <c r="D1808" s="36"/>
      <c r="E1808" s="37"/>
      <c r="F1808" s="31" t="s">
        <v>568</v>
      </c>
      <c r="G1808" s="31" t="str">
        <f>IF(ISNUMBER(F1808),E1808*F1808,"")</f>
        <v/>
      </c>
      <c r="H1808" s="35"/>
      <c r="I1808" s="31"/>
      <c r="J1808" s="155">
        <v>0</v>
      </c>
    </row>
    <row r="1809" spans="1:10" ht="15.75" thickBot="1" x14ac:dyDescent="0.3">
      <c r="A1809" s="172" t="s">
        <v>616</v>
      </c>
      <c r="B1809" s="174" t="str">
        <f>INDEX(Orçamentária!A:B,MATCH(Composições!A1809,Orçamentária!A:A,0),2)</f>
        <v>Quadro elétrico TTA</v>
      </c>
      <c r="C1809" s="41"/>
      <c r="D1809" s="26" t="str">
        <f>TRIM(INDEX(Orçamentária!C:C,MATCH(Composições!A1809,Orçamentária!A:A,0),1))</f>
        <v>un</v>
      </c>
      <c r="E1809" s="27"/>
      <c r="F1809" s="42" t="s">
        <v>568</v>
      </c>
      <c r="G1809" s="28" t="str">
        <f>IF(ISNUMBER(F1809),E1809*F1809,"")</f>
        <v/>
      </c>
      <c r="H1809" s="29"/>
      <c r="I1809" s="30"/>
      <c r="J1809" s="155">
        <v>1</v>
      </c>
    </row>
    <row r="1810" spans="1:10" x14ac:dyDescent="0.25">
      <c r="A1810" s="176"/>
      <c r="B1810" s="175"/>
      <c r="C1810" s="32"/>
      <c r="D1810" s="32"/>
      <c r="E1810" s="33"/>
      <c r="F1810" s="43" t="s">
        <v>568</v>
      </c>
      <c r="G1810" s="31" t="str">
        <f>IF(ISNUMBER(F1810),E1810*F1810,"")</f>
        <v/>
      </c>
      <c r="H1810" s="35"/>
      <c r="I1810" s="31"/>
      <c r="J1810" s="155">
        <v>1</v>
      </c>
    </row>
    <row r="1811" spans="1:10" ht="51" x14ac:dyDescent="0.25">
      <c r="A1811" s="176"/>
      <c r="B1811" s="175"/>
      <c r="C1811" s="36" t="s">
        <v>617</v>
      </c>
      <c r="D1811" s="47" t="s">
        <v>20</v>
      </c>
      <c r="E1811" s="37">
        <v>1</v>
      </c>
      <c r="F1811" s="34">
        <v>7759.3</v>
      </c>
      <c r="G1811" s="31">
        <f>IF(ISNUMBER(F1811),E1811*F1811,"")</f>
        <v>7759.3</v>
      </c>
      <c r="H1811" s="39">
        <f>SUM(G1811:G1814)</f>
        <v>7795.1892086367106</v>
      </c>
      <c r="I1811" s="40"/>
      <c r="J1811" s="155">
        <v>1</v>
      </c>
    </row>
    <row r="1812" spans="1:10" ht="38.25" x14ac:dyDescent="0.25">
      <c r="A1812" s="176"/>
      <c r="B1812" s="175"/>
      <c r="C1812" s="36" t="s">
        <v>3426</v>
      </c>
      <c r="D1812" s="47" t="s">
        <v>123</v>
      </c>
      <c r="E1812" s="37">
        <v>1.9199999999999998E-2</v>
      </c>
      <c r="F1812" s="31">
        <v>561.10118941200005</v>
      </c>
      <c r="G1812" s="31">
        <f>IF(ISNUMBER(F1812),E1812*F1812,"")</f>
        <v>10.773142836710401</v>
      </c>
      <c r="H1812" s="35"/>
      <c r="I1812" s="31"/>
      <c r="J1812" s="155">
        <v>1</v>
      </c>
    </row>
    <row r="1813" spans="1:10" x14ac:dyDescent="0.25">
      <c r="A1813" s="176"/>
      <c r="B1813" s="175"/>
      <c r="C1813" s="36" t="s">
        <v>74</v>
      </c>
      <c r="D1813" s="47" t="s">
        <v>12</v>
      </c>
      <c r="E1813" s="37">
        <v>0.63370000000000004</v>
      </c>
      <c r="F1813" s="31">
        <v>17.366</v>
      </c>
      <c r="G1813" s="31">
        <f>IF(ISNUMBER(F1813),E1813*F1813,"")</f>
        <v>11.004834200000001</v>
      </c>
      <c r="H1813" s="35"/>
      <c r="I1813" s="31"/>
      <c r="J1813" s="155">
        <v>1</v>
      </c>
    </row>
    <row r="1814" spans="1:10" x14ac:dyDescent="0.25">
      <c r="A1814" s="176"/>
      <c r="B1814" s="175"/>
      <c r="C1814" s="36" t="s">
        <v>30</v>
      </c>
      <c r="D1814" s="47" t="s">
        <v>12</v>
      </c>
      <c r="E1814" s="37">
        <v>0.63370000000000004</v>
      </c>
      <c r="F1814" s="31">
        <v>22.268000000000001</v>
      </c>
      <c r="G1814" s="34">
        <f>IF(ISNUMBER(F1814),E1814*F1814,"")</f>
        <v>14.111231600000002</v>
      </c>
      <c r="H1814" s="35"/>
      <c r="I1814" s="31"/>
      <c r="J1814" s="155">
        <v>1</v>
      </c>
    </row>
    <row r="1815" spans="1:10" ht="15.75" thickBot="1" x14ac:dyDescent="0.3">
      <c r="A1815" s="176"/>
      <c r="B1815" s="178"/>
      <c r="C1815" s="36"/>
      <c r="D1815" s="36"/>
      <c r="E1815" s="37"/>
      <c r="F1815" s="31" t="s">
        <v>568</v>
      </c>
      <c r="G1815" s="31" t="str">
        <f>IF(ISNUMBER(F1815),E1815*F1815,"")</f>
        <v/>
      </c>
      <c r="H1815" s="35"/>
      <c r="I1815" s="31"/>
      <c r="J1815" s="155">
        <v>1</v>
      </c>
    </row>
    <row r="1816" spans="1:10" ht="15.75" hidden="1" thickBot="1" x14ac:dyDescent="0.3">
      <c r="A1816" s="172" t="s">
        <v>618</v>
      </c>
      <c r="B1816" s="174" t="str">
        <f>INDEX(Orçamentária!A:B,MATCH(Composições!A1816,Orçamentária!A:A,0),2)</f>
        <v>Instalação de fancolete reaproveitado</v>
      </c>
      <c r="C1816" s="41"/>
      <c r="D1816" s="26" t="str">
        <f>TRIM(INDEX(Orçamentária!C:C,MATCH(Composições!A1816,Orçamentária!A:A,0),1))</f>
        <v>un</v>
      </c>
      <c r="E1816" s="27"/>
      <c r="F1816" s="42" t="s">
        <v>568</v>
      </c>
      <c r="G1816" s="28" t="str">
        <f>IF(ISNUMBER(F1816),E1816*F1816,"")</f>
        <v/>
      </c>
      <c r="H1816" s="29"/>
      <c r="I1816" s="30"/>
      <c r="J1816" s="155">
        <v>0</v>
      </c>
    </row>
    <row r="1817" spans="1:10" ht="15.75" hidden="1" thickBot="1" x14ac:dyDescent="0.3">
      <c r="A1817" s="176"/>
      <c r="B1817" s="175"/>
      <c r="C1817" s="32"/>
      <c r="D1817" s="32"/>
      <c r="E1817" s="33"/>
      <c r="F1817" s="43" t="s">
        <v>568</v>
      </c>
      <c r="G1817" s="31" t="str">
        <f>IF(ISNUMBER(F1817),E1817*F1817,"")</f>
        <v/>
      </c>
      <c r="H1817" s="35"/>
      <c r="I1817" s="31"/>
      <c r="J1817" s="155">
        <v>0</v>
      </c>
    </row>
    <row r="1818" spans="1:10" ht="15.75" hidden="1" thickBot="1" x14ac:dyDescent="0.3">
      <c r="A1818" s="176"/>
      <c r="B1818" s="175"/>
      <c r="C1818" s="36" t="s">
        <v>52</v>
      </c>
      <c r="D1818" s="47" t="s">
        <v>12</v>
      </c>
      <c r="E1818" s="37">
        <v>2</v>
      </c>
      <c r="F1818" s="31">
        <v>17.470500000000001</v>
      </c>
      <c r="G1818" s="34">
        <f>IF(ISNUMBER(F1818),E1818*F1818,"")</f>
        <v>34.941000000000003</v>
      </c>
      <c r="H1818" s="39">
        <f>SUM(G1818:G1819)</f>
        <v>81.073000000000008</v>
      </c>
      <c r="I1818" s="40"/>
      <c r="J1818" s="155">
        <v>0</v>
      </c>
    </row>
    <row r="1819" spans="1:10" ht="26.25" hidden="1" thickBot="1" x14ac:dyDescent="0.3">
      <c r="A1819" s="176"/>
      <c r="B1819" s="175"/>
      <c r="C1819" s="36" t="s">
        <v>619</v>
      </c>
      <c r="D1819" s="47" t="s">
        <v>12</v>
      </c>
      <c r="E1819" s="37">
        <v>2</v>
      </c>
      <c r="F1819" s="31">
        <v>23.065999999999999</v>
      </c>
      <c r="G1819" s="31">
        <f>IF(ISNUMBER(F1819),E1819*F1819,"")</f>
        <v>46.131999999999998</v>
      </c>
      <c r="H1819" s="35"/>
      <c r="I1819" s="31"/>
      <c r="J1819" s="155">
        <v>0</v>
      </c>
    </row>
    <row r="1820" spans="1:10" ht="15.75" hidden="1" thickBot="1" x14ac:dyDescent="0.3">
      <c r="A1820" s="177"/>
      <c r="B1820" s="178"/>
      <c r="C1820" s="36"/>
      <c r="D1820" s="36"/>
      <c r="E1820" s="37"/>
      <c r="F1820" s="31" t="s">
        <v>568</v>
      </c>
      <c r="G1820" s="31" t="str">
        <f>IF(ISNUMBER(F1820),E1820*F1820,"")</f>
        <v/>
      </c>
      <c r="H1820" s="35"/>
      <c r="I1820" s="31"/>
      <c r="J1820" s="155">
        <v>0</v>
      </c>
    </row>
    <row r="1821" spans="1:10" ht="15.75" hidden="1" thickBot="1" x14ac:dyDescent="0.3">
      <c r="A1821" s="172" t="s">
        <v>620</v>
      </c>
      <c r="B1821" s="174" t="str">
        <f>INDEX(Orçamentária!A:B,MATCH(Composições!A1821,Orçamentária!A:A,0),2)</f>
        <v>Instalação de split reaproveitado</v>
      </c>
      <c r="C1821" s="41"/>
      <c r="D1821" s="26" t="str">
        <f>TRIM(INDEX(Orçamentária!C:C,MATCH(Composições!A1821,Orçamentária!A:A,0),1))</f>
        <v>un</v>
      </c>
      <c r="E1821" s="27"/>
      <c r="F1821" s="42" t="s">
        <v>568</v>
      </c>
      <c r="G1821" s="28" t="str">
        <f>IF(ISNUMBER(F1821),E1821*F1821,"")</f>
        <v/>
      </c>
      <c r="H1821" s="29"/>
      <c r="I1821" s="30"/>
      <c r="J1821" s="155">
        <v>0</v>
      </c>
    </row>
    <row r="1822" spans="1:10" ht="15.75" hidden="1" thickBot="1" x14ac:dyDescent="0.3">
      <c r="A1822" s="176"/>
      <c r="B1822" s="175"/>
      <c r="C1822" s="32"/>
      <c r="D1822" s="32"/>
      <c r="E1822" s="33"/>
      <c r="F1822" s="43" t="s">
        <v>568</v>
      </c>
      <c r="G1822" s="31" t="str">
        <f>IF(ISNUMBER(F1822),E1822*F1822,"")</f>
        <v/>
      </c>
      <c r="H1822" s="35"/>
      <c r="I1822" s="31"/>
      <c r="J1822" s="155">
        <v>0</v>
      </c>
    </row>
    <row r="1823" spans="1:10" ht="15.75" hidden="1" thickBot="1" x14ac:dyDescent="0.3">
      <c r="A1823" s="176"/>
      <c r="B1823" s="175"/>
      <c r="C1823" s="36" t="s">
        <v>52</v>
      </c>
      <c r="D1823" s="47" t="s">
        <v>12</v>
      </c>
      <c r="E1823" s="37">
        <v>3</v>
      </c>
      <c r="F1823" s="31">
        <v>17.470500000000001</v>
      </c>
      <c r="G1823" s="34">
        <f>IF(ISNUMBER(F1823),E1823*F1823,"")</f>
        <v>52.411500000000004</v>
      </c>
      <c r="H1823" s="39">
        <f>SUM(G1823:G1824)</f>
        <v>121.6095</v>
      </c>
      <c r="I1823" s="40"/>
      <c r="J1823" s="155">
        <v>0</v>
      </c>
    </row>
    <row r="1824" spans="1:10" ht="26.25" hidden="1" thickBot="1" x14ac:dyDescent="0.3">
      <c r="A1824" s="176"/>
      <c r="B1824" s="175"/>
      <c r="C1824" s="36" t="s">
        <v>619</v>
      </c>
      <c r="D1824" s="47" t="s">
        <v>12</v>
      </c>
      <c r="E1824" s="37">
        <v>3</v>
      </c>
      <c r="F1824" s="31">
        <v>23.065999999999999</v>
      </c>
      <c r="G1824" s="31">
        <f>IF(ISNUMBER(F1824),E1824*F1824,"")</f>
        <v>69.197999999999993</v>
      </c>
      <c r="H1824" s="35"/>
      <c r="I1824" s="31"/>
      <c r="J1824" s="155">
        <v>0</v>
      </c>
    </row>
    <row r="1825" spans="1:10" ht="15.75" hidden="1" thickBot="1" x14ac:dyDescent="0.3">
      <c r="A1825" s="177"/>
      <c r="B1825" s="178"/>
      <c r="C1825" s="36"/>
      <c r="D1825" s="36"/>
      <c r="E1825" s="37"/>
      <c r="F1825" s="31" t="s">
        <v>568</v>
      </c>
      <c r="G1825" s="31" t="str">
        <f>IF(ISNUMBER(F1825),E1825*F1825,"")</f>
        <v/>
      </c>
      <c r="H1825" s="35"/>
      <c r="I1825" s="31"/>
      <c r="J1825" s="155">
        <v>0</v>
      </c>
    </row>
    <row r="1826" spans="1:10" ht="15.75" hidden="1" thickBot="1" x14ac:dyDescent="0.3">
      <c r="A1826" s="172" t="s">
        <v>621</v>
      </c>
      <c r="B1826" s="174" t="str">
        <f>INDEX(Orçamentária!A:B,MATCH(Composições!A1826,Orçamentária!A:A,0),2)</f>
        <v>Exaustor axial 340 m3/h</v>
      </c>
      <c r="C1826" s="41"/>
      <c r="D1826" s="26" t="str">
        <f>TRIM(INDEX(Orçamentária!C:C,MATCH(Composições!A1826,Orçamentária!A:A,0),1))</f>
        <v>un</v>
      </c>
      <c r="E1826" s="27"/>
      <c r="F1826" s="42" t="s">
        <v>568</v>
      </c>
      <c r="G1826" s="28" t="str">
        <f>IF(ISNUMBER(F1826),E1826*F1826,"")</f>
        <v/>
      </c>
      <c r="H1826" s="29"/>
      <c r="I1826" s="30"/>
      <c r="J1826" s="155">
        <v>0</v>
      </c>
    </row>
    <row r="1827" spans="1:10" ht="15.75" hidden="1" thickBot="1" x14ac:dyDescent="0.3">
      <c r="A1827" s="176"/>
      <c r="B1827" s="175"/>
      <c r="C1827" s="32"/>
      <c r="D1827" s="32"/>
      <c r="E1827" s="33"/>
      <c r="F1827" s="43" t="s">
        <v>568</v>
      </c>
      <c r="G1827" s="31" t="str">
        <f>IF(ISNUMBER(F1827),E1827*F1827,"")</f>
        <v/>
      </c>
      <c r="H1827" s="35"/>
      <c r="I1827" s="31"/>
      <c r="J1827" s="155">
        <v>0</v>
      </c>
    </row>
    <row r="1828" spans="1:10" ht="15.75" hidden="1" thickBot="1" x14ac:dyDescent="0.3">
      <c r="A1828" s="176"/>
      <c r="B1828" s="175"/>
      <c r="C1828" s="36" t="s">
        <v>30</v>
      </c>
      <c r="D1828" s="36" t="s">
        <v>12</v>
      </c>
      <c r="E1828" s="37">
        <v>1</v>
      </c>
      <c r="F1828" s="31">
        <v>22.268000000000001</v>
      </c>
      <c r="G1828" s="34">
        <f>IF(ISNUMBER(F1828),E1828*F1828,"")</f>
        <v>22.268000000000001</v>
      </c>
      <c r="H1828" s="39">
        <f>SUM(G1828:G1830)</f>
        <v>39.634</v>
      </c>
      <c r="I1828" s="40"/>
      <c r="J1828" s="155">
        <v>0</v>
      </c>
    </row>
    <row r="1829" spans="1:10" ht="15.75" hidden="1" thickBot="1" x14ac:dyDescent="0.3">
      <c r="A1829" s="176"/>
      <c r="B1829" s="175"/>
      <c r="C1829" s="36" t="s">
        <v>74</v>
      </c>
      <c r="D1829" s="47" t="s">
        <v>12</v>
      </c>
      <c r="E1829" s="37">
        <v>1</v>
      </c>
      <c r="F1829" s="31">
        <v>17.366</v>
      </c>
      <c r="G1829" s="34">
        <f>IF(ISNUMBER(F1829),E1829*F1829,"")</f>
        <v>17.366</v>
      </c>
      <c r="H1829" s="35"/>
      <c r="I1829" s="31"/>
      <c r="J1829" s="155">
        <v>0</v>
      </c>
    </row>
    <row r="1830" spans="1:10" ht="26.25" hidden="1" thickBot="1" x14ac:dyDescent="0.3">
      <c r="A1830" s="176"/>
      <c r="B1830" s="175"/>
      <c r="C1830" s="36" t="s">
        <v>622</v>
      </c>
      <c r="D1830" s="36" t="s">
        <v>149</v>
      </c>
      <c r="E1830" s="37">
        <v>1</v>
      </c>
      <c r="F1830" s="34" t="s">
        <v>568</v>
      </c>
      <c r="G1830" s="34" t="str">
        <f>IF(ISNUMBER(F1830),E1830*F1830,"")</f>
        <v/>
      </c>
      <c r="H1830" s="35"/>
      <c r="I1830" s="31"/>
      <c r="J1830" s="155">
        <v>0</v>
      </c>
    </row>
    <row r="1831" spans="1:10" ht="15.75" hidden="1" thickBot="1" x14ac:dyDescent="0.3">
      <c r="A1831" s="177"/>
      <c r="B1831" s="178"/>
      <c r="C1831" s="36"/>
      <c r="D1831" s="36"/>
      <c r="E1831" s="37"/>
      <c r="F1831" s="31" t="s">
        <v>568</v>
      </c>
      <c r="G1831" s="31" t="str">
        <f>IF(ISNUMBER(F1831),E1831*F1831,"")</f>
        <v/>
      </c>
      <c r="H1831" s="35"/>
      <c r="I1831" s="31"/>
      <c r="J1831" s="155">
        <v>0</v>
      </c>
    </row>
    <row r="1832" spans="1:10" ht="15.75" hidden="1" thickBot="1" x14ac:dyDescent="0.3">
      <c r="A1832" s="172" t="s">
        <v>623</v>
      </c>
      <c r="B1832" s="174" t="str">
        <f>INDEX(Orçamentária!A:B,MATCH(Composições!A1832,Orçamentária!A:A,0),2)</f>
        <v>Exaustor axial 865 m3/h</v>
      </c>
      <c r="C1832" s="41"/>
      <c r="D1832" s="26" t="str">
        <f>TRIM(INDEX(Orçamentária!C:C,MATCH(Composições!A1832,Orçamentária!A:A,0),1))</f>
        <v>un</v>
      </c>
      <c r="E1832" s="27"/>
      <c r="F1832" s="42" t="s">
        <v>568</v>
      </c>
      <c r="G1832" s="28" t="str">
        <f>IF(ISNUMBER(F1832),E1832*F1832,"")</f>
        <v/>
      </c>
      <c r="H1832" s="29"/>
      <c r="I1832" s="30"/>
      <c r="J1832" s="155">
        <v>0</v>
      </c>
    </row>
    <row r="1833" spans="1:10" ht="15.75" hidden="1" thickBot="1" x14ac:dyDescent="0.3">
      <c r="A1833" s="176"/>
      <c r="B1833" s="175"/>
      <c r="C1833" s="32"/>
      <c r="D1833" s="32"/>
      <c r="E1833" s="33"/>
      <c r="F1833" s="43" t="s">
        <v>568</v>
      </c>
      <c r="G1833" s="31" t="str">
        <f>IF(ISNUMBER(F1833),E1833*F1833,"")</f>
        <v/>
      </c>
      <c r="H1833" s="35"/>
      <c r="I1833" s="31"/>
      <c r="J1833" s="155">
        <v>0</v>
      </c>
    </row>
    <row r="1834" spans="1:10" ht="15.75" hidden="1" thickBot="1" x14ac:dyDescent="0.3">
      <c r="A1834" s="176"/>
      <c r="B1834" s="175"/>
      <c r="C1834" s="36" t="s">
        <v>30</v>
      </c>
      <c r="D1834" s="36" t="s">
        <v>12</v>
      </c>
      <c r="E1834" s="37">
        <v>1</v>
      </c>
      <c r="F1834" s="31">
        <v>22.268000000000001</v>
      </c>
      <c r="G1834" s="34">
        <f>IF(ISNUMBER(F1834),E1834*F1834,"")</f>
        <v>22.268000000000001</v>
      </c>
      <c r="H1834" s="39">
        <f>SUM(G1834:G1836)</f>
        <v>39.634</v>
      </c>
      <c r="I1834" s="40"/>
      <c r="J1834" s="155">
        <v>0</v>
      </c>
    </row>
    <row r="1835" spans="1:10" ht="15.75" hidden="1" thickBot="1" x14ac:dyDescent="0.3">
      <c r="A1835" s="176"/>
      <c r="B1835" s="175"/>
      <c r="C1835" s="36" t="s">
        <v>74</v>
      </c>
      <c r="D1835" s="47" t="s">
        <v>12</v>
      </c>
      <c r="E1835" s="37">
        <v>1</v>
      </c>
      <c r="F1835" s="31">
        <v>17.366</v>
      </c>
      <c r="G1835" s="34">
        <f>IF(ISNUMBER(F1835),E1835*F1835,"")</f>
        <v>17.366</v>
      </c>
      <c r="H1835" s="35"/>
      <c r="I1835" s="31"/>
      <c r="J1835" s="155">
        <v>0</v>
      </c>
    </row>
    <row r="1836" spans="1:10" ht="26.25" hidden="1" thickBot="1" x14ac:dyDescent="0.3">
      <c r="A1836" s="176"/>
      <c r="B1836" s="175"/>
      <c r="C1836" s="36" t="s">
        <v>624</v>
      </c>
      <c r="D1836" s="36" t="s">
        <v>149</v>
      </c>
      <c r="E1836" s="37">
        <v>1</v>
      </c>
      <c r="F1836" s="34" t="s">
        <v>568</v>
      </c>
      <c r="G1836" s="34" t="str">
        <f>IF(ISNUMBER(F1836),E1836*F1836,"")</f>
        <v/>
      </c>
      <c r="H1836" s="35"/>
      <c r="I1836" s="31"/>
      <c r="J1836" s="155">
        <v>0</v>
      </c>
    </row>
    <row r="1837" spans="1:10" ht="15.75" hidden="1" thickBot="1" x14ac:dyDescent="0.3">
      <c r="A1837" s="177"/>
      <c r="B1837" s="178"/>
      <c r="C1837" s="36"/>
      <c r="D1837" s="36"/>
      <c r="E1837" s="37"/>
      <c r="F1837" s="31" t="s">
        <v>568</v>
      </c>
      <c r="G1837" s="31" t="str">
        <f>IF(ISNUMBER(F1837),E1837*F1837,"")</f>
        <v/>
      </c>
      <c r="H1837" s="35"/>
      <c r="I1837" s="31"/>
      <c r="J1837" s="155">
        <v>0</v>
      </c>
    </row>
    <row r="1838" spans="1:10" ht="15.75" hidden="1" thickBot="1" x14ac:dyDescent="0.3">
      <c r="A1838" s="172" t="s">
        <v>625</v>
      </c>
      <c r="B1838" s="174" t="str">
        <f>INDEX(Orçamentária!A:B,MATCH(Composições!A1838,Orçamentária!A:A,0),2)</f>
        <v>Duto chapa galvanizada # 22</v>
      </c>
      <c r="C1838" s="41"/>
      <c r="D1838" s="26" t="str">
        <f>TRIM(INDEX(Orçamentária!C:C,MATCH(Composições!A1838,Orçamentária!A:A,0),1))</f>
        <v>m2</v>
      </c>
      <c r="E1838" s="27"/>
      <c r="F1838" s="42" t="s">
        <v>568</v>
      </c>
      <c r="G1838" s="28" t="str">
        <f>IF(ISNUMBER(F1838),E1838*F1838,"")</f>
        <v/>
      </c>
      <c r="H1838" s="29"/>
      <c r="I1838" s="30"/>
      <c r="J1838" s="155">
        <v>0</v>
      </c>
    </row>
    <row r="1839" spans="1:10" ht="15.75" hidden="1" thickBot="1" x14ac:dyDescent="0.3">
      <c r="A1839" s="176"/>
      <c r="B1839" s="175"/>
      <c r="C1839" s="32"/>
      <c r="D1839" s="32"/>
      <c r="E1839" s="33"/>
      <c r="F1839" s="43" t="s">
        <v>568</v>
      </c>
      <c r="G1839" s="31" t="str">
        <f>IF(ISNUMBER(F1839),E1839*F1839,"")</f>
        <v/>
      </c>
      <c r="H1839" s="35"/>
      <c r="I1839" s="31"/>
      <c r="J1839" s="155">
        <v>0</v>
      </c>
    </row>
    <row r="1840" spans="1:10" ht="15.75" hidden="1" thickBot="1" x14ac:dyDescent="0.3">
      <c r="A1840" s="176"/>
      <c r="B1840" s="175"/>
      <c r="C1840" s="36" t="s">
        <v>626</v>
      </c>
      <c r="D1840" s="47" t="s">
        <v>42</v>
      </c>
      <c r="E1840" s="37">
        <v>6.6559999999999997</v>
      </c>
      <c r="F1840" s="34">
        <v>12.359499999999999</v>
      </c>
      <c r="G1840" s="34">
        <f>IF(ISNUMBER(F1840),E1840*F1840,"")</f>
        <v>82.264831999999984</v>
      </c>
      <c r="H1840" s="39">
        <f>SUM(G1840:G1843)</f>
        <v>233.47443199999998</v>
      </c>
      <c r="I1840" s="40"/>
      <c r="J1840" s="155">
        <v>0</v>
      </c>
    </row>
    <row r="1841" spans="1:10" ht="15.75" hidden="1" thickBot="1" x14ac:dyDescent="0.3">
      <c r="A1841" s="176"/>
      <c r="B1841" s="175"/>
      <c r="C1841" s="36" t="s">
        <v>627</v>
      </c>
      <c r="D1841" s="47" t="s">
        <v>628</v>
      </c>
      <c r="E1841" s="37">
        <v>1</v>
      </c>
      <c r="F1841" s="31">
        <v>0</v>
      </c>
      <c r="G1841" s="34">
        <f>IF(ISNUMBER(F1841),E1841*F1841,"")</f>
        <v>0</v>
      </c>
      <c r="H1841" s="45"/>
      <c r="I1841" s="46"/>
      <c r="J1841" s="155">
        <v>0</v>
      </c>
    </row>
    <row r="1842" spans="1:10" ht="15.75" hidden="1" thickBot="1" x14ac:dyDescent="0.3">
      <c r="A1842" s="176"/>
      <c r="B1842" s="175"/>
      <c r="C1842" s="36" t="s">
        <v>23</v>
      </c>
      <c r="D1842" s="47" t="s">
        <v>12</v>
      </c>
      <c r="E1842" s="37">
        <v>3.84</v>
      </c>
      <c r="F1842" s="31">
        <v>16.311500000000002</v>
      </c>
      <c r="G1842" s="34">
        <f>IF(ISNUMBER(F1842),E1842*F1842,"")</f>
        <v>62.636160000000004</v>
      </c>
      <c r="H1842" s="35"/>
      <c r="I1842" s="31"/>
      <c r="J1842" s="155">
        <v>0</v>
      </c>
    </row>
    <row r="1843" spans="1:10" ht="26.25" hidden="1" thickBot="1" x14ac:dyDescent="0.3">
      <c r="A1843" s="176"/>
      <c r="B1843" s="175"/>
      <c r="C1843" s="36" t="s">
        <v>619</v>
      </c>
      <c r="D1843" s="47" t="s">
        <v>12</v>
      </c>
      <c r="E1843" s="37">
        <v>3.84</v>
      </c>
      <c r="F1843" s="31">
        <v>23.065999999999999</v>
      </c>
      <c r="G1843" s="34">
        <f>IF(ISNUMBER(F1843),E1843*F1843,"")</f>
        <v>88.573439999999991</v>
      </c>
      <c r="H1843" s="35"/>
      <c r="I1843" s="31"/>
      <c r="J1843" s="155">
        <v>0</v>
      </c>
    </row>
    <row r="1844" spans="1:10" ht="15.75" hidden="1" thickBot="1" x14ac:dyDescent="0.3">
      <c r="A1844" s="177"/>
      <c r="B1844" s="178"/>
      <c r="C1844" s="36"/>
      <c r="D1844" s="36"/>
      <c r="E1844" s="37"/>
      <c r="F1844" s="31" t="s">
        <v>568</v>
      </c>
      <c r="G1844" s="31" t="str">
        <f>IF(ISNUMBER(F1844),E1844*F1844,"")</f>
        <v/>
      </c>
      <c r="H1844" s="35"/>
      <c r="I1844" s="31"/>
      <c r="J1844" s="155">
        <v>0</v>
      </c>
    </row>
    <row r="1845" spans="1:10" ht="15.75" hidden="1" thickBot="1" x14ac:dyDescent="0.3">
      <c r="A1845" s="172" t="s">
        <v>629</v>
      </c>
      <c r="B1845" s="174" t="str">
        <f>INDEX(Orçamentária!A:B,MATCH(Composições!A1845,Orçamentária!A:A,0),2)</f>
        <v>Duto flexível 6”</v>
      </c>
      <c r="C1845" s="41"/>
      <c r="D1845" s="26" t="str">
        <f>TRIM(INDEX(Orçamentária!C:C,MATCH(Composições!A1845,Orçamentária!A:A,0),1))</f>
        <v>m</v>
      </c>
      <c r="E1845" s="27"/>
      <c r="F1845" s="42" t="s">
        <v>568</v>
      </c>
      <c r="G1845" s="28" t="str">
        <f>IF(ISNUMBER(F1845),E1845*F1845,"")</f>
        <v/>
      </c>
      <c r="H1845" s="29"/>
      <c r="I1845" s="30"/>
      <c r="J1845" s="155">
        <v>0</v>
      </c>
    </row>
    <row r="1846" spans="1:10" ht="15.75" hidden="1" thickBot="1" x14ac:dyDescent="0.3">
      <c r="A1846" s="176"/>
      <c r="B1846" s="175"/>
      <c r="C1846" s="32"/>
      <c r="D1846" s="32"/>
      <c r="E1846" s="33"/>
      <c r="F1846" s="43" t="s">
        <v>568</v>
      </c>
      <c r="G1846" s="31" t="str">
        <f>IF(ISNUMBER(F1846),E1846*F1846,"")</f>
        <v/>
      </c>
      <c r="H1846" s="35"/>
      <c r="I1846" s="31"/>
      <c r="J1846" s="155">
        <v>0</v>
      </c>
    </row>
    <row r="1847" spans="1:10" ht="15.75" hidden="1" thickBot="1" x14ac:dyDescent="0.3">
      <c r="A1847" s="176"/>
      <c r="B1847" s="175"/>
      <c r="C1847" s="36" t="s">
        <v>23</v>
      </c>
      <c r="D1847" s="47" t="s">
        <v>12</v>
      </c>
      <c r="E1847" s="37">
        <v>0.4</v>
      </c>
      <c r="F1847" s="31">
        <v>16.311500000000002</v>
      </c>
      <c r="G1847" s="31">
        <f>IF(ISNUMBER(F1847),E1847*F1847,"")</f>
        <v>6.5246000000000013</v>
      </c>
      <c r="H1847" s="39">
        <f>SUM(G1847:G1849)</f>
        <v>15.751000000000001</v>
      </c>
      <c r="I1847" s="40"/>
      <c r="J1847" s="155">
        <v>0</v>
      </c>
    </row>
    <row r="1848" spans="1:10" ht="26.25" hidden="1" thickBot="1" x14ac:dyDescent="0.3">
      <c r="A1848" s="176"/>
      <c r="B1848" s="175"/>
      <c r="C1848" s="36" t="s">
        <v>619</v>
      </c>
      <c r="D1848" s="47" t="s">
        <v>12</v>
      </c>
      <c r="E1848" s="37">
        <v>0.4</v>
      </c>
      <c r="F1848" s="31">
        <v>23.065999999999999</v>
      </c>
      <c r="G1848" s="31">
        <f>IF(ISNUMBER(F1848),E1848*F1848,"")</f>
        <v>9.2263999999999999</v>
      </c>
      <c r="H1848" s="35"/>
      <c r="I1848" s="31"/>
      <c r="J1848" s="155">
        <v>0</v>
      </c>
    </row>
    <row r="1849" spans="1:10" ht="26.25" hidden="1" thickBot="1" x14ac:dyDescent="0.3">
      <c r="A1849" s="176"/>
      <c r="B1849" s="175"/>
      <c r="C1849" s="36" t="s">
        <v>630</v>
      </c>
      <c r="D1849" s="36" t="s">
        <v>93</v>
      </c>
      <c r="E1849" s="37">
        <v>1.05</v>
      </c>
      <c r="F1849" s="34" t="s">
        <v>568</v>
      </c>
      <c r="G1849" s="31" t="str">
        <f>IF(ISNUMBER(F1849),E1849*F1849,"")</f>
        <v/>
      </c>
      <c r="H1849" s="35"/>
      <c r="I1849" s="31"/>
      <c r="J1849" s="155">
        <v>0</v>
      </c>
    </row>
    <row r="1850" spans="1:10" ht="15.75" hidden="1" thickBot="1" x14ac:dyDescent="0.3">
      <c r="A1850" s="177"/>
      <c r="B1850" s="178"/>
      <c r="C1850" s="36"/>
      <c r="D1850" s="36"/>
      <c r="E1850" s="37"/>
      <c r="F1850" s="31" t="s">
        <v>568</v>
      </c>
      <c r="G1850" s="31" t="str">
        <f>IF(ISNUMBER(F1850),E1850*F1850,"")</f>
        <v/>
      </c>
      <c r="H1850" s="35"/>
      <c r="I1850" s="31"/>
      <c r="J1850" s="155">
        <v>0</v>
      </c>
    </row>
    <row r="1851" spans="1:10" ht="15.75" hidden="1" thickBot="1" x14ac:dyDescent="0.3">
      <c r="A1851" s="172" t="s">
        <v>631</v>
      </c>
      <c r="B1851" s="174" t="str">
        <f>INDEX(Orçamentária!A:B,MATCH(Composições!A1851,Orçamentária!A:A,0),2)</f>
        <v>Duto flexível 8”</v>
      </c>
      <c r="C1851" s="41"/>
      <c r="D1851" s="26" t="str">
        <f>TRIM(INDEX(Orçamentária!C:C,MATCH(Composições!A1851,Orçamentária!A:A,0),1))</f>
        <v>m</v>
      </c>
      <c r="E1851" s="27"/>
      <c r="F1851" s="42" t="s">
        <v>568</v>
      </c>
      <c r="G1851" s="28" t="str">
        <f>IF(ISNUMBER(F1851),E1851*F1851,"")</f>
        <v/>
      </c>
      <c r="H1851" s="29"/>
      <c r="I1851" s="30"/>
      <c r="J1851" s="155">
        <v>0</v>
      </c>
    </row>
    <row r="1852" spans="1:10" ht="15.75" hidden="1" thickBot="1" x14ac:dyDescent="0.3">
      <c r="A1852" s="176"/>
      <c r="B1852" s="175"/>
      <c r="C1852" s="32"/>
      <c r="D1852" s="32"/>
      <c r="E1852" s="33"/>
      <c r="F1852" s="43" t="s">
        <v>568</v>
      </c>
      <c r="G1852" s="31" t="str">
        <f>IF(ISNUMBER(F1852),E1852*F1852,"")</f>
        <v/>
      </c>
      <c r="H1852" s="35"/>
      <c r="I1852" s="31"/>
      <c r="J1852" s="155">
        <v>0</v>
      </c>
    </row>
    <row r="1853" spans="1:10" ht="15.75" hidden="1" thickBot="1" x14ac:dyDescent="0.3">
      <c r="A1853" s="176"/>
      <c r="B1853" s="175"/>
      <c r="C1853" s="36" t="s">
        <v>23</v>
      </c>
      <c r="D1853" s="47" t="s">
        <v>12</v>
      </c>
      <c r="E1853" s="37">
        <v>0.4</v>
      </c>
      <c r="F1853" s="31">
        <v>16.311500000000002</v>
      </c>
      <c r="G1853" s="31">
        <f>IF(ISNUMBER(F1853),E1853*F1853,"")</f>
        <v>6.5246000000000013</v>
      </c>
      <c r="H1853" s="39">
        <f>SUM(G1853:G1855)</f>
        <v>15.751000000000001</v>
      </c>
      <c r="I1853" s="40"/>
      <c r="J1853" s="155">
        <v>0</v>
      </c>
    </row>
    <row r="1854" spans="1:10" ht="26.25" hidden="1" thickBot="1" x14ac:dyDescent="0.3">
      <c r="A1854" s="176"/>
      <c r="B1854" s="175"/>
      <c r="C1854" s="36" t="s">
        <v>619</v>
      </c>
      <c r="D1854" s="47" t="s">
        <v>12</v>
      </c>
      <c r="E1854" s="37">
        <v>0.4</v>
      </c>
      <c r="F1854" s="31">
        <v>23.065999999999999</v>
      </c>
      <c r="G1854" s="31">
        <f>IF(ISNUMBER(F1854),E1854*F1854,"")</f>
        <v>9.2263999999999999</v>
      </c>
      <c r="H1854" s="35"/>
      <c r="I1854" s="31"/>
      <c r="J1854" s="155">
        <v>0</v>
      </c>
    </row>
    <row r="1855" spans="1:10" ht="26.25" hidden="1" thickBot="1" x14ac:dyDescent="0.3">
      <c r="A1855" s="176"/>
      <c r="B1855" s="175"/>
      <c r="C1855" s="36" t="s">
        <v>632</v>
      </c>
      <c r="D1855" s="36" t="s">
        <v>93</v>
      </c>
      <c r="E1855" s="37">
        <v>1.05</v>
      </c>
      <c r="F1855" s="34" t="s">
        <v>568</v>
      </c>
      <c r="G1855" s="31" t="str">
        <f>IF(ISNUMBER(F1855),E1855*F1855,"")</f>
        <v/>
      </c>
      <c r="H1855" s="35"/>
      <c r="I1855" s="31"/>
      <c r="J1855" s="155">
        <v>0</v>
      </c>
    </row>
    <row r="1856" spans="1:10" ht="15.75" hidden="1" thickBot="1" x14ac:dyDescent="0.3">
      <c r="A1856" s="177"/>
      <c r="B1856" s="178"/>
      <c r="C1856" s="36"/>
      <c r="D1856" s="36"/>
      <c r="E1856" s="37"/>
      <c r="F1856" s="31" t="s">
        <v>568</v>
      </c>
      <c r="G1856" s="31" t="str">
        <f>IF(ISNUMBER(F1856),E1856*F1856,"")</f>
        <v/>
      </c>
      <c r="H1856" s="35"/>
      <c r="I1856" s="31"/>
      <c r="J1856" s="155">
        <v>0</v>
      </c>
    </row>
    <row r="1857" spans="1:10" ht="15.75" hidden="1" thickBot="1" x14ac:dyDescent="0.3">
      <c r="A1857" s="172" t="s">
        <v>633</v>
      </c>
      <c r="B1857" s="174" t="str">
        <f>INDEX(Orçamentária!A:B,MATCH(Composições!A1857,Orçamentária!A:A,0),2)</f>
        <v>Difusor de ar quadrado 360x360 mm</v>
      </c>
      <c r="C1857" s="41"/>
      <c r="D1857" s="26" t="str">
        <f>TRIM(INDEX(Orçamentária!C:C,MATCH(Composições!A1857,Orçamentária!A:A,0),1))</f>
        <v>un</v>
      </c>
      <c r="E1857" s="27"/>
      <c r="F1857" s="42" t="s">
        <v>568</v>
      </c>
      <c r="G1857" s="28" t="str">
        <f>IF(ISNUMBER(F1857),E1857*F1857,"")</f>
        <v/>
      </c>
      <c r="H1857" s="29"/>
      <c r="I1857" s="30"/>
      <c r="J1857" s="155">
        <v>0</v>
      </c>
    </row>
    <row r="1858" spans="1:10" ht="15.75" hidden="1" thickBot="1" x14ac:dyDescent="0.3">
      <c r="A1858" s="176"/>
      <c r="B1858" s="175"/>
      <c r="C1858" s="32"/>
      <c r="D1858" s="32"/>
      <c r="E1858" s="33"/>
      <c r="F1858" s="43" t="s">
        <v>568</v>
      </c>
      <c r="G1858" s="31" t="str">
        <f>IF(ISNUMBER(F1858),E1858*F1858,"")</f>
        <v/>
      </c>
      <c r="H1858" s="35"/>
      <c r="I1858" s="31"/>
      <c r="J1858" s="155">
        <v>0</v>
      </c>
    </row>
    <row r="1859" spans="1:10" ht="15.75" hidden="1" thickBot="1" x14ac:dyDescent="0.3">
      <c r="A1859" s="176"/>
      <c r="B1859" s="175"/>
      <c r="C1859" s="36" t="s">
        <v>52</v>
      </c>
      <c r="D1859" s="47" t="s">
        <v>12</v>
      </c>
      <c r="E1859" s="37">
        <v>2.5</v>
      </c>
      <c r="F1859" s="31">
        <v>17.470500000000001</v>
      </c>
      <c r="G1859" s="34">
        <f>IF(ISNUMBER(F1859),E1859*F1859,"")</f>
        <v>43.676250000000003</v>
      </c>
      <c r="H1859" s="39">
        <f>SUM(G1859:G1861)</f>
        <v>101.34125</v>
      </c>
      <c r="I1859" s="40"/>
      <c r="J1859" s="155">
        <v>0</v>
      </c>
    </row>
    <row r="1860" spans="1:10" ht="26.25" hidden="1" thickBot="1" x14ac:dyDescent="0.3">
      <c r="A1860" s="176"/>
      <c r="B1860" s="175"/>
      <c r="C1860" s="36" t="s">
        <v>619</v>
      </c>
      <c r="D1860" s="47" t="s">
        <v>12</v>
      </c>
      <c r="E1860" s="37">
        <v>2.5</v>
      </c>
      <c r="F1860" s="31">
        <v>23.065999999999999</v>
      </c>
      <c r="G1860" s="34">
        <f>IF(ISNUMBER(F1860),E1860*F1860,"")</f>
        <v>57.664999999999999</v>
      </c>
      <c r="H1860" s="35"/>
      <c r="I1860" s="31"/>
      <c r="J1860" s="155">
        <v>0</v>
      </c>
    </row>
    <row r="1861" spans="1:10" ht="26.25" hidden="1" thickBot="1" x14ac:dyDescent="0.3">
      <c r="A1861" s="176"/>
      <c r="B1861" s="175"/>
      <c r="C1861" s="36" t="s">
        <v>634</v>
      </c>
      <c r="D1861" s="36" t="s">
        <v>149</v>
      </c>
      <c r="E1861" s="37">
        <v>1</v>
      </c>
      <c r="F1861" s="34" t="s">
        <v>568</v>
      </c>
      <c r="G1861" s="34" t="str">
        <f>IF(ISNUMBER(F1861),E1861*F1861,"")</f>
        <v/>
      </c>
      <c r="H1861" s="35"/>
      <c r="I1861" s="31"/>
      <c r="J1861" s="155">
        <v>0</v>
      </c>
    </row>
    <row r="1862" spans="1:10" ht="15.75" hidden="1" thickBot="1" x14ac:dyDescent="0.3">
      <c r="A1862" s="177"/>
      <c r="B1862" s="178"/>
      <c r="C1862" s="36"/>
      <c r="D1862" s="36"/>
      <c r="E1862" s="37"/>
      <c r="F1862" s="31" t="s">
        <v>568</v>
      </c>
      <c r="G1862" s="31" t="str">
        <f>IF(ISNUMBER(F1862),E1862*F1862,"")</f>
        <v/>
      </c>
      <c r="H1862" s="35"/>
      <c r="I1862" s="31"/>
      <c r="J1862" s="155">
        <v>0</v>
      </c>
    </row>
    <row r="1863" spans="1:10" ht="15.75" hidden="1" thickBot="1" x14ac:dyDescent="0.3">
      <c r="A1863" s="172" t="s">
        <v>635</v>
      </c>
      <c r="B1863" s="174" t="str">
        <f>INDEX(Orçamentária!A:B,MATCH(Composições!A1863,Orçamentária!A:A,0),2)</f>
        <v>Difusor de ar quadrado com caixa plenum AK6 360x360 mm</v>
      </c>
      <c r="C1863" s="41"/>
      <c r="D1863" s="26" t="str">
        <f>TRIM(INDEX(Orçamentária!C:C,MATCH(Composições!A1863,Orçamentária!A:A,0),1))</f>
        <v>un</v>
      </c>
      <c r="E1863" s="27"/>
      <c r="F1863" s="42" t="s">
        <v>568</v>
      </c>
      <c r="G1863" s="28" t="str">
        <f>IF(ISNUMBER(F1863),E1863*F1863,"")</f>
        <v/>
      </c>
      <c r="H1863" s="29"/>
      <c r="I1863" s="30"/>
      <c r="J1863" s="155">
        <v>0</v>
      </c>
    </row>
    <row r="1864" spans="1:10" ht="15.75" hidden="1" thickBot="1" x14ac:dyDescent="0.3">
      <c r="A1864" s="176"/>
      <c r="B1864" s="175"/>
      <c r="C1864" s="32"/>
      <c r="D1864" s="32"/>
      <c r="E1864" s="33"/>
      <c r="F1864" s="43" t="s">
        <v>568</v>
      </c>
      <c r="G1864" s="31" t="str">
        <f>IF(ISNUMBER(F1864),E1864*F1864,"")</f>
        <v/>
      </c>
      <c r="H1864" s="35"/>
      <c r="I1864" s="31"/>
      <c r="J1864" s="155">
        <v>0</v>
      </c>
    </row>
    <row r="1865" spans="1:10" ht="15.75" hidden="1" thickBot="1" x14ac:dyDescent="0.3">
      <c r="A1865" s="176"/>
      <c r="B1865" s="175"/>
      <c r="C1865" s="36" t="s">
        <v>52</v>
      </c>
      <c r="D1865" s="47" t="s">
        <v>12</v>
      </c>
      <c r="E1865" s="37">
        <v>2.5</v>
      </c>
      <c r="F1865" s="31">
        <v>17.470500000000001</v>
      </c>
      <c r="G1865" s="34">
        <f>IF(ISNUMBER(F1865),E1865*F1865,"")</f>
        <v>43.676250000000003</v>
      </c>
      <c r="H1865" s="39">
        <f>SUM(G1865:G1867)</f>
        <v>101.34125</v>
      </c>
      <c r="I1865" s="40"/>
      <c r="J1865" s="155">
        <v>0</v>
      </c>
    </row>
    <row r="1866" spans="1:10" ht="26.25" hidden="1" thickBot="1" x14ac:dyDescent="0.3">
      <c r="A1866" s="176"/>
      <c r="B1866" s="175"/>
      <c r="C1866" s="36" t="s">
        <v>619</v>
      </c>
      <c r="D1866" s="47" t="s">
        <v>12</v>
      </c>
      <c r="E1866" s="37">
        <v>2.5</v>
      </c>
      <c r="F1866" s="31">
        <v>23.065999999999999</v>
      </c>
      <c r="G1866" s="34">
        <f>IF(ISNUMBER(F1866),E1866*F1866,"")</f>
        <v>57.664999999999999</v>
      </c>
      <c r="H1866" s="35"/>
      <c r="I1866" s="31"/>
      <c r="J1866" s="155">
        <v>0</v>
      </c>
    </row>
    <row r="1867" spans="1:10" ht="26.25" hidden="1" thickBot="1" x14ac:dyDescent="0.3">
      <c r="A1867" s="176"/>
      <c r="B1867" s="175"/>
      <c r="C1867" s="36" t="s">
        <v>636</v>
      </c>
      <c r="D1867" s="36" t="s">
        <v>149</v>
      </c>
      <c r="E1867" s="37">
        <v>1</v>
      </c>
      <c r="F1867" s="34" t="s">
        <v>568</v>
      </c>
      <c r="G1867" s="34" t="str">
        <f>IF(ISNUMBER(F1867),E1867*F1867,"")</f>
        <v/>
      </c>
      <c r="H1867" s="35"/>
      <c r="I1867" s="31"/>
      <c r="J1867" s="155">
        <v>0</v>
      </c>
    </row>
    <row r="1868" spans="1:10" ht="15.75" hidden="1" thickBot="1" x14ac:dyDescent="0.3">
      <c r="A1868" s="177"/>
      <c r="B1868" s="178"/>
      <c r="C1868" s="36"/>
      <c r="D1868" s="36"/>
      <c r="E1868" s="37"/>
      <c r="F1868" s="31" t="s">
        <v>568</v>
      </c>
      <c r="G1868" s="31" t="str">
        <f>IF(ISNUMBER(F1868),E1868*F1868,"")</f>
        <v/>
      </c>
      <c r="H1868" s="35"/>
      <c r="I1868" s="31"/>
      <c r="J1868" s="155">
        <v>0</v>
      </c>
    </row>
    <row r="1869" spans="1:10" ht="15.75" hidden="1" thickBot="1" x14ac:dyDescent="0.3">
      <c r="A1869" s="172" t="s">
        <v>637</v>
      </c>
      <c r="B1869" s="174" t="str">
        <f>INDEX(Orçamentária!A:B,MATCH(Composições!A1869,Orçamentária!A:A,0),2)</f>
        <v>Difusor de ar quadrado para insuflamento em duas direções perpendiculares 376x376 mm</v>
      </c>
      <c r="C1869" s="41"/>
      <c r="D1869" s="26" t="str">
        <f>TRIM(INDEX(Orçamentária!C:C,MATCH(Composições!A1869,Orçamentária!A:A,0),1))</f>
        <v>un</v>
      </c>
      <c r="E1869" s="27"/>
      <c r="F1869" s="42" t="s">
        <v>568</v>
      </c>
      <c r="G1869" s="28" t="str">
        <f>IF(ISNUMBER(F1869),E1869*F1869,"")</f>
        <v/>
      </c>
      <c r="H1869" s="29"/>
      <c r="I1869" s="30"/>
      <c r="J1869" s="155">
        <v>0</v>
      </c>
    </row>
    <row r="1870" spans="1:10" ht="15.75" hidden="1" thickBot="1" x14ac:dyDescent="0.3">
      <c r="A1870" s="176"/>
      <c r="B1870" s="175"/>
      <c r="C1870" s="32"/>
      <c r="D1870" s="32"/>
      <c r="E1870" s="33"/>
      <c r="F1870" s="43" t="s">
        <v>568</v>
      </c>
      <c r="G1870" s="31" t="str">
        <f>IF(ISNUMBER(F1870),E1870*F1870,"")</f>
        <v/>
      </c>
      <c r="H1870" s="35"/>
      <c r="I1870" s="31"/>
      <c r="J1870" s="155">
        <v>0</v>
      </c>
    </row>
    <row r="1871" spans="1:10" ht="15.75" hidden="1" thickBot="1" x14ac:dyDescent="0.3">
      <c r="A1871" s="176"/>
      <c r="B1871" s="175"/>
      <c r="C1871" s="36" t="s">
        <v>52</v>
      </c>
      <c r="D1871" s="47" t="s">
        <v>12</v>
      </c>
      <c r="E1871" s="37">
        <v>2.5</v>
      </c>
      <c r="F1871" s="31">
        <v>17.470500000000001</v>
      </c>
      <c r="G1871" s="34">
        <f>IF(ISNUMBER(F1871),E1871*F1871,"")</f>
        <v>43.676250000000003</v>
      </c>
      <c r="H1871" s="39">
        <f>SUM(G1871:G1873)</f>
        <v>101.34125</v>
      </c>
      <c r="I1871" s="40"/>
      <c r="J1871" s="155">
        <v>0</v>
      </c>
    </row>
    <row r="1872" spans="1:10" ht="26.25" hidden="1" thickBot="1" x14ac:dyDescent="0.3">
      <c r="A1872" s="176"/>
      <c r="B1872" s="175"/>
      <c r="C1872" s="36" t="s">
        <v>619</v>
      </c>
      <c r="D1872" s="47" t="s">
        <v>12</v>
      </c>
      <c r="E1872" s="37">
        <v>2.5</v>
      </c>
      <c r="F1872" s="31">
        <v>23.065999999999999</v>
      </c>
      <c r="G1872" s="34">
        <f>IF(ISNUMBER(F1872),E1872*F1872,"")</f>
        <v>57.664999999999999</v>
      </c>
      <c r="H1872" s="35"/>
      <c r="I1872" s="31"/>
      <c r="J1872" s="155">
        <v>0</v>
      </c>
    </row>
    <row r="1873" spans="1:10" ht="26.25" hidden="1" thickBot="1" x14ac:dyDescent="0.3">
      <c r="A1873" s="176"/>
      <c r="B1873" s="175"/>
      <c r="C1873" s="36" t="s">
        <v>638</v>
      </c>
      <c r="D1873" s="36" t="s">
        <v>149</v>
      </c>
      <c r="E1873" s="37">
        <v>1</v>
      </c>
      <c r="F1873" s="34" t="s">
        <v>568</v>
      </c>
      <c r="G1873" s="34" t="str">
        <f>IF(ISNUMBER(F1873),E1873*F1873,"")</f>
        <v/>
      </c>
      <c r="H1873" s="35"/>
      <c r="I1873" s="31"/>
      <c r="J1873" s="155">
        <v>0</v>
      </c>
    </row>
    <row r="1874" spans="1:10" ht="15.75" hidden="1" thickBot="1" x14ac:dyDescent="0.3">
      <c r="A1874" s="177"/>
      <c r="B1874" s="178"/>
      <c r="C1874" s="36"/>
      <c r="D1874" s="36"/>
      <c r="E1874" s="37"/>
      <c r="F1874" s="31" t="s">
        <v>568</v>
      </c>
      <c r="G1874" s="31" t="str">
        <f>IF(ISNUMBER(F1874),E1874*F1874,"")</f>
        <v/>
      </c>
      <c r="H1874" s="35"/>
      <c r="I1874" s="31"/>
      <c r="J1874" s="155">
        <v>0</v>
      </c>
    </row>
    <row r="1875" spans="1:10" ht="15.75" hidden="1" thickBot="1" x14ac:dyDescent="0.3">
      <c r="A1875" s="172" t="s">
        <v>639</v>
      </c>
      <c r="B1875" s="174" t="str">
        <f>INDEX(Orçamentária!A:B,MATCH(Composições!A1875,Orçamentária!A:A,0),2)</f>
        <v>Difusor de ar retangular para insuflamento em duas direções 371x208 mm</v>
      </c>
      <c r="C1875" s="41"/>
      <c r="D1875" s="26" t="str">
        <f>TRIM(INDEX(Orçamentária!C:C,MATCH(Composições!A1875,Orçamentária!A:A,0),1))</f>
        <v>un</v>
      </c>
      <c r="E1875" s="27"/>
      <c r="F1875" s="42" t="s">
        <v>568</v>
      </c>
      <c r="G1875" s="28" t="str">
        <f>IF(ISNUMBER(F1875),E1875*F1875,"")</f>
        <v/>
      </c>
      <c r="H1875" s="29"/>
      <c r="I1875" s="30"/>
      <c r="J1875" s="155">
        <v>0</v>
      </c>
    </row>
    <row r="1876" spans="1:10" ht="15.75" hidden="1" thickBot="1" x14ac:dyDescent="0.3">
      <c r="A1876" s="176"/>
      <c r="B1876" s="175"/>
      <c r="C1876" s="32"/>
      <c r="D1876" s="32"/>
      <c r="E1876" s="33"/>
      <c r="F1876" s="43" t="s">
        <v>568</v>
      </c>
      <c r="G1876" s="31" t="str">
        <f>IF(ISNUMBER(F1876),E1876*F1876,"")</f>
        <v/>
      </c>
      <c r="H1876" s="35"/>
      <c r="I1876" s="31"/>
      <c r="J1876" s="155">
        <v>0</v>
      </c>
    </row>
    <row r="1877" spans="1:10" ht="15.75" hidden="1" thickBot="1" x14ac:dyDescent="0.3">
      <c r="A1877" s="176"/>
      <c r="B1877" s="175"/>
      <c r="C1877" s="36" t="s">
        <v>52</v>
      </c>
      <c r="D1877" s="47" t="s">
        <v>12</v>
      </c>
      <c r="E1877" s="37">
        <v>2.5</v>
      </c>
      <c r="F1877" s="31">
        <v>17.470500000000001</v>
      </c>
      <c r="G1877" s="34">
        <f>IF(ISNUMBER(F1877),E1877*F1877,"")</f>
        <v>43.676250000000003</v>
      </c>
      <c r="H1877" s="39">
        <f>SUM(G1877:G1879)</f>
        <v>101.34125</v>
      </c>
      <c r="I1877" s="40"/>
      <c r="J1877" s="155">
        <v>0</v>
      </c>
    </row>
    <row r="1878" spans="1:10" ht="26.25" hidden="1" thickBot="1" x14ac:dyDescent="0.3">
      <c r="A1878" s="176"/>
      <c r="B1878" s="175"/>
      <c r="C1878" s="36" t="s">
        <v>619</v>
      </c>
      <c r="D1878" s="47" t="s">
        <v>12</v>
      </c>
      <c r="E1878" s="37">
        <v>2.5</v>
      </c>
      <c r="F1878" s="31">
        <v>23.065999999999999</v>
      </c>
      <c r="G1878" s="34">
        <f>IF(ISNUMBER(F1878),E1878*F1878,"")</f>
        <v>57.664999999999999</v>
      </c>
      <c r="H1878" s="35"/>
      <c r="I1878" s="31"/>
      <c r="J1878" s="155">
        <v>0</v>
      </c>
    </row>
    <row r="1879" spans="1:10" ht="39" hidden="1" thickBot="1" x14ac:dyDescent="0.3">
      <c r="A1879" s="176"/>
      <c r="B1879" s="175"/>
      <c r="C1879" s="36" t="s">
        <v>640</v>
      </c>
      <c r="D1879" s="36" t="s">
        <v>149</v>
      </c>
      <c r="E1879" s="37">
        <v>1</v>
      </c>
      <c r="F1879" s="34" t="s">
        <v>568</v>
      </c>
      <c r="G1879" s="34" t="str">
        <f>IF(ISNUMBER(F1879),E1879*F1879,"")</f>
        <v/>
      </c>
      <c r="H1879" s="35"/>
      <c r="I1879" s="31"/>
      <c r="J1879" s="155">
        <v>0</v>
      </c>
    </row>
    <row r="1880" spans="1:10" ht="15.75" hidden="1" thickBot="1" x14ac:dyDescent="0.3">
      <c r="A1880" s="177"/>
      <c r="B1880" s="178"/>
      <c r="C1880" s="36"/>
      <c r="D1880" s="36"/>
      <c r="E1880" s="37"/>
      <c r="F1880" s="31" t="s">
        <v>568</v>
      </c>
      <c r="G1880" s="31" t="str">
        <f>IF(ISNUMBER(F1880),E1880*F1880,"")</f>
        <v/>
      </c>
      <c r="H1880" s="35"/>
      <c r="I1880" s="31"/>
      <c r="J1880" s="155">
        <v>0</v>
      </c>
    </row>
    <row r="1881" spans="1:10" ht="15.75" hidden="1" thickBot="1" x14ac:dyDescent="0.3">
      <c r="A1881" s="172" t="s">
        <v>641</v>
      </c>
      <c r="B1881" s="174" t="str">
        <f>INDEX(Orçamentária!A:B,MATCH(Composições!A1881,Orçamentária!A:A,0),2)</f>
        <v>Difusor de ar retangular para insuflamento em três direções 264x432 mm</v>
      </c>
      <c r="C1881" s="41"/>
      <c r="D1881" s="26" t="str">
        <f>TRIM(INDEX(Orçamentária!C:C,MATCH(Composições!A1881,Orçamentária!A:A,0),1))</f>
        <v>un</v>
      </c>
      <c r="E1881" s="27"/>
      <c r="F1881" s="42" t="s">
        <v>568</v>
      </c>
      <c r="G1881" s="28" t="str">
        <f>IF(ISNUMBER(F1881),E1881*F1881,"")</f>
        <v/>
      </c>
      <c r="H1881" s="29"/>
      <c r="I1881" s="30"/>
      <c r="J1881" s="155">
        <v>0</v>
      </c>
    </row>
    <row r="1882" spans="1:10" ht="15.75" hidden="1" thickBot="1" x14ac:dyDescent="0.3">
      <c r="A1882" s="176"/>
      <c r="B1882" s="175"/>
      <c r="C1882" s="32"/>
      <c r="D1882" s="32"/>
      <c r="E1882" s="33"/>
      <c r="F1882" s="43" t="s">
        <v>568</v>
      </c>
      <c r="G1882" s="31" t="str">
        <f>IF(ISNUMBER(F1882),E1882*F1882,"")</f>
        <v/>
      </c>
      <c r="H1882" s="35"/>
      <c r="I1882" s="31"/>
      <c r="J1882" s="155">
        <v>0</v>
      </c>
    </row>
    <row r="1883" spans="1:10" ht="15.75" hidden="1" thickBot="1" x14ac:dyDescent="0.3">
      <c r="A1883" s="176"/>
      <c r="B1883" s="175"/>
      <c r="C1883" s="36" t="s">
        <v>52</v>
      </c>
      <c r="D1883" s="47" t="s">
        <v>12</v>
      </c>
      <c r="E1883" s="37">
        <v>2.5</v>
      </c>
      <c r="F1883" s="31">
        <v>17.470500000000001</v>
      </c>
      <c r="G1883" s="34">
        <f>IF(ISNUMBER(F1883),E1883*F1883,"")</f>
        <v>43.676250000000003</v>
      </c>
      <c r="H1883" s="39">
        <f>SUM(G1883:G1885)</f>
        <v>101.34125</v>
      </c>
      <c r="I1883" s="40"/>
      <c r="J1883" s="155">
        <v>0</v>
      </c>
    </row>
    <row r="1884" spans="1:10" ht="26.25" hidden="1" thickBot="1" x14ac:dyDescent="0.3">
      <c r="A1884" s="176"/>
      <c r="B1884" s="175"/>
      <c r="C1884" s="36" t="s">
        <v>619</v>
      </c>
      <c r="D1884" s="47" t="s">
        <v>12</v>
      </c>
      <c r="E1884" s="37">
        <v>2.5</v>
      </c>
      <c r="F1884" s="31">
        <v>23.065999999999999</v>
      </c>
      <c r="G1884" s="34">
        <f>IF(ISNUMBER(F1884),E1884*F1884,"")</f>
        <v>57.664999999999999</v>
      </c>
      <c r="H1884" s="35"/>
      <c r="I1884" s="31"/>
      <c r="J1884" s="155">
        <v>0</v>
      </c>
    </row>
    <row r="1885" spans="1:10" ht="51.75" hidden="1" thickBot="1" x14ac:dyDescent="0.3">
      <c r="A1885" s="176"/>
      <c r="B1885" s="175"/>
      <c r="C1885" s="36" t="s">
        <v>642</v>
      </c>
      <c r="D1885" s="36" t="s">
        <v>149</v>
      </c>
      <c r="E1885" s="37">
        <v>1</v>
      </c>
      <c r="F1885" s="34" t="s">
        <v>568</v>
      </c>
      <c r="G1885" s="34" t="str">
        <f>IF(ISNUMBER(F1885),E1885*F1885,"")</f>
        <v/>
      </c>
      <c r="H1885" s="35"/>
      <c r="I1885" s="31"/>
      <c r="J1885" s="155">
        <v>0</v>
      </c>
    </row>
    <row r="1886" spans="1:10" ht="15.75" hidden="1" thickBot="1" x14ac:dyDescent="0.3">
      <c r="A1886" s="177"/>
      <c r="B1886" s="178"/>
      <c r="C1886" s="36"/>
      <c r="D1886" s="36"/>
      <c r="E1886" s="37"/>
      <c r="F1886" s="31" t="s">
        <v>568</v>
      </c>
      <c r="G1886" s="31" t="str">
        <f>IF(ISNUMBER(F1886),E1886*F1886,"")</f>
        <v/>
      </c>
      <c r="H1886" s="35"/>
      <c r="I1886" s="31"/>
      <c r="J1886" s="155">
        <v>0</v>
      </c>
    </row>
    <row r="1887" spans="1:10" ht="15.75" hidden="1" thickBot="1" x14ac:dyDescent="0.3">
      <c r="A1887" s="172" t="s">
        <v>643</v>
      </c>
      <c r="B1887" s="174" t="str">
        <f>INDEX(Orçamentária!A:B,MATCH(Composições!A1887,Orçamentária!A:A,0),2)</f>
        <v>Difusor de ar retangular para insuflamento em três direções 320x562 mm</v>
      </c>
      <c r="C1887" s="41"/>
      <c r="D1887" s="26" t="str">
        <f>TRIM(INDEX(Orçamentária!C:C,MATCH(Composições!A1887,Orçamentária!A:A,0),1))</f>
        <v>un</v>
      </c>
      <c r="E1887" s="27"/>
      <c r="F1887" s="42" t="s">
        <v>568</v>
      </c>
      <c r="G1887" s="28" t="str">
        <f>IF(ISNUMBER(F1887),E1887*F1887,"")</f>
        <v/>
      </c>
      <c r="H1887" s="29"/>
      <c r="I1887" s="30"/>
      <c r="J1887" s="155">
        <v>0</v>
      </c>
    </row>
    <row r="1888" spans="1:10" ht="15.75" hidden="1" thickBot="1" x14ac:dyDescent="0.3">
      <c r="A1888" s="176"/>
      <c r="B1888" s="175"/>
      <c r="C1888" s="32"/>
      <c r="D1888" s="32"/>
      <c r="E1888" s="33"/>
      <c r="F1888" s="43" t="s">
        <v>568</v>
      </c>
      <c r="G1888" s="31" t="str">
        <f>IF(ISNUMBER(F1888),E1888*F1888,"")</f>
        <v/>
      </c>
      <c r="H1888" s="35"/>
      <c r="I1888" s="31"/>
      <c r="J1888" s="155">
        <v>0</v>
      </c>
    </row>
    <row r="1889" spans="1:10" ht="15.75" hidden="1" thickBot="1" x14ac:dyDescent="0.3">
      <c r="A1889" s="176"/>
      <c r="B1889" s="175"/>
      <c r="C1889" s="36" t="s">
        <v>52</v>
      </c>
      <c r="D1889" s="47" t="s">
        <v>12</v>
      </c>
      <c r="E1889" s="37">
        <v>2.5</v>
      </c>
      <c r="F1889" s="31">
        <v>17.470500000000001</v>
      </c>
      <c r="G1889" s="34">
        <f>IF(ISNUMBER(F1889),E1889*F1889,"")</f>
        <v>43.676250000000003</v>
      </c>
      <c r="H1889" s="39">
        <f>SUM(G1889:G1891)</f>
        <v>101.34125</v>
      </c>
      <c r="I1889" s="40"/>
      <c r="J1889" s="155">
        <v>0</v>
      </c>
    </row>
    <row r="1890" spans="1:10" ht="26.25" hidden="1" thickBot="1" x14ac:dyDescent="0.3">
      <c r="A1890" s="176"/>
      <c r="B1890" s="175"/>
      <c r="C1890" s="36" t="s">
        <v>619</v>
      </c>
      <c r="D1890" s="47" t="s">
        <v>12</v>
      </c>
      <c r="E1890" s="37">
        <v>2.5</v>
      </c>
      <c r="F1890" s="31">
        <v>23.065999999999999</v>
      </c>
      <c r="G1890" s="34">
        <f>IF(ISNUMBER(F1890),E1890*F1890,"")</f>
        <v>57.664999999999999</v>
      </c>
      <c r="H1890" s="35"/>
      <c r="I1890" s="31"/>
      <c r="J1890" s="155">
        <v>0</v>
      </c>
    </row>
    <row r="1891" spans="1:10" ht="26.25" hidden="1" thickBot="1" x14ac:dyDescent="0.3">
      <c r="A1891" s="176"/>
      <c r="B1891" s="175"/>
      <c r="C1891" s="36" t="s">
        <v>644</v>
      </c>
      <c r="D1891" s="36" t="s">
        <v>149</v>
      </c>
      <c r="E1891" s="37">
        <v>1</v>
      </c>
      <c r="F1891" s="34" t="s">
        <v>568</v>
      </c>
      <c r="G1891" s="34" t="str">
        <f>IF(ISNUMBER(F1891),E1891*F1891,"")</f>
        <v/>
      </c>
      <c r="H1891" s="35"/>
      <c r="I1891" s="31"/>
      <c r="J1891" s="155">
        <v>0</v>
      </c>
    </row>
    <row r="1892" spans="1:10" ht="15.75" hidden="1" thickBot="1" x14ac:dyDescent="0.3">
      <c r="A1892" s="177"/>
      <c r="B1892" s="178"/>
      <c r="C1892" s="36"/>
      <c r="D1892" s="36"/>
      <c r="E1892" s="37"/>
      <c r="F1892" s="31" t="s">
        <v>568</v>
      </c>
      <c r="G1892" s="31" t="str">
        <f>IF(ISNUMBER(F1892),E1892*F1892,"")</f>
        <v/>
      </c>
      <c r="H1892" s="35"/>
      <c r="I1892" s="31"/>
      <c r="J1892" s="155">
        <v>0</v>
      </c>
    </row>
    <row r="1893" spans="1:10" ht="15.75" hidden="1" thickBot="1" x14ac:dyDescent="0.3">
      <c r="A1893" s="172" t="s">
        <v>645</v>
      </c>
      <c r="B1893" s="174" t="str">
        <f>INDEX(Orçamentária!A:B,MATCH(Composições!A1893,Orçamentária!A:A,0),2)</f>
        <v>Difusor de ar retangular para insuflamento em três direções 371x208 mm</v>
      </c>
      <c r="C1893" s="41"/>
      <c r="D1893" s="26" t="str">
        <f>TRIM(INDEX(Orçamentária!C:C,MATCH(Composições!A1893,Orçamentária!A:A,0),1))</f>
        <v>un</v>
      </c>
      <c r="E1893" s="27"/>
      <c r="F1893" s="42" t="s">
        <v>568</v>
      </c>
      <c r="G1893" s="28" t="str">
        <f>IF(ISNUMBER(F1893),E1893*F1893,"")</f>
        <v/>
      </c>
      <c r="H1893" s="29"/>
      <c r="I1893" s="30"/>
      <c r="J1893" s="155">
        <v>0</v>
      </c>
    </row>
    <row r="1894" spans="1:10" ht="15.75" hidden="1" thickBot="1" x14ac:dyDescent="0.3">
      <c r="A1894" s="176"/>
      <c r="B1894" s="175"/>
      <c r="C1894" s="32"/>
      <c r="D1894" s="32"/>
      <c r="E1894" s="33"/>
      <c r="F1894" s="43" t="s">
        <v>568</v>
      </c>
      <c r="G1894" s="31" t="str">
        <f>IF(ISNUMBER(F1894),E1894*F1894,"")</f>
        <v/>
      </c>
      <c r="H1894" s="35"/>
      <c r="I1894" s="31"/>
      <c r="J1894" s="155">
        <v>0</v>
      </c>
    </row>
    <row r="1895" spans="1:10" ht="15.75" hidden="1" thickBot="1" x14ac:dyDescent="0.3">
      <c r="A1895" s="176"/>
      <c r="B1895" s="175"/>
      <c r="C1895" s="36" t="s">
        <v>52</v>
      </c>
      <c r="D1895" s="47" t="s">
        <v>12</v>
      </c>
      <c r="E1895" s="37">
        <v>2.5</v>
      </c>
      <c r="F1895" s="31">
        <v>17.470500000000001</v>
      </c>
      <c r="G1895" s="34">
        <f>IF(ISNUMBER(F1895),E1895*F1895,"")</f>
        <v>43.676250000000003</v>
      </c>
      <c r="H1895" s="39">
        <f>SUM(G1895:G1897)</f>
        <v>101.34125</v>
      </c>
      <c r="I1895" s="40"/>
      <c r="J1895" s="155">
        <v>0</v>
      </c>
    </row>
    <row r="1896" spans="1:10" ht="26.25" hidden="1" thickBot="1" x14ac:dyDescent="0.3">
      <c r="A1896" s="176"/>
      <c r="B1896" s="175"/>
      <c r="C1896" s="36" t="s">
        <v>619</v>
      </c>
      <c r="D1896" s="47" t="s">
        <v>12</v>
      </c>
      <c r="E1896" s="37">
        <v>2.5</v>
      </c>
      <c r="F1896" s="31">
        <v>23.065999999999999</v>
      </c>
      <c r="G1896" s="34">
        <f>IF(ISNUMBER(F1896),E1896*F1896,"")</f>
        <v>57.664999999999999</v>
      </c>
      <c r="H1896" s="35"/>
      <c r="I1896" s="31"/>
      <c r="J1896" s="155">
        <v>0</v>
      </c>
    </row>
    <row r="1897" spans="1:10" ht="39" hidden="1" thickBot="1" x14ac:dyDescent="0.3">
      <c r="A1897" s="176"/>
      <c r="B1897" s="175"/>
      <c r="C1897" s="36" t="s">
        <v>646</v>
      </c>
      <c r="D1897" s="36" t="s">
        <v>149</v>
      </c>
      <c r="E1897" s="37">
        <v>1</v>
      </c>
      <c r="F1897" s="34" t="s">
        <v>568</v>
      </c>
      <c r="G1897" s="34" t="str">
        <f>IF(ISNUMBER(F1897),E1897*F1897,"")</f>
        <v/>
      </c>
      <c r="H1897" s="35"/>
      <c r="I1897" s="31"/>
      <c r="J1897" s="155">
        <v>0</v>
      </c>
    </row>
    <row r="1898" spans="1:10" ht="15.75" hidden="1" thickBot="1" x14ac:dyDescent="0.3">
      <c r="A1898" s="177"/>
      <c r="B1898" s="178"/>
      <c r="C1898" s="36"/>
      <c r="D1898" s="36"/>
      <c r="E1898" s="37"/>
      <c r="F1898" s="31" t="s">
        <v>568</v>
      </c>
      <c r="G1898" s="31" t="str">
        <f>IF(ISNUMBER(F1898),E1898*F1898,"")</f>
        <v/>
      </c>
      <c r="H1898" s="35"/>
      <c r="I1898" s="31"/>
      <c r="J1898" s="155">
        <v>0</v>
      </c>
    </row>
    <row r="1899" spans="1:10" ht="15.75" hidden="1" thickBot="1" x14ac:dyDescent="0.3">
      <c r="A1899" s="172" t="s">
        <v>647</v>
      </c>
      <c r="B1899" s="174" t="str">
        <f>INDEX(Orçamentária!A:B,MATCH(Composições!A1899,Orçamentária!A:A,0),2)</f>
        <v>Difusor de ar retangular para insuflamento em uma direção 371x208 mm</v>
      </c>
      <c r="C1899" s="41"/>
      <c r="D1899" s="26" t="str">
        <f>TRIM(INDEX(Orçamentária!C:C,MATCH(Composições!A1899,Orçamentária!A:A,0),1))</f>
        <v>un</v>
      </c>
      <c r="E1899" s="27"/>
      <c r="F1899" s="42" t="s">
        <v>568</v>
      </c>
      <c r="G1899" s="28" t="str">
        <f>IF(ISNUMBER(F1899),E1899*F1899,"")</f>
        <v/>
      </c>
      <c r="H1899" s="29"/>
      <c r="I1899" s="30"/>
      <c r="J1899" s="155">
        <v>0</v>
      </c>
    </row>
    <row r="1900" spans="1:10" ht="15.75" hidden="1" thickBot="1" x14ac:dyDescent="0.3">
      <c r="A1900" s="176"/>
      <c r="B1900" s="175"/>
      <c r="C1900" s="32"/>
      <c r="D1900" s="32"/>
      <c r="E1900" s="33"/>
      <c r="F1900" s="43" t="s">
        <v>568</v>
      </c>
      <c r="G1900" s="31" t="str">
        <f>IF(ISNUMBER(F1900),E1900*F1900,"")</f>
        <v/>
      </c>
      <c r="H1900" s="35"/>
      <c r="I1900" s="31"/>
      <c r="J1900" s="155">
        <v>0</v>
      </c>
    </row>
    <row r="1901" spans="1:10" ht="15.75" hidden="1" thickBot="1" x14ac:dyDescent="0.3">
      <c r="A1901" s="176"/>
      <c r="B1901" s="175"/>
      <c r="C1901" s="36" t="s">
        <v>52</v>
      </c>
      <c r="D1901" s="47" t="s">
        <v>12</v>
      </c>
      <c r="E1901" s="37">
        <v>2.5</v>
      </c>
      <c r="F1901" s="31">
        <v>17.470500000000001</v>
      </c>
      <c r="G1901" s="31">
        <f>IF(ISNUMBER(F1901),E1901*F1901,"")</f>
        <v>43.676250000000003</v>
      </c>
      <c r="H1901" s="39">
        <f>SUM(G1901:G1903)</f>
        <v>101.34125</v>
      </c>
      <c r="I1901" s="40"/>
      <c r="J1901" s="155">
        <v>0</v>
      </c>
    </row>
    <row r="1902" spans="1:10" ht="26.25" hidden="1" thickBot="1" x14ac:dyDescent="0.3">
      <c r="A1902" s="176"/>
      <c r="B1902" s="175"/>
      <c r="C1902" s="36" t="s">
        <v>619</v>
      </c>
      <c r="D1902" s="47" t="s">
        <v>12</v>
      </c>
      <c r="E1902" s="37">
        <v>2.5</v>
      </c>
      <c r="F1902" s="31">
        <v>23.065999999999999</v>
      </c>
      <c r="G1902" s="31">
        <f>IF(ISNUMBER(F1902),E1902*F1902,"")</f>
        <v>57.664999999999999</v>
      </c>
      <c r="H1902" s="35"/>
      <c r="I1902" s="31"/>
      <c r="J1902" s="155">
        <v>0</v>
      </c>
    </row>
    <row r="1903" spans="1:10" ht="39" hidden="1" thickBot="1" x14ac:dyDescent="0.3">
      <c r="A1903" s="176"/>
      <c r="B1903" s="175"/>
      <c r="C1903" s="36" t="s">
        <v>648</v>
      </c>
      <c r="D1903" s="36" t="s">
        <v>149</v>
      </c>
      <c r="E1903" s="37">
        <v>1</v>
      </c>
      <c r="F1903" s="34" t="s">
        <v>568</v>
      </c>
      <c r="G1903" s="31" t="str">
        <f>IF(ISNUMBER(F1903),E1903*F1903,"")</f>
        <v/>
      </c>
      <c r="H1903" s="35"/>
      <c r="I1903" s="31"/>
      <c r="J1903" s="155">
        <v>0</v>
      </c>
    </row>
    <row r="1904" spans="1:10" ht="15.75" hidden="1" thickBot="1" x14ac:dyDescent="0.3">
      <c r="A1904" s="177"/>
      <c r="B1904" s="178"/>
      <c r="C1904" s="36"/>
      <c r="D1904" s="36"/>
      <c r="E1904" s="37"/>
      <c r="F1904" s="31" t="s">
        <v>568</v>
      </c>
      <c r="G1904" s="31" t="str">
        <f>IF(ISNUMBER(F1904),E1904*F1904,"")</f>
        <v/>
      </c>
      <c r="H1904" s="35"/>
      <c r="I1904" s="31"/>
      <c r="J1904" s="155">
        <v>0</v>
      </c>
    </row>
    <row r="1905" spans="1:10" ht="15.75" hidden="1" thickBot="1" x14ac:dyDescent="0.3">
      <c r="A1905" s="172" t="s">
        <v>649</v>
      </c>
      <c r="B1905" s="174" t="str">
        <f>INDEX(Orçamentária!A:B,MATCH(Composições!A1905,Orçamentária!A:A,0),2)</f>
        <v>Grelha para retorno retangular 425x225 mm</v>
      </c>
      <c r="C1905" s="41"/>
      <c r="D1905" s="26" t="str">
        <f>TRIM(INDEX(Orçamentária!C:C,MATCH(Composições!A1905,Orçamentária!A:A,0),1))</f>
        <v>un</v>
      </c>
      <c r="E1905" s="27"/>
      <c r="F1905" s="42" t="s">
        <v>568</v>
      </c>
      <c r="G1905" s="28" t="str">
        <f>IF(ISNUMBER(F1905),E1905*F1905,"")</f>
        <v/>
      </c>
      <c r="H1905" s="29"/>
      <c r="I1905" s="30"/>
      <c r="J1905" s="155">
        <v>0</v>
      </c>
    </row>
    <row r="1906" spans="1:10" ht="15.75" hidden="1" thickBot="1" x14ac:dyDescent="0.3">
      <c r="A1906" s="176"/>
      <c r="B1906" s="175"/>
      <c r="C1906" s="32"/>
      <c r="D1906" s="32"/>
      <c r="E1906" s="33"/>
      <c r="F1906" s="43" t="s">
        <v>568</v>
      </c>
      <c r="G1906" s="31" t="str">
        <f>IF(ISNUMBER(F1906),E1906*F1906,"")</f>
        <v/>
      </c>
      <c r="H1906" s="35"/>
      <c r="I1906" s="31"/>
      <c r="J1906" s="155">
        <v>0</v>
      </c>
    </row>
    <row r="1907" spans="1:10" ht="15.75" hidden="1" thickBot="1" x14ac:dyDescent="0.3">
      <c r="A1907" s="176"/>
      <c r="B1907" s="175"/>
      <c r="C1907" s="36" t="s">
        <v>52</v>
      </c>
      <c r="D1907" s="47" t="s">
        <v>12</v>
      </c>
      <c r="E1907" s="37">
        <v>3.5</v>
      </c>
      <c r="F1907" s="31">
        <v>17.470500000000001</v>
      </c>
      <c r="G1907" s="34">
        <f>IF(ISNUMBER(F1907),E1907*F1907,"")</f>
        <v>61.146750000000004</v>
      </c>
      <c r="H1907" s="39">
        <f>SUM(G1907:G1909)</f>
        <v>141.87774999999999</v>
      </c>
      <c r="I1907" s="40"/>
      <c r="J1907" s="155">
        <v>0</v>
      </c>
    </row>
    <row r="1908" spans="1:10" ht="26.25" hidden="1" thickBot="1" x14ac:dyDescent="0.3">
      <c r="A1908" s="176"/>
      <c r="B1908" s="175"/>
      <c r="C1908" s="36" t="s">
        <v>619</v>
      </c>
      <c r="D1908" s="47" t="s">
        <v>12</v>
      </c>
      <c r="E1908" s="37">
        <v>3.5</v>
      </c>
      <c r="F1908" s="31">
        <v>23.065999999999999</v>
      </c>
      <c r="G1908" s="34">
        <f>IF(ISNUMBER(F1908),E1908*F1908,"")</f>
        <v>80.730999999999995</v>
      </c>
      <c r="H1908" s="35"/>
      <c r="I1908" s="31"/>
      <c r="J1908" s="155">
        <v>0</v>
      </c>
    </row>
    <row r="1909" spans="1:10" ht="15.75" hidden="1" thickBot="1" x14ac:dyDescent="0.3">
      <c r="A1909" s="176"/>
      <c r="B1909" s="175"/>
      <c r="C1909" s="36" t="s">
        <v>650</v>
      </c>
      <c r="D1909" s="36" t="s">
        <v>149</v>
      </c>
      <c r="E1909" s="37">
        <v>1</v>
      </c>
      <c r="F1909" s="34">
        <v>0</v>
      </c>
      <c r="G1909" s="34">
        <f>IF(ISNUMBER(F1909),E1909*F1909,"")</f>
        <v>0</v>
      </c>
      <c r="H1909" s="35"/>
      <c r="I1909" s="31"/>
      <c r="J1909" s="155">
        <v>0</v>
      </c>
    </row>
    <row r="1910" spans="1:10" ht="15.75" hidden="1" thickBot="1" x14ac:dyDescent="0.3">
      <c r="A1910" s="177"/>
      <c r="B1910" s="178"/>
      <c r="C1910" s="36"/>
      <c r="D1910" s="36"/>
      <c r="E1910" s="37"/>
      <c r="F1910" s="31" t="s">
        <v>568</v>
      </c>
      <c r="G1910" s="31" t="str">
        <f>IF(ISNUMBER(F1910),E1910*F1910,"")</f>
        <v/>
      </c>
      <c r="H1910" s="35"/>
      <c r="I1910" s="31"/>
      <c r="J1910" s="155">
        <v>0</v>
      </c>
    </row>
    <row r="1911" spans="1:10" ht="15.75" hidden="1" thickBot="1" x14ac:dyDescent="0.3">
      <c r="A1911" s="172" t="s">
        <v>651</v>
      </c>
      <c r="B1911" s="174" t="str">
        <f>INDEX(Orçamentária!A:B,MATCH(Composições!A1911,Orçamentária!A:A,0),2)</f>
        <v>Grelha para retorno retangular 525x325 mm</v>
      </c>
      <c r="C1911" s="41"/>
      <c r="D1911" s="26" t="str">
        <f>TRIM(INDEX(Orçamentária!C:C,MATCH(Composições!A1911,Orçamentária!A:A,0),1))</f>
        <v>un</v>
      </c>
      <c r="E1911" s="27"/>
      <c r="F1911" s="42" t="s">
        <v>568</v>
      </c>
      <c r="G1911" s="28" t="str">
        <f>IF(ISNUMBER(F1911),E1911*F1911,"")</f>
        <v/>
      </c>
      <c r="H1911" s="29"/>
      <c r="I1911" s="30"/>
      <c r="J1911" s="155">
        <v>0</v>
      </c>
    </row>
    <row r="1912" spans="1:10" ht="15.75" hidden="1" thickBot="1" x14ac:dyDescent="0.3">
      <c r="A1912" s="176"/>
      <c r="B1912" s="175"/>
      <c r="C1912" s="32"/>
      <c r="D1912" s="32"/>
      <c r="E1912" s="33"/>
      <c r="F1912" s="43" t="s">
        <v>568</v>
      </c>
      <c r="G1912" s="31" t="str">
        <f>IF(ISNUMBER(F1912),E1912*F1912,"")</f>
        <v/>
      </c>
      <c r="H1912" s="35"/>
      <c r="I1912" s="31"/>
      <c r="J1912" s="155">
        <v>0</v>
      </c>
    </row>
    <row r="1913" spans="1:10" ht="15.75" hidden="1" thickBot="1" x14ac:dyDescent="0.3">
      <c r="A1913" s="176"/>
      <c r="B1913" s="175"/>
      <c r="C1913" s="36" t="s">
        <v>52</v>
      </c>
      <c r="D1913" s="47" t="s">
        <v>12</v>
      </c>
      <c r="E1913" s="37">
        <v>3.5</v>
      </c>
      <c r="F1913" s="31">
        <v>17.470500000000001</v>
      </c>
      <c r="G1913" s="31">
        <f>IF(ISNUMBER(F1913),E1913*F1913,"")</f>
        <v>61.146750000000004</v>
      </c>
      <c r="H1913" s="39">
        <f>SUM(G1913:G1915)</f>
        <v>141.87774999999999</v>
      </c>
      <c r="I1913" s="40"/>
      <c r="J1913" s="155">
        <v>0</v>
      </c>
    </row>
    <row r="1914" spans="1:10" ht="26.25" hidden="1" thickBot="1" x14ac:dyDescent="0.3">
      <c r="A1914" s="176"/>
      <c r="B1914" s="175"/>
      <c r="C1914" s="36" t="s">
        <v>619</v>
      </c>
      <c r="D1914" s="47" t="s">
        <v>12</v>
      </c>
      <c r="E1914" s="37">
        <v>3.5</v>
      </c>
      <c r="F1914" s="31">
        <v>23.065999999999999</v>
      </c>
      <c r="G1914" s="31">
        <f>IF(ISNUMBER(F1914),E1914*F1914,"")</f>
        <v>80.730999999999995</v>
      </c>
      <c r="H1914" s="35"/>
      <c r="I1914" s="31"/>
      <c r="J1914" s="155">
        <v>0</v>
      </c>
    </row>
    <row r="1915" spans="1:10" ht="15.75" hidden="1" thickBot="1" x14ac:dyDescent="0.3">
      <c r="A1915" s="176"/>
      <c r="B1915" s="175"/>
      <c r="C1915" s="36" t="s">
        <v>652</v>
      </c>
      <c r="D1915" s="36" t="s">
        <v>149</v>
      </c>
      <c r="E1915" s="37">
        <v>1</v>
      </c>
      <c r="F1915" s="31">
        <v>0</v>
      </c>
      <c r="G1915" s="31">
        <f>IF(ISNUMBER(F1915),E1915*F1915,"")</f>
        <v>0</v>
      </c>
      <c r="H1915" s="35"/>
      <c r="I1915" s="31"/>
      <c r="J1915" s="155">
        <v>0</v>
      </c>
    </row>
    <row r="1916" spans="1:10" ht="15.75" hidden="1" thickBot="1" x14ac:dyDescent="0.3">
      <c r="A1916" s="177"/>
      <c r="B1916" s="178"/>
      <c r="C1916" s="36"/>
      <c r="D1916" s="36"/>
      <c r="E1916" s="37"/>
      <c r="F1916" s="31" t="s">
        <v>568</v>
      </c>
      <c r="G1916" s="31" t="str">
        <f>IF(ISNUMBER(F1916),E1916*F1916,"")</f>
        <v/>
      </c>
      <c r="H1916" s="35"/>
      <c r="I1916" s="31"/>
      <c r="J1916" s="155">
        <v>0</v>
      </c>
    </row>
    <row r="1917" spans="1:10" ht="15.75" hidden="1" thickBot="1" x14ac:dyDescent="0.3">
      <c r="A1917" s="172" t="s">
        <v>653</v>
      </c>
      <c r="B1917" s="174" t="str">
        <f>INDEX(Orçamentária!A:B,MATCH(Composições!A1917,Orçamentária!A:A,0),2)</f>
        <v>Instalação de difusores, grelhas e acessórios de climatização reaproveitados</v>
      </c>
      <c r="C1917" s="41"/>
      <c r="D1917" s="26" t="str">
        <f>TRIM(INDEX(Orçamentária!C:C,MATCH(Composições!A1917,Orçamentária!A:A,0),1))</f>
        <v>un</v>
      </c>
      <c r="E1917" s="27"/>
      <c r="F1917" s="42" t="s">
        <v>568</v>
      </c>
      <c r="G1917" s="28" t="str">
        <f>IF(ISNUMBER(F1917),E1917*F1917,"")</f>
        <v/>
      </c>
      <c r="H1917" s="29"/>
      <c r="I1917" s="30"/>
      <c r="J1917" s="155">
        <v>0</v>
      </c>
    </row>
    <row r="1918" spans="1:10" ht="15.75" hidden="1" thickBot="1" x14ac:dyDescent="0.3">
      <c r="A1918" s="176"/>
      <c r="B1918" s="175"/>
      <c r="C1918" s="32"/>
      <c r="D1918" s="32"/>
      <c r="E1918" s="33"/>
      <c r="F1918" s="43" t="s">
        <v>568</v>
      </c>
      <c r="G1918" s="31" t="str">
        <f>IF(ISNUMBER(F1918),E1918*F1918,"")</f>
        <v/>
      </c>
      <c r="H1918" s="35"/>
      <c r="I1918" s="31"/>
      <c r="J1918" s="155">
        <v>0</v>
      </c>
    </row>
    <row r="1919" spans="1:10" ht="15.75" hidden="1" thickBot="1" x14ac:dyDescent="0.3">
      <c r="A1919" s="176"/>
      <c r="B1919" s="175"/>
      <c r="C1919" s="36" t="s">
        <v>52</v>
      </c>
      <c r="D1919" s="47" t="s">
        <v>12</v>
      </c>
      <c r="E1919" s="37">
        <v>2.5</v>
      </c>
      <c r="F1919" s="31">
        <v>17.470500000000001</v>
      </c>
      <c r="G1919" s="31">
        <f>IF(ISNUMBER(F1919),E1919*F1919,"")</f>
        <v>43.676250000000003</v>
      </c>
      <c r="H1919" s="39">
        <f>SUM(G1919:G1920)</f>
        <v>101.34125</v>
      </c>
      <c r="I1919" s="40"/>
      <c r="J1919" s="155">
        <v>0</v>
      </c>
    </row>
    <row r="1920" spans="1:10" ht="26.25" hidden="1" thickBot="1" x14ac:dyDescent="0.3">
      <c r="A1920" s="176"/>
      <c r="B1920" s="175"/>
      <c r="C1920" s="36" t="s">
        <v>619</v>
      </c>
      <c r="D1920" s="47" t="s">
        <v>12</v>
      </c>
      <c r="E1920" s="37">
        <v>2.5</v>
      </c>
      <c r="F1920" s="31">
        <v>23.065999999999999</v>
      </c>
      <c r="G1920" s="31">
        <f>IF(ISNUMBER(F1920),E1920*F1920,"")</f>
        <v>57.664999999999999</v>
      </c>
      <c r="H1920" s="35"/>
      <c r="I1920" s="31"/>
      <c r="J1920" s="155">
        <v>0</v>
      </c>
    </row>
    <row r="1921" spans="1:10" ht="15.75" hidden="1" thickBot="1" x14ac:dyDescent="0.3">
      <c r="A1921" s="177"/>
      <c r="B1921" s="178"/>
      <c r="C1921" s="36"/>
      <c r="D1921" s="36"/>
      <c r="E1921" s="37"/>
      <c r="F1921" s="31" t="s">
        <v>568</v>
      </c>
      <c r="G1921" s="31" t="str">
        <f>IF(ISNUMBER(F1921),E1921*F1921,"")</f>
        <v/>
      </c>
      <c r="H1921" s="35"/>
      <c r="I1921" s="31"/>
      <c r="J1921" s="155">
        <v>0</v>
      </c>
    </row>
    <row r="1922" spans="1:10" ht="15.75" hidden="1" thickBot="1" x14ac:dyDescent="0.3">
      <c r="A1922" s="172" t="s">
        <v>654</v>
      </c>
      <c r="B1922" s="174" t="str">
        <f>INDEX(Orçamentária!A:B,MATCH(Composições!A1922,Orçamentária!A:A,0),2)</f>
        <v>Instalação de exaustor reaproveitado</v>
      </c>
      <c r="C1922" s="41"/>
      <c r="D1922" s="26" t="str">
        <f>TRIM(INDEX(Orçamentária!C:C,MATCH(Composições!A1922,Orçamentária!A:A,0),1))</f>
        <v>un</v>
      </c>
      <c r="E1922" s="27"/>
      <c r="F1922" s="42" t="s">
        <v>568</v>
      </c>
      <c r="G1922" s="28" t="str">
        <f>IF(ISNUMBER(F1922),E1922*F1922,"")</f>
        <v/>
      </c>
      <c r="H1922" s="29"/>
      <c r="I1922" s="30"/>
      <c r="J1922" s="155">
        <v>0</v>
      </c>
    </row>
    <row r="1923" spans="1:10" ht="15.75" hidden="1" thickBot="1" x14ac:dyDescent="0.3">
      <c r="A1923" s="176"/>
      <c r="B1923" s="175"/>
      <c r="C1923" s="32"/>
      <c r="D1923" s="32"/>
      <c r="E1923" s="33"/>
      <c r="F1923" s="43" t="s">
        <v>568</v>
      </c>
      <c r="G1923" s="31" t="str">
        <f>IF(ISNUMBER(F1923),E1923*F1923,"")</f>
        <v/>
      </c>
      <c r="H1923" s="35"/>
      <c r="I1923" s="31"/>
      <c r="J1923" s="155">
        <v>0</v>
      </c>
    </row>
    <row r="1924" spans="1:10" ht="15.75" hidden="1" thickBot="1" x14ac:dyDescent="0.3">
      <c r="A1924" s="176"/>
      <c r="B1924" s="175"/>
      <c r="C1924" s="36" t="s">
        <v>30</v>
      </c>
      <c r="D1924" s="36" t="s">
        <v>12</v>
      </c>
      <c r="E1924" s="37">
        <v>1</v>
      </c>
      <c r="F1924" s="31">
        <v>22.268000000000001</v>
      </c>
      <c r="G1924" s="34">
        <f>IF(ISNUMBER(F1924),E1924*F1924,"")</f>
        <v>22.268000000000001</v>
      </c>
      <c r="H1924" s="39">
        <f>SUM(G1924:G1925)</f>
        <v>39.634</v>
      </c>
      <c r="I1924" s="40"/>
      <c r="J1924" s="155">
        <v>0</v>
      </c>
    </row>
    <row r="1925" spans="1:10" ht="15.75" hidden="1" thickBot="1" x14ac:dyDescent="0.3">
      <c r="A1925" s="176"/>
      <c r="B1925" s="175"/>
      <c r="C1925" s="36" t="s">
        <v>74</v>
      </c>
      <c r="D1925" s="47" t="s">
        <v>12</v>
      </c>
      <c r="E1925" s="37">
        <v>1</v>
      </c>
      <c r="F1925" s="31">
        <v>17.366</v>
      </c>
      <c r="G1925" s="34">
        <f>IF(ISNUMBER(F1925),E1925*F1925,"")</f>
        <v>17.366</v>
      </c>
      <c r="H1925" s="35"/>
      <c r="I1925" s="31"/>
      <c r="J1925" s="155">
        <v>0</v>
      </c>
    </row>
    <row r="1926" spans="1:10" ht="15.75" hidden="1" thickBot="1" x14ac:dyDescent="0.3">
      <c r="A1926" s="177"/>
      <c r="B1926" s="178"/>
      <c r="C1926" s="36"/>
      <c r="D1926" s="36"/>
      <c r="E1926" s="37"/>
      <c r="F1926" s="31" t="s">
        <v>568</v>
      </c>
      <c r="G1926" s="31" t="str">
        <f>IF(ISNUMBER(F1926),E1926*F1926,"")</f>
        <v/>
      </c>
      <c r="H1926" s="35"/>
      <c r="I1926" s="31"/>
      <c r="J1926" s="155">
        <v>0</v>
      </c>
    </row>
    <row r="1927" spans="1:10" ht="15.75" hidden="1" thickBot="1" x14ac:dyDescent="0.3">
      <c r="A1927" s="172" t="s">
        <v>655</v>
      </c>
      <c r="B1927" s="174" t="str">
        <f>INDEX(Orçamentária!A:B,MATCH(Composições!A1927,Orçamentária!A:A,0),2)</f>
        <v>Preparação para instalação de difusores/grelhas de ar em portas</v>
      </c>
      <c r="C1927" s="41"/>
      <c r="D1927" s="26" t="str">
        <f>TRIM(INDEX(Orçamentária!C:C,MATCH(Composições!A1927,Orçamentária!A:A,0),1))</f>
        <v>un</v>
      </c>
      <c r="E1927" s="27"/>
      <c r="F1927" s="42" t="s">
        <v>568</v>
      </c>
      <c r="G1927" s="28" t="str">
        <f>IF(ISNUMBER(F1927),E1927*F1927,"")</f>
        <v/>
      </c>
      <c r="H1927" s="29"/>
      <c r="I1927" s="30"/>
      <c r="J1927" s="155">
        <v>0</v>
      </c>
    </row>
    <row r="1928" spans="1:10" ht="15.75" hidden="1" thickBot="1" x14ac:dyDescent="0.3">
      <c r="A1928" s="176"/>
      <c r="B1928" s="175"/>
      <c r="C1928" s="32"/>
      <c r="D1928" s="32"/>
      <c r="E1928" s="33"/>
      <c r="F1928" s="43" t="s">
        <v>568</v>
      </c>
      <c r="G1928" s="31" t="str">
        <f>IF(ISNUMBER(F1928),E1928*F1928,"")</f>
        <v/>
      </c>
      <c r="H1928" s="35"/>
      <c r="I1928" s="31"/>
      <c r="J1928" s="155">
        <v>0</v>
      </c>
    </row>
    <row r="1929" spans="1:10" ht="15.75" hidden="1" thickBot="1" x14ac:dyDescent="0.3">
      <c r="A1929" s="176"/>
      <c r="B1929" s="175"/>
      <c r="C1929" s="36" t="s">
        <v>656</v>
      </c>
      <c r="D1929" s="36" t="s">
        <v>12</v>
      </c>
      <c r="E1929" s="37">
        <v>0.75</v>
      </c>
      <c r="F1929" s="31">
        <v>22.268000000000001</v>
      </c>
      <c r="G1929" s="34">
        <f>IF(ISNUMBER(F1929),E1929*F1929,"")</f>
        <v>16.701000000000001</v>
      </c>
      <c r="H1929" s="39">
        <f>SUM(G1929:G1930)</f>
        <v>30.552</v>
      </c>
      <c r="I1929" s="40"/>
      <c r="J1929" s="155">
        <v>0</v>
      </c>
    </row>
    <row r="1930" spans="1:10" ht="15.75" hidden="1" thickBot="1" x14ac:dyDescent="0.3">
      <c r="A1930" s="176"/>
      <c r="B1930" s="175"/>
      <c r="C1930" s="36" t="s">
        <v>131</v>
      </c>
      <c r="D1930" s="47" t="s">
        <v>12</v>
      </c>
      <c r="E1930" s="37">
        <v>0.75</v>
      </c>
      <c r="F1930" s="31">
        <v>18.468</v>
      </c>
      <c r="G1930" s="34">
        <f>IF(ISNUMBER(F1930),E1930*F1930,"")</f>
        <v>13.850999999999999</v>
      </c>
      <c r="H1930" s="35"/>
      <c r="I1930" s="31"/>
      <c r="J1930" s="155">
        <v>0</v>
      </c>
    </row>
    <row r="1931" spans="1:10" ht="15.75" hidden="1" thickBot="1" x14ac:dyDescent="0.3">
      <c r="A1931" s="177"/>
      <c r="B1931" s="178"/>
      <c r="C1931" s="36"/>
      <c r="D1931" s="36"/>
      <c r="E1931" s="37"/>
      <c r="F1931" s="31" t="s">
        <v>568</v>
      </c>
      <c r="G1931" s="31" t="str">
        <f>IF(ISNUMBER(F1931),E1931*F1931,"")</f>
        <v/>
      </c>
      <c r="H1931" s="35"/>
      <c r="I1931" s="31"/>
      <c r="J1931" s="155">
        <v>0</v>
      </c>
    </row>
    <row r="1932" spans="1:10" ht="15.75" hidden="1" thickBot="1" x14ac:dyDescent="0.3">
      <c r="A1932" s="172" t="s">
        <v>657</v>
      </c>
      <c r="B1932" s="174" t="str">
        <f>INDEX(Orçamentária!A:B,MATCH(Composições!A1932,Orçamentária!A:A,0),2)</f>
        <v>Bomba para condensado de ar-condicionado para instalação oculta</v>
      </c>
      <c r="C1932" s="41"/>
      <c r="D1932" s="26" t="str">
        <f>TRIM(INDEX(Orçamentária!C:C,MATCH(Composições!A1932,Orçamentária!A:A,0),1))</f>
        <v>un</v>
      </c>
      <c r="E1932" s="27"/>
      <c r="F1932" s="42" t="s">
        <v>568</v>
      </c>
      <c r="G1932" s="28" t="str">
        <f>IF(ISNUMBER(F1932),E1932*F1932,"")</f>
        <v/>
      </c>
      <c r="H1932" s="29"/>
      <c r="I1932" s="30"/>
      <c r="J1932" s="155">
        <v>0</v>
      </c>
    </row>
    <row r="1933" spans="1:10" ht="15.75" hidden="1" thickBot="1" x14ac:dyDescent="0.3">
      <c r="A1933" s="176"/>
      <c r="B1933" s="175"/>
      <c r="C1933" s="32"/>
      <c r="D1933" s="32"/>
      <c r="E1933" s="33"/>
      <c r="F1933" s="43" t="s">
        <v>568</v>
      </c>
      <c r="G1933" s="31" t="str">
        <f>IF(ISNUMBER(F1933),E1933*F1933,"")</f>
        <v/>
      </c>
      <c r="H1933" s="35"/>
      <c r="I1933" s="31"/>
      <c r="J1933" s="155">
        <v>0</v>
      </c>
    </row>
    <row r="1934" spans="1:10" ht="15.75" hidden="1" thickBot="1" x14ac:dyDescent="0.3">
      <c r="A1934" s="176"/>
      <c r="B1934" s="175"/>
      <c r="C1934" s="36" t="s">
        <v>74</v>
      </c>
      <c r="D1934" s="36" t="s">
        <v>12</v>
      </c>
      <c r="E1934" s="37">
        <v>1</v>
      </c>
      <c r="F1934" s="31">
        <v>17.366</v>
      </c>
      <c r="G1934" s="34">
        <f>IF(ISNUMBER(F1934),E1934*F1934,"")</f>
        <v>17.366</v>
      </c>
      <c r="H1934" s="39">
        <f>SUM(G1934:G1936)</f>
        <v>39.634</v>
      </c>
      <c r="I1934" s="40"/>
      <c r="J1934" s="155">
        <v>0</v>
      </c>
    </row>
    <row r="1935" spans="1:10" ht="15.75" hidden="1" thickBot="1" x14ac:dyDescent="0.3">
      <c r="A1935" s="176"/>
      <c r="B1935" s="175"/>
      <c r="C1935" s="36" t="s">
        <v>30</v>
      </c>
      <c r="D1935" s="36" t="s">
        <v>12</v>
      </c>
      <c r="E1935" s="37">
        <v>1</v>
      </c>
      <c r="F1935" s="31">
        <v>22.268000000000001</v>
      </c>
      <c r="G1935" s="34">
        <f>IF(ISNUMBER(F1935),E1935*F1935,"")</f>
        <v>22.268000000000001</v>
      </c>
      <c r="H1935" s="35"/>
      <c r="I1935" s="31"/>
      <c r="J1935" s="155">
        <v>0</v>
      </c>
    </row>
    <row r="1936" spans="1:10" ht="26.25" hidden="1" thickBot="1" x14ac:dyDescent="0.3">
      <c r="A1936" s="176"/>
      <c r="B1936" s="175"/>
      <c r="C1936" s="36" t="s">
        <v>658</v>
      </c>
      <c r="D1936" s="36" t="s">
        <v>20</v>
      </c>
      <c r="E1936" s="37">
        <v>1</v>
      </c>
      <c r="F1936" s="34" t="s">
        <v>568</v>
      </c>
      <c r="G1936" s="31" t="str">
        <f>IF(ISNUMBER(F1936),E1936*F1936,"")</f>
        <v/>
      </c>
      <c r="H1936" s="35"/>
      <c r="I1936" s="31"/>
      <c r="J1936" s="155">
        <v>0</v>
      </c>
    </row>
    <row r="1937" spans="1:10" ht="15.75" hidden="1" thickBot="1" x14ac:dyDescent="0.3">
      <c r="A1937" s="177"/>
      <c r="B1937" s="178"/>
      <c r="C1937" s="36"/>
      <c r="D1937" s="36"/>
      <c r="E1937" s="37"/>
      <c r="F1937" s="31" t="s">
        <v>568</v>
      </c>
      <c r="G1937" s="31" t="str">
        <f>IF(ISNUMBER(F1937),E1937*F1937,"")</f>
        <v/>
      </c>
      <c r="H1937" s="35"/>
      <c r="I1937" s="31"/>
      <c r="J1937" s="155">
        <v>0</v>
      </c>
    </row>
    <row r="1938" spans="1:10" ht="15.75" hidden="1" thickBot="1" x14ac:dyDescent="0.3">
      <c r="A1938" s="172" t="s">
        <v>659</v>
      </c>
      <c r="B1938" s="174" t="str">
        <f>INDEX(Orçamentária!A:B,MATCH(Composições!A1938,Orçamentária!A:A,0),2)</f>
        <v>Fita aluminizada para refrigeração 48 mm</v>
      </c>
      <c r="C1938" s="41"/>
      <c r="D1938" s="26" t="str">
        <f>TRIM(INDEX(Orçamentária!C:C,MATCH(Composições!A1938,Orçamentária!A:A,0),1))</f>
        <v>m</v>
      </c>
      <c r="E1938" s="27"/>
      <c r="F1938" s="42" t="s">
        <v>568</v>
      </c>
      <c r="G1938" s="28" t="str">
        <f>IF(ISNUMBER(F1938),E1938*F1938,"")</f>
        <v/>
      </c>
      <c r="H1938" s="29"/>
      <c r="I1938" s="30"/>
      <c r="J1938" s="155">
        <v>0</v>
      </c>
    </row>
    <row r="1939" spans="1:10" ht="15.75" hidden="1" thickBot="1" x14ac:dyDescent="0.3">
      <c r="A1939" s="176"/>
      <c r="B1939" s="175"/>
      <c r="C1939" s="32"/>
      <c r="D1939" s="32"/>
      <c r="E1939" s="33"/>
      <c r="F1939" s="43" t="s">
        <v>568</v>
      </c>
      <c r="G1939" s="31" t="str">
        <f>IF(ISNUMBER(F1939),E1939*F1939,"")</f>
        <v/>
      </c>
      <c r="H1939" s="35"/>
      <c r="I1939" s="31"/>
      <c r="J1939" s="155">
        <v>0</v>
      </c>
    </row>
    <row r="1940" spans="1:10" ht="15.75" hidden="1" thickBot="1" x14ac:dyDescent="0.3">
      <c r="A1940" s="176"/>
      <c r="B1940" s="175"/>
      <c r="C1940" s="36" t="s">
        <v>52</v>
      </c>
      <c r="D1940" s="47" t="s">
        <v>12</v>
      </c>
      <c r="E1940" s="37">
        <v>0.05</v>
      </c>
      <c r="F1940" s="31">
        <v>17.470500000000001</v>
      </c>
      <c r="G1940" s="31">
        <f>IF(ISNUMBER(F1940),E1940*F1940,"")</f>
        <v>0.87352500000000011</v>
      </c>
      <c r="H1940" s="39">
        <f>SUM(G1940:G1941)</f>
        <v>0.87352500000000011</v>
      </c>
      <c r="I1940" s="40"/>
      <c r="J1940" s="155">
        <v>0</v>
      </c>
    </row>
    <row r="1941" spans="1:10" ht="15.75" hidden="1" thickBot="1" x14ac:dyDescent="0.3">
      <c r="A1941" s="176"/>
      <c r="B1941" s="175"/>
      <c r="C1941" s="36" t="s">
        <v>660</v>
      </c>
      <c r="D1941" s="47" t="s">
        <v>93</v>
      </c>
      <c r="E1941" s="37">
        <v>1</v>
      </c>
      <c r="F1941" s="31" t="s">
        <v>568</v>
      </c>
      <c r="G1941" s="31" t="str">
        <f>IF(ISNUMBER(F1941),E1941*F1941,"")</f>
        <v/>
      </c>
      <c r="H1941" s="35"/>
      <c r="I1941" s="31"/>
      <c r="J1941" s="155">
        <v>0</v>
      </c>
    </row>
    <row r="1942" spans="1:10" ht="15.75" hidden="1" thickBot="1" x14ac:dyDescent="0.3">
      <c r="A1942" s="177"/>
      <c r="B1942" s="178"/>
      <c r="C1942" s="36"/>
      <c r="D1942" s="36"/>
      <c r="E1942" s="37"/>
      <c r="F1942" s="31" t="s">
        <v>568</v>
      </c>
      <c r="G1942" s="31" t="str">
        <f>IF(ISNUMBER(F1942),E1942*F1942,"")</f>
        <v/>
      </c>
      <c r="H1942" s="35"/>
      <c r="I1942" s="31"/>
      <c r="J1942" s="155">
        <v>0</v>
      </c>
    </row>
    <row r="1943" spans="1:10" ht="15.75" thickBot="1" x14ac:dyDescent="0.3">
      <c r="A1943" s="172" t="s">
        <v>661</v>
      </c>
      <c r="B1943" s="174" t="str">
        <f>INDEX(Orçamentária!A:B,MATCH(Composições!A1943,Orçamentária!A:A,0),2)</f>
        <v>Fita PVC 100 mm para acabamento em refrigeração</v>
      </c>
      <c r="C1943" s="41"/>
      <c r="D1943" s="26" t="str">
        <f>TRIM(INDEX(Orçamentária!C:C,MATCH(Composições!A1943,Orçamentária!A:A,0),1))</f>
        <v>m</v>
      </c>
      <c r="E1943" s="27"/>
      <c r="F1943" s="42" t="s">
        <v>568</v>
      </c>
      <c r="G1943" s="28" t="str">
        <f>IF(ISNUMBER(F1943),E1943*F1943,"")</f>
        <v/>
      </c>
      <c r="H1943" s="29"/>
      <c r="I1943" s="30"/>
      <c r="J1943" s="155">
        <v>68</v>
      </c>
    </row>
    <row r="1944" spans="1:10" x14ac:dyDescent="0.25">
      <c r="A1944" s="176"/>
      <c r="B1944" s="175"/>
      <c r="C1944" s="32"/>
      <c r="D1944" s="32"/>
      <c r="E1944" s="33"/>
      <c r="F1944" s="43" t="s">
        <v>568</v>
      </c>
      <c r="G1944" s="31" t="str">
        <f>IF(ISNUMBER(F1944),E1944*F1944,"")</f>
        <v/>
      </c>
      <c r="H1944" s="35"/>
      <c r="I1944" s="31"/>
      <c r="J1944" s="155">
        <v>68</v>
      </c>
    </row>
    <row r="1945" spans="1:10" x14ac:dyDescent="0.25">
      <c r="A1945" s="176"/>
      <c r="B1945" s="175"/>
      <c r="C1945" s="36" t="s">
        <v>52</v>
      </c>
      <c r="D1945" s="47" t="s">
        <v>12</v>
      </c>
      <c r="E1945" s="37">
        <v>0.05</v>
      </c>
      <c r="F1945" s="31">
        <v>17.470500000000001</v>
      </c>
      <c r="G1945" s="31">
        <f>IF(ISNUMBER(F1945),E1945*F1945,"")</f>
        <v>0.87352500000000011</v>
      </c>
      <c r="H1945" s="39">
        <f>SUM(G1945:G1946)</f>
        <v>1.3535250000000001</v>
      </c>
      <c r="I1945" s="40"/>
      <c r="J1945" s="155">
        <v>68</v>
      </c>
    </row>
    <row r="1946" spans="1:10" x14ac:dyDescent="0.25">
      <c r="A1946" s="176"/>
      <c r="B1946" s="175"/>
      <c r="C1946" s="36" t="s">
        <v>662</v>
      </c>
      <c r="D1946" s="47" t="s">
        <v>93</v>
      </c>
      <c r="E1946" s="37">
        <v>1</v>
      </c>
      <c r="F1946" s="31">
        <v>0.48</v>
      </c>
      <c r="G1946" s="31">
        <f>IF(ISNUMBER(F1946),E1946*F1946,"")</f>
        <v>0.48</v>
      </c>
      <c r="H1946" s="35"/>
      <c r="I1946" s="31"/>
      <c r="J1946" s="155">
        <v>68</v>
      </c>
    </row>
    <row r="1947" spans="1:10" ht="15.75" thickBot="1" x14ac:dyDescent="0.3">
      <c r="A1947" s="177"/>
      <c r="B1947" s="178"/>
      <c r="C1947" s="36"/>
      <c r="D1947" s="36"/>
      <c r="E1947" s="37"/>
      <c r="F1947" s="31" t="s">
        <v>568</v>
      </c>
      <c r="G1947" s="31" t="str">
        <f>IF(ISNUMBER(F1947),E1947*F1947,"")</f>
        <v/>
      </c>
      <c r="H1947" s="35"/>
      <c r="I1947" s="31"/>
      <c r="J1947" s="155">
        <v>68</v>
      </c>
    </row>
    <row r="1948" spans="1:10" ht="15.75" hidden="1" thickBot="1" x14ac:dyDescent="0.3">
      <c r="A1948" s="172" t="s">
        <v>663</v>
      </c>
      <c r="B1948" s="174" t="str">
        <f>INDEX(Orçamentária!A:B,MATCH(Composições!A1948,Orçamentária!A:A,0),2)</f>
        <v>Mangueira emborrachada 3/4" para água gelada</v>
      </c>
      <c r="C1948" s="41"/>
      <c r="D1948" s="26" t="str">
        <f>TRIM(INDEX(Orçamentária!C:C,MATCH(Composições!A1948,Orçamentária!A:A,0),1))</f>
        <v>m</v>
      </c>
      <c r="E1948" s="27"/>
      <c r="F1948" s="42" t="s">
        <v>568</v>
      </c>
      <c r="G1948" s="28" t="str">
        <f>IF(ISNUMBER(F1948),E1948*F1948,"")</f>
        <v/>
      </c>
      <c r="H1948" s="29"/>
      <c r="I1948" s="30"/>
      <c r="J1948" s="155">
        <v>0</v>
      </c>
    </row>
    <row r="1949" spans="1:10" ht="15.75" hidden="1" thickBot="1" x14ac:dyDescent="0.3">
      <c r="A1949" s="176"/>
      <c r="B1949" s="175"/>
      <c r="C1949" s="32"/>
      <c r="D1949" s="32"/>
      <c r="E1949" s="33"/>
      <c r="F1949" s="43" t="s">
        <v>568</v>
      </c>
      <c r="G1949" s="31" t="str">
        <f>IF(ISNUMBER(F1949),E1949*F1949,"")</f>
        <v/>
      </c>
      <c r="H1949" s="35"/>
      <c r="I1949" s="31"/>
      <c r="J1949" s="155">
        <v>0</v>
      </c>
    </row>
    <row r="1950" spans="1:10" ht="15.75" hidden="1" thickBot="1" x14ac:dyDescent="0.3">
      <c r="A1950" s="176"/>
      <c r="B1950" s="175"/>
      <c r="C1950" s="36" t="s">
        <v>52</v>
      </c>
      <c r="D1950" s="47" t="s">
        <v>12</v>
      </c>
      <c r="E1950" s="37">
        <v>0.05</v>
      </c>
      <c r="F1950" s="31">
        <v>17.470500000000001</v>
      </c>
      <c r="G1950" s="31">
        <f>IF(ISNUMBER(F1950),E1950*F1950,"")</f>
        <v>0.87352500000000011</v>
      </c>
      <c r="H1950" s="39">
        <f>SUM(G1950:G1951)</f>
        <v>0.87352500000000011</v>
      </c>
      <c r="I1950" s="40"/>
      <c r="J1950" s="155">
        <v>0</v>
      </c>
    </row>
    <row r="1951" spans="1:10" ht="15.75" hidden="1" thickBot="1" x14ac:dyDescent="0.3">
      <c r="A1951" s="176"/>
      <c r="B1951" s="175"/>
      <c r="C1951" s="36" t="s">
        <v>664</v>
      </c>
      <c r="D1951" s="47" t="s">
        <v>93</v>
      </c>
      <c r="E1951" s="37">
        <v>1</v>
      </c>
      <c r="F1951" s="31" t="s">
        <v>568</v>
      </c>
      <c r="G1951" s="31" t="str">
        <f>IF(ISNUMBER(F1951),E1951*F1951,"")</f>
        <v/>
      </c>
      <c r="H1951" s="35"/>
      <c r="I1951" s="31"/>
      <c r="J1951" s="155">
        <v>0</v>
      </c>
    </row>
    <row r="1952" spans="1:10" ht="15.75" hidden="1" thickBot="1" x14ac:dyDescent="0.3">
      <c r="A1952" s="177"/>
      <c r="B1952" s="178"/>
      <c r="C1952" s="36"/>
      <c r="D1952" s="36"/>
      <c r="E1952" s="37"/>
      <c r="F1952" s="31" t="s">
        <v>568</v>
      </c>
      <c r="G1952" s="31" t="str">
        <f>IF(ISNUMBER(F1952),E1952*F1952,"")</f>
        <v/>
      </c>
      <c r="H1952" s="35"/>
      <c r="I1952" s="31"/>
      <c r="J1952" s="155">
        <v>0</v>
      </c>
    </row>
    <row r="1953" spans="1:10" ht="15.75" thickBot="1" x14ac:dyDescent="0.3">
      <c r="A1953" s="172" t="s">
        <v>665</v>
      </c>
      <c r="B1953" s="174" t="str">
        <f>INDEX(Orçamentária!A:B,MATCH(Composições!A1953,Orçamentária!A:A,0),2)</f>
        <v>Suporte para unidade condensadora de aparelho split</v>
      </c>
      <c r="C1953" s="41"/>
      <c r="D1953" s="26" t="str">
        <f>TRIM(INDEX(Orçamentária!C:C,MATCH(Composições!A1953,Orçamentária!A:A,0),1))</f>
        <v>un</v>
      </c>
      <c r="E1953" s="27"/>
      <c r="F1953" s="42" t="s">
        <v>568</v>
      </c>
      <c r="G1953" s="28" t="str">
        <f>IF(ISNUMBER(F1953),E1953*F1953,"")</f>
        <v/>
      </c>
      <c r="H1953" s="29"/>
      <c r="I1953" s="30"/>
      <c r="J1953" s="155">
        <v>5</v>
      </c>
    </row>
    <row r="1954" spans="1:10" x14ac:dyDescent="0.25">
      <c r="A1954" s="176"/>
      <c r="B1954" s="175"/>
      <c r="C1954" s="32"/>
      <c r="D1954" s="32"/>
      <c r="E1954" s="33"/>
      <c r="F1954" s="43" t="s">
        <v>568</v>
      </c>
      <c r="G1954" s="31" t="str">
        <f>IF(ISNUMBER(F1954),E1954*F1954,"")</f>
        <v/>
      </c>
      <c r="H1954" s="35"/>
      <c r="I1954" s="31"/>
      <c r="J1954" s="155">
        <v>5</v>
      </c>
    </row>
    <row r="1955" spans="1:10" x14ac:dyDescent="0.25">
      <c r="A1955" s="176"/>
      <c r="B1955" s="175"/>
      <c r="C1955" s="36" t="s">
        <v>666</v>
      </c>
      <c r="D1955" s="47" t="s">
        <v>12</v>
      </c>
      <c r="E1955" s="37">
        <v>0.85099999999999998</v>
      </c>
      <c r="F1955" s="31">
        <v>21.973499999999998</v>
      </c>
      <c r="G1955" s="34">
        <f>IF(ISNUMBER(F1955),E1955*F1955,"")</f>
        <v>18.699448499999999</v>
      </c>
      <c r="H1955" s="39">
        <f>SUM(G1955:G1957)</f>
        <v>80.380646499999997</v>
      </c>
      <c r="I1955" s="40"/>
      <c r="J1955" s="155">
        <v>5</v>
      </c>
    </row>
    <row r="1956" spans="1:10" x14ac:dyDescent="0.25">
      <c r="A1956" s="176"/>
      <c r="B1956" s="175"/>
      <c r="C1956" s="36" t="s">
        <v>667</v>
      </c>
      <c r="D1956" s="47" t="s">
        <v>12</v>
      </c>
      <c r="E1956" s="37">
        <v>0.85099999999999998</v>
      </c>
      <c r="F1956" s="31">
        <v>17.898</v>
      </c>
      <c r="G1956" s="34">
        <f>IF(ISNUMBER(F1956),E1956*F1956,"")</f>
        <v>15.231197999999999</v>
      </c>
      <c r="H1956" s="35"/>
      <c r="I1956" s="31"/>
      <c r="J1956" s="155">
        <v>5</v>
      </c>
    </row>
    <row r="1957" spans="1:10" x14ac:dyDescent="0.25">
      <c r="A1957" s="176"/>
      <c r="B1957" s="175"/>
      <c r="C1957" s="36" t="s">
        <v>668</v>
      </c>
      <c r="D1957" s="36" t="s">
        <v>149</v>
      </c>
      <c r="E1957" s="37">
        <v>1</v>
      </c>
      <c r="F1957" s="34">
        <v>46.45</v>
      </c>
      <c r="G1957" s="34">
        <f>IF(ISNUMBER(F1957),E1957*F1957,"")</f>
        <v>46.45</v>
      </c>
      <c r="H1957" s="35"/>
      <c r="I1957" s="31"/>
      <c r="J1957" s="155">
        <v>5</v>
      </c>
    </row>
    <row r="1958" spans="1:10" ht="15.75" thickBot="1" x14ac:dyDescent="0.3">
      <c r="A1958" s="177"/>
      <c r="B1958" s="178"/>
      <c r="C1958" s="36"/>
      <c r="D1958" s="36"/>
      <c r="E1958" s="37"/>
      <c r="F1958" s="31" t="s">
        <v>568</v>
      </c>
      <c r="G1958" s="31" t="str">
        <f>IF(ISNUMBER(F1958),E1958*F1958,"")</f>
        <v/>
      </c>
      <c r="H1958" s="35"/>
      <c r="I1958" s="31"/>
      <c r="J1958" s="155">
        <v>5</v>
      </c>
    </row>
    <row r="1959" spans="1:10" ht="15.75" thickBot="1" x14ac:dyDescent="0.3">
      <c r="A1959" s="172" t="s">
        <v>669</v>
      </c>
      <c r="B1959" s="174" t="str">
        <f>INDEX(Orçamentária!A:B,MATCH(Composições!A1959,Orçamentária!A:A,0),2)</f>
        <v>Suporte para unidade evaporadora de aparelho split ou fancolete</v>
      </c>
      <c r="C1959" s="41"/>
      <c r="D1959" s="26" t="str">
        <f>TRIM(INDEX(Orçamentária!C:C,MATCH(Composições!A1959,Orçamentária!A:A,0),1))</f>
        <v>un</v>
      </c>
      <c r="E1959" s="27"/>
      <c r="F1959" s="42" t="s">
        <v>568</v>
      </c>
      <c r="G1959" s="28" t="str">
        <f>IF(ISNUMBER(F1959),E1959*F1959,"")</f>
        <v/>
      </c>
      <c r="H1959" s="29"/>
      <c r="I1959" s="30"/>
      <c r="J1959" s="155">
        <v>5</v>
      </c>
    </row>
    <row r="1960" spans="1:10" x14ac:dyDescent="0.25">
      <c r="A1960" s="176"/>
      <c r="B1960" s="175"/>
      <c r="C1960" s="32"/>
      <c r="D1960" s="32"/>
      <c r="E1960" s="33"/>
      <c r="F1960" s="43" t="s">
        <v>568</v>
      </c>
      <c r="G1960" s="31" t="str">
        <f>IF(ISNUMBER(F1960),E1960*F1960,"")</f>
        <v/>
      </c>
      <c r="H1960" s="35"/>
      <c r="I1960" s="31"/>
      <c r="J1960" s="155">
        <v>5</v>
      </c>
    </row>
    <row r="1961" spans="1:10" x14ac:dyDescent="0.25">
      <c r="A1961" s="176"/>
      <c r="B1961" s="175"/>
      <c r="C1961" s="36" t="s">
        <v>666</v>
      </c>
      <c r="D1961" s="47" t="s">
        <v>12</v>
      </c>
      <c r="E1961" s="37">
        <v>0.85099999999999998</v>
      </c>
      <c r="F1961" s="31">
        <v>21.973499999999998</v>
      </c>
      <c r="G1961" s="34">
        <f>IF(ISNUMBER(F1961),E1961*F1961,"")</f>
        <v>18.699448499999999</v>
      </c>
      <c r="H1961" s="39">
        <f>SUM(G1961:G1963)</f>
        <v>100.89064649999999</v>
      </c>
      <c r="I1961" s="40"/>
      <c r="J1961" s="155">
        <v>5</v>
      </c>
    </row>
    <row r="1962" spans="1:10" x14ac:dyDescent="0.25">
      <c r="A1962" s="176"/>
      <c r="B1962" s="175"/>
      <c r="C1962" s="36" t="s">
        <v>667</v>
      </c>
      <c r="D1962" s="47" t="s">
        <v>12</v>
      </c>
      <c r="E1962" s="37">
        <v>0.85099999999999998</v>
      </c>
      <c r="F1962" s="31">
        <v>17.898</v>
      </c>
      <c r="G1962" s="34">
        <f>IF(ISNUMBER(F1962),E1962*F1962,"")</f>
        <v>15.231197999999999</v>
      </c>
      <c r="H1962" s="35"/>
      <c r="I1962" s="31"/>
      <c r="J1962" s="155">
        <v>5</v>
      </c>
    </row>
    <row r="1963" spans="1:10" x14ac:dyDescent="0.25">
      <c r="A1963" s="176"/>
      <c r="B1963" s="175"/>
      <c r="C1963" s="36" t="s">
        <v>670</v>
      </c>
      <c r="D1963" s="36" t="s">
        <v>149</v>
      </c>
      <c r="E1963" s="37">
        <v>1</v>
      </c>
      <c r="F1963" s="34">
        <v>66.959999999999994</v>
      </c>
      <c r="G1963" s="34">
        <f>IF(ISNUMBER(F1963),E1963*F1963,"")</f>
        <v>66.959999999999994</v>
      </c>
      <c r="H1963" s="35"/>
      <c r="I1963" s="31"/>
      <c r="J1963" s="155">
        <v>5</v>
      </c>
    </row>
    <row r="1964" spans="1:10" ht="15.75" thickBot="1" x14ac:dyDescent="0.3">
      <c r="A1964" s="177"/>
      <c r="B1964" s="178"/>
      <c r="C1964" s="36"/>
      <c r="D1964" s="36"/>
      <c r="E1964" s="37"/>
      <c r="F1964" s="31" t="s">
        <v>568</v>
      </c>
      <c r="G1964" s="31" t="str">
        <f>IF(ISNUMBER(F1964),E1964*F1964,"")</f>
        <v/>
      </c>
      <c r="H1964" s="35"/>
      <c r="I1964" s="31"/>
      <c r="J1964" s="155">
        <v>5</v>
      </c>
    </row>
    <row r="1965" spans="1:10" ht="15.75" hidden="1" thickBot="1" x14ac:dyDescent="0.3">
      <c r="A1965" s="172" t="s">
        <v>671</v>
      </c>
      <c r="B1965" s="174" t="str">
        <f>INDEX(Orçamentária!A:B,MATCH(Composições!A1965,Orçamentária!A:A,0),2)</f>
        <v>Filtro em Y 1"</v>
      </c>
      <c r="C1965" s="41"/>
      <c r="D1965" s="26" t="str">
        <f>TRIM(INDEX(Orçamentária!C:C,MATCH(Composições!A1965,Orçamentária!A:A,0),1))</f>
        <v>un</v>
      </c>
      <c r="E1965" s="27"/>
      <c r="F1965" s="42" t="s">
        <v>568</v>
      </c>
      <c r="G1965" s="28" t="str">
        <f>IF(ISNUMBER(F1965),E1965*F1965,"")</f>
        <v/>
      </c>
      <c r="H1965" s="29"/>
      <c r="I1965" s="30"/>
      <c r="J1965" s="155">
        <v>0</v>
      </c>
    </row>
    <row r="1966" spans="1:10" ht="15.75" hidden="1" thickBot="1" x14ac:dyDescent="0.3">
      <c r="A1966" s="176"/>
      <c r="B1966" s="175"/>
      <c r="C1966" s="32"/>
      <c r="D1966" s="32"/>
      <c r="E1966" s="33"/>
      <c r="F1966" s="43" t="s">
        <v>568</v>
      </c>
      <c r="G1966" s="31" t="str">
        <f>IF(ISNUMBER(F1966),E1966*F1966,"")</f>
        <v/>
      </c>
      <c r="H1966" s="35"/>
      <c r="I1966" s="31"/>
      <c r="J1966" s="155">
        <v>0</v>
      </c>
    </row>
    <row r="1967" spans="1:10" ht="26.25" hidden="1" thickBot="1" x14ac:dyDescent="0.3">
      <c r="A1967" s="176"/>
      <c r="B1967" s="175"/>
      <c r="C1967" s="36" t="s">
        <v>109</v>
      </c>
      <c r="D1967" s="47" t="s">
        <v>12</v>
      </c>
      <c r="E1967" s="37">
        <v>0.77449999999999997</v>
      </c>
      <c r="F1967" s="31">
        <v>16.891000000000002</v>
      </c>
      <c r="G1967" s="31">
        <f>IF(ISNUMBER(F1967),E1967*F1967,"")</f>
        <v>13.082079500000001</v>
      </c>
      <c r="H1967" s="39">
        <f>SUM(G1967:G1970)</f>
        <v>29.958098000000003</v>
      </c>
      <c r="I1967" s="40"/>
      <c r="J1967" s="155">
        <v>0</v>
      </c>
    </row>
    <row r="1968" spans="1:10" ht="15.75" hidden="1" thickBot="1" x14ac:dyDescent="0.3">
      <c r="A1968" s="176"/>
      <c r="B1968" s="175"/>
      <c r="C1968" s="36" t="s">
        <v>39</v>
      </c>
      <c r="D1968" s="47" t="s">
        <v>12</v>
      </c>
      <c r="E1968" s="37">
        <v>0.77449999999999997</v>
      </c>
      <c r="F1968" s="31">
        <v>21.622</v>
      </c>
      <c r="G1968" s="31">
        <f>IF(ISNUMBER(F1968),E1968*F1968,"")</f>
        <v>16.746238999999999</v>
      </c>
      <c r="H1968" s="35"/>
      <c r="I1968" s="31"/>
      <c r="J1968" s="155">
        <v>0</v>
      </c>
    </row>
    <row r="1969" spans="1:10" ht="39" hidden="1" thickBot="1" x14ac:dyDescent="0.3">
      <c r="A1969" s="176"/>
      <c r="B1969" s="175"/>
      <c r="C1969" s="36" t="s">
        <v>672</v>
      </c>
      <c r="D1969" s="36" t="s">
        <v>149</v>
      </c>
      <c r="E1969" s="37">
        <v>1</v>
      </c>
      <c r="F1969" s="34" t="s">
        <v>568</v>
      </c>
      <c r="G1969" s="31" t="str">
        <f>IF(ISNUMBER(F1969),E1969*F1969,"")</f>
        <v/>
      </c>
      <c r="H1969" s="35"/>
      <c r="I1969" s="31"/>
      <c r="J1969" s="155">
        <v>0</v>
      </c>
    </row>
    <row r="1970" spans="1:10" ht="15.75" hidden="1" thickBot="1" x14ac:dyDescent="0.3">
      <c r="A1970" s="176"/>
      <c r="B1970" s="175"/>
      <c r="C1970" s="36" t="s">
        <v>418</v>
      </c>
      <c r="D1970" s="47" t="s">
        <v>297</v>
      </c>
      <c r="E1970" s="37">
        <v>9.4999999999999998E-3</v>
      </c>
      <c r="F1970" s="34">
        <v>13.661</v>
      </c>
      <c r="G1970" s="31">
        <f>IF(ISNUMBER(F1970),E1970*F1970,"")</f>
        <v>0.12977949999999999</v>
      </c>
      <c r="H1970" s="35"/>
      <c r="I1970" s="31"/>
      <c r="J1970" s="155">
        <v>0</v>
      </c>
    </row>
    <row r="1971" spans="1:10" ht="15.75" hidden="1" thickBot="1" x14ac:dyDescent="0.3">
      <c r="A1971" s="177"/>
      <c r="B1971" s="178"/>
      <c r="C1971" s="36"/>
      <c r="D1971" s="36"/>
      <c r="E1971" s="37"/>
      <c r="F1971" s="31" t="s">
        <v>568</v>
      </c>
      <c r="G1971" s="31" t="str">
        <f>IF(ISNUMBER(F1971),E1971*F1971,"")</f>
        <v/>
      </c>
      <c r="H1971" s="35"/>
      <c r="I1971" s="31"/>
      <c r="J1971" s="155">
        <v>0</v>
      </c>
    </row>
    <row r="1972" spans="1:10" ht="15.75" hidden="1" thickBot="1" x14ac:dyDescent="0.3">
      <c r="A1972" s="172" t="s">
        <v>673</v>
      </c>
      <c r="B1972" s="174" t="str">
        <f>INDEX(Orçamentária!A:B,MATCH(Composições!A1972,Orçamentária!A:A,0),2)</f>
        <v>Filtro em Y 3/4"</v>
      </c>
      <c r="C1972" s="41"/>
      <c r="D1972" s="26" t="str">
        <f>TRIM(INDEX(Orçamentária!C:C,MATCH(Composições!A1972,Orçamentária!A:A,0),1))</f>
        <v>un</v>
      </c>
      <c r="E1972" s="27"/>
      <c r="F1972" s="42" t="s">
        <v>568</v>
      </c>
      <c r="G1972" s="28" t="str">
        <f>IF(ISNUMBER(F1972),E1972*F1972,"")</f>
        <v/>
      </c>
      <c r="H1972" s="29"/>
      <c r="I1972" s="30"/>
      <c r="J1972" s="155">
        <v>0</v>
      </c>
    </row>
    <row r="1973" spans="1:10" ht="15.75" hidden="1" thickBot="1" x14ac:dyDescent="0.3">
      <c r="A1973" s="176"/>
      <c r="B1973" s="175"/>
      <c r="C1973" s="32"/>
      <c r="D1973" s="32"/>
      <c r="E1973" s="33"/>
      <c r="F1973" s="43" t="s">
        <v>568</v>
      </c>
      <c r="G1973" s="31" t="str">
        <f>IF(ISNUMBER(F1973),E1973*F1973,"")</f>
        <v/>
      </c>
      <c r="H1973" s="35"/>
      <c r="I1973" s="31"/>
      <c r="J1973" s="155">
        <v>0</v>
      </c>
    </row>
    <row r="1974" spans="1:10" ht="26.25" hidden="1" thickBot="1" x14ac:dyDescent="0.3">
      <c r="A1974" s="176"/>
      <c r="B1974" s="175"/>
      <c r="C1974" s="36" t="s">
        <v>109</v>
      </c>
      <c r="D1974" s="47" t="s">
        <v>12</v>
      </c>
      <c r="E1974" s="37">
        <v>0.77449999999999997</v>
      </c>
      <c r="F1974" s="31">
        <v>16.891000000000002</v>
      </c>
      <c r="G1974" s="31">
        <f>IF(ISNUMBER(F1974),E1974*F1974,"")</f>
        <v>13.082079500000001</v>
      </c>
      <c r="H1974" s="39">
        <f>SUM(G1974:G1977)</f>
        <v>29.958098000000003</v>
      </c>
      <c r="I1974" s="40"/>
      <c r="J1974" s="155">
        <v>0</v>
      </c>
    </row>
    <row r="1975" spans="1:10" ht="15.75" hidden="1" thickBot="1" x14ac:dyDescent="0.3">
      <c r="A1975" s="176"/>
      <c r="B1975" s="175"/>
      <c r="C1975" s="36" t="s">
        <v>39</v>
      </c>
      <c r="D1975" s="47" t="s">
        <v>12</v>
      </c>
      <c r="E1975" s="37">
        <v>0.77449999999999997</v>
      </c>
      <c r="F1975" s="31">
        <v>21.622</v>
      </c>
      <c r="G1975" s="31">
        <f>IF(ISNUMBER(F1975),E1975*F1975,"")</f>
        <v>16.746238999999999</v>
      </c>
      <c r="H1975" s="35"/>
      <c r="I1975" s="31"/>
      <c r="J1975" s="155">
        <v>0</v>
      </c>
    </row>
    <row r="1976" spans="1:10" ht="39" hidden="1" thickBot="1" x14ac:dyDescent="0.3">
      <c r="A1976" s="176"/>
      <c r="B1976" s="175"/>
      <c r="C1976" s="36" t="s">
        <v>674</v>
      </c>
      <c r="D1976" s="36" t="s">
        <v>149</v>
      </c>
      <c r="E1976" s="37">
        <v>1</v>
      </c>
      <c r="F1976" s="34" t="s">
        <v>568</v>
      </c>
      <c r="G1976" s="31" t="str">
        <f>IF(ISNUMBER(F1976),E1976*F1976,"")</f>
        <v/>
      </c>
      <c r="H1976" s="35"/>
      <c r="I1976" s="31"/>
      <c r="J1976" s="155">
        <v>0</v>
      </c>
    </row>
    <row r="1977" spans="1:10" ht="15.75" hidden="1" thickBot="1" x14ac:dyDescent="0.3">
      <c r="A1977" s="176"/>
      <c r="B1977" s="175"/>
      <c r="C1977" s="36" t="s">
        <v>418</v>
      </c>
      <c r="D1977" s="47" t="s">
        <v>297</v>
      </c>
      <c r="E1977" s="37">
        <v>9.4999999999999998E-3</v>
      </c>
      <c r="F1977" s="34">
        <v>13.661</v>
      </c>
      <c r="G1977" s="31">
        <f>IF(ISNUMBER(F1977),E1977*F1977,"")</f>
        <v>0.12977949999999999</v>
      </c>
      <c r="H1977" s="35"/>
      <c r="I1977" s="31"/>
      <c r="J1977" s="155">
        <v>0</v>
      </c>
    </row>
    <row r="1978" spans="1:10" ht="15.75" hidden="1" thickBot="1" x14ac:dyDescent="0.3">
      <c r="A1978" s="177"/>
      <c r="B1978" s="178"/>
      <c r="C1978" s="36"/>
      <c r="D1978" s="36"/>
      <c r="E1978" s="37"/>
      <c r="F1978" s="31" t="s">
        <v>568</v>
      </c>
      <c r="G1978" s="31" t="str">
        <f>IF(ISNUMBER(F1978),E1978*F1978,"")</f>
        <v/>
      </c>
      <c r="H1978" s="35"/>
      <c r="I1978" s="31"/>
      <c r="J1978" s="155">
        <v>0</v>
      </c>
    </row>
    <row r="1979" spans="1:10" ht="15.75" hidden="1" thickBot="1" x14ac:dyDescent="0.3">
      <c r="A1979" s="172" t="s">
        <v>675</v>
      </c>
      <c r="B1979" s="174" t="str">
        <f>INDEX(Orçamentária!A:B,MATCH(Composições!A1979,Orçamentária!A:A,0),2)</f>
        <v>Válvula de balanceamento e controle independente da pressão (PIBCV) 2 vias 1"</v>
      </c>
      <c r="C1979" s="41"/>
      <c r="D1979" s="26" t="str">
        <f>TRIM(INDEX(Orçamentária!C:C,MATCH(Composições!A1979,Orçamentária!A:A,0),1))</f>
        <v>un</v>
      </c>
      <c r="E1979" s="27"/>
      <c r="F1979" s="42" t="s">
        <v>568</v>
      </c>
      <c r="G1979" s="28" t="str">
        <f>IF(ISNUMBER(F1979),E1979*F1979,"")</f>
        <v/>
      </c>
      <c r="H1979" s="29"/>
      <c r="I1979" s="30"/>
      <c r="J1979" s="155">
        <v>0</v>
      </c>
    </row>
    <row r="1980" spans="1:10" ht="15.75" hidden="1" thickBot="1" x14ac:dyDescent="0.3">
      <c r="A1980" s="176"/>
      <c r="B1980" s="175"/>
      <c r="C1980" s="32"/>
      <c r="D1980" s="32"/>
      <c r="E1980" s="33"/>
      <c r="F1980" s="43" t="s">
        <v>568</v>
      </c>
      <c r="G1980" s="31" t="str">
        <f>IF(ISNUMBER(F1980),E1980*F1980,"")</f>
        <v/>
      </c>
      <c r="H1980" s="35"/>
      <c r="I1980" s="31"/>
      <c r="J1980" s="155">
        <v>0</v>
      </c>
    </row>
    <row r="1981" spans="1:10" ht="26.25" hidden="1" thickBot="1" x14ac:dyDescent="0.3">
      <c r="A1981" s="176"/>
      <c r="B1981" s="175"/>
      <c r="C1981" s="36" t="s">
        <v>109</v>
      </c>
      <c r="D1981" s="47" t="s">
        <v>12</v>
      </c>
      <c r="E1981" s="37">
        <v>0.77449999999999997</v>
      </c>
      <c r="F1981" s="31">
        <v>16.891000000000002</v>
      </c>
      <c r="G1981" s="31">
        <f>IF(ISNUMBER(F1981),E1981*F1981,"")</f>
        <v>13.082079500000001</v>
      </c>
      <c r="H1981" s="39">
        <f>SUM(G1981:G1985)</f>
        <v>29.958098000000003</v>
      </c>
      <c r="I1981" s="40"/>
      <c r="J1981" s="155">
        <v>0</v>
      </c>
    </row>
    <row r="1982" spans="1:10" ht="15.75" hidden="1" thickBot="1" x14ac:dyDescent="0.3">
      <c r="A1982" s="176"/>
      <c r="B1982" s="175"/>
      <c r="C1982" s="36" t="s">
        <v>39</v>
      </c>
      <c r="D1982" s="47" t="s">
        <v>12</v>
      </c>
      <c r="E1982" s="37">
        <v>0.77449999999999997</v>
      </c>
      <c r="F1982" s="31">
        <v>21.622</v>
      </c>
      <c r="G1982" s="31">
        <f>IF(ISNUMBER(F1982),E1982*F1982,"")</f>
        <v>16.746238999999999</v>
      </c>
      <c r="H1982" s="35"/>
      <c r="I1982" s="31"/>
      <c r="J1982" s="155">
        <v>0</v>
      </c>
    </row>
    <row r="1983" spans="1:10" ht="15.75" hidden="1" thickBot="1" x14ac:dyDescent="0.3">
      <c r="A1983" s="176"/>
      <c r="B1983" s="175"/>
      <c r="C1983" s="36" t="s">
        <v>418</v>
      </c>
      <c r="D1983" s="47" t="s">
        <v>297</v>
      </c>
      <c r="E1983" s="37">
        <v>9.4999999999999998E-3</v>
      </c>
      <c r="F1983" s="34">
        <v>13.661</v>
      </c>
      <c r="G1983" s="31">
        <f>IF(ISNUMBER(F1983),E1983*F1983,"")</f>
        <v>0.12977949999999999</v>
      </c>
      <c r="H1983" s="35"/>
      <c r="I1983" s="31"/>
      <c r="J1983" s="155">
        <v>0</v>
      </c>
    </row>
    <row r="1984" spans="1:10" ht="39" hidden="1" thickBot="1" x14ac:dyDescent="0.3">
      <c r="A1984" s="176"/>
      <c r="B1984" s="175"/>
      <c r="C1984" s="36" t="s">
        <v>676</v>
      </c>
      <c r="D1984" s="36" t="s">
        <v>149</v>
      </c>
      <c r="E1984" s="37">
        <v>1</v>
      </c>
      <c r="F1984" s="34" t="s">
        <v>568</v>
      </c>
      <c r="G1984" s="31" t="str">
        <f>IF(ISNUMBER(F1984),E1984*F1984,"")</f>
        <v/>
      </c>
      <c r="H1984" s="35"/>
      <c r="I1984" s="31"/>
      <c r="J1984" s="155">
        <v>0</v>
      </c>
    </row>
    <row r="1985" spans="1:10" ht="39" hidden="1" thickBot="1" x14ac:dyDescent="0.3">
      <c r="A1985" s="176"/>
      <c r="B1985" s="175"/>
      <c r="C1985" s="36" t="s">
        <v>677</v>
      </c>
      <c r="D1985" s="36" t="s">
        <v>149</v>
      </c>
      <c r="E1985" s="37">
        <v>1</v>
      </c>
      <c r="F1985" s="34" t="s">
        <v>568</v>
      </c>
      <c r="G1985" s="31" t="str">
        <f>IF(ISNUMBER(F1985),E1985*F1985,"")</f>
        <v/>
      </c>
      <c r="H1985" s="35"/>
      <c r="I1985" s="31"/>
      <c r="J1985" s="155">
        <v>0</v>
      </c>
    </row>
    <row r="1986" spans="1:10" ht="15.75" hidden="1" thickBot="1" x14ac:dyDescent="0.3">
      <c r="A1986" s="177"/>
      <c r="B1986" s="178"/>
      <c r="C1986" s="36"/>
      <c r="D1986" s="36"/>
      <c r="E1986" s="37"/>
      <c r="F1986" s="31" t="s">
        <v>568</v>
      </c>
      <c r="G1986" s="31" t="str">
        <f>IF(ISNUMBER(F1986),E1986*F1986,"")</f>
        <v/>
      </c>
      <c r="H1986" s="35"/>
      <c r="I1986" s="31"/>
      <c r="J1986" s="155">
        <v>0</v>
      </c>
    </row>
    <row r="1987" spans="1:10" ht="15.75" hidden="1" thickBot="1" x14ac:dyDescent="0.3">
      <c r="A1987" s="172" t="s">
        <v>678</v>
      </c>
      <c r="B1987" s="174" t="str">
        <f>INDEX(Orçamentária!A:B,MATCH(Composições!A1987,Orçamentária!A:A,0),2)</f>
        <v>Válvula de balanceamento e controle independente da pressão (PIBCV) 2 vias 3/4"</v>
      </c>
      <c r="C1987" s="41"/>
      <c r="D1987" s="26" t="str">
        <f>TRIM(INDEX(Orçamentária!C:C,MATCH(Composições!A1987,Orçamentária!A:A,0),1))</f>
        <v>un</v>
      </c>
      <c r="E1987" s="27"/>
      <c r="F1987" s="42" t="s">
        <v>568</v>
      </c>
      <c r="G1987" s="28" t="str">
        <f>IF(ISNUMBER(F1987),E1987*F1987,"")</f>
        <v/>
      </c>
      <c r="H1987" s="29"/>
      <c r="I1987" s="30"/>
      <c r="J1987" s="155">
        <v>0</v>
      </c>
    </row>
    <row r="1988" spans="1:10" ht="15.75" hidden="1" thickBot="1" x14ac:dyDescent="0.3">
      <c r="A1988" s="176"/>
      <c r="B1988" s="175"/>
      <c r="C1988" s="32"/>
      <c r="D1988" s="32"/>
      <c r="E1988" s="33"/>
      <c r="F1988" s="43" t="s">
        <v>568</v>
      </c>
      <c r="G1988" s="31" t="str">
        <f>IF(ISNUMBER(F1988),E1988*F1988,"")</f>
        <v/>
      </c>
      <c r="H1988" s="35"/>
      <c r="I1988" s="31"/>
      <c r="J1988" s="155">
        <v>0</v>
      </c>
    </row>
    <row r="1989" spans="1:10" ht="26.25" hidden="1" thickBot="1" x14ac:dyDescent="0.3">
      <c r="A1989" s="176"/>
      <c r="B1989" s="175"/>
      <c r="C1989" s="36" t="s">
        <v>109</v>
      </c>
      <c r="D1989" s="47" t="s">
        <v>12</v>
      </c>
      <c r="E1989" s="37">
        <v>0.77449999999999997</v>
      </c>
      <c r="F1989" s="31">
        <v>16.891000000000002</v>
      </c>
      <c r="G1989" s="31">
        <f>IF(ISNUMBER(F1989),E1989*F1989,"")</f>
        <v>13.082079500000001</v>
      </c>
      <c r="H1989" s="39">
        <f>SUM(G1989:G1993)</f>
        <v>29.958098000000003</v>
      </c>
      <c r="I1989" s="40"/>
      <c r="J1989" s="155">
        <v>0</v>
      </c>
    </row>
    <row r="1990" spans="1:10" ht="15.75" hidden="1" thickBot="1" x14ac:dyDescent="0.3">
      <c r="A1990" s="176"/>
      <c r="B1990" s="175"/>
      <c r="C1990" s="36" t="s">
        <v>39</v>
      </c>
      <c r="D1990" s="47" t="s">
        <v>12</v>
      </c>
      <c r="E1990" s="37">
        <v>0.77449999999999997</v>
      </c>
      <c r="F1990" s="31">
        <v>21.622</v>
      </c>
      <c r="G1990" s="31">
        <f>IF(ISNUMBER(F1990),E1990*F1990,"")</f>
        <v>16.746238999999999</v>
      </c>
      <c r="H1990" s="35"/>
      <c r="I1990" s="31"/>
      <c r="J1990" s="155">
        <v>0</v>
      </c>
    </row>
    <row r="1991" spans="1:10" ht="15.75" hidden="1" thickBot="1" x14ac:dyDescent="0.3">
      <c r="A1991" s="176"/>
      <c r="B1991" s="175"/>
      <c r="C1991" s="36" t="s">
        <v>418</v>
      </c>
      <c r="D1991" s="47" t="s">
        <v>297</v>
      </c>
      <c r="E1991" s="37">
        <v>9.4999999999999998E-3</v>
      </c>
      <c r="F1991" s="34">
        <v>13.661</v>
      </c>
      <c r="G1991" s="31">
        <f>IF(ISNUMBER(F1991),E1991*F1991,"")</f>
        <v>0.12977949999999999</v>
      </c>
      <c r="H1991" s="35"/>
      <c r="I1991" s="31"/>
      <c r="J1991" s="155">
        <v>0</v>
      </c>
    </row>
    <row r="1992" spans="1:10" ht="39" hidden="1" thickBot="1" x14ac:dyDescent="0.3">
      <c r="A1992" s="176"/>
      <c r="B1992" s="175"/>
      <c r="C1992" s="36" t="s">
        <v>676</v>
      </c>
      <c r="D1992" s="36" t="s">
        <v>149</v>
      </c>
      <c r="E1992" s="37">
        <v>1</v>
      </c>
      <c r="F1992" s="34" t="s">
        <v>568</v>
      </c>
      <c r="G1992" s="31" t="str">
        <f>IF(ISNUMBER(F1992),E1992*F1992,"")</f>
        <v/>
      </c>
      <c r="H1992" s="35"/>
      <c r="I1992" s="31"/>
      <c r="J1992" s="155">
        <v>0</v>
      </c>
    </row>
    <row r="1993" spans="1:10" ht="39" hidden="1" thickBot="1" x14ac:dyDescent="0.3">
      <c r="A1993" s="176"/>
      <c r="B1993" s="175"/>
      <c r="C1993" s="36" t="s">
        <v>679</v>
      </c>
      <c r="D1993" s="36" t="s">
        <v>149</v>
      </c>
      <c r="E1993" s="37">
        <v>1</v>
      </c>
      <c r="F1993" s="34" t="s">
        <v>568</v>
      </c>
      <c r="G1993" s="31" t="str">
        <f>IF(ISNUMBER(F1993),E1993*F1993,"")</f>
        <v/>
      </c>
      <c r="H1993" s="35"/>
      <c r="I1993" s="31"/>
      <c r="J1993" s="155">
        <v>0</v>
      </c>
    </row>
    <row r="1994" spans="1:10" ht="15.75" hidden="1" thickBot="1" x14ac:dyDescent="0.3">
      <c r="A1994" s="177"/>
      <c r="B1994" s="178"/>
      <c r="C1994" s="36"/>
      <c r="D1994" s="36"/>
      <c r="E1994" s="37"/>
      <c r="F1994" s="31" t="s">
        <v>568</v>
      </c>
      <c r="G1994" s="31" t="str">
        <f>IF(ISNUMBER(F1994),E1994*F1994,"")</f>
        <v/>
      </c>
      <c r="H1994" s="35"/>
      <c r="I1994" s="31"/>
      <c r="J1994" s="155">
        <v>0</v>
      </c>
    </row>
    <row r="1995" spans="1:10" ht="15.75" hidden="1" thickBot="1" x14ac:dyDescent="0.3">
      <c r="A1995" s="172" t="s">
        <v>680</v>
      </c>
      <c r="B1995" s="174" t="str">
        <f>INDEX(Orçamentária!A:B,MATCH(Composições!A1995,Orçamentária!A:A,0),2)</f>
        <v>Válvula de esfera em bronze 1 1/2"</v>
      </c>
      <c r="C1995" s="41"/>
      <c r="D1995" s="26" t="str">
        <f>TRIM(INDEX(Orçamentária!C:C,MATCH(Composições!A1995,Orçamentária!A:A,0),1))</f>
        <v>un</v>
      </c>
      <c r="E1995" s="27"/>
      <c r="F1995" s="42" t="s">
        <v>568</v>
      </c>
      <c r="G1995" s="28" t="str">
        <f>IF(ISNUMBER(F1995),E1995*F1995,"")</f>
        <v/>
      </c>
      <c r="H1995" s="29"/>
      <c r="I1995" s="30"/>
      <c r="J1995" s="155">
        <v>0</v>
      </c>
    </row>
    <row r="1996" spans="1:10" ht="15.75" hidden="1" thickBot="1" x14ac:dyDescent="0.3">
      <c r="A1996" s="176"/>
      <c r="B1996" s="175"/>
      <c r="C1996" s="32"/>
      <c r="D1996" s="32"/>
      <c r="E1996" s="33"/>
      <c r="F1996" s="43" t="s">
        <v>568</v>
      </c>
      <c r="G1996" s="31" t="str">
        <f>IF(ISNUMBER(F1996),E1996*F1996,"")</f>
        <v/>
      </c>
      <c r="H1996" s="35"/>
      <c r="I1996" s="31"/>
      <c r="J1996" s="155">
        <v>0</v>
      </c>
    </row>
    <row r="1997" spans="1:10" ht="15.75" hidden="1" thickBot="1" x14ac:dyDescent="0.3">
      <c r="A1997" s="176"/>
      <c r="B1997" s="175"/>
      <c r="C1997" s="36" t="s">
        <v>418</v>
      </c>
      <c r="D1997" s="47" t="s">
        <v>297</v>
      </c>
      <c r="E1997" s="37">
        <v>1.9E-2</v>
      </c>
      <c r="F1997" s="34">
        <v>13.661</v>
      </c>
      <c r="G1997" s="31">
        <f>IF(ISNUMBER(F1997),E1997*F1997,"")</f>
        <v>0.25955899999999998</v>
      </c>
      <c r="H1997" s="39">
        <f>SUM(G1997:G2000)</f>
        <v>146.81231600000001</v>
      </c>
      <c r="I1997" s="40"/>
      <c r="J1997" s="155">
        <v>0</v>
      </c>
    </row>
    <row r="1998" spans="1:10" ht="26.25" hidden="1" thickBot="1" x14ac:dyDescent="0.3">
      <c r="A1998" s="176"/>
      <c r="B1998" s="175"/>
      <c r="C1998" s="36" t="s">
        <v>681</v>
      </c>
      <c r="D1998" s="47" t="s">
        <v>20</v>
      </c>
      <c r="E1998" s="37">
        <v>1</v>
      </c>
      <c r="F1998" s="34">
        <v>116.166</v>
      </c>
      <c r="G1998" s="31">
        <f>IF(ISNUMBER(F1998),E1998*F1998,"")</f>
        <v>116.166</v>
      </c>
      <c r="H1998" s="35"/>
      <c r="I1998" s="31"/>
      <c r="J1998" s="155">
        <v>0</v>
      </c>
    </row>
    <row r="1999" spans="1:10" ht="26.25" hidden="1" thickBot="1" x14ac:dyDescent="0.3">
      <c r="A1999" s="176"/>
      <c r="B1999" s="175"/>
      <c r="C1999" s="36" t="s">
        <v>109</v>
      </c>
      <c r="D1999" s="47" t="s">
        <v>12</v>
      </c>
      <c r="E1999" s="37">
        <v>0.78900000000000003</v>
      </c>
      <c r="F1999" s="31">
        <v>16.891000000000002</v>
      </c>
      <c r="G1999" s="34">
        <f>IF(ISNUMBER(F1999),E1999*F1999,"")</f>
        <v>13.326999000000002</v>
      </c>
      <c r="H1999" s="35"/>
      <c r="I1999" s="31"/>
      <c r="J1999" s="155">
        <v>0</v>
      </c>
    </row>
    <row r="2000" spans="1:10" ht="15.75" hidden="1" thickBot="1" x14ac:dyDescent="0.3">
      <c r="A2000" s="176"/>
      <c r="B2000" s="175"/>
      <c r="C2000" s="36" t="s">
        <v>39</v>
      </c>
      <c r="D2000" s="47" t="s">
        <v>12</v>
      </c>
      <c r="E2000" s="37">
        <v>0.78900000000000003</v>
      </c>
      <c r="F2000" s="31">
        <v>21.622</v>
      </c>
      <c r="G2000" s="34">
        <f>IF(ISNUMBER(F2000),E2000*F2000,"")</f>
        <v>17.059758000000002</v>
      </c>
      <c r="H2000" s="35"/>
      <c r="I2000" s="31"/>
      <c r="J2000" s="155">
        <v>0</v>
      </c>
    </row>
    <row r="2001" spans="1:10" ht="15.75" hidden="1" thickBot="1" x14ac:dyDescent="0.3">
      <c r="A2001" s="177"/>
      <c r="B2001" s="178"/>
      <c r="C2001" s="36"/>
      <c r="D2001" s="36"/>
      <c r="E2001" s="37"/>
      <c r="F2001" s="31" t="s">
        <v>568</v>
      </c>
      <c r="G2001" s="31" t="str">
        <f>IF(ISNUMBER(F2001),E2001*F2001,"")</f>
        <v/>
      </c>
      <c r="H2001" s="35"/>
      <c r="I2001" s="31"/>
      <c r="J2001" s="155">
        <v>0</v>
      </c>
    </row>
    <row r="2002" spans="1:10" ht="15.75" hidden="1" thickBot="1" x14ac:dyDescent="0.3">
      <c r="A2002" s="172" t="s">
        <v>682</v>
      </c>
      <c r="B2002" s="174" t="str">
        <f>INDEX(Orçamentária!A:B,MATCH(Composições!A2002,Orçamentária!A:A,0),2)</f>
        <v>Válvula de esfera em bronze 1 1/4"</v>
      </c>
      <c r="C2002" s="41"/>
      <c r="D2002" s="26" t="str">
        <f>TRIM(INDEX(Orçamentária!C:C,MATCH(Composições!A2002,Orçamentária!A:A,0),1))</f>
        <v>un</v>
      </c>
      <c r="E2002" s="27"/>
      <c r="F2002" s="42" t="s">
        <v>568</v>
      </c>
      <c r="G2002" s="28" t="str">
        <f>IF(ISNUMBER(F2002),E2002*F2002,"")</f>
        <v/>
      </c>
      <c r="H2002" s="29"/>
      <c r="I2002" s="30"/>
      <c r="J2002" s="155">
        <v>0</v>
      </c>
    </row>
    <row r="2003" spans="1:10" ht="15.75" hidden="1" thickBot="1" x14ac:dyDescent="0.3">
      <c r="A2003" s="176"/>
      <c r="B2003" s="175"/>
      <c r="C2003" s="32"/>
      <c r="D2003" s="32"/>
      <c r="E2003" s="33"/>
      <c r="F2003" s="43" t="s">
        <v>568</v>
      </c>
      <c r="G2003" s="31" t="str">
        <f>IF(ISNUMBER(F2003),E2003*F2003,"")</f>
        <v/>
      </c>
      <c r="H2003" s="35"/>
      <c r="I2003" s="31"/>
      <c r="J2003" s="155">
        <v>0</v>
      </c>
    </row>
    <row r="2004" spans="1:10" ht="15.75" hidden="1" thickBot="1" x14ac:dyDescent="0.3">
      <c r="A2004" s="176"/>
      <c r="B2004" s="175"/>
      <c r="C2004" s="36" t="s">
        <v>418</v>
      </c>
      <c r="D2004" s="47" t="s">
        <v>297</v>
      </c>
      <c r="E2004" s="37">
        <v>1.9E-2</v>
      </c>
      <c r="F2004" s="34">
        <v>13.661</v>
      </c>
      <c r="G2004" s="31">
        <f>IF(ISNUMBER(F2004),E2004*F2004,"")</f>
        <v>0.25955899999999998</v>
      </c>
      <c r="H2004" s="39">
        <f>SUM(G2004:G2007)</f>
        <v>127.04281599999999</v>
      </c>
      <c r="I2004" s="40"/>
      <c r="J2004" s="155">
        <v>0</v>
      </c>
    </row>
    <row r="2005" spans="1:10" ht="26.25" hidden="1" thickBot="1" x14ac:dyDescent="0.3">
      <c r="A2005" s="176"/>
      <c r="B2005" s="175"/>
      <c r="C2005" s="36" t="s">
        <v>683</v>
      </c>
      <c r="D2005" s="47" t="s">
        <v>20</v>
      </c>
      <c r="E2005" s="37">
        <v>1</v>
      </c>
      <c r="F2005" s="34">
        <v>96.396499999999989</v>
      </c>
      <c r="G2005" s="31">
        <f>IF(ISNUMBER(F2005),E2005*F2005,"")</f>
        <v>96.396499999999989</v>
      </c>
      <c r="H2005" s="35"/>
      <c r="I2005" s="31"/>
      <c r="J2005" s="155">
        <v>0</v>
      </c>
    </row>
    <row r="2006" spans="1:10" ht="26.25" hidden="1" thickBot="1" x14ac:dyDescent="0.3">
      <c r="A2006" s="176"/>
      <c r="B2006" s="175"/>
      <c r="C2006" s="36" t="s">
        <v>109</v>
      </c>
      <c r="D2006" s="47" t="s">
        <v>12</v>
      </c>
      <c r="E2006" s="37">
        <v>0.78900000000000003</v>
      </c>
      <c r="F2006" s="31">
        <v>16.891000000000002</v>
      </c>
      <c r="G2006" s="34">
        <f>IF(ISNUMBER(F2006),E2006*F2006,"")</f>
        <v>13.326999000000002</v>
      </c>
      <c r="H2006" s="35"/>
      <c r="I2006" s="31"/>
      <c r="J2006" s="155">
        <v>0</v>
      </c>
    </row>
    <row r="2007" spans="1:10" ht="15.75" hidden="1" thickBot="1" x14ac:dyDescent="0.3">
      <c r="A2007" s="176"/>
      <c r="B2007" s="175"/>
      <c r="C2007" s="36" t="s">
        <v>39</v>
      </c>
      <c r="D2007" s="47" t="s">
        <v>12</v>
      </c>
      <c r="E2007" s="37">
        <v>0.78900000000000003</v>
      </c>
      <c r="F2007" s="31">
        <v>21.622</v>
      </c>
      <c r="G2007" s="34">
        <f>IF(ISNUMBER(F2007),E2007*F2007,"")</f>
        <v>17.059758000000002</v>
      </c>
      <c r="H2007" s="35"/>
      <c r="I2007" s="31"/>
      <c r="J2007" s="155">
        <v>0</v>
      </c>
    </row>
    <row r="2008" spans="1:10" ht="15.75" hidden="1" thickBot="1" x14ac:dyDescent="0.3">
      <c r="A2008" s="177"/>
      <c r="B2008" s="178"/>
      <c r="C2008" s="36"/>
      <c r="D2008" s="36"/>
      <c r="E2008" s="37"/>
      <c r="F2008" s="31" t="s">
        <v>568</v>
      </c>
      <c r="G2008" s="31" t="str">
        <f>IF(ISNUMBER(F2008),E2008*F2008,"")</f>
        <v/>
      </c>
      <c r="H2008" s="35"/>
      <c r="I2008" s="31"/>
      <c r="J2008" s="155">
        <v>0</v>
      </c>
    </row>
    <row r="2009" spans="1:10" ht="15.75" hidden="1" thickBot="1" x14ac:dyDescent="0.3">
      <c r="A2009" s="172" t="s">
        <v>684</v>
      </c>
      <c r="B2009" s="174" t="str">
        <f>INDEX(Orçamentária!A:B,MATCH(Composições!A2009,Orçamentária!A:A,0),2)</f>
        <v>Válvula de esfera em bronze 1"</v>
      </c>
      <c r="C2009" s="41"/>
      <c r="D2009" s="26" t="str">
        <f>TRIM(INDEX(Orçamentária!C:C,MATCH(Composições!A2009,Orçamentária!A:A,0),1))</f>
        <v>un</v>
      </c>
      <c r="E2009" s="27"/>
      <c r="F2009" s="42" t="s">
        <v>568</v>
      </c>
      <c r="G2009" s="28" t="str">
        <f>IF(ISNUMBER(F2009),E2009*F2009,"")</f>
        <v/>
      </c>
      <c r="H2009" s="29"/>
      <c r="I2009" s="30"/>
      <c r="J2009" s="155">
        <v>0</v>
      </c>
    </row>
    <row r="2010" spans="1:10" ht="15.75" hidden="1" thickBot="1" x14ac:dyDescent="0.3">
      <c r="A2010" s="176"/>
      <c r="B2010" s="175"/>
      <c r="C2010" s="32"/>
      <c r="D2010" s="32"/>
      <c r="E2010" s="33"/>
      <c r="F2010" s="43" t="s">
        <v>568</v>
      </c>
      <c r="G2010" s="31" t="str">
        <f>IF(ISNUMBER(F2010),E2010*F2010,"")</f>
        <v/>
      </c>
      <c r="H2010" s="35"/>
      <c r="I2010" s="31"/>
      <c r="J2010" s="155">
        <v>0</v>
      </c>
    </row>
    <row r="2011" spans="1:10" ht="15.75" hidden="1" thickBot="1" x14ac:dyDescent="0.3">
      <c r="A2011" s="176"/>
      <c r="B2011" s="175"/>
      <c r="C2011" s="36" t="s">
        <v>418</v>
      </c>
      <c r="D2011" s="47" t="s">
        <v>297</v>
      </c>
      <c r="E2011" s="37">
        <v>9.4999999999999998E-3</v>
      </c>
      <c r="F2011" s="34">
        <v>13.661</v>
      </c>
      <c r="G2011" s="31">
        <f>IF(ISNUMBER(F2011),E2011*F2011,"")</f>
        <v>0.12977949999999999</v>
      </c>
      <c r="H2011" s="39">
        <f>SUM(G2011:G2014)</f>
        <v>94.634098000000009</v>
      </c>
      <c r="I2011" s="40"/>
      <c r="J2011" s="155">
        <v>0</v>
      </c>
    </row>
    <row r="2012" spans="1:10" ht="15.75" hidden="1" thickBot="1" x14ac:dyDescent="0.3">
      <c r="A2012" s="176"/>
      <c r="B2012" s="175"/>
      <c r="C2012" s="36" t="s">
        <v>685</v>
      </c>
      <c r="D2012" s="47" t="s">
        <v>20</v>
      </c>
      <c r="E2012" s="37">
        <v>1</v>
      </c>
      <c r="F2012" s="34">
        <v>64.676000000000002</v>
      </c>
      <c r="G2012" s="31">
        <f>IF(ISNUMBER(F2012),E2012*F2012,"")</f>
        <v>64.676000000000002</v>
      </c>
      <c r="H2012" s="35"/>
      <c r="I2012" s="31"/>
      <c r="J2012" s="155">
        <v>0</v>
      </c>
    </row>
    <row r="2013" spans="1:10" ht="26.25" hidden="1" thickBot="1" x14ac:dyDescent="0.3">
      <c r="A2013" s="176"/>
      <c r="B2013" s="175"/>
      <c r="C2013" s="36" t="s">
        <v>109</v>
      </c>
      <c r="D2013" s="36" t="s">
        <v>12</v>
      </c>
      <c r="E2013" s="37">
        <v>0.77449999999999997</v>
      </c>
      <c r="F2013" s="31">
        <v>16.891000000000002</v>
      </c>
      <c r="G2013" s="34">
        <f>IF(ISNUMBER(F2013),E2013*F2013,"")</f>
        <v>13.082079500000001</v>
      </c>
      <c r="H2013" s="35"/>
      <c r="I2013" s="31"/>
      <c r="J2013" s="155">
        <v>0</v>
      </c>
    </row>
    <row r="2014" spans="1:10" ht="15.75" hidden="1" thickBot="1" x14ac:dyDescent="0.3">
      <c r="A2014" s="176"/>
      <c r="B2014" s="175"/>
      <c r="C2014" s="36" t="s">
        <v>39</v>
      </c>
      <c r="D2014" s="47" t="s">
        <v>12</v>
      </c>
      <c r="E2014" s="37">
        <v>0.77449999999999997</v>
      </c>
      <c r="F2014" s="31">
        <v>21.622</v>
      </c>
      <c r="G2014" s="34">
        <f>IF(ISNUMBER(F2014),E2014*F2014,"")</f>
        <v>16.746238999999999</v>
      </c>
      <c r="H2014" s="35"/>
      <c r="I2014" s="31"/>
      <c r="J2014" s="155">
        <v>0</v>
      </c>
    </row>
    <row r="2015" spans="1:10" ht="15.75" hidden="1" thickBot="1" x14ac:dyDescent="0.3">
      <c r="A2015" s="177"/>
      <c r="B2015" s="178"/>
      <c r="C2015" s="36"/>
      <c r="D2015" s="36"/>
      <c r="E2015" s="37"/>
      <c r="F2015" s="31" t="s">
        <v>568</v>
      </c>
      <c r="G2015" s="31" t="str">
        <f>IF(ISNUMBER(F2015),E2015*F2015,"")</f>
        <v/>
      </c>
      <c r="H2015" s="35"/>
      <c r="I2015" s="31"/>
      <c r="J2015" s="155">
        <v>0</v>
      </c>
    </row>
    <row r="2016" spans="1:10" ht="15.75" hidden="1" thickBot="1" x14ac:dyDescent="0.3">
      <c r="A2016" s="172" t="s">
        <v>686</v>
      </c>
      <c r="B2016" s="174" t="str">
        <f>INDEX(Orçamentária!A:B,MATCH(Composições!A2016,Orçamentária!A:A,0),2)</f>
        <v>Válvula de esfera em bronze 3/4"</v>
      </c>
      <c r="C2016" s="41"/>
      <c r="D2016" s="26" t="str">
        <f>TRIM(INDEX(Orçamentária!C:C,MATCH(Composições!A2016,Orçamentária!A:A,0),1))</f>
        <v>un</v>
      </c>
      <c r="E2016" s="27"/>
      <c r="F2016" s="42" t="s">
        <v>568</v>
      </c>
      <c r="G2016" s="28" t="str">
        <f>IF(ISNUMBER(F2016),E2016*F2016,"")</f>
        <v/>
      </c>
      <c r="H2016" s="29"/>
      <c r="I2016" s="30"/>
      <c r="J2016" s="155">
        <v>0</v>
      </c>
    </row>
    <row r="2017" spans="1:10" ht="15.75" hidden="1" thickBot="1" x14ac:dyDescent="0.3">
      <c r="A2017" s="176"/>
      <c r="B2017" s="175"/>
      <c r="C2017" s="32"/>
      <c r="D2017" s="32"/>
      <c r="E2017" s="33"/>
      <c r="F2017" s="43" t="s">
        <v>568</v>
      </c>
      <c r="G2017" s="31" t="str">
        <f>IF(ISNUMBER(F2017),E2017*F2017,"")</f>
        <v/>
      </c>
      <c r="H2017" s="35"/>
      <c r="I2017" s="31"/>
      <c r="J2017" s="155">
        <v>0</v>
      </c>
    </row>
    <row r="2018" spans="1:10" ht="15.75" hidden="1" thickBot="1" x14ac:dyDescent="0.3">
      <c r="A2018" s="176"/>
      <c r="B2018" s="175"/>
      <c r="C2018" s="36" t="s">
        <v>418</v>
      </c>
      <c r="D2018" s="47" t="s">
        <v>297</v>
      </c>
      <c r="E2018" s="37">
        <v>9.4999999999999998E-3</v>
      </c>
      <c r="F2018" s="34">
        <v>13.661</v>
      </c>
      <c r="G2018" s="31">
        <f>IF(ISNUMBER(F2018),E2018*F2018,"")</f>
        <v>0.12977949999999999</v>
      </c>
      <c r="H2018" s="39">
        <f>SUM(G2018:G2021)</f>
        <v>77.866597999999996</v>
      </c>
      <c r="I2018" s="40"/>
      <c r="J2018" s="155">
        <v>0</v>
      </c>
    </row>
    <row r="2019" spans="1:10" ht="15.75" hidden="1" thickBot="1" x14ac:dyDescent="0.3">
      <c r="A2019" s="176"/>
      <c r="B2019" s="175"/>
      <c r="C2019" s="36" t="s">
        <v>687</v>
      </c>
      <c r="D2019" s="47" t="s">
        <v>20</v>
      </c>
      <c r="E2019" s="37">
        <v>1</v>
      </c>
      <c r="F2019" s="34">
        <v>47.908499999999997</v>
      </c>
      <c r="G2019" s="31">
        <f>IF(ISNUMBER(F2019),E2019*F2019,"")</f>
        <v>47.908499999999997</v>
      </c>
      <c r="H2019" s="35"/>
      <c r="I2019" s="31"/>
      <c r="J2019" s="155">
        <v>0</v>
      </c>
    </row>
    <row r="2020" spans="1:10" ht="26.25" hidden="1" thickBot="1" x14ac:dyDescent="0.3">
      <c r="A2020" s="176"/>
      <c r="B2020" s="175"/>
      <c r="C2020" s="36" t="s">
        <v>109</v>
      </c>
      <c r="D2020" s="36" t="s">
        <v>12</v>
      </c>
      <c r="E2020" s="37">
        <v>0.77449999999999997</v>
      </c>
      <c r="F2020" s="31">
        <v>16.891000000000002</v>
      </c>
      <c r="G2020" s="34">
        <f>IF(ISNUMBER(F2020),E2020*F2020,"")</f>
        <v>13.082079500000001</v>
      </c>
      <c r="H2020" s="35"/>
      <c r="I2020" s="31"/>
      <c r="J2020" s="155">
        <v>0</v>
      </c>
    </row>
    <row r="2021" spans="1:10" ht="15.75" hidden="1" thickBot="1" x14ac:dyDescent="0.3">
      <c r="A2021" s="176"/>
      <c r="B2021" s="175"/>
      <c r="C2021" s="36" t="s">
        <v>39</v>
      </c>
      <c r="D2021" s="47" t="s">
        <v>12</v>
      </c>
      <c r="E2021" s="37">
        <v>0.77449999999999997</v>
      </c>
      <c r="F2021" s="31">
        <v>21.622</v>
      </c>
      <c r="G2021" s="34">
        <f>IF(ISNUMBER(F2021),E2021*F2021,"")</f>
        <v>16.746238999999999</v>
      </c>
      <c r="H2021" s="35"/>
      <c r="I2021" s="31"/>
      <c r="J2021" s="155">
        <v>0</v>
      </c>
    </row>
    <row r="2022" spans="1:10" ht="15.75" hidden="1" thickBot="1" x14ac:dyDescent="0.3">
      <c r="A2022" s="177"/>
      <c r="B2022" s="178"/>
      <c r="C2022" s="36"/>
      <c r="D2022" s="36"/>
      <c r="E2022" s="37"/>
      <c r="F2022" s="31" t="s">
        <v>568</v>
      </c>
      <c r="G2022" s="31" t="str">
        <f>IF(ISNUMBER(F2022),E2022*F2022,"")</f>
        <v/>
      </c>
      <c r="H2022" s="35"/>
      <c r="I2022" s="31"/>
      <c r="J2022" s="155">
        <v>0</v>
      </c>
    </row>
    <row r="2023" spans="1:10" ht="15.75" hidden="1" thickBot="1" x14ac:dyDescent="0.3">
      <c r="A2023" s="172" t="s">
        <v>688</v>
      </c>
      <c r="B2023" s="174" t="str">
        <f>INDEX(Orçamentária!A:B,MATCH(Composições!A2023,Orçamentária!A:A,0),2)</f>
        <v>Isolamento elastomérico em formato de prancha autoadesiva</v>
      </c>
      <c r="C2023" s="41"/>
      <c r="D2023" s="26" t="str">
        <f>TRIM(INDEX(Orçamentária!C:C,MATCH(Composições!A2023,Orçamentária!A:A,0),1))</f>
        <v>m2</v>
      </c>
      <c r="E2023" s="27"/>
      <c r="F2023" s="42" t="s">
        <v>568</v>
      </c>
      <c r="G2023" s="28" t="str">
        <f>IF(ISNUMBER(F2023),E2023*F2023,"")</f>
        <v/>
      </c>
      <c r="H2023" s="29"/>
      <c r="I2023" s="30"/>
      <c r="J2023" s="155">
        <v>0</v>
      </c>
    </row>
    <row r="2024" spans="1:10" ht="15.75" hidden="1" thickBot="1" x14ac:dyDescent="0.3">
      <c r="A2024" s="176"/>
      <c r="B2024" s="175"/>
      <c r="C2024" s="32"/>
      <c r="D2024" s="32"/>
      <c r="E2024" s="33"/>
      <c r="F2024" s="43" t="s">
        <v>568</v>
      </c>
      <c r="G2024" s="31" t="str">
        <f>IF(ISNUMBER(F2024),E2024*F2024,"")</f>
        <v/>
      </c>
      <c r="H2024" s="35"/>
      <c r="I2024" s="31"/>
      <c r="J2024" s="155">
        <v>0</v>
      </c>
    </row>
    <row r="2025" spans="1:10" ht="26.25" hidden="1" thickBot="1" x14ac:dyDescent="0.3">
      <c r="A2025" s="176"/>
      <c r="B2025" s="175"/>
      <c r="C2025" s="36" t="s">
        <v>109</v>
      </c>
      <c r="D2025" s="47" t="s">
        <v>12</v>
      </c>
      <c r="E2025" s="37">
        <v>0.1</v>
      </c>
      <c r="F2025" s="31">
        <v>16.891000000000002</v>
      </c>
      <c r="G2025" s="34">
        <f>IF(ISNUMBER(F2025),E2025*F2025,"")</f>
        <v>1.6891000000000003</v>
      </c>
      <c r="H2025" s="39">
        <f>SUM(G2025:G2027)</f>
        <v>3.8513000000000002</v>
      </c>
      <c r="I2025" s="40"/>
      <c r="J2025" s="155">
        <v>0</v>
      </c>
    </row>
    <row r="2026" spans="1:10" ht="15.75" hidden="1" thickBot="1" x14ac:dyDescent="0.3">
      <c r="A2026" s="176"/>
      <c r="B2026" s="175"/>
      <c r="C2026" s="36" t="s">
        <v>39</v>
      </c>
      <c r="D2026" s="47" t="s">
        <v>12</v>
      </c>
      <c r="E2026" s="37">
        <v>0.1</v>
      </c>
      <c r="F2026" s="31">
        <v>21.622</v>
      </c>
      <c r="G2026" s="34">
        <f>IF(ISNUMBER(F2026),E2026*F2026,"")</f>
        <v>2.1621999999999999</v>
      </c>
      <c r="H2026" s="35"/>
      <c r="I2026" s="31"/>
      <c r="J2026" s="155">
        <v>0</v>
      </c>
    </row>
    <row r="2027" spans="1:10" ht="26.25" hidden="1" thickBot="1" x14ac:dyDescent="0.3">
      <c r="A2027" s="176"/>
      <c r="B2027" s="175"/>
      <c r="C2027" s="36" t="s">
        <v>689</v>
      </c>
      <c r="D2027" s="47" t="s">
        <v>95</v>
      </c>
      <c r="E2027" s="37">
        <v>1.05</v>
      </c>
      <c r="F2027" s="34" t="s">
        <v>568</v>
      </c>
      <c r="G2027" s="34" t="str">
        <f>IF(ISNUMBER(F2027),E2027*F2027,"")</f>
        <v/>
      </c>
      <c r="H2027" s="35"/>
      <c r="I2027" s="31"/>
      <c r="J2027" s="155">
        <v>0</v>
      </c>
    </row>
    <row r="2028" spans="1:10" ht="15.75" hidden="1" thickBot="1" x14ac:dyDescent="0.3">
      <c r="A2028" s="177"/>
      <c r="B2028" s="178"/>
      <c r="C2028" s="36"/>
      <c r="D2028" s="36"/>
      <c r="E2028" s="37"/>
      <c r="F2028" s="31" t="s">
        <v>568</v>
      </c>
      <c r="G2028" s="31" t="str">
        <f>IF(ISNUMBER(F2028),E2028*F2028,"")</f>
        <v/>
      </c>
      <c r="H2028" s="35"/>
      <c r="I2028" s="31"/>
      <c r="J2028" s="155">
        <v>0</v>
      </c>
    </row>
    <row r="2029" spans="1:10" ht="15.75" hidden="1" thickBot="1" x14ac:dyDescent="0.3">
      <c r="A2029" s="172" t="s">
        <v>690</v>
      </c>
      <c r="B2029" s="174" t="str">
        <f>INDEX(Orçamentária!A:B,MATCH(Composições!A2029,Orçamentária!A:A,0),2)</f>
        <v>Isolamento elastomérico para tubulações de cobre de 1 1/8" / tubulações de ferro de 3/4"</v>
      </c>
      <c r="C2029" s="41"/>
      <c r="D2029" s="26" t="str">
        <f>TRIM(INDEX(Orçamentária!C:C,MATCH(Composições!A2029,Orçamentária!A:A,0),1))</f>
        <v>m</v>
      </c>
      <c r="E2029" s="27"/>
      <c r="F2029" s="42" t="s">
        <v>568</v>
      </c>
      <c r="G2029" s="28" t="str">
        <f>IF(ISNUMBER(F2029),E2029*F2029,"")</f>
        <v/>
      </c>
      <c r="H2029" s="29"/>
      <c r="I2029" s="30"/>
      <c r="J2029" s="155">
        <v>0</v>
      </c>
    </row>
    <row r="2030" spans="1:10" ht="15.75" hidden="1" thickBot="1" x14ac:dyDescent="0.3">
      <c r="A2030" s="176"/>
      <c r="B2030" s="175"/>
      <c r="C2030" s="32"/>
      <c r="D2030" s="32"/>
      <c r="E2030" s="33"/>
      <c r="F2030" s="43" t="s">
        <v>568</v>
      </c>
      <c r="G2030" s="31" t="str">
        <f>IF(ISNUMBER(F2030),E2030*F2030,"")</f>
        <v/>
      </c>
      <c r="H2030" s="35"/>
      <c r="I2030" s="31"/>
      <c r="J2030" s="155">
        <v>0</v>
      </c>
    </row>
    <row r="2031" spans="1:10" ht="51.75" hidden="1" thickBot="1" x14ac:dyDescent="0.3">
      <c r="A2031" s="176"/>
      <c r="B2031" s="175"/>
      <c r="C2031" s="36" t="s">
        <v>691</v>
      </c>
      <c r="D2031" s="47" t="s">
        <v>93</v>
      </c>
      <c r="E2031" s="37">
        <v>1.0210999999999999</v>
      </c>
      <c r="F2031" s="34" t="s">
        <v>568</v>
      </c>
      <c r="G2031" s="34" t="str">
        <f>IF(ISNUMBER(F2031),E2031*F2031,"")</f>
        <v/>
      </c>
      <c r="H2031" s="39">
        <f>SUM(G2031:G2033)</f>
        <v>0.73944959999999993</v>
      </c>
      <c r="I2031" s="40"/>
      <c r="J2031" s="155">
        <v>0</v>
      </c>
    </row>
    <row r="2032" spans="1:10" ht="26.25" hidden="1" thickBot="1" x14ac:dyDescent="0.3">
      <c r="A2032" s="176"/>
      <c r="B2032" s="175"/>
      <c r="C2032" s="36" t="s">
        <v>109</v>
      </c>
      <c r="D2032" s="47" t="s">
        <v>12</v>
      </c>
      <c r="E2032" s="37">
        <f>0.064*0.3</f>
        <v>1.9199999999999998E-2</v>
      </c>
      <c r="F2032" s="31">
        <v>16.891000000000002</v>
      </c>
      <c r="G2032" s="34">
        <f>IF(ISNUMBER(F2032),E2032*F2032,"")</f>
        <v>0.32430720000000002</v>
      </c>
      <c r="H2032" s="35"/>
      <c r="I2032" s="31"/>
      <c r="J2032" s="155">
        <v>0</v>
      </c>
    </row>
    <row r="2033" spans="1:10" ht="15.75" hidden="1" thickBot="1" x14ac:dyDescent="0.3">
      <c r="A2033" s="176"/>
      <c r="B2033" s="175"/>
      <c r="C2033" s="36" t="s">
        <v>39</v>
      </c>
      <c r="D2033" s="47" t="s">
        <v>12</v>
      </c>
      <c r="E2033" s="37">
        <f>0.064*0.3</f>
        <v>1.9199999999999998E-2</v>
      </c>
      <c r="F2033" s="31">
        <v>21.622</v>
      </c>
      <c r="G2033" s="34">
        <f>IF(ISNUMBER(F2033),E2033*F2033,"")</f>
        <v>0.41514239999999997</v>
      </c>
      <c r="H2033" s="35"/>
      <c r="I2033" s="31"/>
      <c r="J2033" s="155">
        <v>0</v>
      </c>
    </row>
    <row r="2034" spans="1:10" ht="15.75" hidden="1" thickBot="1" x14ac:dyDescent="0.3">
      <c r="A2034" s="176"/>
      <c r="B2034" s="175"/>
      <c r="C2034" s="36"/>
      <c r="D2034" s="47"/>
      <c r="E2034" s="37"/>
      <c r="F2034" s="34" t="s">
        <v>568</v>
      </c>
      <c r="G2034" s="34" t="str">
        <f>IF(ISNUMBER(F2034),E2034*F2034,"")</f>
        <v/>
      </c>
      <c r="H2034" s="35"/>
      <c r="I2034" s="31"/>
      <c r="J2034" s="155">
        <v>0</v>
      </c>
    </row>
    <row r="2035" spans="1:10" ht="39" hidden="1" thickBot="1" x14ac:dyDescent="0.3">
      <c r="A2035" s="176"/>
      <c r="B2035" s="175"/>
      <c r="C2035" s="52" t="s">
        <v>692</v>
      </c>
      <c r="D2035" s="47"/>
      <c r="E2035" s="37"/>
      <c r="F2035" s="34" t="s">
        <v>568</v>
      </c>
      <c r="G2035" s="34" t="str">
        <f>IF(ISNUMBER(F2035),E2035*F2035,"")</f>
        <v/>
      </c>
      <c r="H2035" s="35"/>
      <c r="I2035" s="31"/>
      <c r="J2035" s="155">
        <v>0</v>
      </c>
    </row>
    <row r="2036" spans="1:10" ht="15.75" hidden="1" thickBot="1" x14ac:dyDescent="0.3">
      <c r="A2036" s="177"/>
      <c r="B2036" s="178"/>
      <c r="C2036" s="36"/>
      <c r="D2036" s="36"/>
      <c r="E2036" s="37"/>
      <c r="F2036" s="31" t="s">
        <v>568</v>
      </c>
      <c r="G2036" s="31" t="str">
        <f>IF(ISNUMBER(F2036),E2036*F2036,"")</f>
        <v/>
      </c>
      <c r="H2036" s="35"/>
      <c r="I2036" s="31"/>
      <c r="J2036" s="155">
        <v>0</v>
      </c>
    </row>
    <row r="2037" spans="1:10" ht="15.75" hidden="1" thickBot="1" x14ac:dyDescent="0.3">
      <c r="A2037" s="172" t="s">
        <v>693</v>
      </c>
      <c r="B2037" s="174" t="str">
        <f>INDEX(Orçamentária!A:B,MATCH(Composições!A2037,Orçamentária!A:A,0),2)</f>
        <v>Isolamento elastomérico para tubulações de cobre de 1/2"</v>
      </c>
      <c r="C2037" s="41"/>
      <c r="D2037" s="26" t="str">
        <f>TRIM(INDEX(Orçamentária!C:C,MATCH(Composições!A2037,Orçamentária!A:A,0),1))</f>
        <v>m</v>
      </c>
      <c r="E2037" s="27"/>
      <c r="F2037" s="42" t="s">
        <v>568</v>
      </c>
      <c r="G2037" s="28" t="str">
        <f>IF(ISNUMBER(F2037),E2037*F2037,"")</f>
        <v/>
      </c>
      <c r="H2037" s="29"/>
      <c r="I2037" s="30"/>
      <c r="J2037" s="155">
        <v>0</v>
      </c>
    </row>
    <row r="2038" spans="1:10" ht="15.75" hidden="1" thickBot="1" x14ac:dyDescent="0.3">
      <c r="A2038" s="176"/>
      <c r="B2038" s="175"/>
      <c r="C2038" s="32"/>
      <c r="D2038" s="32"/>
      <c r="E2038" s="33"/>
      <c r="F2038" s="43" t="s">
        <v>568</v>
      </c>
      <c r="G2038" s="31" t="str">
        <f>IF(ISNUMBER(F2038),E2038*F2038,"")</f>
        <v/>
      </c>
      <c r="H2038" s="35"/>
      <c r="I2038" s="31"/>
      <c r="J2038" s="155">
        <v>0</v>
      </c>
    </row>
    <row r="2039" spans="1:10" ht="39" hidden="1" thickBot="1" x14ac:dyDescent="0.3">
      <c r="A2039" s="176"/>
      <c r="B2039" s="175"/>
      <c r="C2039" s="36" t="s">
        <v>694</v>
      </c>
      <c r="D2039" s="47" t="s">
        <v>93</v>
      </c>
      <c r="E2039" s="37">
        <v>1.0210999999999999</v>
      </c>
      <c r="F2039" s="34" t="s">
        <v>568</v>
      </c>
      <c r="G2039" s="34" t="str">
        <f>IF(ISNUMBER(F2039),E2039*F2039,"")</f>
        <v/>
      </c>
      <c r="H2039" s="39">
        <f>SUM(G2039:G2041)</f>
        <v>0.70478790000000002</v>
      </c>
      <c r="I2039" s="40"/>
      <c r="J2039" s="155">
        <v>0</v>
      </c>
    </row>
    <row r="2040" spans="1:10" ht="26.25" hidden="1" thickBot="1" x14ac:dyDescent="0.3">
      <c r="A2040" s="176"/>
      <c r="B2040" s="175"/>
      <c r="C2040" s="36" t="s">
        <v>109</v>
      </c>
      <c r="D2040" s="47" t="s">
        <v>12</v>
      </c>
      <c r="E2040" s="37">
        <f>0.061*0.3</f>
        <v>1.83E-2</v>
      </c>
      <c r="F2040" s="31">
        <v>16.891000000000002</v>
      </c>
      <c r="G2040" s="34">
        <f>IF(ISNUMBER(F2040),E2040*F2040,"")</f>
        <v>0.30910530000000003</v>
      </c>
      <c r="H2040" s="35"/>
      <c r="I2040" s="31"/>
      <c r="J2040" s="155">
        <v>0</v>
      </c>
    </row>
    <row r="2041" spans="1:10" ht="15.75" hidden="1" thickBot="1" x14ac:dyDescent="0.3">
      <c r="A2041" s="176"/>
      <c r="B2041" s="175"/>
      <c r="C2041" s="36" t="s">
        <v>39</v>
      </c>
      <c r="D2041" s="47" t="s">
        <v>12</v>
      </c>
      <c r="E2041" s="37">
        <f>0.061*0.3</f>
        <v>1.83E-2</v>
      </c>
      <c r="F2041" s="31">
        <v>21.622</v>
      </c>
      <c r="G2041" s="34">
        <f>IF(ISNUMBER(F2041),E2041*F2041,"")</f>
        <v>0.3956826</v>
      </c>
      <c r="H2041" s="35"/>
      <c r="I2041" s="31"/>
      <c r="J2041" s="155">
        <v>0</v>
      </c>
    </row>
    <row r="2042" spans="1:10" ht="15.75" hidden="1" thickBot="1" x14ac:dyDescent="0.3">
      <c r="A2042" s="176"/>
      <c r="B2042" s="175"/>
      <c r="C2042" s="36"/>
      <c r="D2042" s="47"/>
      <c r="E2042" s="37"/>
      <c r="F2042" s="34" t="s">
        <v>568</v>
      </c>
      <c r="G2042" s="34" t="str">
        <f>IF(ISNUMBER(F2042),E2042*F2042,"")</f>
        <v/>
      </c>
      <c r="H2042" s="35"/>
      <c r="I2042" s="31"/>
      <c r="J2042" s="155">
        <v>0</v>
      </c>
    </row>
    <row r="2043" spans="1:10" ht="39" hidden="1" thickBot="1" x14ac:dyDescent="0.3">
      <c r="A2043" s="176"/>
      <c r="B2043" s="175"/>
      <c r="C2043" s="52" t="s">
        <v>692</v>
      </c>
      <c r="D2043" s="47"/>
      <c r="E2043" s="37"/>
      <c r="F2043" s="34" t="s">
        <v>568</v>
      </c>
      <c r="G2043" s="34" t="str">
        <f>IF(ISNUMBER(F2043),E2043*F2043,"")</f>
        <v/>
      </c>
      <c r="H2043" s="35"/>
      <c r="I2043" s="31"/>
      <c r="J2043" s="155">
        <v>0</v>
      </c>
    </row>
    <row r="2044" spans="1:10" ht="15.75" hidden="1" thickBot="1" x14ac:dyDescent="0.3">
      <c r="A2044" s="177"/>
      <c r="B2044" s="178"/>
      <c r="C2044" s="36"/>
      <c r="D2044" s="36"/>
      <c r="E2044" s="37"/>
      <c r="F2044" s="31" t="s">
        <v>568</v>
      </c>
      <c r="G2044" s="31" t="str">
        <f>IF(ISNUMBER(F2044),E2044*F2044,"")</f>
        <v/>
      </c>
      <c r="H2044" s="35"/>
      <c r="I2044" s="31"/>
      <c r="J2044" s="155">
        <v>0</v>
      </c>
    </row>
    <row r="2045" spans="1:10" ht="15.75" hidden="1" thickBot="1" x14ac:dyDescent="0.3">
      <c r="A2045" s="172" t="s">
        <v>695</v>
      </c>
      <c r="B2045" s="174" t="str">
        <f>INDEX(Orçamentária!A:B,MATCH(Composições!A2045,Orçamentária!A:A,0),2)</f>
        <v>Isolamento elastomérico para tubulações de cobre de 1/4"</v>
      </c>
      <c r="C2045" s="41"/>
      <c r="D2045" s="26" t="str">
        <f>TRIM(INDEX(Orçamentária!C:C,MATCH(Composições!A2045,Orçamentária!A:A,0),1))</f>
        <v>m</v>
      </c>
      <c r="E2045" s="27"/>
      <c r="F2045" s="42" t="s">
        <v>568</v>
      </c>
      <c r="G2045" s="28" t="str">
        <f>IF(ISNUMBER(F2045),E2045*F2045,"")</f>
        <v/>
      </c>
      <c r="H2045" s="29"/>
      <c r="I2045" s="30"/>
      <c r="J2045" s="155">
        <v>0</v>
      </c>
    </row>
    <row r="2046" spans="1:10" ht="15.75" hidden="1" thickBot="1" x14ac:dyDescent="0.3">
      <c r="A2046" s="176"/>
      <c r="B2046" s="175"/>
      <c r="C2046" s="32"/>
      <c r="D2046" s="32"/>
      <c r="E2046" s="33"/>
      <c r="F2046" s="43" t="s">
        <v>568</v>
      </c>
      <c r="G2046" s="31" t="str">
        <f>IF(ISNUMBER(F2046),E2046*F2046,"")</f>
        <v/>
      </c>
      <c r="H2046" s="35"/>
      <c r="I2046" s="31"/>
      <c r="J2046" s="155">
        <v>0</v>
      </c>
    </row>
    <row r="2047" spans="1:10" ht="39" hidden="1" thickBot="1" x14ac:dyDescent="0.3">
      <c r="A2047" s="176"/>
      <c r="B2047" s="175"/>
      <c r="C2047" s="36" t="s">
        <v>696</v>
      </c>
      <c r="D2047" s="47" t="s">
        <v>93</v>
      </c>
      <c r="E2047" s="37">
        <v>1.0210999999999999</v>
      </c>
      <c r="F2047" s="34" t="s">
        <v>568</v>
      </c>
      <c r="G2047" s="34" t="str">
        <f>IF(ISNUMBER(F2047),E2047*F2047,"")</f>
        <v/>
      </c>
      <c r="H2047" s="39">
        <f>SUM(G2047:G2049)</f>
        <v>0.60080279999999997</v>
      </c>
      <c r="I2047" s="40"/>
      <c r="J2047" s="155">
        <v>0</v>
      </c>
    </row>
    <row r="2048" spans="1:10" ht="26.25" hidden="1" thickBot="1" x14ac:dyDescent="0.3">
      <c r="A2048" s="176"/>
      <c r="B2048" s="175"/>
      <c r="C2048" s="36" t="s">
        <v>109</v>
      </c>
      <c r="D2048" s="47" t="s">
        <v>12</v>
      </c>
      <c r="E2048" s="37">
        <f>0.052*0.3</f>
        <v>1.5599999999999999E-2</v>
      </c>
      <c r="F2048" s="31">
        <v>16.891000000000002</v>
      </c>
      <c r="G2048" s="34">
        <f>IF(ISNUMBER(F2048),E2048*F2048,"")</f>
        <v>0.2634996</v>
      </c>
      <c r="H2048" s="35"/>
      <c r="I2048" s="31"/>
      <c r="J2048" s="155">
        <v>0</v>
      </c>
    </row>
    <row r="2049" spans="1:10" ht="15.75" hidden="1" thickBot="1" x14ac:dyDescent="0.3">
      <c r="A2049" s="176"/>
      <c r="B2049" s="175"/>
      <c r="C2049" s="36" t="s">
        <v>39</v>
      </c>
      <c r="D2049" s="47" t="s">
        <v>12</v>
      </c>
      <c r="E2049" s="37">
        <f>0.052*0.3</f>
        <v>1.5599999999999999E-2</v>
      </c>
      <c r="F2049" s="31">
        <v>21.622</v>
      </c>
      <c r="G2049" s="34">
        <f>IF(ISNUMBER(F2049),E2049*F2049,"")</f>
        <v>0.33730319999999997</v>
      </c>
      <c r="H2049" s="35"/>
      <c r="I2049" s="31"/>
      <c r="J2049" s="155">
        <v>0</v>
      </c>
    </row>
    <row r="2050" spans="1:10" ht="15.75" hidden="1" thickBot="1" x14ac:dyDescent="0.3">
      <c r="A2050" s="176"/>
      <c r="B2050" s="175"/>
      <c r="C2050" s="36"/>
      <c r="D2050" s="47"/>
      <c r="E2050" s="37"/>
      <c r="F2050" s="34" t="s">
        <v>568</v>
      </c>
      <c r="G2050" s="34" t="str">
        <f>IF(ISNUMBER(F2050),E2050*F2050,"")</f>
        <v/>
      </c>
      <c r="H2050" s="35"/>
      <c r="I2050" s="31"/>
      <c r="J2050" s="155">
        <v>0</v>
      </c>
    </row>
    <row r="2051" spans="1:10" ht="39" hidden="1" thickBot="1" x14ac:dyDescent="0.3">
      <c r="A2051" s="176"/>
      <c r="B2051" s="175"/>
      <c r="C2051" s="52" t="s">
        <v>692</v>
      </c>
      <c r="D2051" s="47"/>
      <c r="E2051" s="37"/>
      <c r="F2051" s="34" t="s">
        <v>568</v>
      </c>
      <c r="G2051" s="34" t="str">
        <f>IF(ISNUMBER(F2051),E2051*F2051,"")</f>
        <v/>
      </c>
      <c r="H2051" s="35"/>
      <c r="I2051" s="31"/>
      <c r="J2051" s="155">
        <v>0</v>
      </c>
    </row>
    <row r="2052" spans="1:10" ht="15.75" hidden="1" thickBot="1" x14ac:dyDescent="0.3">
      <c r="A2052" s="177"/>
      <c r="B2052" s="178"/>
      <c r="C2052" s="36"/>
      <c r="D2052" s="36"/>
      <c r="E2052" s="37"/>
      <c r="F2052" s="31" t="s">
        <v>568</v>
      </c>
      <c r="G2052" s="31" t="str">
        <f>IF(ISNUMBER(F2052),E2052*F2052,"")</f>
        <v/>
      </c>
      <c r="H2052" s="35"/>
      <c r="I2052" s="31"/>
      <c r="J2052" s="155">
        <v>0</v>
      </c>
    </row>
    <row r="2053" spans="1:10" ht="15.75" hidden="1" thickBot="1" x14ac:dyDescent="0.3">
      <c r="A2053" s="172" t="s">
        <v>697</v>
      </c>
      <c r="B2053" s="174" t="str">
        <f>INDEX(Orçamentária!A:B,MATCH(Composições!A2053,Orçamentária!A:A,0),2)</f>
        <v>Isolamento elastomérico para tubulações de cobre de 3/4"</v>
      </c>
      <c r="C2053" s="41"/>
      <c r="D2053" s="26" t="str">
        <f>TRIM(INDEX(Orçamentária!C:C,MATCH(Composições!A2053,Orçamentária!A:A,0),1))</f>
        <v>m</v>
      </c>
      <c r="E2053" s="27"/>
      <c r="F2053" s="42" t="s">
        <v>568</v>
      </c>
      <c r="G2053" s="28" t="str">
        <f>IF(ISNUMBER(F2053),E2053*F2053,"")</f>
        <v/>
      </c>
      <c r="H2053" s="29"/>
      <c r="I2053" s="30"/>
      <c r="J2053" s="155">
        <v>0</v>
      </c>
    </row>
    <row r="2054" spans="1:10" ht="15.75" hidden="1" thickBot="1" x14ac:dyDescent="0.3">
      <c r="A2054" s="176"/>
      <c r="B2054" s="175"/>
      <c r="C2054" s="32"/>
      <c r="D2054" s="32"/>
      <c r="E2054" s="33"/>
      <c r="F2054" s="43" t="s">
        <v>568</v>
      </c>
      <c r="G2054" s="31" t="str">
        <f>IF(ISNUMBER(F2054),E2054*F2054,"")</f>
        <v/>
      </c>
      <c r="H2054" s="35"/>
      <c r="I2054" s="31"/>
      <c r="J2054" s="155">
        <v>0</v>
      </c>
    </row>
    <row r="2055" spans="1:10" ht="39" hidden="1" thickBot="1" x14ac:dyDescent="0.3">
      <c r="A2055" s="176"/>
      <c r="B2055" s="175"/>
      <c r="C2055" s="36" t="s">
        <v>698</v>
      </c>
      <c r="D2055" s="47" t="s">
        <v>93</v>
      </c>
      <c r="E2055" s="37">
        <v>1.0210999999999999</v>
      </c>
      <c r="F2055" s="34" t="s">
        <v>568</v>
      </c>
      <c r="G2055" s="34" t="str">
        <f>IF(ISNUMBER(F2055),E2055*F2055,"")</f>
        <v/>
      </c>
      <c r="H2055" s="39">
        <f>SUM(G2055:G2057)</f>
        <v>0.73944959999999993</v>
      </c>
      <c r="I2055" s="40"/>
      <c r="J2055" s="155">
        <v>0</v>
      </c>
    </row>
    <row r="2056" spans="1:10" ht="26.25" hidden="1" thickBot="1" x14ac:dyDescent="0.3">
      <c r="A2056" s="176"/>
      <c r="B2056" s="175"/>
      <c r="C2056" s="36" t="s">
        <v>109</v>
      </c>
      <c r="D2056" s="47" t="s">
        <v>12</v>
      </c>
      <c r="E2056" s="37">
        <f>0.064*0.3</f>
        <v>1.9199999999999998E-2</v>
      </c>
      <c r="F2056" s="31">
        <v>16.891000000000002</v>
      </c>
      <c r="G2056" s="34">
        <f>IF(ISNUMBER(F2056),E2056*F2056,"")</f>
        <v>0.32430720000000002</v>
      </c>
      <c r="H2056" s="35"/>
      <c r="I2056" s="31"/>
      <c r="J2056" s="155">
        <v>0</v>
      </c>
    </row>
    <row r="2057" spans="1:10" ht="15.75" hidden="1" thickBot="1" x14ac:dyDescent="0.3">
      <c r="A2057" s="176"/>
      <c r="B2057" s="175"/>
      <c r="C2057" s="36" t="s">
        <v>39</v>
      </c>
      <c r="D2057" s="47" t="s">
        <v>12</v>
      </c>
      <c r="E2057" s="37">
        <f>0.064*0.3</f>
        <v>1.9199999999999998E-2</v>
      </c>
      <c r="F2057" s="31">
        <v>21.622</v>
      </c>
      <c r="G2057" s="34">
        <f>IF(ISNUMBER(F2057),E2057*F2057,"")</f>
        <v>0.41514239999999997</v>
      </c>
      <c r="H2057" s="35"/>
      <c r="I2057" s="31"/>
      <c r="J2057" s="155">
        <v>0</v>
      </c>
    </row>
    <row r="2058" spans="1:10" ht="15.75" hidden="1" thickBot="1" x14ac:dyDescent="0.3">
      <c r="A2058" s="176"/>
      <c r="B2058" s="175"/>
      <c r="C2058" s="36"/>
      <c r="D2058" s="47"/>
      <c r="E2058" s="37"/>
      <c r="F2058" s="34" t="s">
        <v>568</v>
      </c>
      <c r="G2058" s="34" t="str">
        <f>IF(ISNUMBER(F2058),E2058*F2058,"")</f>
        <v/>
      </c>
      <c r="H2058" s="35"/>
      <c r="I2058" s="31"/>
      <c r="J2058" s="155">
        <v>0</v>
      </c>
    </row>
    <row r="2059" spans="1:10" ht="39" hidden="1" thickBot="1" x14ac:dyDescent="0.3">
      <c r="A2059" s="176"/>
      <c r="B2059" s="175"/>
      <c r="C2059" s="52" t="s">
        <v>692</v>
      </c>
      <c r="D2059" s="47"/>
      <c r="E2059" s="37"/>
      <c r="F2059" s="34" t="s">
        <v>568</v>
      </c>
      <c r="G2059" s="34" t="str">
        <f>IF(ISNUMBER(F2059),E2059*F2059,"")</f>
        <v/>
      </c>
      <c r="H2059" s="35"/>
      <c r="I2059" s="31"/>
      <c r="J2059" s="155">
        <v>0</v>
      </c>
    </row>
    <row r="2060" spans="1:10" ht="15.75" hidden="1" thickBot="1" x14ac:dyDescent="0.3">
      <c r="A2060" s="177"/>
      <c r="B2060" s="178"/>
      <c r="C2060" s="36"/>
      <c r="D2060" s="36"/>
      <c r="E2060" s="37"/>
      <c r="F2060" s="31" t="s">
        <v>568</v>
      </c>
      <c r="G2060" s="31" t="str">
        <f>IF(ISNUMBER(F2060),E2060*F2060,"")</f>
        <v/>
      </c>
      <c r="H2060" s="35"/>
      <c r="I2060" s="31"/>
      <c r="J2060" s="155">
        <v>0</v>
      </c>
    </row>
    <row r="2061" spans="1:10" ht="15.75" thickBot="1" x14ac:dyDescent="0.3">
      <c r="A2061" s="172" t="s">
        <v>699</v>
      </c>
      <c r="B2061" s="174" t="str">
        <f>INDEX(Orçamentária!A:B,MATCH(Composições!A2061,Orçamentária!A:A,0),2)</f>
        <v>Isolamento elastomérico para tubulações de cobre de 3/8"</v>
      </c>
      <c r="C2061" s="41"/>
      <c r="D2061" s="26" t="str">
        <f>TRIM(INDEX(Orçamentária!C:C,MATCH(Composições!A2061,Orçamentária!A:A,0),1))</f>
        <v>m</v>
      </c>
      <c r="E2061" s="27"/>
      <c r="F2061" s="42" t="s">
        <v>568</v>
      </c>
      <c r="G2061" s="28" t="str">
        <f>IF(ISNUMBER(F2061),E2061*F2061,"")</f>
        <v/>
      </c>
      <c r="H2061" s="29"/>
      <c r="I2061" s="30"/>
      <c r="J2061" s="155">
        <v>17</v>
      </c>
    </row>
    <row r="2062" spans="1:10" x14ac:dyDescent="0.25">
      <c r="A2062" s="176"/>
      <c r="B2062" s="175"/>
      <c r="C2062" s="32"/>
      <c r="D2062" s="32"/>
      <c r="E2062" s="33"/>
      <c r="F2062" s="43" t="s">
        <v>568</v>
      </c>
      <c r="G2062" s="31" t="str">
        <f>IF(ISNUMBER(F2062),E2062*F2062,"")</f>
        <v/>
      </c>
      <c r="H2062" s="35"/>
      <c r="I2062" s="31"/>
      <c r="J2062" s="155">
        <v>17</v>
      </c>
    </row>
    <row r="2063" spans="1:10" ht="38.25" x14ac:dyDescent="0.25">
      <c r="A2063" s="176"/>
      <c r="B2063" s="175"/>
      <c r="C2063" s="36" t="s">
        <v>700</v>
      </c>
      <c r="D2063" s="47" t="s">
        <v>93</v>
      </c>
      <c r="E2063" s="37">
        <v>1.0210999999999999</v>
      </c>
      <c r="F2063" s="34">
        <v>8.73</v>
      </c>
      <c r="G2063" s="34">
        <f>IF(ISNUMBER(F2063),E2063*F2063,"")</f>
        <v>8.9142029999999988</v>
      </c>
      <c r="H2063" s="39">
        <f>SUM(G2063:G2065)</f>
        <v>9.5727752999999982</v>
      </c>
      <c r="I2063" s="40"/>
      <c r="J2063" s="155">
        <v>17</v>
      </c>
    </row>
    <row r="2064" spans="1:10" ht="25.5" x14ac:dyDescent="0.25">
      <c r="A2064" s="176"/>
      <c r="B2064" s="175"/>
      <c r="C2064" s="36" t="s">
        <v>109</v>
      </c>
      <c r="D2064" s="47" t="s">
        <v>12</v>
      </c>
      <c r="E2064" s="37">
        <f>0.057*0.3</f>
        <v>1.7100000000000001E-2</v>
      </c>
      <c r="F2064" s="31">
        <v>16.891000000000002</v>
      </c>
      <c r="G2064" s="34">
        <f>IF(ISNUMBER(F2064),E2064*F2064,"")</f>
        <v>0.28883610000000004</v>
      </c>
      <c r="H2064" s="35"/>
      <c r="I2064" s="31"/>
      <c r="J2064" s="155">
        <v>17</v>
      </c>
    </row>
    <row r="2065" spans="1:10" x14ac:dyDescent="0.25">
      <c r="A2065" s="176"/>
      <c r="B2065" s="175"/>
      <c r="C2065" s="36" t="s">
        <v>39</v>
      </c>
      <c r="D2065" s="47" t="s">
        <v>12</v>
      </c>
      <c r="E2065" s="37">
        <f>0.057*0.3</f>
        <v>1.7100000000000001E-2</v>
      </c>
      <c r="F2065" s="31">
        <v>21.622</v>
      </c>
      <c r="G2065" s="34">
        <f>IF(ISNUMBER(F2065),E2065*F2065,"")</f>
        <v>0.36973620000000001</v>
      </c>
      <c r="H2065" s="35"/>
      <c r="I2065" s="31"/>
      <c r="J2065" s="155">
        <v>17</v>
      </c>
    </row>
    <row r="2066" spans="1:10" x14ac:dyDescent="0.25">
      <c r="A2066" s="176"/>
      <c r="B2066" s="175"/>
      <c r="C2066" s="36"/>
      <c r="D2066" s="47"/>
      <c r="E2066" s="37"/>
      <c r="F2066" s="34" t="s">
        <v>568</v>
      </c>
      <c r="G2066" s="34" t="str">
        <f>IF(ISNUMBER(F2066),E2066*F2066,"")</f>
        <v/>
      </c>
      <c r="H2066" s="35"/>
      <c r="I2066" s="31"/>
      <c r="J2066" s="155">
        <v>17</v>
      </c>
    </row>
    <row r="2067" spans="1:10" ht="38.25" x14ac:dyDescent="0.25">
      <c r="A2067" s="176"/>
      <c r="B2067" s="175"/>
      <c r="C2067" s="52" t="s">
        <v>692</v>
      </c>
      <c r="D2067" s="47"/>
      <c r="E2067" s="37"/>
      <c r="F2067" s="34" t="s">
        <v>568</v>
      </c>
      <c r="G2067" s="34" t="str">
        <f>IF(ISNUMBER(F2067),E2067*F2067,"")</f>
        <v/>
      </c>
      <c r="H2067" s="35"/>
      <c r="I2067" s="31"/>
      <c r="J2067" s="155">
        <v>17</v>
      </c>
    </row>
    <row r="2068" spans="1:10" ht="15.75" thickBot="1" x14ac:dyDescent="0.3">
      <c r="A2068" s="177"/>
      <c r="B2068" s="178"/>
      <c r="C2068" s="36"/>
      <c r="D2068" s="36"/>
      <c r="E2068" s="37"/>
      <c r="F2068" s="31" t="s">
        <v>568</v>
      </c>
      <c r="G2068" s="31" t="str">
        <f>IF(ISNUMBER(F2068),E2068*F2068,"")</f>
        <v/>
      </c>
      <c r="H2068" s="35"/>
      <c r="I2068" s="31"/>
      <c r="J2068" s="155">
        <v>17</v>
      </c>
    </row>
    <row r="2069" spans="1:10" ht="15.75" hidden="1" thickBot="1" x14ac:dyDescent="0.3">
      <c r="A2069" s="172" t="s">
        <v>701</v>
      </c>
      <c r="B2069" s="174" t="str">
        <f>INDEX(Orçamentária!A:B,MATCH(Composições!A2069,Orçamentária!A:A,0),2)</f>
        <v>Isolamento elastomérico para tubulações de cobre de 5/8"</v>
      </c>
      <c r="C2069" s="41"/>
      <c r="D2069" s="26" t="str">
        <f>TRIM(INDEX(Orçamentária!C:C,MATCH(Composições!A2069,Orçamentária!A:A,0),1))</f>
        <v>m</v>
      </c>
      <c r="E2069" s="27"/>
      <c r="F2069" s="42" t="s">
        <v>568</v>
      </c>
      <c r="G2069" s="28" t="str">
        <f>IF(ISNUMBER(F2069),E2069*F2069,"")</f>
        <v/>
      </c>
      <c r="H2069" s="29"/>
      <c r="I2069" s="30"/>
      <c r="J2069" s="155">
        <v>0</v>
      </c>
    </row>
    <row r="2070" spans="1:10" ht="15.75" hidden="1" thickBot="1" x14ac:dyDescent="0.3">
      <c r="A2070" s="176"/>
      <c r="B2070" s="175"/>
      <c r="C2070" s="32"/>
      <c r="D2070" s="32"/>
      <c r="E2070" s="33"/>
      <c r="F2070" s="43" t="s">
        <v>568</v>
      </c>
      <c r="G2070" s="31" t="str">
        <f>IF(ISNUMBER(F2070),E2070*F2070,"")</f>
        <v/>
      </c>
      <c r="H2070" s="35"/>
      <c r="I2070" s="31"/>
      <c r="J2070" s="155">
        <v>0</v>
      </c>
    </row>
    <row r="2071" spans="1:10" ht="39" hidden="1" thickBot="1" x14ac:dyDescent="0.3">
      <c r="A2071" s="176"/>
      <c r="B2071" s="175"/>
      <c r="C2071" s="36" t="s">
        <v>702</v>
      </c>
      <c r="D2071" s="47" t="s">
        <v>93</v>
      </c>
      <c r="E2071" s="37">
        <v>1.0210999999999999</v>
      </c>
      <c r="F2071" s="34" t="s">
        <v>568</v>
      </c>
      <c r="G2071" s="34" t="str">
        <f>IF(ISNUMBER(F2071),E2071*F2071,"")</f>
        <v/>
      </c>
      <c r="H2071" s="39">
        <f>SUM(G2071:G2073)</f>
        <v>0.73944959999999993</v>
      </c>
      <c r="I2071" s="40"/>
      <c r="J2071" s="155">
        <v>0</v>
      </c>
    </row>
    <row r="2072" spans="1:10" ht="26.25" hidden="1" thickBot="1" x14ac:dyDescent="0.3">
      <c r="A2072" s="176"/>
      <c r="B2072" s="175"/>
      <c r="C2072" s="36" t="s">
        <v>109</v>
      </c>
      <c r="D2072" s="47" t="s">
        <v>12</v>
      </c>
      <c r="E2072" s="37">
        <f>0.064*0.3</f>
        <v>1.9199999999999998E-2</v>
      </c>
      <c r="F2072" s="31">
        <v>16.891000000000002</v>
      </c>
      <c r="G2072" s="34">
        <f>IF(ISNUMBER(F2072),E2072*F2072,"")</f>
        <v>0.32430720000000002</v>
      </c>
      <c r="H2072" s="35"/>
      <c r="I2072" s="31"/>
      <c r="J2072" s="155">
        <v>0</v>
      </c>
    </row>
    <row r="2073" spans="1:10" ht="15.75" hidden="1" thickBot="1" x14ac:dyDescent="0.3">
      <c r="A2073" s="176"/>
      <c r="B2073" s="175"/>
      <c r="C2073" s="36" t="s">
        <v>39</v>
      </c>
      <c r="D2073" s="47" t="s">
        <v>12</v>
      </c>
      <c r="E2073" s="37">
        <f>0.064*0.3</f>
        <v>1.9199999999999998E-2</v>
      </c>
      <c r="F2073" s="31">
        <v>21.622</v>
      </c>
      <c r="G2073" s="34">
        <f>IF(ISNUMBER(F2073),E2073*F2073,"")</f>
        <v>0.41514239999999997</v>
      </c>
      <c r="H2073" s="35"/>
      <c r="I2073" s="31"/>
      <c r="J2073" s="155">
        <v>0</v>
      </c>
    </row>
    <row r="2074" spans="1:10" ht="15.75" hidden="1" thickBot="1" x14ac:dyDescent="0.3">
      <c r="A2074" s="176"/>
      <c r="B2074" s="175"/>
      <c r="C2074" s="36"/>
      <c r="D2074" s="47"/>
      <c r="E2074" s="37"/>
      <c r="F2074" s="34" t="s">
        <v>568</v>
      </c>
      <c r="G2074" s="34" t="str">
        <f>IF(ISNUMBER(F2074),E2074*F2074,"")</f>
        <v/>
      </c>
      <c r="H2074" s="35"/>
      <c r="I2074" s="31"/>
      <c r="J2074" s="155">
        <v>0</v>
      </c>
    </row>
    <row r="2075" spans="1:10" ht="39" hidden="1" thickBot="1" x14ac:dyDescent="0.3">
      <c r="A2075" s="176"/>
      <c r="B2075" s="175"/>
      <c r="C2075" s="52" t="s">
        <v>692</v>
      </c>
      <c r="D2075" s="47"/>
      <c r="E2075" s="37"/>
      <c r="F2075" s="34" t="s">
        <v>568</v>
      </c>
      <c r="G2075" s="34" t="str">
        <f>IF(ISNUMBER(F2075),E2075*F2075,"")</f>
        <v/>
      </c>
      <c r="H2075" s="35"/>
      <c r="I2075" s="31"/>
      <c r="J2075" s="155">
        <v>0</v>
      </c>
    </row>
    <row r="2076" spans="1:10" ht="15.75" hidden="1" thickBot="1" x14ac:dyDescent="0.3">
      <c r="A2076" s="177"/>
      <c r="B2076" s="178"/>
      <c r="C2076" s="36"/>
      <c r="D2076" s="36"/>
      <c r="E2076" s="37"/>
      <c r="F2076" s="31" t="s">
        <v>568</v>
      </c>
      <c r="G2076" s="31" t="str">
        <f>IF(ISNUMBER(F2076),E2076*F2076,"")</f>
        <v/>
      </c>
      <c r="H2076" s="35"/>
      <c r="I2076" s="31"/>
      <c r="J2076" s="155">
        <v>0</v>
      </c>
    </row>
    <row r="2077" spans="1:10" ht="15.75" hidden="1" thickBot="1" x14ac:dyDescent="0.3">
      <c r="A2077" s="172" t="s">
        <v>703</v>
      </c>
      <c r="B2077" s="174" t="str">
        <f>INDEX(Orçamentária!A:B,MATCH(Composições!A2077,Orçamentária!A:A,0),2)</f>
        <v>Isolamento elastomérico para tubulações de cobre de 7/8" / tubulações de ferro de 1/2"</v>
      </c>
      <c r="C2077" s="41"/>
      <c r="D2077" s="26" t="str">
        <f>TRIM(INDEX(Orçamentária!C:C,MATCH(Composições!A2077,Orçamentária!A:A,0),1))</f>
        <v>m</v>
      </c>
      <c r="E2077" s="27"/>
      <c r="F2077" s="42" t="s">
        <v>568</v>
      </c>
      <c r="G2077" s="28" t="str">
        <f>IF(ISNUMBER(F2077),E2077*F2077,"")</f>
        <v/>
      </c>
      <c r="H2077" s="29"/>
      <c r="I2077" s="30"/>
      <c r="J2077" s="155">
        <v>0</v>
      </c>
    </row>
    <row r="2078" spans="1:10" ht="15.75" hidden="1" thickBot="1" x14ac:dyDescent="0.3">
      <c r="A2078" s="176"/>
      <c r="B2078" s="175"/>
      <c r="C2078" s="32"/>
      <c r="D2078" s="32"/>
      <c r="E2078" s="33"/>
      <c r="F2078" s="43" t="s">
        <v>568</v>
      </c>
      <c r="G2078" s="31" t="str">
        <f>IF(ISNUMBER(F2078),E2078*F2078,"")</f>
        <v/>
      </c>
      <c r="H2078" s="35"/>
      <c r="I2078" s="31"/>
      <c r="J2078" s="155">
        <v>0</v>
      </c>
    </row>
    <row r="2079" spans="1:10" ht="39" hidden="1" thickBot="1" x14ac:dyDescent="0.3">
      <c r="A2079" s="176"/>
      <c r="B2079" s="175"/>
      <c r="C2079" s="36" t="s">
        <v>704</v>
      </c>
      <c r="D2079" s="47" t="s">
        <v>93</v>
      </c>
      <c r="E2079" s="37">
        <v>1.0210999999999999</v>
      </c>
      <c r="F2079" s="34" t="s">
        <v>568</v>
      </c>
      <c r="G2079" s="34" t="str">
        <f>IF(ISNUMBER(F2079),E2079*F2079,"")</f>
        <v/>
      </c>
      <c r="H2079" s="39">
        <f>SUM(G2079:G2081)</f>
        <v>0.73944959999999993</v>
      </c>
      <c r="I2079" s="40"/>
      <c r="J2079" s="155">
        <v>0</v>
      </c>
    </row>
    <row r="2080" spans="1:10" ht="26.25" hidden="1" thickBot="1" x14ac:dyDescent="0.3">
      <c r="A2080" s="176"/>
      <c r="B2080" s="175"/>
      <c r="C2080" s="36" t="s">
        <v>109</v>
      </c>
      <c r="D2080" s="47" t="s">
        <v>12</v>
      </c>
      <c r="E2080" s="37">
        <f>0.064*0.3</f>
        <v>1.9199999999999998E-2</v>
      </c>
      <c r="F2080" s="31">
        <v>16.891000000000002</v>
      </c>
      <c r="G2080" s="34">
        <f>IF(ISNUMBER(F2080),E2080*F2080,"")</f>
        <v>0.32430720000000002</v>
      </c>
      <c r="H2080" s="35"/>
      <c r="I2080" s="31"/>
      <c r="J2080" s="155">
        <v>0</v>
      </c>
    </row>
    <row r="2081" spans="1:10" ht="15.75" hidden="1" thickBot="1" x14ac:dyDescent="0.3">
      <c r="A2081" s="176"/>
      <c r="B2081" s="175"/>
      <c r="C2081" s="36" t="s">
        <v>39</v>
      </c>
      <c r="D2081" s="47" t="s">
        <v>12</v>
      </c>
      <c r="E2081" s="37">
        <f>0.064*0.3</f>
        <v>1.9199999999999998E-2</v>
      </c>
      <c r="F2081" s="31">
        <v>21.622</v>
      </c>
      <c r="G2081" s="34">
        <f>IF(ISNUMBER(F2081),E2081*F2081,"")</f>
        <v>0.41514239999999997</v>
      </c>
      <c r="H2081" s="35"/>
      <c r="I2081" s="31"/>
      <c r="J2081" s="155">
        <v>0</v>
      </c>
    </row>
    <row r="2082" spans="1:10" ht="15.75" hidden="1" thickBot="1" x14ac:dyDescent="0.3">
      <c r="A2082" s="176"/>
      <c r="B2082" s="175"/>
      <c r="C2082" s="36"/>
      <c r="D2082" s="47"/>
      <c r="E2082" s="37"/>
      <c r="F2082" s="34" t="s">
        <v>568</v>
      </c>
      <c r="G2082" s="34" t="str">
        <f>IF(ISNUMBER(F2082),E2082*F2082,"")</f>
        <v/>
      </c>
      <c r="H2082" s="35"/>
      <c r="I2082" s="31"/>
      <c r="J2082" s="155">
        <v>0</v>
      </c>
    </row>
    <row r="2083" spans="1:10" ht="39" hidden="1" thickBot="1" x14ac:dyDescent="0.3">
      <c r="A2083" s="176"/>
      <c r="B2083" s="175"/>
      <c r="C2083" s="52" t="s">
        <v>692</v>
      </c>
      <c r="D2083" s="47"/>
      <c r="E2083" s="37"/>
      <c r="F2083" s="34" t="s">
        <v>568</v>
      </c>
      <c r="G2083" s="34" t="str">
        <f>IF(ISNUMBER(F2083),E2083*F2083,"")</f>
        <v/>
      </c>
      <c r="H2083" s="35"/>
      <c r="I2083" s="31"/>
      <c r="J2083" s="155">
        <v>0</v>
      </c>
    </row>
    <row r="2084" spans="1:10" ht="15.75" hidden="1" thickBot="1" x14ac:dyDescent="0.3">
      <c r="A2084" s="177"/>
      <c r="B2084" s="178"/>
      <c r="C2084" s="36"/>
      <c r="D2084" s="36"/>
      <c r="E2084" s="37"/>
      <c r="F2084" s="31" t="s">
        <v>568</v>
      </c>
      <c r="G2084" s="31" t="str">
        <f>IF(ISNUMBER(F2084),E2084*F2084,"")</f>
        <v/>
      </c>
      <c r="H2084" s="35"/>
      <c r="I2084" s="31"/>
      <c r="J2084" s="155">
        <v>0</v>
      </c>
    </row>
    <row r="2085" spans="1:10" ht="15.75" thickBot="1" x14ac:dyDescent="0.3">
      <c r="A2085" s="172" t="s">
        <v>705</v>
      </c>
      <c r="B2085" s="174" t="str">
        <f>INDEX(Orçamentária!A:B,MATCH(Composições!A2085,Orçamentária!A:A,0),2)</f>
        <v>Isolamento elastomérico para tubulações de cobre de 1"</v>
      </c>
      <c r="C2085" s="41"/>
      <c r="D2085" s="26" t="str">
        <f>TRIM(INDEX(Orçamentária!C:C,MATCH(Composições!A2085,Orçamentária!A:A,0),1))</f>
        <v>m</v>
      </c>
      <c r="E2085" s="27"/>
      <c r="F2085" s="42" t="s">
        <v>568</v>
      </c>
      <c r="G2085" s="28" t="str">
        <f>IF(ISNUMBER(F2085),E2085*F2085,"")</f>
        <v/>
      </c>
      <c r="H2085" s="29"/>
      <c r="I2085" s="30"/>
      <c r="J2085" s="155">
        <v>17</v>
      </c>
    </row>
    <row r="2086" spans="1:10" x14ac:dyDescent="0.25">
      <c r="A2086" s="176"/>
      <c r="B2086" s="175"/>
      <c r="C2086" s="32"/>
      <c r="D2086" s="32"/>
      <c r="E2086" s="33"/>
      <c r="F2086" s="43" t="s">
        <v>568</v>
      </c>
      <c r="G2086" s="31" t="str">
        <f>IF(ISNUMBER(F2086),E2086*F2086,"")</f>
        <v/>
      </c>
      <c r="H2086" s="35"/>
      <c r="I2086" s="31"/>
      <c r="J2086" s="155">
        <v>17</v>
      </c>
    </row>
    <row r="2087" spans="1:10" ht="38.25" x14ac:dyDescent="0.25">
      <c r="A2087" s="176"/>
      <c r="B2087" s="175"/>
      <c r="C2087" s="36" t="s">
        <v>706</v>
      </c>
      <c r="D2087" s="47" t="s">
        <v>93</v>
      </c>
      <c r="E2087" s="37">
        <v>1.0210999999999999</v>
      </c>
      <c r="F2087" s="34">
        <v>15.31</v>
      </c>
      <c r="G2087" s="34">
        <f>IF(ISNUMBER(F2087),E2087*F2087,"")</f>
        <v>15.633040999999999</v>
      </c>
      <c r="H2087" s="39">
        <f>SUM(G2087:G2089)</f>
        <v>16.372490599999999</v>
      </c>
      <c r="I2087" s="40"/>
      <c r="J2087" s="155">
        <v>17</v>
      </c>
    </row>
    <row r="2088" spans="1:10" ht="25.5" x14ac:dyDescent="0.25">
      <c r="A2088" s="176"/>
      <c r="B2088" s="175"/>
      <c r="C2088" s="36" t="s">
        <v>109</v>
      </c>
      <c r="D2088" s="47" t="s">
        <v>12</v>
      </c>
      <c r="E2088" s="37">
        <f>0.064*0.3</f>
        <v>1.9199999999999998E-2</v>
      </c>
      <c r="F2088" s="31">
        <v>16.891000000000002</v>
      </c>
      <c r="G2088" s="34">
        <f>IF(ISNUMBER(F2088),E2088*F2088,"")</f>
        <v>0.32430720000000002</v>
      </c>
      <c r="H2088" s="35"/>
      <c r="I2088" s="31"/>
      <c r="J2088" s="155">
        <v>17</v>
      </c>
    </row>
    <row r="2089" spans="1:10" x14ac:dyDescent="0.25">
      <c r="A2089" s="176"/>
      <c r="B2089" s="175"/>
      <c r="C2089" s="36" t="s">
        <v>39</v>
      </c>
      <c r="D2089" s="47" t="s">
        <v>12</v>
      </c>
      <c r="E2089" s="37">
        <f>0.064*0.3</f>
        <v>1.9199999999999998E-2</v>
      </c>
      <c r="F2089" s="31">
        <v>21.622</v>
      </c>
      <c r="G2089" s="34">
        <f>IF(ISNUMBER(F2089),E2089*F2089,"")</f>
        <v>0.41514239999999997</v>
      </c>
      <c r="H2089" s="35"/>
      <c r="I2089" s="31"/>
      <c r="J2089" s="155">
        <v>17</v>
      </c>
    </row>
    <row r="2090" spans="1:10" x14ac:dyDescent="0.25">
      <c r="A2090" s="176"/>
      <c r="B2090" s="175"/>
      <c r="C2090" s="36"/>
      <c r="D2090" s="47"/>
      <c r="E2090" s="37"/>
      <c r="F2090" s="34" t="s">
        <v>568</v>
      </c>
      <c r="G2090" s="34" t="str">
        <f>IF(ISNUMBER(F2090),E2090*F2090,"")</f>
        <v/>
      </c>
      <c r="H2090" s="35"/>
      <c r="I2090" s="31"/>
      <c r="J2090" s="155">
        <v>17</v>
      </c>
    </row>
    <row r="2091" spans="1:10" ht="38.25" x14ac:dyDescent="0.25">
      <c r="A2091" s="176"/>
      <c r="B2091" s="175"/>
      <c r="C2091" s="52" t="s">
        <v>692</v>
      </c>
      <c r="D2091" s="47"/>
      <c r="E2091" s="37"/>
      <c r="F2091" s="34" t="s">
        <v>568</v>
      </c>
      <c r="G2091" s="34" t="str">
        <f>IF(ISNUMBER(F2091),E2091*F2091,"")</f>
        <v/>
      </c>
      <c r="H2091" s="35"/>
      <c r="I2091" s="31"/>
      <c r="J2091" s="155">
        <v>17</v>
      </c>
    </row>
    <row r="2092" spans="1:10" ht="15.75" thickBot="1" x14ac:dyDescent="0.3">
      <c r="A2092" s="177"/>
      <c r="B2092" s="178"/>
      <c r="C2092" s="36"/>
      <c r="D2092" s="36"/>
      <c r="E2092" s="37"/>
      <c r="F2092" s="31" t="s">
        <v>568</v>
      </c>
      <c r="G2092" s="31" t="str">
        <f>IF(ISNUMBER(F2092),E2092*F2092,"")</f>
        <v/>
      </c>
      <c r="H2092" s="35"/>
      <c r="I2092" s="31"/>
      <c r="J2092" s="155">
        <v>17</v>
      </c>
    </row>
    <row r="2093" spans="1:10" ht="15.75" hidden="1" thickBot="1" x14ac:dyDescent="0.3">
      <c r="A2093" s="172" t="s">
        <v>707</v>
      </c>
      <c r="B2093" s="174" t="str">
        <f>INDEX(Orçamentária!A:B,MATCH(Composições!A2093,Orçamentária!A:A,0),2)</f>
        <v>Isolamento elastomérico para tubulações de ferro de 1 1/2"</v>
      </c>
      <c r="C2093" s="41"/>
      <c r="D2093" s="26" t="str">
        <f>TRIM(INDEX(Orçamentária!C:C,MATCH(Composições!A2093,Orçamentária!A:A,0),1))</f>
        <v>m</v>
      </c>
      <c r="E2093" s="27"/>
      <c r="F2093" s="42" t="s">
        <v>568</v>
      </c>
      <c r="G2093" s="28" t="str">
        <f>IF(ISNUMBER(F2093),E2093*F2093,"")</f>
        <v/>
      </c>
      <c r="H2093" s="29"/>
      <c r="I2093" s="30"/>
      <c r="J2093" s="155">
        <v>0</v>
      </c>
    </row>
    <row r="2094" spans="1:10" ht="15.75" hidden="1" thickBot="1" x14ac:dyDescent="0.3">
      <c r="A2094" s="176"/>
      <c r="B2094" s="175"/>
      <c r="C2094" s="32"/>
      <c r="D2094" s="32"/>
      <c r="E2094" s="33"/>
      <c r="F2094" s="43" t="s">
        <v>568</v>
      </c>
      <c r="G2094" s="31" t="str">
        <f>IF(ISNUMBER(F2094),E2094*F2094,"")</f>
        <v/>
      </c>
      <c r="H2094" s="35"/>
      <c r="I2094" s="31"/>
      <c r="J2094" s="155">
        <v>0</v>
      </c>
    </row>
    <row r="2095" spans="1:10" ht="39" hidden="1" thickBot="1" x14ac:dyDescent="0.3">
      <c r="A2095" s="176"/>
      <c r="B2095" s="175"/>
      <c r="C2095" s="36" t="s">
        <v>708</v>
      </c>
      <c r="D2095" s="47" t="s">
        <v>93</v>
      </c>
      <c r="E2095" s="37">
        <v>1.0210999999999999</v>
      </c>
      <c r="F2095" s="34" t="s">
        <v>568</v>
      </c>
      <c r="G2095" s="34" t="str">
        <f>IF(ISNUMBER(F2095),E2095*F2095,"")</f>
        <v/>
      </c>
      <c r="H2095" s="39">
        <f>SUM(G2095:G2097)</f>
        <v>0.73944959999999993</v>
      </c>
      <c r="I2095" s="40"/>
      <c r="J2095" s="155">
        <v>0</v>
      </c>
    </row>
    <row r="2096" spans="1:10" ht="26.25" hidden="1" thickBot="1" x14ac:dyDescent="0.3">
      <c r="A2096" s="176"/>
      <c r="B2096" s="175"/>
      <c r="C2096" s="36" t="s">
        <v>109</v>
      </c>
      <c r="D2096" s="47" t="s">
        <v>12</v>
      </c>
      <c r="E2096" s="37">
        <f>0.064*0.3</f>
        <v>1.9199999999999998E-2</v>
      </c>
      <c r="F2096" s="31">
        <v>16.891000000000002</v>
      </c>
      <c r="G2096" s="34">
        <f>IF(ISNUMBER(F2096),E2096*F2096,"")</f>
        <v>0.32430720000000002</v>
      </c>
      <c r="H2096" s="35"/>
      <c r="I2096" s="31"/>
      <c r="J2096" s="155">
        <v>0</v>
      </c>
    </row>
    <row r="2097" spans="1:10" ht="15.75" hidden="1" thickBot="1" x14ac:dyDescent="0.3">
      <c r="A2097" s="176"/>
      <c r="B2097" s="175"/>
      <c r="C2097" s="36" t="s">
        <v>39</v>
      </c>
      <c r="D2097" s="47" t="s">
        <v>12</v>
      </c>
      <c r="E2097" s="37">
        <f>0.064*0.3</f>
        <v>1.9199999999999998E-2</v>
      </c>
      <c r="F2097" s="31">
        <v>21.622</v>
      </c>
      <c r="G2097" s="34">
        <f>IF(ISNUMBER(F2097),E2097*F2097,"")</f>
        <v>0.41514239999999997</v>
      </c>
      <c r="H2097" s="35"/>
      <c r="I2097" s="31"/>
      <c r="J2097" s="155">
        <v>0</v>
      </c>
    </row>
    <row r="2098" spans="1:10" ht="15.75" hidden="1" thickBot="1" x14ac:dyDescent="0.3">
      <c r="A2098" s="176"/>
      <c r="B2098" s="175"/>
      <c r="C2098" s="36"/>
      <c r="D2098" s="47"/>
      <c r="E2098" s="37"/>
      <c r="F2098" s="34" t="s">
        <v>568</v>
      </c>
      <c r="G2098" s="34" t="str">
        <f>IF(ISNUMBER(F2098),E2098*F2098,"")</f>
        <v/>
      </c>
      <c r="H2098" s="35"/>
      <c r="I2098" s="31"/>
      <c r="J2098" s="155">
        <v>0</v>
      </c>
    </row>
    <row r="2099" spans="1:10" ht="39" hidden="1" thickBot="1" x14ac:dyDescent="0.3">
      <c r="A2099" s="176"/>
      <c r="B2099" s="175"/>
      <c r="C2099" s="52" t="s">
        <v>692</v>
      </c>
      <c r="D2099" s="47"/>
      <c r="E2099" s="37"/>
      <c r="F2099" s="34" t="s">
        <v>568</v>
      </c>
      <c r="G2099" s="34" t="str">
        <f>IF(ISNUMBER(F2099),E2099*F2099,"")</f>
        <v/>
      </c>
      <c r="H2099" s="35"/>
      <c r="I2099" s="31"/>
      <c r="J2099" s="155">
        <v>0</v>
      </c>
    </row>
    <row r="2100" spans="1:10" ht="15.75" hidden="1" thickBot="1" x14ac:dyDescent="0.3">
      <c r="A2100" s="177"/>
      <c r="B2100" s="178"/>
      <c r="C2100" s="36"/>
      <c r="D2100" s="36"/>
      <c r="E2100" s="37"/>
      <c r="F2100" s="31" t="s">
        <v>568</v>
      </c>
      <c r="G2100" s="31" t="str">
        <f>IF(ISNUMBER(F2100),E2100*F2100,"")</f>
        <v/>
      </c>
      <c r="H2100" s="35"/>
      <c r="I2100" s="31"/>
      <c r="J2100" s="155">
        <v>0</v>
      </c>
    </row>
    <row r="2101" spans="1:10" ht="15.75" hidden="1" thickBot="1" x14ac:dyDescent="0.3">
      <c r="A2101" s="172" t="s">
        <v>709</v>
      </c>
      <c r="B2101" s="174" t="str">
        <f>INDEX(Orçamentária!A:B,MATCH(Composições!A2101,Orçamentária!A:A,0),2)</f>
        <v>Isolamento elastomérico para tubulações de ferro de 1 1/4"</v>
      </c>
      <c r="C2101" s="41"/>
      <c r="D2101" s="26" t="str">
        <f>TRIM(INDEX(Orçamentária!C:C,MATCH(Composições!A2101,Orçamentária!A:A,0),1))</f>
        <v>m</v>
      </c>
      <c r="E2101" s="27"/>
      <c r="F2101" s="42" t="s">
        <v>568</v>
      </c>
      <c r="G2101" s="28" t="str">
        <f>IF(ISNUMBER(F2101),E2101*F2101,"")</f>
        <v/>
      </c>
      <c r="H2101" s="29"/>
      <c r="I2101" s="30"/>
      <c r="J2101" s="155">
        <v>0</v>
      </c>
    </row>
    <row r="2102" spans="1:10" ht="15.75" hidden="1" thickBot="1" x14ac:dyDescent="0.3">
      <c r="A2102" s="176"/>
      <c r="B2102" s="175"/>
      <c r="C2102" s="32"/>
      <c r="D2102" s="32"/>
      <c r="E2102" s="33"/>
      <c r="F2102" s="43" t="s">
        <v>568</v>
      </c>
      <c r="G2102" s="31" t="str">
        <f>IF(ISNUMBER(F2102),E2102*F2102,"")</f>
        <v/>
      </c>
      <c r="H2102" s="35"/>
      <c r="I2102" s="31"/>
      <c r="J2102" s="155">
        <v>0</v>
      </c>
    </row>
    <row r="2103" spans="1:10" ht="39" hidden="1" thickBot="1" x14ac:dyDescent="0.3">
      <c r="A2103" s="176"/>
      <c r="B2103" s="175"/>
      <c r="C2103" s="36" t="s">
        <v>710</v>
      </c>
      <c r="D2103" s="47" t="s">
        <v>93</v>
      </c>
      <c r="E2103" s="37">
        <v>1.0210999999999999</v>
      </c>
      <c r="F2103" s="34" t="s">
        <v>568</v>
      </c>
      <c r="G2103" s="34" t="str">
        <f>IF(ISNUMBER(F2103),E2103*F2103,"")</f>
        <v/>
      </c>
      <c r="H2103" s="39">
        <f>SUM(G2103:G2105)</f>
        <v>0.73944959999999993</v>
      </c>
      <c r="I2103" s="40"/>
      <c r="J2103" s="155">
        <v>0</v>
      </c>
    </row>
    <row r="2104" spans="1:10" ht="26.25" hidden="1" thickBot="1" x14ac:dyDescent="0.3">
      <c r="A2104" s="176"/>
      <c r="B2104" s="175"/>
      <c r="C2104" s="36" t="s">
        <v>109</v>
      </c>
      <c r="D2104" s="47" t="s">
        <v>12</v>
      </c>
      <c r="E2104" s="37">
        <f>0.064*0.3</f>
        <v>1.9199999999999998E-2</v>
      </c>
      <c r="F2104" s="31">
        <v>16.891000000000002</v>
      </c>
      <c r="G2104" s="34">
        <f>IF(ISNUMBER(F2104),E2104*F2104,"")</f>
        <v>0.32430720000000002</v>
      </c>
      <c r="H2104" s="35"/>
      <c r="I2104" s="31"/>
      <c r="J2104" s="155">
        <v>0</v>
      </c>
    </row>
    <row r="2105" spans="1:10" ht="15.75" hidden="1" thickBot="1" x14ac:dyDescent="0.3">
      <c r="A2105" s="176"/>
      <c r="B2105" s="175"/>
      <c r="C2105" s="36" t="s">
        <v>39</v>
      </c>
      <c r="D2105" s="47" t="s">
        <v>12</v>
      </c>
      <c r="E2105" s="37">
        <f>0.064*0.3</f>
        <v>1.9199999999999998E-2</v>
      </c>
      <c r="F2105" s="31">
        <v>21.622</v>
      </c>
      <c r="G2105" s="34">
        <f>IF(ISNUMBER(F2105),E2105*F2105,"")</f>
        <v>0.41514239999999997</v>
      </c>
      <c r="H2105" s="35"/>
      <c r="I2105" s="31"/>
      <c r="J2105" s="155">
        <v>0</v>
      </c>
    </row>
    <row r="2106" spans="1:10" ht="15.75" hidden="1" thickBot="1" x14ac:dyDescent="0.3">
      <c r="A2106" s="176"/>
      <c r="B2106" s="175"/>
      <c r="C2106" s="36"/>
      <c r="D2106" s="47"/>
      <c r="E2106" s="37"/>
      <c r="F2106" s="34" t="s">
        <v>568</v>
      </c>
      <c r="G2106" s="34" t="str">
        <f>IF(ISNUMBER(F2106),E2106*F2106,"")</f>
        <v/>
      </c>
      <c r="H2106" s="35"/>
      <c r="I2106" s="31"/>
      <c r="J2106" s="155">
        <v>0</v>
      </c>
    </row>
    <row r="2107" spans="1:10" ht="39" hidden="1" thickBot="1" x14ac:dyDescent="0.3">
      <c r="A2107" s="176"/>
      <c r="B2107" s="175"/>
      <c r="C2107" s="52" t="s">
        <v>692</v>
      </c>
      <c r="D2107" s="47"/>
      <c r="E2107" s="37"/>
      <c r="F2107" s="34" t="s">
        <v>568</v>
      </c>
      <c r="G2107" s="34" t="str">
        <f>IF(ISNUMBER(F2107),E2107*F2107,"")</f>
        <v/>
      </c>
      <c r="H2107" s="35"/>
      <c r="I2107" s="31"/>
      <c r="J2107" s="155">
        <v>0</v>
      </c>
    </row>
    <row r="2108" spans="1:10" ht="15.75" hidden="1" thickBot="1" x14ac:dyDescent="0.3">
      <c r="A2108" s="177"/>
      <c r="B2108" s="178"/>
      <c r="C2108" s="36"/>
      <c r="D2108" s="36"/>
      <c r="E2108" s="37"/>
      <c r="F2108" s="31" t="s">
        <v>568</v>
      </c>
      <c r="G2108" s="31" t="str">
        <f>IF(ISNUMBER(F2108),E2108*F2108,"")</f>
        <v/>
      </c>
      <c r="H2108" s="35"/>
      <c r="I2108" s="31"/>
      <c r="J2108" s="155">
        <v>0</v>
      </c>
    </row>
    <row r="2109" spans="1:10" ht="15.75" hidden="1" thickBot="1" x14ac:dyDescent="0.3">
      <c r="A2109" s="172" t="s">
        <v>711</v>
      </c>
      <c r="B2109" s="174" t="str">
        <f>INDEX(Orçamentária!A:B,MATCH(Composições!A2109,Orçamentária!A:A,0),2)</f>
        <v>Isolamento elastomérico para tubulações de ferro de 1"</v>
      </c>
      <c r="C2109" s="41"/>
      <c r="D2109" s="26" t="str">
        <f>TRIM(INDEX(Orçamentária!C:C,MATCH(Composições!A2109,Orçamentária!A:A,0),1))</f>
        <v>m</v>
      </c>
      <c r="E2109" s="27"/>
      <c r="F2109" s="42" t="s">
        <v>568</v>
      </c>
      <c r="G2109" s="28" t="str">
        <f>IF(ISNUMBER(F2109),E2109*F2109,"")</f>
        <v/>
      </c>
      <c r="H2109" s="29"/>
      <c r="I2109" s="30"/>
      <c r="J2109" s="155">
        <v>0</v>
      </c>
    </row>
    <row r="2110" spans="1:10" ht="15.75" hidden="1" thickBot="1" x14ac:dyDescent="0.3">
      <c r="A2110" s="176"/>
      <c r="B2110" s="175"/>
      <c r="C2110" s="32"/>
      <c r="D2110" s="32"/>
      <c r="E2110" s="33"/>
      <c r="F2110" s="43" t="s">
        <v>568</v>
      </c>
      <c r="G2110" s="31" t="str">
        <f>IF(ISNUMBER(F2110),E2110*F2110,"")</f>
        <v/>
      </c>
      <c r="H2110" s="35"/>
      <c r="I2110" s="31"/>
      <c r="J2110" s="155">
        <v>0</v>
      </c>
    </row>
    <row r="2111" spans="1:10" ht="39" hidden="1" thickBot="1" x14ac:dyDescent="0.3">
      <c r="A2111" s="176"/>
      <c r="B2111" s="175"/>
      <c r="C2111" s="36" t="s">
        <v>712</v>
      </c>
      <c r="D2111" s="47" t="s">
        <v>93</v>
      </c>
      <c r="E2111" s="37">
        <v>1.0210999999999999</v>
      </c>
      <c r="F2111" s="34" t="s">
        <v>568</v>
      </c>
      <c r="G2111" s="34" t="str">
        <f>IF(ISNUMBER(F2111),E2111*F2111,"")</f>
        <v/>
      </c>
      <c r="H2111" s="39">
        <f>SUM(G2111:G2113)</f>
        <v>0.73944959999999993</v>
      </c>
      <c r="I2111" s="40"/>
      <c r="J2111" s="155">
        <v>0</v>
      </c>
    </row>
    <row r="2112" spans="1:10" ht="26.25" hidden="1" thickBot="1" x14ac:dyDescent="0.3">
      <c r="A2112" s="176"/>
      <c r="B2112" s="175"/>
      <c r="C2112" s="36" t="s">
        <v>109</v>
      </c>
      <c r="D2112" s="47" t="s">
        <v>12</v>
      </c>
      <c r="E2112" s="37">
        <f>0.064*0.3</f>
        <v>1.9199999999999998E-2</v>
      </c>
      <c r="F2112" s="31">
        <v>16.891000000000002</v>
      </c>
      <c r="G2112" s="34">
        <f>IF(ISNUMBER(F2112),E2112*F2112,"")</f>
        <v>0.32430720000000002</v>
      </c>
      <c r="H2112" s="35"/>
      <c r="I2112" s="31"/>
      <c r="J2112" s="155">
        <v>0</v>
      </c>
    </row>
    <row r="2113" spans="1:10" ht="15.75" hidden="1" thickBot="1" x14ac:dyDescent="0.3">
      <c r="A2113" s="176"/>
      <c r="B2113" s="175"/>
      <c r="C2113" s="36" t="s">
        <v>39</v>
      </c>
      <c r="D2113" s="47" t="s">
        <v>12</v>
      </c>
      <c r="E2113" s="37">
        <f>0.064*0.3</f>
        <v>1.9199999999999998E-2</v>
      </c>
      <c r="F2113" s="31">
        <v>21.622</v>
      </c>
      <c r="G2113" s="34">
        <f>IF(ISNUMBER(F2113),E2113*F2113,"")</f>
        <v>0.41514239999999997</v>
      </c>
      <c r="H2113" s="35"/>
      <c r="I2113" s="31"/>
      <c r="J2113" s="155">
        <v>0</v>
      </c>
    </row>
    <row r="2114" spans="1:10" ht="15.75" hidden="1" thickBot="1" x14ac:dyDescent="0.3">
      <c r="A2114" s="176"/>
      <c r="B2114" s="175"/>
      <c r="C2114" s="36"/>
      <c r="D2114" s="47"/>
      <c r="E2114" s="37"/>
      <c r="F2114" s="34" t="s">
        <v>568</v>
      </c>
      <c r="G2114" s="34" t="str">
        <f>IF(ISNUMBER(F2114),E2114*F2114,"")</f>
        <v/>
      </c>
      <c r="H2114" s="35"/>
      <c r="I2114" s="31"/>
      <c r="J2114" s="155">
        <v>0</v>
      </c>
    </row>
    <row r="2115" spans="1:10" ht="39" hidden="1" thickBot="1" x14ac:dyDescent="0.3">
      <c r="A2115" s="176"/>
      <c r="B2115" s="175"/>
      <c r="C2115" s="52" t="s">
        <v>692</v>
      </c>
      <c r="D2115" s="47"/>
      <c r="E2115" s="37"/>
      <c r="F2115" s="34" t="s">
        <v>568</v>
      </c>
      <c r="G2115" s="34" t="str">
        <f>IF(ISNUMBER(F2115),E2115*F2115,"")</f>
        <v/>
      </c>
      <c r="H2115" s="35"/>
      <c r="I2115" s="31"/>
      <c r="J2115" s="155">
        <v>0</v>
      </c>
    </row>
    <row r="2116" spans="1:10" ht="15.75" hidden="1" thickBot="1" x14ac:dyDescent="0.3">
      <c r="A2116" s="177"/>
      <c r="B2116" s="178"/>
      <c r="C2116" s="36"/>
      <c r="D2116" s="36"/>
      <c r="E2116" s="37"/>
      <c r="F2116" s="31" t="s">
        <v>568</v>
      </c>
      <c r="G2116" s="31" t="str">
        <f>IF(ISNUMBER(F2116),E2116*F2116,"")</f>
        <v/>
      </c>
      <c r="H2116" s="35"/>
      <c r="I2116" s="31"/>
      <c r="J2116" s="155">
        <v>0</v>
      </c>
    </row>
    <row r="2117" spans="1:10" ht="15.75" hidden="1" thickBot="1" x14ac:dyDescent="0.3">
      <c r="A2117" s="172" t="s">
        <v>713</v>
      </c>
      <c r="B2117" s="174" t="str">
        <f>INDEX(Orçamentária!A:B,MATCH(Composições!A2117,Orçamentária!A:A,0),2)</f>
        <v>Proteção mecânica em alumínio</v>
      </c>
      <c r="C2117" s="41"/>
      <c r="D2117" s="26" t="str">
        <f>TRIM(INDEX(Orçamentária!C:C,MATCH(Composições!A2117,Orçamentária!A:A,0),1))</f>
        <v>m2</v>
      </c>
      <c r="E2117" s="27"/>
      <c r="F2117" s="42" t="s">
        <v>568</v>
      </c>
      <c r="G2117" s="28" t="str">
        <f>IF(ISNUMBER(F2117),E2117*F2117,"")</f>
        <v/>
      </c>
      <c r="H2117" s="29"/>
      <c r="I2117" s="30"/>
      <c r="J2117" s="155">
        <v>0</v>
      </c>
    </row>
    <row r="2118" spans="1:10" ht="15.75" hidden="1" thickBot="1" x14ac:dyDescent="0.3">
      <c r="A2118" s="176"/>
      <c r="B2118" s="175"/>
      <c r="C2118" s="32"/>
      <c r="D2118" s="32"/>
      <c r="E2118" s="33"/>
      <c r="F2118" s="43" t="s">
        <v>568</v>
      </c>
      <c r="G2118" s="31" t="str">
        <f>IF(ISNUMBER(F2118),E2118*F2118,"")</f>
        <v/>
      </c>
      <c r="H2118" s="35"/>
      <c r="I2118" s="31"/>
      <c r="J2118" s="155">
        <v>0</v>
      </c>
    </row>
    <row r="2119" spans="1:10" ht="26.25" hidden="1" thickBot="1" x14ac:dyDescent="0.3">
      <c r="A2119" s="176"/>
      <c r="B2119" s="175"/>
      <c r="C2119" s="36" t="s">
        <v>109</v>
      </c>
      <c r="D2119" s="47" t="s">
        <v>12</v>
      </c>
      <c r="E2119" s="37">
        <v>0.2</v>
      </c>
      <c r="F2119" s="31">
        <v>16.891000000000002</v>
      </c>
      <c r="G2119" s="34">
        <f>IF(ISNUMBER(F2119),E2119*F2119,"")</f>
        <v>3.3782000000000005</v>
      </c>
      <c r="H2119" s="39">
        <f>SUM(G2119:G2121)</f>
        <v>7.7026000000000003</v>
      </c>
      <c r="I2119" s="40"/>
      <c r="J2119" s="155">
        <v>0</v>
      </c>
    </row>
    <row r="2120" spans="1:10" ht="15.75" hidden="1" thickBot="1" x14ac:dyDescent="0.3">
      <c r="A2120" s="176"/>
      <c r="B2120" s="175"/>
      <c r="C2120" s="36" t="s">
        <v>39</v>
      </c>
      <c r="D2120" s="47" t="s">
        <v>12</v>
      </c>
      <c r="E2120" s="37">
        <v>0.2</v>
      </c>
      <c r="F2120" s="31">
        <v>21.622</v>
      </c>
      <c r="G2120" s="34">
        <f>IF(ISNUMBER(F2120),E2120*F2120,"")</f>
        <v>4.3243999999999998</v>
      </c>
      <c r="H2120" s="35"/>
      <c r="I2120" s="31"/>
      <c r="J2120" s="155">
        <v>0</v>
      </c>
    </row>
    <row r="2121" spans="1:10" ht="15.75" hidden="1" thickBot="1" x14ac:dyDescent="0.3">
      <c r="A2121" s="176"/>
      <c r="B2121" s="175"/>
      <c r="C2121" s="36" t="s">
        <v>714</v>
      </c>
      <c r="D2121" s="47" t="s">
        <v>95</v>
      </c>
      <c r="E2121" s="37">
        <v>1.05</v>
      </c>
      <c r="F2121" s="34" t="s">
        <v>568</v>
      </c>
      <c r="G2121" s="34" t="str">
        <f>IF(ISNUMBER(F2121),E2121*F2121,"")</f>
        <v/>
      </c>
      <c r="H2121" s="35"/>
      <c r="I2121" s="31"/>
      <c r="J2121" s="155">
        <v>0</v>
      </c>
    </row>
    <row r="2122" spans="1:10" ht="15.75" hidden="1" thickBot="1" x14ac:dyDescent="0.3">
      <c r="A2122" s="177"/>
      <c r="B2122" s="178"/>
      <c r="C2122" s="36"/>
      <c r="D2122" s="36"/>
      <c r="E2122" s="37"/>
      <c r="F2122" s="31" t="s">
        <v>568</v>
      </c>
      <c r="G2122" s="31" t="str">
        <f>IF(ISNUMBER(F2122),E2122*F2122,"")</f>
        <v/>
      </c>
      <c r="H2122" s="35"/>
      <c r="I2122" s="31"/>
      <c r="J2122" s="155">
        <v>0</v>
      </c>
    </row>
    <row r="2123" spans="1:10" ht="15.75" hidden="1" thickBot="1" x14ac:dyDescent="0.3">
      <c r="A2123" s="172" t="s">
        <v>715</v>
      </c>
      <c r="B2123" s="174" t="str">
        <f>INDEX(Orçamentária!A:B,MATCH(Composições!A2123,Orçamentária!A:A,0),2)</f>
        <v>Tubo de aço-carbono galvanizado 1 1/2"</v>
      </c>
      <c r="C2123" s="41"/>
      <c r="D2123" s="26" t="str">
        <f>TRIM(INDEX(Orçamentária!C:C,MATCH(Composições!A2123,Orçamentária!A:A,0),1))</f>
        <v>m</v>
      </c>
      <c r="E2123" s="27"/>
      <c r="F2123" s="42" t="s">
        <v>568</v>
      </c>
      <c r="G2123" s="28" t="str">
        <f>IF(ISNUMBER(F2123),E2123*F2123,"")</f>
        <v/>
      </c>
      <c r="H2123" s="29"/>
      <c r="I2123" s="30"/>
      <c r="J2123" s="155">
        <v>0</v>
      </c>
    </row>
    <row r="2124" spans="1:10" ht="15.75" hidden="1" thickBot="1" x14ac:dyDescent="0.3">
      <c r="A2124" s="176"/>
      <c r="B2124" s="175"/>
      <c r="C2124" s="32"/>
      <c r="D2124" s="32"/>
      <c r="E2124" s="33"/>
      <c r="F2124" s="43" t="s">
        <v>568</v>
      </c>
      <c r="G2124" s="31" t="str">
        <f>IF(ISNUMBER(F2124),E2124*F2124,"")</f>
        <v/>
      </c>
      <c r="H2124" s="35"/>
      <c r="I2124" s="31"/>
      <c r="J2124" s="155">
        <v>0</v>
      </c>
    </row>
    <row r="2125" spans="1:10" ht="15.75" hidden="1" thickBot="1" x14ac:dyDescent="0.3">
      <c r="A2125" s="176"/>
      <c r="B2125" s="175"/>
      <c r="C2125" s="36" t="s">
        <v>39</v>
      </c>
      <c r="D2125" s="47" t="s">
        <v>12</v>
      </c>
      <c r="E2125" s="37">
        <v>0.29199999999999998</v>
      </c>
      <c r="F2125" s="31">
        <v>21.622</v>
      </c>
      <c r="G2125" s="31">
        <f>IF(ISNUMBER(F2125),E2125*F2125,"")</f>
        <v>6.3136239999999999</v>
      </c>
      <c r="H2125" s="39">
        <f>SUM(G2125:G2127)</f>
        <v>82.787179999999992</v>
      </c>
      <c r="I2125" s="40"/>
      <c r="J2125" s="155">
        <v>0</v>
      </c>
    </row>
    <row r="2126" spans="1:10" ht="26.25" hidden="1" thickBot="1" x14ac:dyDescent="0.3">
      <c r="A2126" s="176"/>
      <c r="B2126" s="175"/>
      <c r="C2126" s="36" t="s">
        <v>109</v>
      </c>
      <c r="D2126" s="47" t="s">
        <v>12</v>
      </c>
      <c r="E2126" s="37">
        <v>0.29199999999999998</v>
      </c>
      <c r="F2126" s="31">
        <v>16.891000000000002</v>
      </c>
      <c r="G2126" s="31">
        <f>IF(ISNUMBER(F2126),E2126*F2126,"")</f>
        <v>4.9321720000000004</v>
      </c>
      <c r="H2126" s="35"/>
      <c r="I2126" s="31"/>
      <c r="J2126" s="155">
        <v>0</v>
      </c>
    </row>
    <row r="2127" spans="1:10" ht="26.25" hidden="1" thickBot="1" x14ac:dyDescent="0.3">
      <c r="A2127" s="176"/>
      <c r="B2127" s="175"/>
      <c r="C2127" s="36" t="s">
        <v>716</v>
      </c>
      <c r="D2127" s="47" t="s">
        <v>93</v>
      </c>
      <c r="E2127" s="37">
        <v>1.0389999999999999</v>
      </c>
      <c r="F2127" s="34">
        <v>68.855999999999995</v>
      </c>
      <c r="G2127" s="31">
        <f>IF(ISNUMBER(F2127),E2127*F2127,"")</f>
        <v>71.541383999999994</v>
      </c>
      <c r="H2127" s="35"/>
      <c r="I2127" s="31"/>
      <c r="J2127" s="155">
        <v>0</v>
      </c>
    </row>
    <row r="2128" spans="1:10" ht="15.75" hidden="1" thickBot="1" x14ac:dyDescent="0.3">
      <c r="A2128" s="177"/>
      <c r="B2128" s="178"/>
      <c r="C2128" s="36"/>
      <c r="D2128" s="36"/>
      <c r="E2128" s="37"/>
      <c r="F2128" s="31" t="s">
        <v>568</v>
      </c>
      <c r="G2128" s="31" t="str">
        <f>IF(ISNUMBER(F2128),E2128*F2128,"")</f>
        <v/>
      </c>
      <c r="H2128" s="35"/>
      <c r="I2128" s="31"/>
      <c r="J2128" s="155">
        <v>0</v>
      </c>
    </row>
    <row r="2129" spans="1:10" ht="15.75" hidden="1" thickBot="1" x14ac:dyDescent="0.3">
      <c r="A2129" s="172" t="s">
        <v>717</v>
      </c>
      <c r="B2129" s="174" t="str">
        <f>INDEX(Orçamentária!A:B,MATCH(Composições!A2129,Orçamentária!A:A,0),2)</f>
        <v>Tubo de aço-carbono galvanizado 1 1/4"</v>
      </c>
      <c r="C2129" s="41"/>
      <c r="D2129" s="26" t="str">
        <f>TRIM(INDEX(Orçamentária!C:C,MATCH(Composições!A2129,Orçamentária!A:A,0),1))</f>
        <v>m</v>
      </c>
      <c r="E2129" s="27"/>
      <c r="F2129" s="42" t="s">
        <v>568</v>
      </c>
      <c r="G2129" s="28" t="str">
        <f>IF(ISNUMBER(F2129),E2129*F2129,"")</f>
        <v/>
      </c>
      <c r="H2129" s="29"/>
      <c r="I2129" s="30"/>
      <c r="J2129" s="155">
        <v>0</v>
      </c>
    </row>
    <row r="2130" spans="1:10" ht="15.75" hidden="1" thickBot="1" x14ac:dyDescent="0.3">
      <c r="A2130" s="176"/>
      <c r="B2130" s="175"/>
      <c r="C2130" s="32"/>
      <c r="D2130" s="32"/>
      <c r="E2130" s="33"/>
      <c r="F2130" s="43" t="s">
        <v>568</v>
      </c>
      <c r="G2130" s="31" t="str">
        <f>IF(ISNUMBER(F2130),E2130*F2130,"")</f>
        <v/>
      </c>
      <c r="H2130" s="35"/>
      <c r="I2130" s="31"/>
      <c r="J2130" s="155">
        <v>0</v>
      </c>
    </row>
    <row r="2131" spans="1:10" ht="15.75" hidden="1" thickBot="1" x14ac:dyDescent="0.3">
      <c r="A2131" s="176"/>
      <c r="B2131" s="175"/>
      <c r="C2131" s="36" t="s">
        <v>39</v>
      </c>
      <c r="D2131" s="47" t="s">
        <v>12</v>
      </c>
      <c r="E2131" s="37">
        <v>0.27500000000000002</v>
      </c>
      <c r="F2131" s="31">
        <v>21.622</v>
      </c>
      <c r="G2131" s="31">
        <f>IF(ISNUMBER(F2131),E2131*F2131,"")</f>
        <v>5.9460500000000005</v>
      </c>
      <c r="H2131" s="39">
        <f>SUM(G2131:G2133)</f>
        <v>76.239770499999992</v>
      </c>
      <c r="I2131" s="40"/>
      <c r="J2131" s="155">
        <v>0</v>
      </c>
    </row>
    <row r="2132" spans="1:10" ht="26.25" hidden="1" thickBot="1" x14ac:dyDescent="0.3">
      <c r="A2132" s="176"/>
      <c r="B2132" s="175"/>
      <c r="C2132" s="36" t="s">
        <v>109</v>
      </c>
      <c r="D2132" s="47" t="s">
        <v>12</v>
      </c>
      <c r="E2132" s="37">
        <v>0.27500000000000002</v>
      </c>
      <c r="F2132" s="31">
        <v>16.891000000000002</v>
      </c>
      <c r="G2132" s="31">
        <f>IF(ISNUMBER(F2132),E2132*F2132,"")</f>
        <v>4.6450250000000013</v>
      </c>
      <c r="H2132" s="35"/>
      <c r="I2132" s="31"/>
      <c r="J2132" s="155">
        <v>0</v>
      </c>
    </row>
    <row r="2133" spans="1:10" ht="26.25" hidden="1" thickBot="1" x14ac:dyDescent="0.3">
      <c r="A2133" s="176"/>
      <c r="B2133" s="175"/>
      <c r="C2133" s="36" t="s">
        <v>3606</v>
      </c>
      <c r="D2133" s="47" t="s">
        <v>93</v>
      </c>
      <c r="E2133" s="37">
        <v>1.0389999999999999</v>
      </c>
      <c r="F2133" s="31">
        <v>63.1845</v>
      </c>
      <c r="G2133" s="31">
        <f>IF(ISNUMBER(F2133),E2133*F2133,"")</f>
        <v>65.648695499999988</v>
      </c>
      <c r="H2133" s="35"/>
      <c r="I2133" s="31"/>
      <c r="J2133" s="155">
        <v>0</v>
      </c>
    </row>
    <row r="2134" spans="1:10" ht="15.75" hidden="1" thickBot="1" x14ac:dyDescent="0.3">
      <c r="A2134" s="177"/>
      <c r="B2134" s="178"/>
      <c r="C2134" s="36"/>
      <c r="D2134" s="36"/>
      <c r="E2134" s="37"/>
      <c r="F2134" s="31" t="s">
        <v>568</v>
      </c>
      <c r="G2134" s="31" t="str">
        <f>IF(ISNUMBER(F2134),E2134*F2134,"")</f>
        <v/>
      </c>
      <c r="H2134" s="35"/>
      <c r="I2134" s="31"/>
      <c r="J2134" s="155">
        <v>0</v>
      </c>
    </row>
    <row r="2135" spans="1:10" ht="15.75" hidden="1" thickBot="1" x14ac:dyDescent="0.3">
      <c r="A2135" s="172" t="s">
        <v>718</v>
      </c>
      <c r="B2135" s="174" t="str">
        <f>INDEX(Orçamentária!A:B,MATCH(Composições!A2135,Orçamentária!A:A,0),2)</f>
        <v>Tubo de aço-carbono galvanizado 1"</v>
      </c>
      <c r="C2135" s="41"/>
      <c r="D2135" s="26" t="str">
        <f>TRIM(INDEX(Orçamentária!C:C,MATCH(Composições!A2135,Orçamentária!A:A,0),1))</f>
        <v>m</v>
      </c>
      <c r="E2135" s="27"/>
      <c r="F2135" s="42" t="s">
        <v>568</v>
      </c>
      <c r="G2135" s="28" t="str">
        <f>IF(ISNUMBER(F2135),E2135*F2135,"")</f>
        <v/>
      </c>
      <c r="H2135" s="29"/>
      <c r="I2135" s="30"/>
      <c r="J2135" s="155">
        <v>0</v>
      </c>
    </row>
    <row r="2136" spans="1:10" ht="15.75" hidden="1" thickBot="1" x14ac:dyDescent="0.3">
      <c r="A2136" s="176"/>
      <c r="B2136" s="175"/>
      <c r="C2136" s="32"/>
      <c r="D2136" s="32"/>
      <c r="E2136" s="33"/>
      <c r="F2136" s="43" t="s">
        <v>568</v>
      </c>
      <c r="G2136" s="31" t="str">
        <f>IF(ISNUMBER(F2136),E2136*F2136,"")</f>
        <v/>
      </c>
      <c r="H2136" s="35"/>
      <c r="I2136" s="31"/>
      <c r="J2136" s="155">
        <v>0</v>
      </c>
    </row>
    <row r="2137" spans="1:10" ht="15.75" hidden="1" thickBot="1" x14ac:dyDescent="0.3">
      <c r="A2137" s="176"/>
      <c r="B2137" s="175"/>
      <c r="C2137" s="36" t="s">
        <v>39</v>
      </c>
      <c r="D2137" s="47" t="s">
        <v>12</v>
      </c>
      <c r="E2137" s="37">
        <v>0.29699999999999999</v>
      </c>
      <c r="F2137" s="31">
        <v>21.622</v>
      </c>
      <c r="G2137" s="34">
        <f>IF(ISNUMBER(F2137),E2137*F2137,"")</f>
        <v>6.4217339999999998</v>
      </c>
      <c r="H2137" s="39">
        <f>SUM(G2137:G2139)</f>
        <v>60.425652499999998</v>
      </c>
      <c r="I2137" s="40"/>
      <c r="J2137" s="155">
        <v>0</v>
      </c>
    </row>
    <row r="2138" spans="1:10" ht="26.25" hidden="1" thickBot="1" x14ac:dyDescent="0.3">
      <c r="A2138" s="176"/>
      <c r="B2138" s="175"/>
      <c r="C2138" s="36" t="s">
        <v>109</v>
      </c>
      <c r="D2138" s="47" t="s">
        <v>12</v>
      </c>
      <c r="E2138" s="37">
        <v>0.29699999999999999</v>
      </c>
      <c r="F2138" s="31">
        <v>16.891000000000002</v>
      </c>
      <c r="G2138" s="34">
        <f>IF(ISNUMBER(F2138),E2138*F2138,"")</f>
        <v>5.0166270000000006</v>
      </c>
      <c r="H2138" s="35"/>
      <c r="I2138" s="31"/>
      <c r="J2138" s="155">
        <v>0</v>
      </c>
    </row>
    <row r="2139" spans="1:10" ht="26.25" hidden="1" thickBot="1" x14ac:dyDescent="0.3">
      <c r="A2139" s="176"/>
      <c r="B2139" s="175"/>
      <c r="C2139" s="36" t="s">
        <v>3607</v>
      </c>
      <c r="D2139" s="47" t="s">
        <v>93</v>
      </c>
      <c r="E2139" s="37">
        <v>1.0389999999999999</v>
      </c>
      <c r="F2139" s="31">
        <v>47.148499999999999</v>
      </c>
      <c r="G2139" s="34">
        <f>IF(ISNUMBER(F2139),E2139*F2139,"")</f>
        <v>48.987291499999998</v>
      </c>
      <c r="H2139" s="35"/>
      <c r="I2139" s="31"/>
      <c r="J2139" s="155">
        <v>0</v>
      </c>
    </row>
    <row r="2140" spans="1:10" ht="15.75" hidden="1" thickBot="1" x14ac:dyDescent="0.3">
      <c r="A2140" s="177"/>
      <c r="B2140" s="178"/>
      <c r="C2140" s="36"/>
      <c r="D2140" s="36"/>
      <c r="E2140" s="37"/>
      <c r="F2140" s="31" t="s">
        <v>568</v>
      </c>
      <c r="G2140" s="31" t="str">
        <f>IF(ISNUMBER(F2140),E2140*F2140,"")</f>
        <v/>
      </c>
      <c r="H2140" s="35"/>
      <c r="I2140" s="31"/>
      <c r="J2140" s="155">
        <v>0</v>
      </c>
    </row>
    <row r="2141" spans="1:10" ht="15.75" hidden="1" thickBot="1" x14ac:dyDescent="0.3">
      <c r="A2141" s="172" t="s">
        <v>719</v>
      </c>
      <c r="B2141" s="174" t="str">
        <f>INDEX(Orçamentária!A:B,MATCH(Composições!A2141,Orçamentária!A:A,0),2)</f>
        <v>Tubo de aço-carbono galvanizado 3/4"</v>
      </c>
      <c r="C2141" s="41"/>
      <c r="D2141" s="26" t="str">
        <f>TRIM(INDEX(Orçamentária!C:C,MATCH(Composições!A2141,Orçamentária!A:A,0),1))</f>
        <v>m</v>
      </c>
      <c r="E2141" s="27"/>
      <c r="F2141" s="42" t="s">
        <v>568</v>
      </c>
      <c r="G2141" s="28" t="str">
        <f>IF(ISNUMBER(F2141),E2141*F2141,"")</f>
        <v/>
      </c>
      <c r="H2141" s="29"/>
      <c r="I2141" s="30"/>
      <c r="J2141" s="155">
        <v>0</v>
      </c>
    </row>
    <row r="2142" spans="1:10" ht="15.75" hidden="1" thickBot="1" x14ac:dyDescent="0.3">
      <c r="A2142" s="176"/>
      <c r="B2142" s="175"/>
      <c r="C2142" s="32"/>
      <c r="D2142" s="32"/>
      <c r="E2142" s="33"/>
      <c r="F2142" s="43" t="s">
        <v>568</v>
      </c>
      <c r="G2142" s="31" t="str">
        <f>IF(ISNUMBER(F2142),E2142*F2142,"")</f>
        <v/>
      </c>
      <c r="H2142" s="35"/>
      <c r="I2142" s="31"/>
      <c r="J2142" s="155">
        <v>0</v>
      </c>
    </row>
    <row r="2143" spans="1:10" ht="15.75" hidden="1" thickBot="1" x14ac:dyDescent="0.3">
      <c r="A2143" s="176"/>
      <c r="B2143" s="175"/>
      <c r="C2143" s="36" t="s">
        <v>39</v>
      </c>
      <c r="D2143" s="47" t="s">
        <v>12</v>
      </c>
      <c r="E2143" s="37">
        <v>0.29699999999999999</v>
      </c>
      <c r="F2143" s="31">
        <v>21.622</v>
      </c>
      <c r="G2143" s="31">
        <f>IF(ISNUMBER(F2143),E2143*F2143,"")</f>
        <v>6.4217339999999998</v>
      </c>
      <c r="H2143" s="39">
        <f>SUM(G2143:G2145)</f>
        <v>54.967265999999995</v>
      </c>
      <c r="I2143" s="40"/>
      <c r="J2143" s="155">
        <v>0</v>
      </c>
    </row>
    <row r="2144" spans="1:10" ht="26.25" hidden="1" thickBot="1" x14ac:dyDescent="0.3">
      <c r="A2144" s="176"/>
      <c r="B2144" s="175"/>
      <c r="C2144" s="36" t="s">
        <v>109</v>
      </c>
      <c r="D2144" s="47" t="s">
        <v>12</v>
      </c>
      <c r="E2144" s="37">
        <v>0.29699999999999999</v>
      </c>
      <c r="F2144" s="31">
        <v>16.891000000000002</v>
      </c>
      <c r="G2144" s="31">
        <f>IF(ISNUMBER(F2144),E2144*F2144,"")</f>
        <v>5.0166270000000006</v>
      </c>
      <c r="H2144" s="35"/>
      <c r="I2144" s="31"/>
      <c r="J2144" s="155">
        <v>0</v>
      </c>
    </row>
    <row r="2145" spans="1:10" ht="26.25" hidden="1" thickBot="1" x14ac:dyDescent="0.3">
      <c r="A2145" s="176"/>
      <c r="B2145" s="175"/>
      <c r="C2145" s="36" t="s">
        <v>720</v>
      </c>
      <c r="D2145" s="47" t="s">
        <v>93</v>
      </c>
      <c r="E2145" s="37">
        <v>1.0389999999999999</v>
      </c>
      <c r="F2145" s="34">
        <v>41.894999999999996</v>
      </c>
      <c r="G2145" s="31">
        <f>IF(ISNUMBER(F2145),E2145*F2145,"")</f>
        <v>43.528904999999995</v>
      </c>
      <c r="H2145" s="35"/>
      <c r="I2145" s="31"/>
      <c r="J2145" s="155">
        <v>0</v>
      </c>
    </row>
    <row r="2146" spans="1:10" ht="15.75" hidden="1" thickBot="1" x14ac:dyDescent="0.3">
      <c r="A2146" s="177"/>
      <c r="B2146" s="178"/>
      <c r="C2146" s="36"/>
      <c r="D2146" s="36"/>
      <c r="E2146" s="37"/>
      <c r="F2146" s="31" t="s">
        <v>568</v>
      </c>
      <c r="G2146" s="31" t="str">
        <f>IF(ISNUMBER(F2146),E2146*F2146,"")</f>
        <v/>
      </c>
      <c r="H2146" s="35"/>
      <c r="I2146" s="31"/>
      <c r="J2146" s="155">
        <v>0</v>
      </c>
    </row>
    <row r="2147" spans="1:10" ht="15.75" hidden="1" thickBot="1" x14ac:dyDescent="0.3">
      <c r="A2147" s="172" t="s">
        <v>721</v>
      </c>
      <c r="B2147" s="174" t="str">
        <f>INDEX(Orçamentária!A:B,MATCH(Composições!A2147,Orçamentária!A:A,0),2)</f>
        <v>Tubo de cobre de 1/2"</v>
      </c>
      <c r="C2147" s="41"/>
      <c r="D2147" s="26" t="str">
        <f>TRIM(INDEX(Orçamentária!C:C,MATCH(Composições!A2147,Orçamentária!A:A,0),1))</f>
        <v>m</v>
      </c>
      <c r="E2147" s="27"/>
      <c r="F2147" s="42" t="s">
        <v>568</v>
      </c>
      <c r="G2147" s="28" t="str">
        <f>IF(ISNUMBER(F2147),E2147*F2147,"")</f>
        <v/>
      </c>
      <c r="H2147" s="29"/>
      <c r="I2147" s="30"/>
      <c r="J2147" s="155">
        <v>0</v>
      </c>
    </row>
    <row r="2148" spans="1:10" ht="15.75" hidden="1" thickBot="1" x14ac:dyDescent="0.3">
      <c r="A2148" s="176"/>
      <c r="B2148" s="175"/>
      <c r="C2148" s="32"/>
      <c r="D2148" s="32"/>
      <c r="E2148" s="33"/>
      <c r="F2148" s="43" t="s">
        <v>568</v>
      </c>
      <c r="G2148" s="31" t="str">
        <f>IF(ISNUMBER(F2148),E2148*F2148,"")</f>
        <v/>
      </c>
      <c r="H2148" s="35"/>
      <c r="I2148" s="31"/>
      <c r="J2148" s="155">
        <v>0</v>
      </c>
    </row>
    <row r="2149" spans="1:10" ht="26.25" hidden="1" thickBot="1" x14ac:dyDescent="0.3">
      <c r="A2149" s="176"/>
      <c r="B2149" s="175"/>
      <c r="C2149" s="36" t="s">
        <v>722</v>
      </c>
      <c r="D2149" s="47" t="s">
        <v>93</v>
      </c>
      <c r="E2149" s="37">
        <v>1.0210999999999999</v>
      </c>
      <c r="F2149" s="34">
        <v>34.171499999999995</v>
      </c>
      <c r="G2149" s="34">
        <f>IF(ISNUMBER(F2149),E2149*F2149,"")</f>
        <v>34.892518649999992</v>
      </c>
      <c r="H2149" s="39">
        <f>SUM(G2149:G2151)</f>
        <v>36.537023749999989</v>
      </c>
      <c r="I2149" s="40"/>
      <c r="J2149" s="155">
        <v>0</v>
      </c>
    </row>
    <row r="2150" spans="1:10" ht="26.25" hidden="1" thickBot="1" x14ac:dyDescent="0.3">
      <c r="A2150" s="176"/>
      <c r="B2150" s="175"/>
      <c r="C2150" s="36" t="s">
        <v>109</v>
      </c>
      <c r="D2150" s="47" t="s">
        <v>12</v>
      </c>
      <c r="E2150" s="37">
        <f>0.061*0.7</f>
        <v>4.2699999999999995E-2</v>
      </c>
      <c r="F2150" s="31">
        <v>16.891000000000002</v>
      </c>
      <c r="G2150" s="34">
        <f>IF(ISNUMBER(F2150),E2150*F2150,"")</f>
        <v>0.72124569999999999</v>
      </c>
      <c r="H2150" s="35"/>
      <c r="I2150" s="31"/>
      <c r="J2150" s="155">
        <v>0</v>
      </c>
    </row>
    <row r="2151" spans="1:10" ht="15.75" hidden="1" thickBot="1" x14ac:dyDescent="0.3">
      <c r="A2151" s="176"/>
      <c r="B2151" s="175"/>
      <c r="C2151" s="36" t="s">
        <v>39</v>
      </c>
      <c r="D2151" s="47" t="s">
        <v>12</v>
      </c>
      <c r="E2151" s="37">
        <f>0.061*0.7</f>
        <v>4.2699999999999995E-2</v>
      </c>
      <c r="F2151" s="31">
        <v>21.622</v>
      </c>
      <c r="G2151" s="34">
        <f>IF(ISNUMBER(F2151),E2151*F2151,"")</f>
        <v>0.92325939999999984</v>
      </c>
      <c r="H2151" s="35"/>
      <c r="I2151" s="31"/>
      <c r="J2151" s="155">
        <v>0</v>
      </c>
    </row>
    <row r="2152" spans="1:10" ht="15.75" hidden="1" thickBot="1" x14ac:dyDescent="0.3">
      <c r="A2152" s="176"/>
      <c r="B2152" s="175"/>
      <c r="C2152" s="36"/>
      <c r="D2152" s="47"/>
      <c r="E2152" s="37"/>
      <c r="F2152" s="31" t="s">
        <v>568</v>
      </c>
      <c r="G2152" s="34" t="str">
        <f>IF(ISNUMBER(F2152),E2152*F2152,"")</f>
        <v/>
      </c>
      <c r="H2152" s="35"/>
      <c r="I2152" s="31"/>
      <c r="J2152" s="155">
        <v>0</v>
      </c>
    </row>
    <row r="2153" spans="1:10" ht="39" hidden="1" thickBot="1" x14ac:dyDescent="0.3">
      <c r="A2153" s="176"/>
      <c r="B2153" s="175"/>
      <c r="C2153" s="52" t="s">
        <v>692</v>
      </c>
      <c r="D2153" s="47"/>
      <c r="E2153" s="37"/>
      <c r="F2153" s="31" t="s">
        <v>568</v>
      </c>
      <c r="G2153" s="34" t="str">
        <f>IF(ISNUMBER(F2153),E2153*F2153,"")</f>
        <v/>
      </c>
      <c r="H2153" s="35"/>
      <c r="I2153" s="31"/>
      <c r="J2153" s="155">
        <v>0</v>
      </c>
    </row>
    <row r="2154" spans="1:10" ht="15.75" hidden="1" thickBot="1" x14ac:dyDescent="0.3">
      <c r="A2154" s="177"/>
      <c r="B2154" s="178"/>
      <c r="C2154" s="36"/>
      <c r="D2154" s="36"/>
      <c r="E2154" s="37"/>
      <c r="F2154" s="31" t="s">
        <v>568</v>
      </c>
      <c r="G2154" s="31" t="str">
        <f>IF(ISNUMBER(F2154),E2154*F2154,"")</f>
        <v/>
      </c>
      <c r="H2154" s="35"/>
      <c r="I2154" s="31"/>
      <c r="J2154" s="155">
        <v>0</v>
      </c>
    </row>
    <row r="2155" spans="1:10" ht="15.75" hidden="1" thickBot="1" x14ac:dyDescent="0.3">
      <c r="A2155" s="172" t="s">
        <v>723</v>
      </c>
      <c r="B2155" s="174" t="str">
        <f>INDEX(Orçamentária!A:B,MATCH(Composições!A2155,Orçamentária!A:A,0),2)</f>
        <v>Tubo de cobre de 1/4"</v>
      </c>
      <c r="C2155" s="41"/>
      <c r="D2155" s="26" t="str">
        <f>TRIM(INDEX(Orçamentária!C:C,MATCH(Composições!A2155,Orçamentária!A:A,0),1))</f>
        <v>m</v>
      </c>
      <c r="E2155" s="27"/>
      <c r="F2155" s="42" t="s">
        <v>568</v>
      </c>
      <c r="G2155" s="28" t="str">
        <f>IF(ISNUMBER(F2155),E2155*F2155,"")</f>
        <v/>
      </c>
      <c r="H2155" s="29"/>
      <c r="I2155" s="30"/>
      <c r="J2155" s="155">
        <v>0</v>
      </c>
    </row>
    <row r="2156" spans="1:10" ht="15.75" hidden="1" thickBot="1" x14ac:dyDescent="0.3">
      <c r="A2156" s="176"/>
      <c r="B2156" s="175"/>
      <c r="C2156" s="32"/>
      <c r="D2156" s="32"/>
      <c r="E2156" s="33"/>
      <c r="F2156" s="43" t="s">
        <v>568</v>
      </c>
      <c r="G2156" s="31" t="str">
        <f>IF(ISNUMBER(F2156),E2156*F2156,"")</f>
        <v/>
      </c>
      <c r="H2156" s="35"/>
      <c r="I2156" s="31"/>
      <c r="J2156" s="155">
        <v>0</v>
      </c>
    </row>
    <row r="2157" spans="1:10" ht="26.25" hidden="1" thickBot="1" x14ac:dyDescent="0.3">
      <c r="A2157" s="176"/>
      <c r="B2157" s="175"/>
      <c r="C2157" s="36" t="s">
        <v>724</v>
      </c>
      <c r="D2157" s="47" t="s">
        <v>93</v>
      </c>
      <c r="E2157" s="37">
        <v>1.0210999999999999</v>
      </c>
      <c r="F2157" s="34">
        <v>16.377999999999997</v>
      </c>
      <c r="G2157" s="34">
        <f>IF(ISNUMBER(F2157),E2157*F2157,"")</f>
        <v>16.723575799999995</v>
      </c>
      <c r="H2157" s="39">
        <f>SUM(G2157:G2159)</f>
        <v>18.125448999999996</v>
      </c>
      <c r="I2157" s="40"/>
      <c r="J2157" s="155">
        <v>0</v>
      </c>
    </row>
    <row r="2158" spans="1:10" ht="26.25" hidden="1" thickBot="1" x14ac:dyDescent="0.3">
      <c r="A2158" s="176"/>
      <c r="B2158" s="175"/>
      <c r="C2158" s="36" t="s">
        <v>109</v>
      </c>
      <c r="D2158" s="47" t="s">
        <v>12</v>
      </c>
      <c r="E2158" s="37">
        <f>0.052*0.7</f>
        <v>3.6399999999999995E-2</v>
      </c>
      <c r="F2158" s="31">
        <v>16.891000000000002</v>
      </c>
      <c r="G2158" s="34">
        <f>IF(ISNUMBER(F2158),E2158*F2158,"")</f>
        <v>0.61483239999999995</v>
      </c>
      <c r="H2158" s="35"/>
      <c r="I2158" s="31"/>
      <c r="J2158" s="155">
        <v>0</v>
      </c>
    </row>
    <row r="2159" spans="1:10" ht="15.75" hidden="1" thickBot="1" x14ac:dyDescent="0.3">
      <c r="A2159" s="176"/>
      <c r="B2159" s="175"/>
      <c r="C2159" s="36" t="s">
        <v>39</v>
      </c>
      <c r="D2159" s="47" t="s">
        <v>12</v>
      </c>
      <c r="E2159" s="37">
        <f>0.052*0.7</f>
        <v>3.6399999999999995E-2</v>
      </c>
      <c r="F2159" s="31">
        <v>21.622</v>
      </c>
      <c r="G2159" s="34">
        <f>IF(ISNUMBER(F2159),E2159*F2159,"")</f>
        <v>0.78704079999999987</v>
      </c>
      <c r="H2159" s="35"/>
      <c r="I2159" s="31"/>
      <c r="J2159" s="155">
        <v>0</v>
      </c>
    </row>
    <row r="2160" spans="1:10" ht="15.75" hidden="1" thickBot="1" x14ac:dyDescent="0.3">
      <c r="A2160" s="176"/>
      <c r="B2160" s="175"/>
      <c r="C2160" s="36"/>
      <c r="D2160" s="47"/>
      <c r="E2160" s="37"/>
      <c r="F2160" s="34" t="s">
        <v>568</v>
      </c>
      <c r="G2160" s="34" t="str">
        <f>IF(ISNUMBER(F2160),E2160*F2160,"")</f>
        <v/>
      </c>
      <c r="H2160" s="35"/>
      <c r="I2160" s="31"/>
      <c r="J2160" s="155">
        <v>0</v>
      </c>
    </row>
    <row r="2161" spans="1:10" ht="39" hidden="1" thickBot="1" x14ac:dyDescent="0.3">
      <c r="A2161" s="176"/>
      <c r="B2161" s="175"/>
      <c r="C2161" s="52" t="s">
        <v>692</v>
      </c>
      <c r="D2161" s="47"/>
      <c r="E2161" s="37"/>
      <c r="F2161" s="34" t="s">
        <v>568</v>
      </c>
      <c r="G2161" s="34" t="str">
        <f>IF(ISNUMBER(F2161),E2161*F2161,"")</f>
        <v/>
      </c>
      <c r="H2161" s="35"/>
      <c r="I2161" s="31"/>
      <c r="J2161" s="155">
        <v>0</v>
      </c>
    </row>
    <row r="2162" spans="1:10" ht="15.75" hidden="1" thickBot="1" x14ac:dyDescent="0.3">
      <c r="A2162" s="177"/>
      <c r="B2162" s="178"/>
      <c r="C2162" s="36"/>
      <c r="D2162" s="36"/>
      <c r="E2162" s="37"/>
      <c r="F2162" s="31" t="s">
        <v>568</v>
      </c>
      <c r="G2162" s="31" t="str">
        <f>IF(ISNUMBER(F2162),E2162*F2162,"")</f>
        <v/>
      </c>
      <c r="H2162" s="35"/>
      <c r="I2162" s="31"/>
      <c r="J2162" s="155">
        <v>0</v>
      </c>
    </row>
    <row r="2163" spans="1:10" ht="15.75" hidden="1" thickBot="1" x14ac:dyDescent="0.3">
      <c r="A2163" s="172" t="s">
        <v>725</v>
      </c>
      <c r="B2163" s="174" t="str">
        <f>INDEX(Orçamentária!A:B,MATCH(Composições!A2163,Orçamentária!A:A,0),2)</f>
        <v>Tubo de cobre de 3/4"</v>
      </c>
      <c r="C2163" s="41"/>
      <c r="D2163" s="26" t="str">
        <f>TRIM(INDEX(Orçamentária!C:C,MATCH(Composições!A2163,Orçamentária!A:A,0),1))</f>
        <v>m</v>
      </c>
      <c r="E2163" s="27"/>
      <c r="F2163" s="42" t="s">
        <v>568</v>
      </c>
      <c r="G2163" s="28" t="str">
        <f>IF(ISNUMBER(F2163),E2163*F2163,"")</f>
        <v/>
      </c>
      <c r="H2163" s="29"/>
      <c r="I2163" s="30"/>
      <c r="J2163" s="155">
        <v>0</v>
      </c>
    </row>
    <row r="2164" spans="1:10" ht="15.75" hidden="1" thickBot="1" x14ac:dyDescent="0.3">
      <c r="A2164" s="176"/>
      <c r="B2164" s="175"/>
      <c r="C2164" s="32"/>
      <c r="D2164" s="32"/>
      <c r="E2164" s="33"/>
      <c r="F2164" s="43" t="s">
        <v>568</v>
      </c>
      <c r="G2164" s="31" t="str">
        <f>IF(ISNUMBER(F2164),E2164*F2164,"")</f>
        <v/>
      </c>
      <c r="H2164" s="35"/>
      <c r="I2164" s="31"/>
      <c r="J2164" s="155">
        <v>0</v>
      </c>
    </row>
    <row r="2165" spans="1:10" ht="26.25" hidden="1" thickBot="1" x14ac:dyDescent="0.3">
      <c r="A2165" s="176"/>
      <c r="B2165" s="175"/>
      <c r="C2165" s="36" t="s">
        <v>726</v>
      </c>
      <c r="D2165" s="47" t="s">
        <v>93</v>
      </c>
      <c r="E2165" s="37">
        <v>1.0210999999999999</v>
      </c>
      <c r="F2165" s="34">
        <v>51.404499999999999</v>
      </c>
      <c r="G2165" s="34">
        <f>IF(ISNUMBER(F2165),E2165*F2165,"")</f>
        <v>52.489134949999993</v>
      </c>
      <c r="H2165" s="39">
        <f>SUM(G2165:G2167)</f>
        <v>54.214517349999994</v>
      </c>
      <c r="I2165" s="40"/>
      <c r="J2165" s="155">
        <v>0</v>
      </c>
    </row>
    <row r="2166" spans="1:10" ht="26.25" hidden="1" thickBot="1" x14ac:dyDescent="0.3">
      <c r="A2166" s="176"/>
      <c r="B2166" s="175"/>
      <c r="C2166" s="36" t="s">
        <v>109</v>
      </c>
      <c r="D2166" s="47" t="s">
        <v>12</v>
      </c>
      <c r="E2166" s="37">
        <f>0.064*0.7</f>
        <v>4.48E-2</v>
      </c>
      <c r="F2166" s="31">
        <v>16.891000000000002</v>
      </c>
      <c r="G2166" s="34">
        <f>IF(ISNUMBER(F2166),E2166*F2166,"")</f>
        <v>0.75671680000000008</v>
      </c>
      <c r="H2166" s="35"/>
      <c r="I2166" s="31"/>
      <c r="J2166" s="155">
        <v>0</v>
      </c>
    </row>
    <row r="2167" spans="1:10" ht="15.75" hidden="1" thickBot="1" x14ac:dyDescent="0.3">
      <c r="A2167" s="176"/>
      <c r="B2167" s="175"/>
      <c r="C2167" s="36" t="s">
        <v>39</v>
      </c>
      <c r="D2167" s="47" t="s">
        <v>12</v>
      </c>
      <c r="E2167" s="37">
        <f>0.064*0.7</f>
        <v>4.48E-2</v>
      </c>
      <c r="F2167" s="31">
        <v>21.622</v>
      </c>
      <c r="G2167" s="34">
        <f>IF(ISNUMBER(F2167),E2167*F2167,"")</f>
        <v>0.96866560000000002</v>
      </c>
      <c r="H2167" s="35"/>
      <c r="I2167" s="31"/>
      <c r="J2167" s="155">
        <v>0</v>
      </c>
    </row>
    <row r="2168" spans="1:10" ht="15.75" hidden="1" thickBot="1" x14ac:dyDescent="0.3">
      <c r="A2168" s="176"/>
      <c r="B2168" s="175"/>
      <c r="C2168" s="36"/>
      <c r="D2168" s="47"/>
      <c r="E2168" s="37"/>
      <c r="F2168" s="34" t="s">
        <v>568</v>
      </c>
      <c r="G2168" s="34" t="str">
        <f>IF(ISNUMBER(F2168),E2168*F2168,"")</f>
        <v/>
      </c>
      <c r="H2168" s="35"/>
      <c r="I2168" s="31"/>
      <c r="J2168" s="155">
        <v>0</v>
      </c>
    </row>
    <row r="2169" spans="1:10" ht="39" hidden="1" thickBot="1" x14ac:dyDescent="0.3">
      <c r="A2169" s="176"/>
      <c r="B2169" s="175"/>
      <c r="C2169" s="52" t="s">
        <v>692</v>
      </c>
      <c r="D2169" s="47"/>
      <c r="E2169" s="37"/>
      <c r="F2169" s="34" t="s">
        <v>568</v>
      </c>
      <c r="G2169" s="34" t="str">
        <f>IF(ISNUMBER(F2169),E2169*F2169,"")</f>
        <v/>
      </c>
      <c r="H2169" s="35"/>
      <c r="I2169" s="31"/>
      <c r="J2169" s="155">
        <v>0</v>
      </c>
    </row>
    <row r="2170" spans="1:10" ht="15.75" hidden="1" thickBot="1" x14ac:dyDescent="0.3">
      <c r="A2170" s="177"/>
      <c r="B2170" s="178"/>
      <c r="C2170" s="36"/>
      <c r="D2170" s="36"/>
      <c r="E2170" s="37"/>
      <c r="F2170" s="31" t="s">
        <v>568</v>
      </c>
      <c r="G2170" s="31" t="str">
        <f>IF(ISNUMBER(F2170),E2170*F2170,"")</f>
        <v/>
      </c>
      <c r="H2170" s="35"/>
      <c r="I2170" s="31"/>
      <c r="J2170" s="155">
        <v>0</v>
      </c>
    </row>
    <row r="2171" spans="1:10" ht="15.75" thickBot="1" x14ac:dyDescent="0.3">
      <c r="A2171" s="172" t="s">
        <v>727</v>
      </c>
      <c r="B2171" s="174" t="str">
        <f>INDEX(Orçamentária!A:B,MATCH(Composições!A2171,Orçamentária!A:A,0),2)</f>
        <v>Tubo de cobre de 3/8"</v>
      </c>
      <c r="C2171" s="41"/>
      <c r="D2171" s="26" t="str">
        <f>TRIM(INDEX(Orçamentária!C:C,MATCH(Composições!A2171,Orçamentária!A:A,0),1))</f>
        <v>m</v>
      </c>
      <c r="E2171" s="27"/>
      <c r="F2171" s="42" t="s">
        <v>568</v>
      </c>
      <c r="G2171" s="28" t="str">
        <f>IF(ISNUMBER(F2171),E2171*F2171,"")</f>
        <v/>
      </c>
      <c r="H2171" s="29"/>
      <c r="I2171" s="30"/>
      <c r="J2171" s="155">
        <v>17</v>
      </c>
    </row>
    <row r="2172" spans="1:10" x14ac:dyDescent="0.25">
      <c r="A2172" s="176"/>
      <c r="B2172" s="175"/>
      <c r="C2172" s="32"/>
      <c r="D2172" s="32"/>
      <c r="E2172" s="33"/>
      <c r="F2172" s="43" t="s">
        <v>568</v>
      </c>
      <c r="G2172" s="31" t="str">
        <f>IF(ISNUMBER(F2172),E2172*F2172,"")</f>
        <v/>
      </c>
      <c r="H2172" s="35"/>
      <c r="I2172" s="31"/>
      <c r="J2172" s="155">
        <v>17</v>
      </c>
    </row>
    <row r="2173" spans="1:10" ht="25.5" x14ac:dyDescent="0.25">
      <c r="A2173" s="176"/>
      <c r="B2173" s="175"/>
      <c r="C2173" s="36" t="s">
        <v>728</v>
      </c>
      <c r="D2173" s="47" t="s">
        <v>93</v>
      </c>
      <c r="E2173" s="37">
        <v>1.0210999999999999</v>
      </c>
      <c r="F2173" s="34">
        <v>25.193999999999999</v>
      </c>
      <c r="G2173" s="34">
        <f>IF(ISNUMBER(F2173),E2173*F2173,"")</f>
        <v>25.725593399999998</v>
      </c>
      <c r="H2173" s="39">
        <f>SUM(G2173:G2175)</f>
        <v>27.262262099999997</v>
      </c>
      <c r="I2173" s="40"/>
      <c r="J2173" s="155">
        <v>17</v>
      </c>
    </row>
    <row r="2174" spans="1:10" ht="25.5" x14ac:dyDescent="0.25">
      <c r="A2174" s="176"/>
      <c r="B2174" s="175"/>
      <c r="C2174" s="36" t="s">
        <v>109</v>
      </c>
      <c r="D2174" s="47" t="s">
        <v>12</v>
      </c>
      <c r="E2174" s="37">
        <f>0.057*0.7</f>
        <v>3.9899999999999998E-2</v>
      </c>
      <c r="F2174" s="31">
        <v>16.891000000000002</v>
      </c>
      <c r="G2174" s="34">
        <f>IF(ISNUMBER(F2174),E2174*F2174,"")</f>
        <v>0.67395090000000002</v>
      </c>
      <c r="H2174" s="35"/>
      <c r="I2174" s="31"/>
      <c r="J2174" s="155">
        <v>17</v>
      </c>
    </row>
    <row r="2175" spans="1:10" x14ac:dyDescent="0.25">
      <c r="A2175" s="176"/>
      <c r="B2175" s="175"/>
      <c r="C2175" s="36" t="s">
        <v>39</v>
      </c>
      <c r="D2175" s="47" t="s">
        <v>12</v>
      </c>
      <c r="E2175" s="37">
        <f>0.057*0.7</f>
        <v>3.9899999999999998E-2</v>
      </c>
      <c r="F2175" s="31">
        <v>21.622</v>
      </c>
      <c r="G2175" s="34">
        <f>IF(ISNUMBER(F2175),E2175*F2175,"")</f>
        <v>0.86271779999999998</v>
      </c>
      <c r="H2175" s="35"/>
      <c r="I2175" s="31"/>
      <c r="J2175" s="155">
        <v>17</v>
      </c>
    </row>
    <row r="2176" spans="1:10" x14ac:dyDescent="0.25">
      <c r="A2176" s="176"/>
      <c r="B2176" s="175"/>
      <c r="C2176" s="36"/>
      <c r="D2176" s="47"/>
      <c r="E2176" s="37"/>
      <c r="F2176" s="34" t="s">
        <v>568</v>
      </c>
      <c r="G2176" s="34" t="str">
        <f>IF(ISNUMBER(F2176),E2176*F2176,"")</f>
        <v/>
      </c>
      <c r="H2176" s="35"/>
      <c r="I2176" s="31"/>
      <c r="J2176" s="155">
        <v>17</v>
      </c>
    </row>
    <row r="2177" spans="1:10" ht="38.25" x14ac:dyDescent="0.25">
      <c r="A2177" s="176"/>
      <c r="B2177" s="175"/>
      <c r="C2177" s="52" t="s">
        <v>692</v>
      </c>
      <c r="D2177" s="47"/>
      <c r="E2177" s="37"/>
      <c r="F2177" s="34" t="s">
        <v>568</v>
      </c>
      <c r="G2177" s="34" t="str">
        <f>IF(ISNUMBER(F2177),E2177*F2177,"")</f>
        <v/>
      </c>
      <c r="H2177" s="35"/>
      <c r="I2177" s="31"/>
      <c r="J2177" s="155">
        <v>17</v>
      </c>
    </row>
    <row r="2178" spans="1:10" ht="15.75" thickBot="1" x14ac:dyDescent="0.3">
      <c r="A2178" s="177"/>
      <c r="B2178" s="178"/>
      <c r="C2178" s="36"/>
      <c r="D2178" s="36"/>
      <c r="E2178" s="37"/>
      <c r="F2178" s="31" t="s">
        <v>568</v>
      </c>
      <c r="G2178" s="31" t="str">
        <f>IF(ISNUMBER(F2178),E2178*F2178,"")</f>
        <v/>
      </c>
      <c r="H2178" s="35"/>
      <c r="I2178" s="31"/>
      <c r="J2178" s="155">
        <v>17</v>
      </c>
    </row>
    <row r="2179" spans="1:10" ht="15.75" hidden="1" thickBot="1" x14ac:dyDescent="0.3">
      <c r="A2179" s="172" t="s">
        <v>729</v>
      </c>
      <c r="B2179" s="174" t="str">
        <f>INDEX(Orçamentária!A:B,MATCH(Composições!A2179,Orçamentária!A:A,0),2)</f>
        <v>Tubo de cobre de 5/8"</v>
      </c>
      <c r="C2179" s="41"/>
      <c r="D2179" s="26" t="str">
        <f>TRIM(INDEX(Orçamentária!C:C,MATCH(Composições!A2179,Orçamentária!A:A,0),1))</f>
        <v>m</v>
      </c>
      <c r="E2179" s="27"/>
      <c r="F2179" s="42" t="s">
        <v>568</v>
      </c>
      <c r="G2179" s="28" t="str">
        <f>IF(ISNUMBER(F2179),E2179*F2179,"")</f>
        <v/>
      </c>
      <c r="H2179" s="29"/>
      <c r="I2179" s="30"/>
      <c r="J2179" s="155">
        <v>0</v>
      </c>
    </row>
    <row r="2180" spans="1:10" ht="15.75" hidden="1" thickBot="1" x14ac:dyDescent="0.3">
      <c r="A2180" s="176"/>
      <c r="B2180" s="175"/>
      <c r="C2180" s="32"/>
      <c r="D2180" s="32"/>
      <c r="E2180" s="33"/>
      <c r="F2180" s="43" t="s">
        <v>568</v>
      </c>
      <c r="G2180" s="31" t="str">
        <f>IF(ISNUMBER(F2180),E2180*F2180,"")</f>
        <v/>
      </c>
      <c r="H2180" s="35"/>
      <c r="I2180" s="31"/>
      <c r="J2180" s="155">
        <v>0</v>
      </c>
    </row>
    <row r="2181" spans="1:10" ht="26.25" hidden="1" thickBot="1" x14ac:dyDescent="0.3">
      <c r="A2181" s="176"/>
      <c r="B2181" s="175"/>
      <c r="C2181" s="36" t="s">
        <v>730</v>
      </c>
      <c r="D2181" s="47" t="s">
        <v>93</v>
      </c>
      <c r="E2181" s="37">
        <v>1.0210999999999999</v>
      </c>
      <c r="F2181" s="34">
        <v>42.503</v>
      </c>
      <c r="G2181" s="34">
        <f>IF(ISNUMBER(F2181),E2181*F2181,"")</f>
        <v>43.399813299999998</v>
      </c>
      <c r="H2181" s="39">
        <f>SUM(G2181:G2183)</f>
        <v>45.125195699999999</v>
      </c>
      <c r="I2181" s="40"/>
      <c r="J2181" s="155">
        <v>0</v>
      </c>
    </row>
    <row r="2182" spans="1:10" ht="26.25" hidden="1" thickBot="1" x14ac:dyDescent="0.3">
      <c r="A2182" s="176"/>
      <c r="B2182" s="175"/>
      <c r="C2182" s="36" t="s">
        <v>109</v>
      </c>
      <c r="D2182" s="47" t="s">
        <v>12</v>
      </c>
      <c r="E2182" s="37">
        <f>0.064*0.7</f>
        <v>4.48E-2</v>
      </c>
      <c r="F2182" s="31">
        <v>16.891000000000002</v>
      </c>
      <c r="G2182" s="34">
        <f>IF(ISNUMBER(F2182),E2182*F2182,"")</f>
        <v>0.75671680000000008</v>
      </c>
      <c r="H2182" s="35"/>
      <c r="I2182" s="31"/>
      <c r="J2182" s="155">
        <v>0</v>
      </c>
    </row>
    <row r="2183" spans="1:10" ht="15.75" hidden="1" thickBot="1" x14ac:dyDescent="0.3">
      <c r="A2183" s="176"/>
      <c r="B2183" s="175"/>
      <c r="C2183" s="36" t="s">
        <v>39</v>
      </c>
      <c r="D2183" s="47" t="s">
        <v>12</v>
      </c>
      <c r="E2183" s="37">
        <f>0.064*0.7</f>
        <v>4.48E-2</v>
      </c>
      <c r="F2183" s="31">
        <v>21.622</v>
      </c>
      <c r="G2183" s="34">
        <f>IF(ISNUMBER(F2183),E2183*F2183,"")</f>
        <v>0.96866560000000002</v>
      </c>
      <c r="H2183" s="35"/>
      <c r="I2183" s="31"/>
      <c r="J2183" s="155">
        <v>0</v>
      </c>
    </row>
    <row r="2184" spans="1:10" ht="15.75" hidden="1" thickBot="1" x14ac:dyDescent="0.3">
      <c r="A2184" s="176"/>
      <c r="B2184" s="175"/>
      <c r="C2184" s="36"/>
      <c r="D2184" s="47"/>
      <c r="E2184" s="37"/>
      <c r="F2184" s="34" t="s">
        <v>568</v>
      </c>
      <c r="G2184" s="34" t="str">
        <f>IF(ISNUMBER(F2184),E2184*F2184,"")</f>
        <v/>
      </c>
      <c r="H2184" s="35"/>
      <c r="I2184" s="31"/>
      <c r="J2184" s="155">
        <v>0</v>
      </c>
    </row>
    <row r="2185" spans="1:10" ht="39" hidden="1" thickBot="1" x14ac:dyDescent="0.3">
      <c r="A2185" s="176"/>
      <c r="B2185" s="175"/>
      <c r="C2185" s="52" t="s">
        <v>692</v>
      </c>
      <c r="D2185" s="47"/>
      <c r="E2185" s="37"/>
      <c r="F2185" s="34" t="s">
        <v>568</v>
      </c>
      <c r="G2185" s="34" t="str">
        <f>IF(ISNUMBER(F2185),E2185*F2185,"")</f>
        <v/>
      </c>
      <c r="H2185" s="35"/>
      <c r="I2185" s="31"/>
      <c r="J2185" s="155">
        <v>0</v>
      </c>
    </row>
    <row r="2186" spans="1:10" ht="15.75" hidden="1" thickBot="1" x14ac:dyDescent="0.3">
      <c r="A2186" s="177"/>
      <c r="B2186" s="178"/>
      <c r="C2186" s="36"/>
      <c r="D2186" s="36"/>
      <c r="E2186" s="37"/>
      <c r="F2186" s="31" t="s">
        <v>568</v>
      </c>
      <c r="G2186" s="31" t="str">
        <f>IF(ISNUMBER(F2186),E2186*F2186,"")</f>
        <v/>
      </c>
      <c r="H2186" s="35"/>
      <c r="I2186" s="31"/>
      <c r="J2186" s="155">
        <v>0</v>
      </c>
    </row>
    <row r="2187" spans="1:10" ht="15.75" hidden="1" thickBot="1" x14ac:dyDescent="0.3">
      <c r="A2187" s="172" t="s">
        <v>731</v>
      </c>
      <c r="B2187" s="174" t="str">
        <f>INDEX(Orçamentária!A:B,MATCH(Composições!A2187,Orçamentária!A:A,0),2)</f>
        <v>Tubo de cobre de 7/8"</v>
      </c>
      <c r="C2187" s="41"/>
      <c r="D2187" s="26" t="str">
        <f>TRIM(INDEX(Orçamentária!C:C,MATCH(Composições!A2187,Orçamentária!A:A,0),1))</f>
        <v>m</v>
      </c>
      <c r="E2187" s="27"/>
      <c r="F2187" s="42" t="s">
        <v>568</v>
      </c>
      <c r="G2187" s="28" t="str">
        <f>IF(ISNUMBER(F2187),E2187*F2187,"")</f>
        <v/>
      </c>
      <c r="H2187" s="29"/>
      <c r="I2187" s="30"/>
      <c r="J2187" s="155">
        <v>0</v>
      </c>
    </row>
    <row r="2188" spans="1:10" ht="15.75" hidden="1" thickBot="1" x14ac:dyDescent="0.3">
      <c r="A2188" s="176"/>
      <c r="B2188" s="175"/>
      <c r="C2188" s="32"/>
      <c r="D2188" s="32"/>
      <c r="E2188" s="33"/>
      <c r="F2188" s="43" t="s">
        <v>568</v>
      </c>
      <c r="G2188" s="31" t="str">
        <f>IF(ISNUMBER(F2188),E2188*F2188,"")</f>
        <v/>
      </c>
      <c r="H2188" s="35"/>
      <c r="I2188" s="31"/>
      <c r="J2188" s="155">
        <v>0</v>
      </c>
    </row>
    <row r="2189" spans="1:10" ht="26.25" hidden="1" thickBot="1" x14ac:dyDescent="0.3">
      <c r="A2189" s="176"/>
      <c r="B2189" s="175"/>
      <c r="C2189" s="36" t="s">
        <v>732</v>
      </c>
      <c r="D2189" s="47" t="s">
        <v>93</v>
      </c>
      <c r="E2189" s="37">
        <v>1.0210999999999999</v>
      </c>
      <c r="F2189" s="34">
        <v>0.95</v>
      </c>
      <c r="G2189" s="34">
        <f>IF(ISNUMBER(F2189),E2189*F2189,"")</f>
        <v>0.97004499999999982</v>
      </c>
      <c r="H2189" s="39">
        <f>SUM(G2189:G2191)</f>
        <v>2.6954273999999998</v>
      </c>
      <c r="I2189" s="40"/>
      <c r="J2189" s="155">
        <v>0</v>
      </c>
    </row>
    <row r="2190" spans="1:10" ht="26.25" hidden="1" thickBot="1" x14ac:dyDescent="0.3">
      <c r="A2190" s="176"/>
      <c r="B2190" s="175"/>
      <c r="C2190" s="36" t="s">
        <v>109</v>
      </c>
      <c r="D2190" s="47" t="s">
        <v>12</v>
      </c>
      <c r="E2190" s="37">
        <f>0.064*0.7</f>
        <v>4.48E-2</v>
      </c>
      <c r="F2190" s="31">
        <v>16.891000000000002</v>
      </c>
      <c r="G2190" s="34">
        <f>IF(ISNUMBER(F2190),E2190*F2190,"")</f>
        <v>0.75671680000000008</v>
      </c>
      <c r="H2190" s="35"/>
      <c r="I2190" s="31"/>
      <c r="J2190" s="155">
        <v>0</v>
      </c>
    </row>
    <row r="2191" spans="1:10" ht="15.75" hidden="1" thickBot="1" x14ac:dyDescent="0.3">
      <c r="A2191" s="176"/>
      <c r="B2191" s="175"/>
      <c r="C2191" s="36" t="s">
        <v>39</v>
      </c>
      <c r="D2191" s="47" t="s">
        <v>12</v>
      </c>
      <c r="E2191" s="37">
        <f>0.064*0.7</f>
        <v>4.48E-2</v>
      </c>
      <c r="F2191" s="31">
        <v>21.622</v>
      </c>
      <c r="G2191" s="34">
        <f>IF(ISNUMBER(F2191),E2191*F2191,"")</f>
        <v>0.96866560000000002</v>
      </c>
      <c r="H2191" s="35"/>
      <c r="I2191" s="31"/>
      <c r="J2191" s="155">
        <v>0</v>
      </c>
    </row>
    <row r="2192" spans="1:10" ht="15.75" hidden="1" thickBot="1" x14ac:dyDescent="0.3">
      <c r="A2192" s="176"/>
      <c r="B2192" s="175"/>
      <c r="C2192" s="36"/>
      <c r="D2192" s="47"/>
      <c r="E2192" s="37"/>
      <c r="F2192" s="34" t="s">
        <v>568</v>
      </c>
      <c r="G2192" s="34" t="str">
        <f>IF(ISNUMBER(F2192),E2192*F2192,"")</f>
        <v/>
      </c>
      <c r="H2192" s="35"/>
      <c r="I2192" s="31"/>
      <c r="J2192" s="155">
        <v>0</v>
      </c>
    </row>
    <row r="2193" spans="1:10" ht="39" hidden="1" thickBot="1" x14ac:dyDescent="0.3">
      <c r="A2193" s="176"/>
      <c r="B2193" s="175"/>
      <c r="C2193" s="52" t="s">
        <v>692</v>
      </c>
      <c r="D2193" s="47"/>
      <c r="E2193" s="37"/>
      <c r="F2193" s="34" t="s">
        <v>568</v>
      </c>
      <c r="G2193" s="34" t="str">
        <f>IF(ISNUMBER(F2193),E2193*F2193,"")</f>
        <v/>
      </c>
      <c r="H2193" s="35"/>
      <c r="I2193" s="31"/>
      <c r="J2193" s="155">
        <v>0</v>
      </c>
    </row>
    <row r="2194" spans="1:10" ht="15.75" hidden="1" thickBot="1" x14ac:dyDescent="0.3">
      <c r="A2194" s="177"/>
      <c r="B2194" s="178"/>
      <c r="C2194" s="36"/>
      <c r="D2194" s="36"/>
      <c r="E2194" s="37"/>
      <c r="F2194" s="31" t="s">
        <v>568</v>
      </c>
      <c r="G2194" s="31" t="str">
        <f>IF(ISNUMBER(F2194),E2194*F2194,"")</f>
        <v/>
      </c>
      <c r="H2194" s="35"/>
      <c r="I2194" s="31"/>
      <c r="J2194" s="155">
        <v>0</v>
      </c>
    </row>
    <row r="2195" spans="1:10" ht="15.75" thickBot="1" x14ac:dyDescent="0.3">
      <c r="A2195" s="172" t="s">
        <v>733</v>
      </c>
      <c r="B2195" s="174" t="str">
        <f>INDEX(Orçamentária!A:B,MATCH(Composições!A2195,Orçamentária!A:A,0),2)</f>
        <v>Tubo de cobre de 1"</v>
      </c>
      <c r="C2195" s="41"/>
      <c r="D2195" s="26" t="str">
        <f>TRIM(INDEX(Orçamentária!C:C,MATCH(Composições!A2195,Orçamentária!A:A,0),1))</f>
        <v>m</v>
      </c>
      <c r="E2195" s="27"/>
      <c r="F2195" s="42" t="s">
        <v>568</v>
      </c>
      <c r="G2195" s="28" t="str">
        <f>IF(ISNUMBER(F2195),E2195*F2195,"")</f>
        <v/>
      </c>
      <c r="H2195" s="29"/>
      <c r="I2195" s="30"/>
      <c r="J2195" s="155">
        <v>17</v>
      </c>
    </row>
    <row r="2196" spans="1:10" x14ac:dyDescent="0.25">
      <c r="A2196" s="176"/>
      <c r="B2196" s="175"/>
      <c r="C2196" s="32"/>
      <c r="D2196" s="32"/>
      <c r="E2196" s="33"/>
      <c r="F2196" s="43" t="s">
        <v>568</v>
      </c>
      <c r="G2196" s="31" t="str">
        <f>IF(ISNUMBER(F2196),E2196*F2196,"")</f>
        <v/>
      </c>
      <c r="H2196" s="35"/>
      <c r="I2196" s="31"/>
      <c r="J2196" s="155">
        <v>17</v>
      </c>
    </row>
    <row r="2197" spans="1:10" ht="25.5" x14ac:dyDescent="0.25">
      <c r="A2197" s="176"/>
      <c r="B2197" s="175"/>
      <c r="C2197" s="36" t="s">
        <v>734</v>
      </c>
      <c r="D2197" s="47" t="s">
        <v>93</v>
      </c>
      <c r="E2197" s="37">
        <v>1.0210999999999999</v>
      </c>
      <c r="F2197" s="34">
        <v>55.423000000000002</v>
      </c>
      <c r="G2197" s="34">
        <f>IF(ISNUMBER(F2197),E2197*F2197,"")</f>
        <v>56.592425299999995</v>
      </c>
      <c r="H2197" s="39">
        <f>SUM(G2197:G2199)</f>
        <v>58.317807699999996</v>
      </c>
      <c r="I2197" s="40"/>
      <c r="J2197" s="155">
        <v>17</v>
      </c>
    </row>
    <row r="2198" spans="1:10" ht="25.5" x14ac:dyDescent="0.25">
      <c r="A2198" s="176"/>
      <c r="B2198" s="175"/>
      <c r="C2198" s="36" t="s">
        <v>109</v>
      </c>
      <c r="D2198" s="47" t="s">
        <v>12</v>
      </c>
      <c r="E2198" s="37">
        <f>0.064*0.7</f>
        <v>4.48E-2</v>
      </c>
      <c r="F2198" s="31">
        <v>16.891000000000002</v>
      </c>
      <c r="G2198" s="34">
        <f>IF(ISNUMBER(F2198),E2198*F2198,"")</f>
        <v>0.75671680000000008</v>
      </c>
      <c r="H2198" s="35"/>
      <c r="I2198" s="31"/>
      <c r="J2198" s="155">
        <v>17</v>
      </c>
    </row>
    <row r="2199" spans="1:10" x14ac:dyDescent="0.25">
      <c r="A2199" s="176"/>
      <c r="B2199" s="175"/>
      <c r="C2199" s="36" t="s">
        <v>39</v>
      </c>
      <c r="D2199" s="47" t="s">
        <v>12</v>
      </c>
      <c r="E2199" s="37">
        <f>0.064*0.7</f>
        <v>4.48E-2</v>
      </c>
      <c r="F2199" s="31">
        <v>21.622</v>
      </c>
      <c r="G2199" s="34">
        <f>IF(ISNUMBER(F2199),E2199*F2199,"")</f>
        <v>0.96866560000000002</v>
      </c>
      <c r="H2199" s="35"/>
      <c r="I2199" s="31"/>
      <c r="J2199" s="155">
        <v>17</v>
      </c>
    </row>
    <row r="2200" spans="1:10" x14ac:dyDescent="0.25">
      <c r="A2200" s="176"/>
      <c r="B2200" s="175"/>
      <c r="C2200" s="36"/>
      <c r="D2200" s="47"/>
      <c r="E2200" s="37"/>
      <c r="F2200" s="34" t="s">
        <v>568</v>
      </c>
      <c r="G2200" s="34" t="str">
        <f>IF(ISNUMBER(F2200),E2200*F2200,"")</f>
        <v/>
      </c>
      <c r="H2200" s="35"/>
      <c r="I2200" s="31"/>
      <c r="J2200" s="155">
        <v>17</v>
      </c>
    </row>
    <row r="2201" spans="1:10" ht="38.25" x14ac:dyDescent="0.25">
      <c r="A2201" s="176"/>
      <c r="B2201" s="175"/>
      <c r="C2201" s="52" t="s">
        <v>692</v>
      </c>
      <c r="D2201" s="47"/>
      <c r="E2201" s="37"/>
      <c r="F2201" s="34" t="s">
        <v>568</v>
      </c>
      <c r="G2201" s="34" t="str">
        <f>IF(ISNUMBER(F2201),E2201*F2201,"")</f>
        <v/>
      </c>
      <c r="H2201" s="35"/>
      <c r="I2201" s="31"/>
      <c r="J2201" s="155">
        <v>17</v>
      </c>
    </row>
    <row r="2202" spans="1:10" ht="15.75" thickBot="1" x14ac:dyDescent="0.3">
      <c r="A2202" s="177"/>
      <c r="B2202" s="178"/>
      <c r="C2202" s="36"/>
      <c r="D2202" s="36"/>
      <c r="E2202" s="37"/>
      <c r="F2202" s="31" t="s">
        <v>568</v>
      </c>
      <c r="G2202" s="31" t="str">
        <f>IF(ISNUMBER(F2202),E2202*F2202,"")</f>
        <v/>
      </c>
      <c r="H2202" s="35"/>
      <c r="I2202" s="31"/>
      <c r="J2202" s="155">
        <v>17</v>
      </c>
    </row>
    <row r="2203" spans="1:10" ht="15.75" hidden="1" thickBot="1" x14ac:dyDescent="0.3">
      <c r="A2203" s="172" t="s">
        <v>735</v>
      </c>
      <c r="B2203" s="174" t="str">
        <f>INDEX(Orçamentária!A:B,MATCH(Composições!A2203,Orçamentária!A:A,0),2)</f>
        <v>Tubo de cobre de 1 1/8"</v>
      </c>
      <c r="C2203" s="41"/>
      <c r="D2203" s="26" t="str">
        <f>TRIM(INDEX(Orçamentária!C:C,MATCH(Composições!A2203,Orçamentária!A:A,0),1))</f>
        <v>m</v>
      </c>
      <c r="E2203" s="27"/>
      <c r="F2203" s="42" t="s">
        <v>568</v>
      </c>
      <c r="G2203" s="28" t="str">
        <f>IF(ISNUMBER(F2203),E2203*F2203,"")</f>
        <v/>
      </c>
      <c r="H2203" s="29"/>
      <c r="I2203" s="30"/>
      <c r="J2203" s="155">
        <v>0</v>
      </c>
    </row>
    <row r="2204" spans="1:10" ht="15.75" hidden="1" thickBot="1" x14ac:dyDescent="0.3">
      <c r="A2204" s="176"/>
      <c r="B2204" s="175"/>
      <c r="C2204" s="32"/>
      <c r="D2204" s="32"/>
      <c r="E2204" s="33"/>
      <c r="F2204" s="43" t="s">
        <v>568</v>
      </c>
      <c r="G2204" s="31" t="str">
        <f>IF(ISNUMBER(F2204),E2204*F2204,"")</f>
        <v/>
      </c>
      <c r="H2204" s="35"/>
      <c r="I2204" s="31"/>
      <c r="J2204" s="155">
        <v>0</v>
      </c>
    </row>
    <row r="2205" spans="1:10" ht="26.25" hidden="1" thickBot="1" x14ac:dyDescent="0.3">
      <c r="A2205" s="176"/>
      <c r="B2205" s="175"/>
      <c r="C2205" s="36" t="s">
        <v>736</v>
      </c>
      <c r="D2205" s="47" t="s">
        <v>93</v>
      </c>
      <c r="E2205" s="37">
        <v>1.0210999999999999</v>
      </c>
      <c r="F2205" s="34">
        <v>0.95</v>
      </c>
      <c r="G2205" s="34">
        <f>IF(ISNUMBER(F2205),E2205*F2205,"")</f>
        <v>0.97004499999999982</v>
      </c>
      <c r="H2205" s="39">
        <f>SUM(G2205:G2207)</f>
        <v>2.6954273999999998</v>
      </c>
      <c r="I2205" s="40"/>
      <c r="J2205" s="155">
        <v>0</v>
      </c>
    </row>
    <row r="2206" spans="1:10" ht="26.25" hidden="1" thickBot="1" x14ac:dyDescent="0.3">
      <c r="A2206" s="176"/>
      <c r="B2206" s="175"/>
      <c r="C2206" s="36" t="s">
        <v>109</v>
      </c>
      <c r="D2206" s="47" t="s">
        <v>12</v>
      </c>
      <c r="E2206" s="37">
        <f>0.064*0.7</f>
        <v>4.48E-2</v>
      </c>
      <c r="F2206" s="31">
        <v>16.891000000000002</v>
      </c>
      <c r="G2206" s="34">
        <f>IF(ISNUMBER(F2206),E2206*F2206,"")</f>
        <v>0.75671680000000008</v>
      </c>
      <c r="H2206" s="35"/>
      <c r="I2206" s="31"/>
      <c r="J2206" s="155">
        <v>0</v>
      </c>
    </row>
    <row r="2207" spans="1:10" ht="15.75" hidden="1" thickBot="1" x14ac:dyDescent="0.3">
      <c r="A2207" s="176"/>
      <c r="B2207" s="175"/>
      <c r="C2207" s="36" t="s">
        <v>39</v>
      </c>
      <c r="D2207" s="47" t="s">
        <v>12</v>
      </c>
      <c r="E2207" s="37">
        <f>0.064*0.7</f>
        <v>4.48E-2</v>
      </c>
      <c r="F2207" s="31">
        <v>21.622</v>
      </c>
      <c r="G2207" s="34">
        <f>IF(ISNUMBER(F2207),E2207*F2207,"")</f>
        <v>0.96866560000000002</v>
      </c>
      <c r="H2207" s="35"/>
      <c r="I2207" s="31"/>
      <c r="J2207" s="155">
        <v>0</v>
      </c>
    </row>
    <row r="2208" spans="1:10" ht="15.75" hidden="1" thickBot="1" x14ac:dyDescent="0.3">
      <c r="A2208" s="176"/>
      <c r="B2208" s="175"/>
      <c r="C2208" s="36"/>
      <c r="D2208" s="47"/>
      <c r="E2208" s="37"/>
      <c r="F2208" s="34" t="s">
        <v>568</v>
      </c>
      <c r="G2208" s="34" t="str">
        <f>IF(ISNUMBER(F2208),E2208*F2208,"")</f>
        <v/>
      </c>
      <c r="H2208" s="35"/>
      <c r="I2208" s="31"/>
      <c r="J2208" s="155">
        <v>0</v>
      </c>
    </row>
    <row r="2209" spans="1:10" ht="39" hidden="1" thickBot="1" x14ac:dyDescent="0.3">
      <c r="A2209" s="176"/>
      <c r="B2209" s="175"/>
      <c r="C2209" s="52" t="s">
        <v>692</v>
      </c>
      <c r="D2209" s="47"/>
      <c r="E2209" s="37"/>
      <c r="F2209" s="34" t="s">
        <v>568</v>
      </c>
      <c r="G2209" s="34" t="str">
        <f>IF(ISNUMBER(F2209),E2209*F2209,"")</f>
        <v/>
      </c>
      <c r="H2209" s="35"/>
      <c r="I2209" s="31"/>
      <c r="J2209" s="155">
        <v>0</v>
      </c>
    </row>
    <row r="2210" spans="1:10" ht="15.75" hidden="1" thickBot="1" x14ac:dyDescent="0.3">
      <c r="A2210" s="177"/>
      <c r="B2210" s="178"/>
      <c r="C2210" s="36"/>
      <c r="D2210" s="36"/>
      <c r="E2210" s="37"/>
      <c r="F2210" s="31" t="s">
        <v>568</v>
      </c>
      <c r="G2210" s="31" t="str">
        <f>IF(ISNUMBER(F2210),E2210*F2210,"")</f>
        <v/>
      </c>
      <c r="H2210" s="35"/>
      <c r="I2210" s="31"/>
      <c r="J2210" s="155">
        <v>0</v>
      </c>
    </row>
    <row r="2211" spans="1:10" ht="15.75" hidden="1" thickBot="1" x14ac:dyDescent="0.3">
      <c r="A2211" s="172" t="s">
        <v>737</v>
      </c>
      <c r="B2211" s="174" t="str">
        <f>INDEX(Orçamentária!A:B,MATCH(Composições!A2211,Orçamentária!A:A,0),2)</f>
        <v>Instalação de armários reaproveitados</v>
      </c>
      <c r="C2211" s="41"/>
      <c r="D2211" s="26" t="str">
        <f>TRIM(INDEX(Orçamentária!C:C,MATCH(Composições!A2211,Orçamentária!A:A,0),1))</f>
        <v>m2</v>
      </c>
      <c r="E2211" s="27"/>
      <c r="F2211" s="42" t="s">
        <v>568</v>
      </c>
      <c r="G2211" s="28" t="str">
        <f>IF(ISNUMBER(F2211),E2211*F2211,"")</f>
        <v/>
      </c>
      <c r="H2211" s="29"/>
      <c r="I2211" s="30"/>
      <c r="J2211" s="155">
        <v>0</v>
      </c>
    </row>
    <row r="2212" spans="1:10" ht="15.75" hidden="1" thickBot="1" x14ac:dyDescent="0.3">
      <c r="A2212" s="176"/>
      <c r="B2212" s="175"/>
      <c r="C2212" s="32"/>
      <c r="D2212" s="32"/>
      <c r="E2212" s="33"/>
      <c r="F2212" s="43" t="s">
        <v>568</v>
      </c>
      <c r="G2212" s="31" t="str">
        <f>IF(ISNUMBER(F2212),E2212*F2212,"")</f>
        <v/>
      </c>
      <c r="H2212" s="35"/>
      <c r="I2212" s="31"/>
      <c r="J2212" s="155">
        <v>0</v>
      </c>
    </row>
    <row r="2213" spans="1:10" ht="15.75" hidden="1" thickBot="1" x14ac:dyDescent="0.3">
      <c r="A2213" s="176"/>
      <c r="B2213" s="175"/>
      <c r="C2213" s="36" t="s">
        <v>656</v>
      </c>
      <c r="D2213" s="36" t="s">
        <v>12</v>
      </c>
      <c r="E2213" s="37">
        <v>1.8</v>
      </c>
      <c r="F2213" s="31">
        <v>22.268000000000001</v>
      </c>
      <c r="G2213" s="31">
        <f>IF(ISNUMBER(F2213),E2213*F2213,"")</f>
        <v>40.0824</v>
      </c>
      <c r="H2213" s="39">
        <f>SUM(G2213:G2214)</f>
        <v>98.256599999999992</v>
      </c>
      <c r="I2213" s="40"/>
      <c r="J2213" s="155">
        <v>0</v>
      </c>
    </row>
    <row r="2214" spans="1:10" ht="15.75" hidden="1" thickBot="1" x14ac:dyDescent="0.3">
      <c r="A2214" s="176"/>
      <c r="B2214" s="175"/>
      <c r="C2214" s="36" t="s">
        <v>131</v>
      </c>
      <c r="D2214" s="36" t="s">
        <v>12</v>
      </c>
      <c r="E2214" s="37">
        <v>3.15</v>
      </c>
      <c r="F2214" s="31">
        <v>18.468</v>
      </c>
      <c r="G2214" s="31">
        <f>IF(ISNUMBER(F2214),E2214*F2214,"")</f>
        <v>58.174199999999999</v>
      </c>
      <c r="H2214" s="35"/>
      <c r="I2214" s="31"/>
      <c r="J2214" s="155">
        <v>0</v>
      </c>
    </row>
    <row r="2215" spans="1:10" ht="15.75" hidden="1" thickBot="1" x14ac:dyDescent="0.3">
      <c r="A2215" s="177"/>
      <c r="B2215" s="178"/>
      <c r="C2215" s="36"/>
      <c r="D2215" s="36"/>
      <c r="E2215" s="37"/>
      <c r="F2215" s="31" t="s">
        <v>568</v>
      </c>
      <c r="G2215" s="31" t="str">
        <f>IF(ISNUMBER(F2215),E2215*F2215,"")</f>
        <v/>
      </c>
      <c r="H2215" s="35"/>
      <c r="I2215" s="31"/>
      <c r="J2215" s="155">
        <v>0</v>
      </c>
    </row>
    <row r="2216" spans="1:10" ht="15.75" hidden="1" thickBot="1" x14ac:dyDescent="0.3">
      <c r="A2216" s="172" t="s">
        <v>738</v>
      </c>
      <c r="B2216" s="174" t="str">
        <f>INDEX(Orçamentária!A:B,MATCH(Composições!A2216,Orçamentária!A:A,0),2)</f>
        <v>Mesa/tampo de MDF, fixada em parede com mão-francesa</v>
      </c>
      <c r="C2216" s="41"/>
      <c r="D2216" s="26" t="str">
        <f>TRIM(INDEX(Orçamentária!C:C,MATCH(Composições!A2216,Orçamentária!A:A,0),1))</f>
        <v>m2</v>
      </c>
      <c r="E2216" s="27"/>
      <c r="F2216" s="42" t="s">
        <v>568</v>
      </c>
      <c r="G2216" s="28" t="str">
        <f>IF(ISNUMBER(F2216),E2216*F2216,"")</f>
        <v/>
      </c>
      <c r="H2216" s="29"/>
      <c r="I2216" s="30"/>
      <c r="J2216" s="155">
        <v>0</v>
      </c>
    </row>
    <row r="2217" spans="1:10" ht="15.75" hidden="1" thickBot="1" x14ac:dyDescent="0.3">
      <c r="A2217" s="176"/>
      <c r="B2217" s="175"/>
      <c r="C2217" s="32"/>
      <c r="D2217" s="32"/>
      <c r="E2217" s="33"/>
      <c r="F2217" s="43" t="s">
        <v>568</v>
      </c>
      <c r="G2217" s="31" t="str">
        <f>IF(ISNUMBER(F2217),E2217*F2217,"")</f>
        <v/>
      </c>
      <c r="H2217" s="35"/>
      <c r="I2217" s="31"/>
      <c r="J2217" s="155">
        <v>0</v>
      </c>
    </row>
    <row r="2218" spans="1:10" ht="15.75" hidden="1" thickBot="1" x14ac:dyDescent="0.3">
      <c r="A2218" s="176"/>
      <c r="B2218" s="175"/>
      <c r="C2218" s="36" t="s">
        <v>656</v>
      </c>
      <c r="D2218" s="36" t="s">
        <v>12</v>
      </c>
      <c r="E2218" s="37">
        <v>1.8</v>
      </c>
      <c r="F2218" s="31">
        <v>22.268000000000001</v>
      </c>
      <c r="G2218" s="31">
        <f>IF(ISNUMBER(F2218),E2218*F2218,"")</f>
        <v>40.0824</v>
      </c>
      <c r="H2218" s="39">
        <f>SUM(G2218:G2221)</f>
        <v>185.7345</v>
      </c>
      <c r="I2218" s="40"/>
      <c r="J2218" s="155">
        <v>0</v>
      </c>
    </row>
    <row r="2219" spans="1:10" ht="15.75" hidden="1" thickBot="1" x14ac:dyDescent="0.3">
      <c r="A2219" s="176"/>
      <c r="B2219" s="175"/>
      <c r="C2219" s="36" t="s">
        <v>131</v>
      </c>
      <c r="D2219" s="36" t="s">
        <v>12</v>
      </c>
      <c r="E2219" s="37">
        <f>3.15/2</f>
        <v>1.575</v>
      </c>
      <c r="F2219" s="31">
        <v>18.468</v>
      </c>
      <c r="G2219" s="34">
        <f>IF(ISNUMBER(F2219),E2219*F2219,"")</f>
        <v>29.0871</v>
      </c>
      <c r="H2219" s="44"/>
      <c r="I2219" s="40"/>
      <c r="J2219" s="155">
        <v>0</v>
      </c>
    </row>
    <row r="2220" spans="1:10" ht="26.25" hidden="1" thickBot="1" x14ac:dyDescent="0.3">
      <c r="A2220" s="176"/>
      <c r="B2220" s="175"/>
      <c r="C2220" s="36" t="s">
        <v>739</v>
      </c>
      <c r="D2220" s="36" t="s">
        <v>20</v>
      </c>
      <c r="E2220" s="37">
        <v>2</v>
      </c>
      <c r="F2220" s="34">
        <v>20.7575</v>
      </c>
      <c r="G2220" s="31">
        <f>IF(ISNUMBER(F2220),E2220*F2220,"")</f>
        <v>41.515000000000001</v>
      </c>
      <c r="H2220" s="44"/>
      <c r="I2220" s="40"/>
      <c r="J2220" s="155">
        <v>0</v>
      </c>
    </row>
    <row r="2221" spans="1:10" ht="15.75" hidden="1" thickBot="1" x14ac:dyDescent="0.3">
      <c r="A2221" s="176"/>
      <c r="B2221" s="175"/>
      <c r="C2221" s="36" t="s">
        <v>740</v>
      </c>
      <c r="D2221" s="36" t="s">
        <v>95</v>
      </c>
      <c r="E2221" s="37">
        <v>1</v>
      </c>
      <c r="F2221" s="34">
        <v>75.05</v>
      </c>
      <c r="G2221" s="31">
        <f>IF(ISNUMBER(F2221),E2221*F2221,"")</f>
        <v>75.05</v>
      </c>
      <c r="H2221" s="35"/>
      <c r="I2221" s="31"/>
      <c r="J2221" s="155">
        <v>0</v>
      </c>
    </row>
    <row r="2222" spans="1:10" ht="15.75" hidden="1" thickBot="1" x14ac:dyDescent="0.3">
      <c r="A2222" s="177"/>
      <c r="B2222" s="178"/>
      <c r="C2222" s="36"/>
      <c r="D2222" s="36"/>
      <c r="E2222" s="37"/>
      <c r="F2222" s="31" t="s">
        <v>568</v>
      </c>
      <c r="G2222" s="31" t="str">
        <f>IF(ISNUMBER(F2222),E2222*F2222,"")</f>
        <v/>
      </c>
      <c r="H2222" s="35"/>
      <c r="I2222" s="31"/>
      <c r="J2222" s="155">
        <v>0</v>
      </c>
    </row>
    <row r="2223" spans="1:10" ht="15.75" hidden="1" thickBot="1" x14ac:dyDescent="0.3">
      <c r="A2223" s="172" t="s">
        <v>741</v>
      </c>
      <c r="B2223" s="174" t="str">
        <f>INDEX(Orçamentária!A:B,MATCH(Composições!A2223,Orçamentária!A:A,0),2)</f>
        <v>Painel para TV de 120 x 180 cm</v>
      </c>
      <c r="C2223" s="41"/>
      <c r="D2223" s="26" t="str">
        <f>TRIM(INDEX(Orçamentária!C:C,MATCH(Composições!A2223,Orçamentária!A:A,0),1))</f>
        <v>un</v>
      </c>
      <c r="E2223" s="27"/>
      <c r="F2223" s="42" t="s">
        <v>568</v>
      </c>
      <c r="G2223" s="28" t="str">
        <f>IF(ISNUMBER(F2223),E2223*F2223,"")</f>
        <v/>
      </c>
      <c r="H2223" s="29"/>
      <c r="I2223" s="30"/>
      <c r="J2223" s="155">
        <v>0</v>
      </c>
    </row>
    <row r="2224" spans="1:10" ht="15.75" hidden="1" thickBot="1" x14ac:dyDescent="0.3">
      <c r="A2224" s="176"/>
      <c r="B2224" s="175"/>
      <c r="C2224" s="32"/>
      <c r="D2224" s="32"/>
      <c r="E2224" s="33"/>
      <c r="F2224" s="43" t="s">
        <v>568</v>
      </c>
      <c r="G2224" s="31" t="str">
        <f>IF(ISNUMBER(F2224),E2224*F2224,"")</f>
        <v/>
      </c>
      <c r="H2224" s="35"/>
      <c r="I2224" s="31"/>
      <c r="J2224" s="155">
        <v>0</v>
      </c>
    </row>
    <row r="2225" spans="1:10" ht="15.75" hidden="1" thickBot="1" x14ac:dyDescent="0.3">
      <c r="A2225" s="176"/>
      <c r="B2225" s="175"/>
      <c r="C2225" s="36" t="s">
        <v>656</v>
      </c>
      <c r="D2225" s="36" t="s">
        <v>12</v>
      </c>
      <c r="E2225" s="37">
        <v>1</v>
      </c>
      <c r="F2225" s="31">
        <v>22.268000000000001</v>
      </c>
      <c r="G2225" s="34">
        <f>IF(ISNUMBER(F2225),E2225*F2225,"")</f>
        <v>22.268000000000001</v>
      </c>
      <c r="H2225" s="39">
        <f>SUM(G2225:G2227)</f>
        <v>40.736000000000004</v>
      </c>
      <c r="I2225" s="40"/>
      <c r="J2225" s="155">
        <v>0</v>
      </c>
    </row>
    <row r="2226" spans="1:10" ht="15.75" hidden="1" thickBot="1" x14ac:dyDescent="0.3">
      <c r="A2226" s="176"/>
      <c r="B2226" s="175"/>
      <c r="C2226" s="36" t="s">
        <v>131</v>
      </c>
      <c r="D2226" s="36" t="s">
        <v>12</v>
      </c>
      <c r="E2226" s="37">
        <v>1</v>
      </c>
      <c r="F2226" s="31">
        <v>18.468</v>
      </c>
      <c r="G2226" s="34">
        <f>IF(ISNUMBER(F2226),E2226*F2226,"")</f>
        <v>18.468</v>
      </c>
      <c r="H2226" s="44"/>
      <c r="I2226" s="40"/>
      <c r="J2226" s="155">
        <v>0</v>
      </c>
    </row>
    <row r="2227" spans="1:10" ht="15.75" hidden="1" thickBot="1" x14ac:dyDescent="0.3">
      <c r="A2227" s="176"/>
      <c r="B2227" s="175"/>
      <c r="C2227" s="36" t="s">
        <v>742</v>
      </c>
      <c r="D2227" s="36" t="s">
        <v>20</v>
      </c>
      <c r="E2227" s="37">
        <v>1</v>
      </c>
      <c r="F2227" s="34" t="s">
        <v>568</v>
      </c>
      <c r="G2227" s="31" t="str">
        <f>IF(ISNUMBER(F2227),E2227*F2227,"")</f>
        <v/>
      </c>
      <c r="H2227" s="35"/>
      <c r="I2227" s="31"/>
      <c r="J2227" s="155">
        <v>0</v>
      </c>
    </row>
    <row r="2228" spans="1:10" ht="15.75" hidden="1" thickBot="1" x14ac:dyDescent="0.3">
      <c r="A2228" s="177"/>
      <c r="B2228" s="178"/>
      <c r="C2228" s="36"/>
      <c r="D2228" s="36"/>
      <c r="E2228" s="37"/>
      <c r="F2228" s="31" t="s">
        <v>568</v>
      </c>
      <c r="G2228" s="31" t="str">
        <f>IF(ISNUMBER(F2228),E2228*F2228,"")</f>
        <v/>
      </c>
      <c r="H2228" s="35"/>
      <c r="I2228" s="31"/>
      <c r="J2228" s="155">
        <v>0</v>
      </c>
    </row>
    <row r="2229" spans="1:10" ht="15.75" hidden="1" thickBot="1" x14ac:dyDescent="0.3">
      <c r="A2229" s="172" t="s">
        <v>743</v>
      </c>
      <c r="B2229" s="174" t="str">
        <f>INDEX(Orçamentária!A:B,MATCH(Composições!A2229,Orçamentária!A:A,0),2)</f>
        <v>Painel para TV de 160 x 160 cm</v>
      </c>
      <c r="C2229" s="41"/>
      <c r="D2229" s="26" t="str">
        <f>TRIM(INDEX(Orçamentária!C:C,MATCH(Composições!A2229,Orçamentária!A:A,0),1))</f>
        <v>un</v>
      </c>
      <c r="E2229" s="27"/>
      <c r="F2229" s="42" t="s">
        <v>568</v>
      </c>
      <c r="G2229" s="28" t="str">
        <f>IF(ISNUMBER(F2229),E2229*F2229,"")</f>
        <v/>
      </c>
      <c r="H2229" s="29"/>
      <c r="I2229" s="30"/>
      <c r="J2229" s="155">
        <v>0</v>
      </c>
    </row>
    <row r="2230" spans="1:10" ht="15.75" hidden="1" thickBot="1" x14ac:dyDescent="0.3">
      <c r="A2230" s="176"/>
      <c r="B2230" s="175"/>
      <c r="C2230" s="32"/>
      <c r="D2230" s="32"/>
      <c r="E2230" s="33"/>
      <c r="F2230" s="43" t="s">
        <v>568</v>
      </c>
      <c r="G2230" s="31" t="str">
        <f>IF(ISNUMBER(F2230),E2230*F2230,"")</f>
        <v/>
      </c>
      <c r="H2230" s="35"/>
      <c r="I2230" s="31"/>
      <c r="J2230" s="155">
        <v>0</v>
      </c>
    </row>
    <row r="2231" spans="1:10" ht="15.75" hidden="1" thickBot="1" x14ac:dyDescent="0.3">
      <c r="A2231" s="176"/>
      <c r="B2231" s="175"/>
      <c r="C2231" s="36" t="s">
        <v>656</v>
      </c>
      <c r="D2231" s="36" t="s">
        <v>12</v>
      </c>
      <c r="E2231" s="37">
        <v>1</v>
      </c>
      <c r="F2231" s="31">
        <v>22.268000000000001</v>
      </c>
      <c r="G2231" s="34">
        <f>IF(ISNUMBER(F2231),E2231*F2231,"")</f>
        <v>22.268000000000001</v>
      </c>
      <c r="H2231" s="39">
        <f>SUM(G2231:G2233)</f>
        <v>40.736000000000004</v>
      </c>
      <c r="I2231" s="40"/>
      <c r="J2231" s="155">
        <v>0</v>
      </c>
    </row>
    <row r="2232" spans="1:10" ht="15.75" hidden="1" thickBot="1" x14ac:dyDescent="0.3">
      <c r="A2232" s="176"/>
      <c r="B2232" s="175"/>
      <c r="C2232" s="36" t="s">
        <v>131</v>
      </c>
      <c r="D2232" s="36" t="s">
        <v>12</v>
      </c>
      <c r="E2232" s="37">
        <v>1</v>
      </c>
      <c r="F2232" s="31">
        <v>18.468</v>
      </c>
      <c r="G2232" s="34">
        <f>IF(ISNUMBER(F2232),E2232*F2232,"")</f>
        <v>18.468</v>
      </c>
      <c r="H2232" s="35"/>
      <c r="I2232" s="31"/>
      <c r="J2232" s="155">
        <v>0</v>
      </c>
    </row>
    <row r="2233" spans="1:10" ht="26.25" hidden="1" thickBot="1" x14ac:dyDescent="0.3">
      <c r="A2233" s="176"/>
      <c r="B2233" s="175"/>
      <c r="C2233" s="36" t="s">
        <v>744</v>
      </c>
      <c r="D2233" s="36" t="s">
        <v>20</v>
      </c>
      <c r="E2233" s="37">
        <v>1</v>
      </c>
      <c r="F2233" s="34" t="s">
        <v>568</v>
      </c>
      <c r="G2233" s="31" t="str">
        <f>IF(ISNUMBER(F2233),E2233*F2233,"")</f>
        <v/>
      </c>
      <c r="H2233" s="35"/>
      <c r="I2233" s="31"/>
      <c r="J2233" s="155">
        <v>0</v>
      </c>
    </row>
    <row r="2234" spans="1:10" ht="15.75" hidden="1" thickBot="1" x14ac:dyDescent="0.3">
      <c r="A2234" s="177"/>
      <c r="B2234" s="178"/>
      <c r="C2234" s="36"/>
      <c r="D2234" s="36"/>
      <c r="E2234" s="37"/>
      <c r="F2234" s="31" t="s">
        <v>568</v>
      </c>
      <c r="G2234" s="31" t="str">
        <f>IF(ISNUMBER(F2234),E2234*F2234,"")</f>
        <v/>
      </c>
      <c r="H2234" s="35"/>
      <c r="I2234" s="31"/>
      <c r="J2234" s="155">
        <v>0</v>
      </c>
    </row>
    <row r="2235" spans="1:10" ht="15.75" hidden="1" thickBot="1" x14ac:dyDescent="0.3">
      <c r="A2235" s="172" t="s">
        <v>745</v>
      </c>
      <c r="B2235" s="174" t="str">
        <f>INDEX(Orçamentária!A:B,MATCH(Composições!A2235,Orçamentária!A:A,0),2)</f>
        <v>Painel para TV de 90 x 120 cm</v>
      </c>
      <c r="C2235" s="41"/>
      <c r="D2235" s="26" t="str">
        <f>TRIM(INDEX(Orçamentária!C:C,MATCH(Composições!A2235,Orçamentária!A:A,0),1))</f>
        <v>un</v>
      </c>
      <c r="E2235" s="27"/>
      <c r="F2235" s="42" t="s">
        <v>568</v>
      </c>
      <c r="G2235" s="28" t="str">
        <f>IF(ISNUMBER(F2235),E2235*F2235,"")</f>
        <v/>
      </c>
      <c r="H2235" s="29"/>
      <c r="I2235" s="30"/>
      <c r="J2235" s="155">
        <v>0</v>
      </c>
    </row>
    <row r="2236" spans="1:10" ht="15.75" hidden="1" thickBot="1" x14ac:dyDescent="0.3">
      <c r="A2236" s="176"/>
      <c r="B2236" s="175"/>
      <c r="C2236" s="32"/>
      <c r="D2236" s="32"/>
      <c r="E2236" s="33"/>
      <c r="F2236" s="43" t="s">
        <v>568</v>
      </c>
      <c r="G2236" s="31" t="str">
        <f>IF(ISNUMBER(F2236),E2236*F2236,"")</f>
        <v/>
      </c>
      <c r="H2236" s="35"/>
      <c r="I2236" s="31"/>
      <c r="J2236" s="155">
        <v>0</v>
      </c>
    </row>
    <row r="2237" spans="1:10" ht="15.75" hidden="1" thickBot="1" x14ac:dyDescent="0.3">
      <c r="A2237" s="176"/>
      <c r="B2237" s="175"/>
      <c r="C2237" s="36" t="s">
        <v>656</v>
      </c>
      <c r="D2237" s="36" t="s">
        <v>12</v>
      </c>
      <c r="E2237" s="37">
        <v>1</v>
      </c>
      <c r="F2237" s="31">
        <v>22.268000000000001</v>
      </c>
      <c r="G2237" s="34">
        <f>IF(ISNUMBER(F2237),E2237*F2237,"")</f>
        <v>22.268000000000001</v>
      </c>
      <c r="H2237" s="39">
        <f>SUM(G2237:G2239)</f>
        <v>40.736000000000004</v>
      </c>
      <c r="I2237" s="40"/>
      <c r="J2237" s="155">
        <v>0</v>
      </c>
    </row>
    <row r="2238" spans="1:10" ht="15.75" hidden="1" thickBot="1" x14ac:dyDescent="0.3">
      <c r="A2238" s="176"/>
      <c r="B2238" s="175"/>
      <c r="C2238" s="36" t="s">
        <v>131</v>
      </c>
      <c r="D2238" s="36" t="s">
        <v>12</v>
      </c>
      <c r="E2238" s="37">
        <v>1</v>
      </c>
      <c r="F2238" s="31">
        <v>18.468</v>
      </c>
      <c r="G2238" s="34">
        <f>IF(ISNUMBER(F2238),E2238*F2238,"")</f>
        <v>18.468</v>
      </c>
      <c r="H2238" s="35"/>
      <c r="I2238" s="31"/>
      <c r="J2238" s="155">
        <v>0</v>
      </c>
    </row>
    <row r="2239" spans="1:10" ht="26.25" hidden="1" thickBot="1" x14ac:dyDescent="0.3">
      <c r="A2239" s="176"/>
      <c r="B2239" s="175"/>
      <c r="C2239" s="36" t="s">
        <v>746</v>
      </c>
      <c r="D2239" s="36" t="s">
        <v>20</v>
      </c>
      <c r="E2239" s="37">
        <v>1</v>
      </c>
      <c r="F2239" s="34" t="s">
        <v>568</v>
      </c>
      <c r="G2239" s="31" t="str">
        <f>IF(ISNUMBER(F2239),E2239*F2239,"")</f>
        <v/>
      </c>
      <c r="H2239" s="35"/>
      <c r="I2239" s="31"/>
      <c r="J2239" s="155">
        <v>0</v>
      </c>
    </row>
    <row r="2240" spans="1:10" ht="15.75" hidden="1" thickBot="1" x14ac:dyDescent="0.3">
      <c r="A2240" s="177"/>
      <c r="B2240" s="178"/>
      <c r="C2240" s="36"/>
      <c r="D2240" s="36"/>
      <c r="E2240" s="37"/>
      <c r="F2240" s="31" t="s">
        <v>568</v>
      </c>
      <c r="G2240" s="31" t="str">
        <f>IF(ISNUMBER(F2240),E2240*F2240,"")</f>
        <v/>
      </c>
      <c r="H2240" s="35"/>
      <c r="I2240" s="31"/>
      <c r="J2240" s="155">
        <v>0</v>
      </c>
    </row>
    <row r="2241" spans="1:10" ht="15.75" thickBot="1" x14ac:dyDescent="0.3">
      <c r="A2241" s="172" t="s">
        <v>747</v>
      </c>
      <c r="B2241" s="174" t="str">
        <f>INDEX(Orçamentária!A:B,MATCH(Composições!A2241,Orçamentária!A:A,0),2)</f>
        <v>Batentes e guarnições em madeira, com verniz ou esmalte</v>
      </c>
      <c r="C2241" s="41"/>
      <c r="D2241" s="26" t="str">
        <f>TRIM(INDEX(Orçamentária!C:C,MATCH(Composições!A2241,Orçamentária!A:A,0),1))</f>
        <v>un</v>
      </c>
      <c r="E2241" s="27"/>
      <c r="F2241" s="42" t="s">
        <v>568</v>
      </c>
      <c r="G2241" s="28" t="str">
        <f>IF(ISNUMBER(F2241),E2241*F2241,"")</f>
        <v/>
      </c>
      <c r="H2241" s="29"/>
      <c r="I2241" s="30"/>
      <c r="J2241" s="155">
        <v>2</v>
      </c>
    </row>
    <row r="2242" spans="1:10" x14ac:dyDescent="0.25">
      <c r="A2242" s="176"/>
      <c r="B2242" s="175"/>
      <c r="C2242" s="32"/>
      <c r="D2242" s="32"/>
      <c r="E2242" s="33"/>
      <c r="F2242" s="43" t="s">
        <v>568</v>
      </c>
      <c r="G2242" s="31" t="str">
        <f>IF(ISNUMBER(F2242),E2242*F2242,"")</f>
        <v/>
      </c>
      <c r="H2242" s="35"/>
      <c r="I2242" s="31"/>
      <c r="J2242" s="155">
        <v>2</v>
      </c>
    </row>
    <row r="2243" spans="1:10" ht="38.25" x14ac:dyDescent="0.25">
      <c r="A2243" s="176"/>
      <c r="B2243" s="175"/>
      <c r="C2243" s="36" t="s">
        <v>3436</v>
      </c>
      <c r="D2243" s="47" t="s">
        <v>1537</v>
      </c>
      <c r="E2243" s="37">
        <v>1</v>
      </c>
      <c r="F2243" s="34">
        <v>131.9265</v>
      </c>
      <c r="G2243" s="34">
        <f>IF(ISNUMBER(F2243),E2243*F2243,"")</f>
        <v>131.9265</v>
      </c>
      <c r="H2243" s="39">
        <f>SUM(G2243:G2251)</f>
        <v>268.01773659999998</v>
      </c>
      <c r="I2243" s="40"/>
      <c r="J2243" s="155">
        <v>2</v>
      </c>
    </row>
    <row r="2244" spans="1:10" x14ac:dyDescent="0.25">
      <c r="A2244" s="176"/>
      <c r="B2244" s="175"/>
      <c r="C2244" s="36" t="s">
        <v>1538</v>
      </c>
      <c r="D2244" s="50" t="s">
        <v>953</v>
      </c>
      <c r="E2244" s="37">
        <v>1.0999999999999999E-2</v>
      </c>
      <c r="F2244" s="34">
        <v>22.914000000000001</v>
      </c>
      <c r="G2244" s="34">
        <f>IF(ISNUMBER(F2244),E2244*F2244,"")</f>
        <v>0.252054</v>
      </c>
      <c r="H2244" s="35"/>
      <c r="I2244" s="31"/>
      <c r="J2244" s="155">
        <v>2</v>
      </c>
    </row>
    <row r="2245" spans="1:10" x14ac:dyDescent="0.25">
      <c r="A2245" s="176"/>
      <c r="B2245" s="175"/>
      <c r="C2245" s="36" t="s">
        <v>100</v>
      </c>
      <c r="D2245" s="47" t="s">
        <v>953</v>
      </c>
      <c r="E2245" s="37">
        <v>2.4E-2</v>
      </c>
      <c r="F2245" s="31">
        <v>17.394499999999997</v>
      </c>
      <c r="G2245" s="34">
        <f>IF(ISNUMBER(F2245),E2245*F2245,"")</f>
        <v>0.41746799999999995</v>
      </c>
      <c r="H2245" s="35"/>
      <c r="I2245" s="31"/>
      <c r="J2245" s="155">
        <v>2</v>
      </c>
    </row>
    <row r="2246" spans="1:10" x14ac:dyDescent="0.25">
      <c r="A2246" s="176"/>
      <c r="B2246" s="175"/>
      <c r="C2246" s="36" t="s">
        <v>754</v>
      </c>
      <c r="D2246" s="47" t="s">
        <v>755</v>
      </c>
      <c r="E2246" s="37">
        <f>2.741+0.068</f>
        <v>2.8090000000000002</v>
      </c>
      <c r="F2246" s="31">
        <v>21.916499999999999</v>
      </c>
      <c r="G2246" s="34">
        <f>IF(ISNUMBER(F2246),E2246*F2246,"")</f>
        <v>61.5634485</v>
      </c>
      <c r="H2246" s="35"/>
      <c r="I2246" s="31"/>
      <c r="J2246" s="155">
        <v>2</v>
      </c>
    </row>
    <row r="2247" spans="1:10" x14ac:dyDescent="0.25">
      <c r="A2247" s="176"/>
      <c r="B2247" s="175"/>
      <c r="C2247" s="36" t="s">
        <v>756</v>
      </c>
      <c r="D2247" s="47" t="s">
        <v>755</v>
      </c>
      <c r="E2247" s="37">
        <f>1.375+0.034</f>
        <v>1.409</v>
      </c>
      <c r="F2247" s="31">
        <v>16.311500000000002</v>
      </c>
      <c r="G2247" s="34">
        <f>IF(ISNUMBER(F2247),E2247*F2247,"")</f>
        <v>22.982903500000003</v>
      </c>
      <c r="H2247" s="35"/>
      <c r="I2247" s="31"/>
      <c r="J2247" s="155">
        <v>2</v>
      </c>
    </row>
    <row r="2248" spans="1:10" x14ac:dyDescent="0.25">
      <c r="A2248" s="176"/>
      <c r="B2248" s="175"/>
      <c r="C2248" s="36" t="s">
        <v>3463</v>
      </c>
      <c r="D2248" s="47" t="s">
        <v>953</v>
      </c>
      <c r="E2248" s="37">
        <v>6.0000000000000001E-3</v>
      </c>
      <c r="F2248" s="31">
        <v>19.560499999999998</v>
      </c>
      <c r="G2248" s="34">
        <f>IF(ISNUMBER(F2248),E2248*F2248,"")</f>
        <v>0.11736299999999998</v>
      </c>
      <c r="H2248" s="35"/>
      <c r="I2248" s="31"/>
      <c r="J2248" s="155">
        <v>2</v>
      </c>
    </row>
    <row r="2249" spans="1:10" ht="38.25" x14ac:dyDescent="0.25">
      <c r="A2249" s="176"/>
      <c r="B2249" s="175"/>
      <c r="C2249" s="36" t="s">
        <v>3456</v>
      </c>
      <c r="D2249" s="47" t="s">
        <v>523</v>
      </c>
      <c r="E2249" s="37">
        <f>(2.1*2+0.8)*1.163</f>
        <v>5.8150000000000004</v>
      </c>
      <c r="F2249" s="34">
        <v>6.0419999999999998</v>
      </c>
      <c r="G2249" s="34">
        <f>IF(ISNUMBER(F2249),E2249*F2249,"")</f>
        <v>35.134230000000002</v>
      </c>
      <c r="H2249" s="35"/>
      <c r="I2249" s="31"/>
      <c r="J2249" s="155">
        <v>2</v>
      </c>
    </row>
    <row r="2250" spans="1:10" x14ac:dyDescent="0.25">
      <c r="A2250" s="176"/>
      <c r="B2250" s="175"/>
      <c r="C2250" s="36" t="s">
        <v>217</v>
      </c>
      <c r="D2250" s="50" t="s">
        <v>104</v>
      </c>
      <c r="E2250" s="37">
        <f>ROUND(0.108*0.15*(2*2.1+0.8),4)</f>
        <v>8.1000000000000003E-2</v>
      </c>
      <c r="F2250" s="34">
        <v>42.01</v>
      </c>
      <c r="G2250" s="31">
        <f>IF(ISNUMBER(F2250),E2250*F2250,"")</f>
        <v>3.4028100000000001</v>
      </c>
      <c r="H2250" s="35"/>
      <c r="I2250" s="31"/>
      <c r="J2250" s="155">
        <v>2</v>
      </c>
    </row>
    <row r="2251" spans="1:10" x14ac:dyDescent="0.25">
      <c r="A2251" s="176"/>
      <c r="B2251" s="175"/>
      <c r="C2251" s="36" t="s">
        <v>102</v>
      </c>
      <c r="D2251" s="36" t="s">
        <v>12</v>
      </c>
      <c r="E2251" s="37">
        <f>ROUND(0.7076*0.15*(2*2.1+0.8),4)</f>
        <v>0.53069999999999995</v>
      </c>
      <c r="F2251" s="31">
        <v>23.027999999999999</v>
      </c>
      <c r="G2251" s="31">
        <f>IF(ISNUMBER(F2251),E2251*F2251,"")</f>
        <v>12.220959599999999</v>
      </c>
      <c r="H2251" s="35"/>
      <c r="I2251" s="31"/>
      <c r="J2251" s="155">
        <v>2</v>
      </c>
    </row>
    <row r="2252" spans="1:10" x14ac:dyDescent="0.25">
      <c r="A2252" s="176"/>
      <c r="B2252" s="175"/>
      <c r="C2252" s="36"/>
      <c r="D2252" s="36"/>
      <c r="E2252" s="37"/>
      <c r="F2252" s="31"/>
      <c r="G2252" s="31"/>
      <c r="H2252" s="35"/>
      <c r="I2252" s="31"/>
      <c r="J2252" s="155">
        <v>2</v>
      </c>
    </row>
    <row r="2253" spans="1:10" x14ac:dyDescent="0.25">
      <c r="A2253" s="176"/>
      <c r="B2253" s="175"/>
      <c r="C2253" s="2" t="s">
        <v>3482</v>
      </c>
      <c r="D2253" s="36"/>
      <c r="E2253" s="37"/>
      <c r="F2253" s="31"/>
      <c r="G2253" s="31"/>
      <c r="H2253" s="35"/>
      <c r="I2253" s="31"/>
      <c r="J2253" s="155">
        <v>2</v>
      </c>
    </row>
    <row r="2254" spans="1:10" ht="15.75" thickBot="1" x14ac:dyDescent="0.3">
      <c r="A2254" s="177"/>
      <c r="B2254" s="178"/>
      <c r="C2254" s="36"/>
      <c r="D2254" s="36"/>
      <c r="E2254" s="37"/>
      <c r="F2254" s="31" t="s">
        <v>568</v>
      </c>
      <c r="G2254" s="31" t="str">
        <f>IF(ISNUMBER(F2254),E2254*F2254,"")</f>
        <v/>
      </c>
      <c r="H2254" s="35"/>
      <c r="I2254" s="31"/>
      <c r="J2254" s="155">
        <v>2</v>
      </c>
    </row>
    <row r="2255" spans="1:10" ht="15.75" hidden="1" thickBot="1" x14ac:dyDescent="0.3">
      <c r="A2255" s="172" t="s">
        <v>749</v>
      </c>
      <c r="B2255" s="174" t="str">
        <f>INDEX(Orçamentária!A:B,MATCH(Composições!A2255,Orçamentária!A:A,0),2)</f>
        <v>Chapa de proteção para porta – Linha Acessibilidade</v>
      </c>
      <c r="C2255" s="148"/>
      <c r="D2255" s="26" t="str">
        <f>TRIM(INDEX(Orçamentária!C:C,MATCH(Composições!A2255,Orçamentária!A:A,0),1))</f>
        <v>m2</v>
      </c>
      <c r="E2255" s="27"/>
      <c r="F2255" s="42" t="s">
        <v>568</v>
      </c>
      <c r="G2255" s="28" t="str">
        <f>IF(ISNUMBER(F2255),E2255*F2255,"")</f>
        <v/>
      </c>
      <c r="H2255" s="29"/>
      <c r="I2255" s="30"/>
      <c r="J2255" s="155">
        <v>0</v>
      </c>
    </row>
    <row r="2256" spans="1:10" ht="15.75" hidden="1" thickBot="1" x14ac:dyDescent="0.3">
      <c r="A2256" s="176"/>
      <c r="B2256" s="175"/>
      <c r="C2256" s="32"/>
      <c r="D2256" s="32"/>
      <c r="E2256" s="33"/>
      <c r="F2256" s="43" t="s">
        <v>568</v>
      </c>
      <c r="G2256" s="31" t="str">
        <f>IF(ISNUMBER(F2256),E2256*F2256,"")</f>
        <v/>
      </c>
      <c r="H2256" s="35"/>
      <c r="I2256" s="31"/>
      <c r="J2256" s="155">
        <v>0</v>
      </c>
    </row>
    <row r="2257" spans="1:10" ht="15.75" hidden="1" thickBot="1" x14ac:dyDescent="0.3">
      <c r="A2257" s="176"/>
      <c r="B2257" s="175"/>
      <c r="C2257" s="36" t="s">
        <v>23</v>
      </c>
      <c r="D2257" s="36" t="s">
        <v>12</v>
      </c>
      <c r="E2257" s="37">
        <v>0.3</v>
      </c>
      <c r="F2257" s="31">
        <v>16.311500000000002</v>
      </c>
      <c r="G2257" s="34">
        <f>IF(ISNUMBER(F2257),E2257*F2257,"")</f>
        <v>4.8934500000000005</v>
      </c>
      <c r="H2257" s="39">
        <f>SUM(G2257:G2259)</f>
        <v>11.57385</v>
      </c>
      <c r="I2257" s="40"/>
      <c r="J2257" s="155">
        <v>0</v>
      </c>
    </row>
    <row r="2258" spans="1:10" ht="15.75" hidden="1" thickBot="1" x14ac:dyDescent="0.3">
      <c r="A2258" s="176"/>
      <c r="B2258" s="175"/>
      <c r="C2258" s="36" t="s">
        <v>656</v>
      </c>
      <c r="D2258" s="36" t="s">
        <v>12</v>
      </c>
      <c r="E2258" s="37">
        <v>0.3</v>
      </c>
      <c r="F2258" s="31">
        <v>22.268000000000001</v>
      </c>
      <c r="G2258" s="34">
        <f>IF(ISNUMBER(F2258),E2258*F2258,"")</f>
        <v>6.6803999999999997</v>
      </c>
      <c r="H2258" s="45"/>
      <c r="I2258" s="46"/>
      <c r="J2258" s="155">
        <v>0</v>
      </c>
    </row>
    <row r="2259" spans="1:10" ht="26.25" hidden="1" thickBot="1" x14ac:dyDescent="0.3">
      <c r="A2259" s="176"/>
      <c r="B2259" s="175"/>
      <c r="C2259" s="36" t="s">
        <v>750</v>
      </c>
      <c r="D2259" s="47" t="s">
        <v>95</v>
      </c>
      <c r="E2259" s="37">
        <v>1</v>
      </c>
      <c r="F2259" s="34" t="s">
        <v>568</v>
      </c>
      <c r="G2259" s="34" t="str">
        <f>IF(ISNUMBER(F2259),E2259*F2259,"")</f>
        <v/>
      </c>
      <c r="H2259" s="35"/>
      <c r="I2259" s="31"/>
      <c r="J2259" s="155">
        <v>0</v>
      </c>
    </row>
    <row r="2260" spans="1:10" ht="15.75" hidden="1" thickBot="1" x14ac:dyDescent="0.3">
      <c r="A2260" s="177"/>
      <c r="B2260" s="178"/>
      <c r="C2260" s="36"/>
      <c r="D2260" s="36"/>
      <c r="E2260" s="37"/>
      <c r="F2260" s="31" t="s">
        <v>568</v>
      </c>
      <c r="G2260" s="31" t="str">
        <f>IF(ISNUMBER(F2260),E2260*F2260,"")</f>
        <v/>
      </c>
      <c r="H2260" s="35"/>
      <c r="I2260" s="31"/>
      <c r="J2260" s="155">
        <v>0</v>
      </c>
    </row>
    <row r="2261" spans="1:10" ht="15.75" hidden="1" thickBot="1" x14ac:dyDescent="0.3">
      <c r="A2261" s="179" t="s">
        <v>751</v>
      </c>
      <c r="B2261" s="182" t="str">
        <f>INDEX(Orçamentária!A:B,MATCH(Composições!A2261,Orçamentária!A:A,0),2)</f>
        <v>Folha de porta em madeira 2,10x0,60m, pintada</v>
      </c>
      <c r="C2261" s="41"/>
      <c r="D2261" s="26" t="str">
        <f>TRIM(INDEX(Orçamentária!C:C,MATCH(Composições!A2261,Orçamentária!A:A,0),1))</f>
        <v>un</v>
      </c>
      <c r="E2261" s="27"/>
      <c r="F2261" s="42" t="s">
        <v>568</v>
      </c>
      <c r="G2261" s="28" t="str">
        <f>IF(ISNUMBER(F2261),E2261*F2261,"")</f>
        <v/>
      </c>
      <c r="H2261" s="29"/>
      <c r="I2261" s="30"/>
      <c r="J2261" s="155">
        <v>0</v>
      </c>
    </row>
    <row r="2262" spans="1:10" ht="15.75" hidden="1" thickBot="1" x14ac:dyDescent="0.3">
      <c r="A2262" s="180"/>
      <c r="B2262" s="183"/>
      <c r="C2262" s="32"/>
      <c r="D2262" s="32"/>
      <c r="E2262" s="33"/>
      <c r="F2262" s="43" t="s">
        <v>568</v>
      </c>
      <c r="G2262" s="31" t="str">
        <f>IF(ISNUMBER(F2262),E2262*F2262,"")</f>
        <v/>
      </c>
      <c r="H2262" s="35"/>
      <c r="I2262" s="31"/>
      <c r="J2262" s="155">
        <v>0</v>
      </c>
    </row>
    <row r="2263" spans="1:10" ht="51.75" hidden="1" thickBot="1" x14ac:dyDescent="0.3">
      <c r="A2263" s="180"/>
      <c r="B2263" s="183"/>
      <c r="C2263" s="36" t="s">
        <v>3811</v>
      </c>
      <c r="D2263" s="47" t="s">
        <v>297</v>
      </c>
      <c r="E2263" s="37">
        <v>1</v>
      </c>
      <c r="F2263" s="34">
        <v>155.06849999999997</v>
      </c>
      <c r="G2263" s="34">
        <f>IF(ISNUMBER(F2263),E2263*F2263,"")</f>
        <v>155.06849999999997</v>
      </c>
      <c r="H2263" s="39">
        <f>SUM(G2263:G2269)</f>
        <v>234.44553959999996</v>
      </c>
      <c r="I2263" s="40"/>
      <c r="J2263" s="155">
        <v>0</v>
      </c>
    </row>
    <row r="2264" spans="1:10" ht="15.75" hidden="1" thickBot="1" x14ac:dyDescent="0.3">
      <c r="A2264" s="180"/>
      <c r="B2264" s="183"/>
      <c r="C2264" s="36" t="s">
        <v>754</v>
      </c>
      <c r="D2264" s="47" t="s">
        <v>755</v>
      </c>
      <c r="E2264" s="37">
        <f>ROUND(1.282*0.8,4)</f>
        <v>1.0256000000000001</v>
      </c>
      <c r="F2264" s="31">
        <v>21.916499999999999</v>
      </c>
      <c r="G2264" s="34">
        <f>IF(ISNUMBER(F2264),E2264*F2264,"")</f>
        <v>22.4775624</v>
      </c>
      <c r="H2264" s="35"/>
      <c r="I2264" s="31"/>
      <c r="J2264" s="155">
        <v>0</v>
      </c>
    </row>
    <row r="2265" spans="1:10" ht="15.75" hidden="1" thickBot="1" x14ac:dyDescent="0.3">
      <c r="A2265" s="180"/>
      <c r="B2265" s="183"/>
      <c r="C2265" s="36" t="s">
        <v>756</v>
      </c>
      <c r="D2265" s="47" t="s">
        <v>755</v>
      </c>
      <c r="E2265" s="37">
        <f>ROUND(0.641*0.8,4)</f>
        <v>0.51280000000000003</v>
      </c>
      <c r="F2265" s="31">
        <v>16.311500000000002</v>
      </c>
      <c r="G2265" s="34">
        <f>IF(ISNUMBER(F2265),E2265*F2265,"")</f>
        <v>8.3645372000000009</v>
      </c>
      <c r="H2265" s="35"/>
      <c r="I2265" s="31"/>
      <c r="J2265" s="155">
        <v>0</v>
      </c>
    </row>
    <row r="2266" spans="1:10" ht="15.75" hidden="1" thickBot="1" x14ac:dyDescent="0.3">
      <c r="A2266" s="180"/>
      <c r="B2266" s="183"/>
      <c r="C2266" s="36" t="s">
        <v>208</v>
      </c>
      <c r="D2266" s="36" t="s">
        <v>20</v>
      </c>
      <c r="E2266" s="37">
        <f>ROUND(1*(2*0.6*2.1),4)</f>
        <v>2.52</v>
      </c>
      <c r="F2266" s="34">
        <v>0.61749999999999994</v>
      </c>
      <c r="G2266" s="31">
        <f>IF(ISNUMBER(F2266),E2266*F2266,"")</f>
        <v>1.5560999999999998</v>
      </c>
      <c r="H2266" s="35"/>
      <c r="I2266" s="40"/>
      <c r="J2266" s="155">
        <v>0</v>
      </c>
    </row>
    <row r="2267" spans="1:10" ht="15.75" hidden="1" thickBot="1" x14ac:dyDescent="0.3">
      <c r="A2267" s="180"/>
      <c r="B2267" s="183"/>
      <c r="C2267" s="36" t="s">
        <v>217</v>
      </c>
      <c r="D2267" s="50" t="s">
        <v>104</v>
      </c>
      <c r="E2267" s="37">
        <f>ROUND(0.108*(2*0.6*2.1),4)</f>
        <v>0.2722</v>
      </c>
      <c r="F2267" s="34">
        <v>42.01</v>
      </c>
      <c r="G2267" s="31">
        <f>IF(ISNUMBER(F2267),E2267*F2267,"")</f>
        <v>11.435122</v>
      </c>
      <c r="H2267" s="35"/>
      <c r="I2267" s="31"/>
      <c r="J2267" s="155">
        <v>0</v>
      </c>
    </row>
    <row r="2268" spans="1:10" ht="15.75" hidden="1" thickBot="1" x14ac:dyDescent="0.3">
      <c r="A2268" s="180"/>
      <c r="B2268" s="183"/>
      <c r="C2268" s="36" t="s">
        <v>102</v>
      </c>
      <c r="D2268" s="36" t="s">
        <v>12</v>
      </c>
      <c r="E2268" s="37">
        <f>ROUND(0.4*(2*0.6*2.1),4)</f>
        <v>1.008</v>
      </c>
      <c r="F2268" s="31">
        <v>23.027999999999999</v>
      </c>
      <c r="G2268" s="31">
        <f>IF(ISNUMBER(F2268),E2268*F2268,"")</f>
        <v>23.212223999999999</v>
      </c>
      <c r="H2268" s="35"/>
      <c r="I2268" s="31"/>
      <c r="J2268" s="155">
        <v>0</v>
      </c>
    </row>
    <row r="2269" spans="1:10" ht="15.75" hidden="1" thickBot="1" x14ac:dyDescent="0.3">
      <c r="A2269" s="180"/>
      <c r="B2269" s="183"/>
      <c r="C2269" s="36" t="s">
        <v>23</v>
      </c>
      <c r="D2269" s="36" t="s">
        <v>12</v>
      </c>
      <c r="E2269" s="37">
        <f>ROUND(0.3*(2*0.6*2.1),4)</f>
        <v>0.75600000000000001</v>
      </c>
      <c r="F2269" s="31">
        <v>16.311500000000002</v>
      </c>
      <c r="G2269" s="31">
        <f>IF(ISNUMBER(F2269),E2269*F2269,"")</f>
        <v>12.331494000000001</v>
      </c>
      <c r="H2269" s="35"/>
      <c r="I2269" s="31"/>
      <c r="J2269" s="155">
        <v>0</v>
      </c>
    </row>
    <row r="2270" spans="1:10" ht="15.75" hidden="1" thickBot="1" x14ac:dyDescent="0.3">
      <c r="A2270" s="180"/>
      <c r="B2270" s="183"/>
      <c r="C2270" s="36"/>
      <c r="D2270" s="36"/>
      <c r="E2270" s="37"/>
      <c r="F2270" s="31"/>
      <c r="G2270" s="31"/>
      <c r="H2270" s="35"/>
      <c r="I2270" s="31"/>
      <c r="J2270" s="155">
        <v>0</v>
      </c>
    </row>
    <row r="2271" spans="1:10" ht="15.75" hidden="1" thickBot="1" x14ac:dyDescent="0.3">
      <c r="A2271" s="180"/>
      <c r="B2271" s="183"/>
      <c r="C2271" s="2" t="s">
        <v>3482</v>
      </c>
      <c r="D2271" s="36"/>
      <c r="E2271" s="37"/>
      <c r="F2271" s="31"/>
      <c r="G2271" s="31"/>
      <c r="H2271" s="35"/>
      <c r="I2271" s="31"/>
      <c r="J2271" s="155">
        <v>0</v>
      </c>
    </row>
    <row r="2272" spans="1:10" ht="15.75" hidden="1" thickBot="1" x14ac:dyDescent="0.3">
      <c r="A2272" s="180"/>
      <c r="B2272" s="183"/>
      <c r="C2272" s="36"/>
      <c r="D2272" s="47"/>
      <c r="E2272" s="37"/>
      <c r="F2272" s="34" t="s">
        <v>568</v>
      </c>
      <c r="G2272" s="34" t="str">
        <f>IF(ISNUMBER(F2272),E2272*F2272,"")</f>
        <v/>
      </c>
      <c r="H2272" s="35"/>
      <c r="I2272" s="31"/>
      <c r="J2272" s="155">
        <v>0</v>
      </c>
    </row>
    <row r="2273" spans="1:10" ht="15.75" thickBot="1" x14ac:dyDescent="0.3">
      <c r="A2273" s="179" t="s">
        <v>757</v>
      </c>
      <c r="B2273" s="182" t="str">
        <f>INDEX(Orçamentária!A:B,MATCH(Composições!A2273,Orçamentária!A:A,0),2)</f>
        <v>Folha de porta em madeira 2,10x0,70m, pintada</v>
      </c>
      <c r="C2273" s="41"/>
      <c r="D2273" s="26" t="str">
        <f>TRIM(INDEX(Orçamentária!C:C,MATCH(Composições!A2273,Orçamentária!A:A,0),1))</f>
        <v>un</v>
      </c>
      <c r="E2273" s="27"/>
      <c r="F2273" s="42" t="s">
        <v>568</v>
      </c>
      <c r="G2273" s="28" t="str">
        <f>IF(ISNUMBER(F2273),E2273*F2273,"")</f>
        <v/>
      </c>
      <c r="H2273" s="29"/>
      <c r="I2273" s="30"/>
      <c r="J2273" s="155">
        <v>2</v>
      </c>
    </row>
    <row r="2274" spans="1:10" x14ac:dyDescent="0.25">
      <c r="A2274" s="180"/>
      <c r="B2274" s="183"/>
      <c r="C2274" s="32"/>
      <c r="D2274" s="32"/>
      <c r="E2274" s="33"/>
      <c r="F2274" s="43" t="s">
        <v>568</v>
      </c>
      <c r="G2274" s="31" t="str">
        <f>IF(ISNUMBER(F2274),E2274*F2274,"")</f>
        <v/>
      </c>
      <c r="H2274" s="35"/>
      <c r="I2274" s="31"/>
      <c r="J2274" s="155">
        <v>2</v>
      </c>
    </row>
    <row r="2275" spans="1:10" ht="51" x14ac:dyDescent="0.25">
      <c r="A2275" s="180"/>
      <c r="B2275" s="183"/>
      <c r="C2275" s="36" t="s">
        <v>3806</v>
      </c>
      <c r="D2275" s="47" t="s">
        <v>297</v>
      </c>
      <c r="E2275" s="37">
        <v>1</v>
      </c>
      <c r="F2275" s="34">
        <v>156.75</v>
      </c>
      <c r="G2275" s="34">
        <f>IF(ISNUMBER(F2275),E2275*F2275,"")</f>
        <v>156.75</v>
      </c>
      <c r="H2275" s="39">
        <f>SUM(G2275:G2279)</f>
        <v>252.01105260000003</v>
      </c>
      <c r="I2275" s="40"/>
      <c r="J2275" s="155">
        <v>2</v>
      </c>
    </row>
    <row r="2276" spans="1:10" x14ac:dyDescent="0.25">
      <c r="A2276" s="180"/>
      <c r="B2276" s="183"/>
      <c r="C2276" s="36" t="s">
        <v>754</v>
      </c>
      <c r="D2276" s="47" t="s">
        <v>755</v>
      </c>
      <c r="E2276" s="37">
        <f>ROUND(1.414*0.8,4)</f>
        <v>1.1312</v>
      </c>
      <c r="F2276" s="31">
        <v>21.916499999999999</v>
      </c>
      <c r="G2276" s="34">
        <f>IF(ISNUMBER(F2276),E2276*F2276,"")</f>
        <v>24.7919448</v>
      </c>
      <c r="H2276" s="35"/>
      <c r="I2276" s="31"/>
      <c r="J2276" s="155">
        <v>2</v>
      </c>
    </row>
    <row r="2277" spans="1:10" x14ac:dyDescent="0.25">
      <c r="A2277" s="180"/>
      <c r="B2277" s="183"/>
      <c r="C2277" s="36" t="s">
        <v>756</v>
      </c>
      <c r="D2277" s="47" t="s">
        <v>755</v>
      </c>
      <c r="E2277" s="37">
        <f>ROUND(0.707*0.8,4)</f>
        <v>0.56559999999999999</v>
      </c>
      <c r="F2277" s="31">
        <v>16.311500000000002</v>
      </c>
      <c r="G2277" s="34">
        <f>IF(ISNUMBER(F2277),E2277*F2277,"")</f>
        <v>9.225784400000002</v>
      </c>
      <c r="H2277" s="35"/>
      <c r="I2277" s="31"/>
      <c r="J2277" s="155">
        <v>2</v>
      </c>
    </row>
    <row r="2278" spans="1:10" x14ac:dyDescent="0.25">
      <c r="A2278" s="180"/>
      <c r="B2278" s="183"/>
      <c r="C2278" s="36" t="s">
        <v>217</v>
      </c>
      <c r="D2278" s="50" t="s">
        <v>104</v>
      </c>
      <c r="E2278" s="37">
        <f>ROUND(0.108*(2*0.7*2.1),4)</f>
        <v>0.3175</v>
      </c>
      <c r="F2278" s="34">
        <v>42.01</v>
      </c>
      <c r="G2278" s="31">
        <f>IF(ISNUMBER(F2278),E2278*F2278,"")</f>
        <v>13.338175</v>
      </c>
      <c r="H2278" s="35"/>
      <c r="I2278" s="31"/>
      <c r="J2278" s="155">
        <v>2</v>
      </c>
    </row>
    <row r="2279" spans="1:10" x14ac:dyDescent="0.25">
      <c r="A2279" s="180"/>
      <c r="B2279" s="183"/>
      <c r="C2279" s="36" t="s">
        <v>102</v>
      </c>
      <c r="D2279" s="36" t="s">
        <v>12</v>
      </c>
      <c r="E2279" s="37">
        <f>ROUND(0.7076*(2*0.7*2.1),4)</f>
        <v>2.0802999999999998</v>
      </c>
      <c r="F2279" s="31">
        <v>23.027999999999999</v>
      </c>
      <c r="G2279" s="31">
        <f>IF(ISNUMBER(F2279),E2279*F2279,"")</f>
        <v>47.905148399999995</v>
      </c>
      <c r="H2279" s="35"/>
      <c r="I2279" s="31"/>
      <c r="J2279" s="155">
        <v>2</v>
      </c>
    </row>
    <row r="2280" spans="1:10" x14ac:dyDescent="0.25">
      <c r="A2280" s="180"/>
      <c r="B2280" s="183"/>
      <c r="C2280" s="36"/>
      <c r="D2280" s="36"/>
      <c r="E2280" s="37"/>
      <c r="F2280" s="31"/>
      <c r="G2280" s="31"/>
      <c r="H2280" s="35"/>
      <c r="I2280" s="31"/>
      <c r="J2280" s="155">
        <v>2</v>
      </c>
    </row>
    <row r="2281" spans="1:10" x14ac:dyDescent="0.25">
      <c r="A2281" s="180"/>
      <c r="B2281" s="183"/>
      <c r="C2281" s="2" t="s">
        <v>3482</v>
      </c>
      <c r="D2281" s="36"/>
      <c r="E2281" s="37"/>
      <c r="F2281" s="31"/>
      <c r="G2281" s="31"/>
      <c r="H2281" s="35"/>
      <c r="I2281" s="31"/>
      <c r="J2281" s="155">
        <v>2</v>
      </c>
    </row>
    <row r="2282" spans="1:10" ht="15.75" thickBot="1" x14ac:dyDescent="0.3">
      <c r="A2282" s="180"/>
      <c r="B2282" s="183"/>
      <c r="C2282" s="36"/>
      <c r="D2282" s="47"/>
      <c r="E2282" s="37"/>
      <c r="F2282" s="34" t="s">
        <v>568</v>
      </c>
      <c r="G2282" s="34" t="str">
        <f>IF(ISNUMBER(F2282),E2282*F2282,"")</f>
        <v/>
      </c>
      <c r="H2282" s="35"/>
      <c r="I2282" s="31"/>
      <c r="J2282" s="155">
        <v>2</v>
      </c>
    </row>
    <row r="2283" spans="1:10" ht="15.75" thickBot="1" x14ac:dyDescent="0.3">
      <c r="A2283" s="179" t="s">
        <v>758</v>
      </c>
      <c r="B2283" s="182" t="str">
        <f>INDEX(Orçamentária!A:B,MATCH(Composições!A2283,Orçamentária!A:A,0),2)</f>
        <v>Folha de porta em madeira 2,10x0,80m, pintada</v>
      </c>
      <c r="C2283" s="41"/>
      <c r="D2283" s="26" t="str">
        <f>TRIM(INDEX(Orçamentária!C:C,MATCH(Composições!A2283,Orçamentária!A:A,0),1))</f>
        <v>un</v>
      </c>
      <c r="E2283" s="27"/>
      <c r="F2283" s="42" t="s">
        <v>568</v>
      </c>
      <c r="G2283" s="28" t="str">
        <f>IF(ISNUMBER(F2283),E2283*F2283,"")</f>
        <v/>
      </c>
      <c r="H2283" s="29"/>
      <c r="I2283" s="30"/>
      <c r="J2283" s="155">
        <v>2</v>
      </c>
    </row>
    <row r="2284" spans="1:10" x14ac:dyDescent="0.25">
      <c r="A2284" s="180"/>
      <c r="B2284" s="183"/>
      <c r="C2284" s="32"/>
      <c r="D2284" s="32"/>
      <c r="E2284" s="33"/>
      <c r="F2284" s="43" t="s">
        <v>568</v>
      </c>
      <c r="G2284" s="31" t="str">
        <f>IF(ISNUMBER(F2284),E2284*F2284,"")</f>
        <v/>
      </c>
      <c r="H2284" s="35"/>
      <c r="I2284" s="31"/>
      <c r="J2284" s="155">
        <v>2</v>
      </c>
    </row>
    <row r="2285" spans="1:10" ht="51" x14ac:dyDescent="0.25">
      <c r="A2285" s="180"/>
      <c r="B2285" s="183"/>
      <c r="C2285" s="36" t="s">
        <v>3808</v>
      </c>
      <c r="D2285" s="47" t="s">
        <v>297</v>
      </c>
      <c r="E2285" s="37">
        <v>1</v>
      </c>
      <c r="F2285" s="34">
        <v>194.2465</v>
      </c>
      <c r="G2285" s="34">
        <f>IF(ISNUMBER(F2285),E2285*F2285,"")</f>
        <v>194.2465</v>
      </c>
      <c r="H2285" s="39">
        <f>SUM(G2285:G2289)</f>
        <v>301.43435779999999</v>
      </c>
      <c r="I2285" s="40"/>
      <c r="J2285" s="155">
        <v>2</v>
      </c>
    </row>
    <row r="2286" spans="1:10" x14ac:dyDescent="0.25">
      <c r="A2286" s="180"/>
      <c r="B2286" s="183"/>
      <c r="C2286" s="36" t="s">
        <v>754</v>
      </c>
      <c r="D2286" s="47" t="s">
        <v>755</v>
      </c>
      <c r="E2286" s="37">
        <f>ROUND(1.546*0.8,4)</f>
        <v>1.2367999999999999</v>
      </c>
      <c r="F2286" s="31">
        <v>21.916499999999999</v>
      </c>
      <c r="G2286" s="34">
        <f>IF(ISNUMBER(F2286),E2286*F2286,"")</f>
        <v>27.106327199999996</v>
      </c>
      <c r="H2286" s="35"/>
      <c r="I2286" s="31"/>
      <c r="J2286" s="155">
        <v>2</v>
      </c>
    </row>
    <row r="2287" spans="1:10" x14ac:dyDescent="0.25">
      <c r="A2287" s="180"/>
      <c r="B2287" s="183"/>
      <c r="C2287" s="36" t="s">
        <v>756</v>
      </c>
      <c r="D2287" s="47" t="s">
        <v>755</v>
      </c>
      <c r="E2287" s="37">
        <f>ROUND(0.773*0.8,4)</f>
        <v>0.61839999999999995</v>
      </c>
      <c r="F2287" s="31">
        <v>16.311500000000002</v>
      </c>
      <c r="G2287" s="34">
        <f>IF(ISNUMBER(F2287),E2287*F2287,"")</f>
        <v>10.087031600000001</v>
      </c>
      <c r="H2287" s="35"/>
      <c r="I2287" s="31"/>
      <c r="J2287" s="155">
        <v>2</v>
      </c>
    </row>
    <row r="2288" spans="1:10" x14ac:dyDescent="0.25">
      <c r="A2288" s="180"/>
      <c r="B2288" s="183"/>
      <c r="C2288" s="36" t="s">
        <v>217</v>
      </c>
      <c r="D2288" s="50" t="s">
        <v>104</v>
      </c>
      <c r="E2288" s="37">
        <f>ROUND(0.108*(2*0.8*2.1),4)</f>
        <v>0.3629</v>
      </c>
      <c r="F2288" s="34">
        <v>42.01</v>
      </c>
      <c r="G2288" s="31">
        <f>IF(ISNUMBER(F2288),E2288*F2288,"")</f>
        <v>15.245429</v>
      </c>
      <c r="H2288" s="35"/>
      <c r="I2288" s="31"/>
      <c r="J2288" s="155">
        <v>2</v>
      </c>
    </row>
    <row r="2289" spans="1:10" x14ac:dyDescent="0.25">
      <c r="A2289" s="180"/>
      <c r="B2289" s="183"/>
      <c r="C2289" s="36" t="s">
        <v>102</v>
      </c>
      <c r="D2289" s="36" t="s">
        <v>12</v>
      </c>
      <c r="E2289" s="37">
        <f>ROUND(0.7076*(2*0.8*2.1),4)</f>
        <v>2.3774999999999999</v>
      </c>
      <c r="F2289" s="31">
        <v>23.027999999999999</v>
      </c>
      <c r="G2289" s="31">
        <f>IF(ISNUMBER(F2289),E2289*F2289,"")</f>
        <v>54.749069999999996</v>
      </c>
      <c r="H2289" s="35"/>
      <c r="I2289" s="31"/>
      <c r="J2289" s="155">
        <v>2</v>
      </c>
    </row>
    <row r="2290" spans="1:10" x14ac:dyDescent="0.25">
      <c r="A2290" s="180"/>
      <c r="B2290" s="183"/>
      <c r="C2290" s="36"/>
      <c r="D2290" s="36"/>
      <c r="E2290" s="37"/>
      <c r="F2290" s="31"/>
      <c r="G2290" s="31"/>
      <c r="H2290" s="35"/>
      <c r="I2290" s="31"/>
      <c r="J2290" s="155">
        <v>2</v>
      </c>
    </row>
    <row r="2291" spans="1:10" x14ac:dyDescent="0.25">
      <c r="A2291" s="180"/>
      <c r="B2291" s="183"/>
      <c r="C2291" s="2" t="s">
        <v>3482</v>
      </c>
      <c r="D2291" s="36"/>
      <c r="E2291" s="37"/>
      <c r="F2291" s="31"/>
      <c r="G2291" s="31"/>
      <c r="H2291" s="35"/>
      <c r="I2291" s="31"/>
      <c r="J2291" s="155">
        <v>2</v>
      </c>
    </row>
    <row r="2292" spans="1:10" ht="15.75" thickBot="1" x14ac:dyDescent="0.3">
      <c r="A2292" s="180"/>
      <c r="B2292" s="183"/>
      <c r="C2292" s="36"/>
      <c r="D2292" s="47"/>
      <c r="E2292" s="37"/>
      <c r="F2292" s="34" t="s">
        <v>568</v>
      </c>
      <c r="G2292" s="34" t="str">
        <f>IF(ISNUMBER(F2292),E2292*F2292,"")</f>
        <v/>
      </c>
      <c r="H2292" s="35"/>
      <c r="I2292" s="31"/>
      <c r="J2292" s="155">
        <v>2</v>
      </c>
    </row>
    <row r="2293" spans="1:10" ht="15.75" hidden="1" thickBot="1" x14ac:dyDescent="0.3">
      <c r="A2293" s="179" t="s">
        <v>759</v>
      </c>
      <c r="B2293" s="182" t="str">
        <f>INDEX(Orçamentária!A:B,MATCH(Composições!A2293,Orçamentária!A:A,0),2)</f>
        <v>Folha de porta em madeira 2,10x0,90m, pintada</v>
      </c>
      <c r="C2293" s="41"/>
      <c r="D2293" s="26" t="str">
        <f>TRIM(INDEX(Orçamentária!C:C,MATCH(Composições!A2293,Orçamentária!A:A,0),1))</f>
        <v>un</v>
      </c>
      <c r="E2293" s="27"/>
      <c r="F2293" s="42" t="s">
        <v>568</v>
      </c>
      <c r="G2293" s="28" t="str">
        <f>IF(ISNUMBER(F2293),E2293*F2293,"")</f>
        <v/>
      </c>
      <c r="H2293" s="29"/>
      <c r="I2293" s="30"/>
      <c r="J2293" s="155">
        <v>0</v>
      </c>
    </row>
    <row r="2294" spans="1:10" ht="15.75" hidden="1" thickBot="1" x14ac:dyDescent="0.3">
      <c r="A2294" s="180"/>
      <c r="B2294" s="183"/>
      <c r="C2294" s="32"/>
      <c r="D2294" s="32"/>
      <c r="E2294" s="33"/>
      <c r="F2294" s="43" t="s">
        <v>568</v>
      </c>
      <c r="G2294" s="31" t="str">
        <f>IF(ISNUMBER(F2294),E2294*F2294,"")</f>
        <v/>
      </c>
      <c r="H2294" s="35"/>
      <c r="I2294" s="31"/>
      <c r="J2294" s="155">
        <v>0</v>
      </c>
    </row>
    <row r="2295" spans="1:10" ht="51.75" hidden="1" thickBot="1" x14ac:dyDescent="0.3">
      <c r="A2295" s="180"/>
      <c r="B2295" s="183"/>
      <c r="C2295" s="36" t="s">
        <v>3809</v>
      </c>
      <c r="D2295" s="47" t="s">
        <v>297</v>
      </c>
      <c r="E2295" s="37">
        <v>1</v>
      </c>
      <c r="F2295" s="34">
        <v>222.23349999999999</v>
      </c>
      <c r="G2295" s="34">
        <f>IF(ISNUMBER(F2295),E2295*F2295,"")</f>
        <v>222.23349999999999</v>
      </c>
      <c r="H2295" s="39">
        <f>SUM(G2295:G2301)</f>
        <v>335.40069740000001</v>
      </c>
      <c r="I2295" s="40"/>
      <c r="J2295" s="155">
        <v>0</v>
      </c>
    </row>
    <row r="2296" spans="1:10" ht="15.75" hidden="1" thickBot="1" x14ac:dyDescent="0.3">
      <c r="A2296" s="180"/>
      <c r="B2296" s="183"/>
      <c r="C2296" s="36" t="s">
        <v>754</v>
      </c>
      <c r="D2296" s="47" t="s">
        <v>755</v>
      </c>
      <c r="E2296" s="37">
        <f>ROUND(1.678*0.8,4)</f>
        <v>1.3424</v>
      </c>
      <c r="F2296" s="31">
        <v>21.916499999999999</v>
      </c>
      <c r="G2296" s="34">
        <f>IF(ISNUMBER(F2296),E2296*F2296,"")</f>
        <v>29.420709599999999</v>
      </c>
      <c r="H2296" s="35"/>
      <c r="I2296" s="31"/>
      <c r="J2296" s="155">
        <v>0</v>
      </c>
    </row>
    <row r="2297" spans="1:10" ht="15.75" hidden="1" thickBot="1" x14ac:dyDescent="0.3">
      <c r="A2297" s="180"/>
      <c r="B2297" s="183"/>
      <c r="C2297" s="36" t="s">
        <v>756</v>
      </c>
      <c r="D2297" s="47" t="s">
        <v>755</v>
      </c>
      <c r="E2297" s="37">
        <f>ROUND(0.839*0.8,4)</f>
        <v>0.67120000000000002</v>
      </c>
      <c r="F2297" s="31">
        <v>16.311500000000002</v>
      </c>
      <c r="G2297" s="34">
        <f>IF(ISNUMBER(F2297),E2297*F2297,"")</f>
        <v>10.948278800000002</v>
      </c>
      <c r="H2297" s="35"/>
      <c r="I2297" s="31"/>
      <c r="J2297" s="155">
        <v>0</v>
      </c>
    </row>
    <row r="2298" spans="1:10" ht="15.75" hidden="1" thickBot="1" x14ac:dyDescent="0.3">
      <c r="A2298" s="180"/>
      <c r="B2298" s="183"/>
      <c r="C2298" s="36" t="s">
        <v>208</v>
      </c>
      <c r="D2298" s="36" t="s">
        <v>20</v>
      </c>
      <c r="E2298" s="37">
        <f>ROUND(1*(2*0.9*2.1),4)</f>
        <v>3.78</v>
      </c>
      <c r="F2298" s="34">
        <v>0.61749999999999994</v>
      </c>
      <c r="G2298" s="31">
        <f>IF(ISNUMBER(F2298),E2298*F2298,"")</f>
        <v>2.3341499999999997</v>
      </c>
      <c r="H2298" s="35"/>
      <c r="I2298" s="40"/>
      <c r="J2298" s="155">
        <v>0</v>
      </c>
    </row>
    <row r="2299" spans="1:10" ht="15.75" hidden="1" thickBot="1" x14ac:dyDescent="0.3">
      <c r="A2299" s="180"/>
      <c r="B2299" s="183"/>
      <c r="C2299" s="36" t="s">
        <v>217</v>
      </c>
      <c r="D2299" s="50" t="s">
        <v>104</v>
      </c>
      <c r="E2299" s="37">
        <f>ROUND(0.108*(2*0.9*2.1),4)</f>
        <v>0.40820000000000001</v>
      </c>
      <c r="F2299" s="34">
        <v>42.01</v>
      </c>
      <c r="G2299" s="31">
        <f>IF(ISNUMBER(F2299),E2299*F2299,"")</f>
        <v>17.148481999999998</v>
      </c>
      <c r="H2299" s="35"/>
      <c r="I2299" s="31"/>
      <c r="J2299" s="155">
        <v>0</v>
      </c>
    </row>
    <row r="2300" spans="1:10" ht="15.75" hidden="1" thickBot="1" x14ac:dyDescent="0.3">
      <c r="A2300" s="180"/>
      <c r="B2300" s="183"/>
      <c r="C2300" s="36" t="s">
        <v>102</v>
      </c>
      <c r="D2300" s="36" t="s">
        <v>12</v>
      </c>
      <c r="E2300" s="37">
        <f>ROUND(0.4*(2*0.9*2.1),4)</f>
        <v>1.512</v>
      </c>
      <c r="F2300" s="31">
        <v>23.027999999999999</v>
      </c>
      <c r="G2300" s="31">
        <f>IF(ISNUMBER(F2300),E2300*F2300,"")</f>
        <v>34.818335999999995</v>
      </c>
      <c r="H2300" s="35"/>
      <c r="I2300" s="31"/>
      <c r="J2300" s="155">
        <v>0</v>
      </c>
    </row>
    <row r="2301" spans="1:10" ht="15.75" hidden="1" thickBot="1" x14ac:dyDescent="0.3">
      <c r="A2301" s="180"/>
      <c r="B2301" s="183"/>
      <c r="C2301" s="36" t="s">
        <v>23</v>
      </c>
      <c r="D2301" s="36" t="s">
        <v>12</v>
      </c>
      <c r="E2301" s="37">
        <f>ROUND(0.3*(2*0.9*2.1),4)</f>
        <v>1.1339999999999999</v>
      </c>
      <c r="F2301" s="31">
        <v>16.311500000000002</v>
      </c>
      <c r="G2301" s="31">
        <f>IF(ISNUMBER(F2301),E2301*F2301,"")</f>
        <v>18.497241000000002</v>
      </c>
      <c r="H2301" s="35"/>
      <c r="I2301" s="31"/>
      <c r="J2301" s="155">
        <v>0</v>
      </c>
    </row>
    <row r="2302" spans="1:10" ht="15.75" hidden="1" thickBot="1" x14ac:dyDescent="0.3">
      <c r="A2302" s="180"/>
      <c r="B2302" s="183"/>
      <c r="C2302" s="36"/>
      <c r="D2302" s="36"/>
      <c r="E2302" s="37"/>
      <c r="F2302" s="31"/>
      <c r="G2302" s="31"/>
      <c r="H2302" s="35"/>
      <c r="I2302" s="31"/>
      <c r="J2302" s="155">
        <v>0</v>
      </c>
    </row>
    <row r="2303" spans="1:10" ht="15.75" hidden="1" thickBot="1" x14ac:dyDescent="0.3">
      <c r="A2303" s="180"/>
      <c r="B2303" s="183"/>
      <c r="C2303" s="2" t="s">
        <v>3482</v>
      </c>
      <c r="D2303" s="36"/>
      <c r="E2303" s="37"/>
      <c r="F2303" s="31"/>
      <c r="G2303" s="31"/>
      <c r="H2303" s="35"/>
      <c r="I2303" s="31"/>
      <c r="J2303" s="155">
        <v>0</v>
      </c>
    </row>
    <row r="2304" spans="1:10" ht="15.75" hidden="1" thickBot="1" x14ac:dyDescent="0.3">
      <c r="A2304" s="180"/>
      <c r="B2304" s="183"/>
      <c r="C2304" s="36"/>
      <c r="D2304" s="47"/>
      <c r="E2304" s="37"/>
      <c r="F2304" s="34" t="s">
        <v>568</v>
      </c>
      <c r="G2304" s="34" t="str">
        <f>IF(ISNUMBER(F2304),E2304*F2304,"")</f>
        <v/>
      </c>
      <c r="H2304" s="35"/>
      <c r="I2304" s="31"/>
      <c r="J2304" s="155">
        <v>0</v>
      </c>
    </row>
    <row r="2305" spans="1:10" ht="15.75" hidden="1" thickBot="1" x14ac:dyDescent="0.3">
      <c r="A2305" s="179" t="s">
        <v>760</v>
      </c>
      <c r="B2305" s="182" t="str">
        <f>INDEX(Orçamentária!A:B,MATCH(Composições!A2305,Orçamentária!A:A,0),2)</f>
        <v>Folha de porta em madeira 2,10x1,0m, pintada</v>
      </c>
      <c r="C2305" s="41"/>
      <c r="D2305" s="26" t="str">
        <f>TRIM(INDEX(Orçamentária!C:C,MATCH(Composições!A2305,Orçamentária!A:A,0),1))</f>
        <v>un</v>
      </c>
      <c r="E2305" s="27"/>
      <c r="F2305" s="42" t="s">
        <v>568</v>
      </c>
      <c r="G2305" s="28" t="str">
        <f>IF(ISNUMBER(F2305),E2305*F2305,"")</f>
        <v/>
      </c>
      <c r="H2305" s="29"/>
      <c r="I2305" s="30"/>
      <c r="J2305" s="155">
        <v>0</v>
      </c>
    </row>
    <row r="2306" spans="1:10" ht="15.75" hidden="1" thickBot="1" x14ac:dyDescent="0.3">
      <c r="A2306" s="180"/>
      <c r="B2306" s="183"/>
      <c r="C2306" s="32"/>
      <c r="D2306" s="32"/>
      <c r="E2306" s="33"/>
      <c r="F2306" s="43" t="s">
        <v>568</v>
      </c>
      <c r="G2306" s="31" t="str">
        <f>IF(ISNUMBER(F2306),E2306*F2306,"")</f>
        <v/>
      </c>
      <c r="H2306" s="35"/>
      <c r="I2306" s="31"/>
      <c r="J2306" s="155">
        <v>0</v>
      </c>
    </row>
    <row r="2307" spans="1:10" ht="39" hidden="1" thickBot="1" x14ac:dyDescent="0.3">
      <c r="A2307" s="180"/>
      <c r="B2307" s="183"/>
      <c r="C2307" s="36" t="s">
        <v>761</v>
      </c>
      <c r="D2307" s="47" t="s">
        <v>297</v>
      </c>
      <c r="E2307" s="37">
        <v>1</v>
      </c>
      <c r="F2307" s="34">
        <v>238.03199999999998</v>
      </c>
      <c r="G2307" s="34">
        <f>IF(ISNUMBER(F2307),E2307*F2307,"")</f>
        <v>238.03199999999998</v>
      </c>
      <c r="H2307" s="39">
        <f>SUM(G2307:G2313)</f>
        <v>359.28975440000005</v>
      </c>
      <c r="I2307" s="40"/>
      <c r="J2307" s="155">
        <v>0</v>
      </c>
    </row>
    <row r="2308" spans="1:10" ht="15.75" hidden="1" thickBot="1" x14ac:dyDescent="0.3">
      <c r="A2308" s="180"/>
      <c r="B2308" s="183"/>
      <c r="C2308" s="36" t="s">
        <v>754</v>
      </c>
      <c r="D2308" s="47" t="s">
        <v>755</v>
      </c>
      <c r="E2308" s="37">
        <f>ROUND(1.678*0.8,4)</f>
        <v>1.3424</v>
      </c>
      <c r="F2308" s="31">
        <v>21.916499999999999</v>
      </c>
      <c r="G2308" s="34">
        <f>IF(ISNUMBER(F2308),E2308*F2308,"")</f>
        <v>29.420709599999999</v>
      </c>
      <c r="H2308" s="35"/>
      <c r="I2308" s="31"/>
      <c r="J2308" s="155">
        <v>0</v>
      </c>
    </row>
    <row r="2309" spans="1:10" ht="15.75" hidden="1" thickBot="1" x14ac:dyDescent="0.3">
      <c r="A2309" s="180"/>
      <c r="B2309" s="183"/>
      <c r="C2309" s="36" t="s">
        <v>756</v>
      </c>
      <c r="D2309" s="47" t="s">
        <v>755</v>
      </c>
      <c r="E2309" s="37">
        <f>ROUND(0.839*0.8,4)</f>
        <v>0.67120000000000002</v>
      </c>
      <c r="F2309" s="31">
        <v>16.311500000000002</v>
      </c>
      <c r="G2309" s="34">
        <f>IF(ISNUMBER(F2309),E2309*F2309,"")</f>
        <v>10.948278800000002</v>
      </c>
      <c r="H2309" s="35"/>
      <c r="I2309" s="31"/>
      <c r="J2309" s="155">
        <v>0</v>
      </c>
    </row>
    <row r="2310" spans="1:10" ht="15.75" hidden="1" thickBot="1" x14ac:dyDescent="0.3">
      <c r="A2310" s="180"/>
      <c r="B2310" s="183"/>
      <c r="C2310" s="36" t="s">
        <v>208</v>
      </c>
      <c r="D2310" s="36" t="s">
        <v>20</v>
      </c>
      <c r="E2310" s="37">
        <f>ROUND(1*(2*1*2.1),4)</f>
        <v>4.2</v>
      </c>
      <c r="F2310" s="34">
        <v>0.61749999999999994</v>
      </c>
      <c r="G2310" s="31">
        <f>IF(ISNUMBER(F2310),E2310*F2310,"")</f>
        <v>2.5934999999999997</v>
      </c>
      <c r="H2310" s="35"/>
      <c r="I2310" s="40"/>
      <c r="J2310" s="155">
        <v>0</v>
      </c>
    </row>
    <row r="2311" spans="1:10" ht="15.75" hidden="1" thickBot="1" x14ac:dyDescent="0.3">
      <c r="A2311" s="180"/>
      <c r="B2311" s="183"/>
      <c r="C2311" s="36" t="s">
        <v>217</v>
      </c>
      <c r="D2311" s="50" t="s">
        <v>104</v>
      </c>
      <c r="E2311" s="37">
        <f>ROUND(0.108*(2*1*2.1),4)</f>
        <v>0.4536</v>
      </c>
      <c r="F2311" s="34">
        <v>42.01</v>
      </c>
      <c r="G2311" s="31">
        <f>IF(ISNUMBER(F2311),E2311*F2311,"")</f>
        <v>19.055736</v>
      </c>
      <c r="H2311" s="35"/>
      <c r="I2311" s="31"/>
      <c r="J2311" s="155">
        <v>0</v>
      </c>
    </row>
    <row r="2312" spans="1:10" ht="15.75" hidden="1" thickBot="1" x14ac:dyDescent="0.3">
      <c r="A2312" s="180"/>
      <c r="B2312" s="183"/>
      <c r="C2312" s="36" t="s">
        <v>102</v>
      </c>
      <c r="D2312" s="36" t="s">
        <v>12</v>
      </c>
      <c r="E2312" s="37">
        <f>ROUND(0.4*(2*1*2.1),4)</f>
        <v>1.68</v>
      </c>
      <c r="F2312" s="31">
        <v>23.027999999999999</v>
      </c>
      <c r="G2312" s="31">
        <f>IF(ISNUMBER(F2312),E2312*F2312,"")</f>
        <v>38.687039999999996</v>
      </c>
      <c r="H2312" s="35"/>
      <c r="I2312" s="31"/>
      <c r="J2312" s="155">
        <v>0</v>
      </c>
    </row>
    <row r="2313" spans="1:10" ht="15.75" hidden="1" thickBot="1" x14ac:dyDescent="0.3">
      <c r="A2313" s="180"/>
      <c r="B2313" s="183"/>
      <c r="C2313" s="36" t="s">
        <v>23</v>
      </c>
      <c r="D2313" s="36" t="s">
        <v>12</v>
      </c>
      <c r="E2313" s="37">
        <f>ROUND(0.3*(2*1*2.1),4)</f>
        <v>1.26</v>
      </c>
      <c r="F2313" s="31">
        <v>16.311500000000002</v>
      </c>
      <c r="G2313" s="31">
        <f>IF(ISNUMBER(F2313),E2313*F2313,"")</f>
        <v>20.552490000000002</v>
      </c>
      <c r="H2313" s="35"/>
      <c r="I2313" s="31"/>
      <c r="J2313" s="155">
        <v>0</v>
      </c>
    </row>
    <row r="2314" spans="1:10" ht="15.75" hidden="1" thickBot="1" x14ac:dyDescent="0.3">
      <c r="A2314" s="180"/>
      <c r="B2314" s="183"/>
      <c r="C2314" s="36"/>
      <c r="D2314" s="36"/>
      <c r="E2314" s="37"/>
      <c r="F2314" s="31"/>
      <c r="G2314" s="31"/>
      <c r="H2314" s="35"/>
      <c r="I2314" s="31"/>
      <c r="J2314" s="155">
        <v>0</v>
      </c>
    </row>
    <row r="2315" spans="1:10" ht="15.75" hidden="1" thickBot="1" x14ac:dyDescent="0.3">
      <c r="A2315" s="180"/>
      <c r="B2315" s="183"/>
      <c r="C2315" s="2" t="s">
        <v>3482</v>
      </c>
      <c r="D2315" s="36"/>
      <c r="E2315" s="37"/>
      <c r="F2315" s="31"/>
      <c r="G2315" s="31"/>
      <c r="H2315" s="35"/>
      <c r="I2315" s="31"/>
      <c r="J2315" s="155">
        <v>0</v>
      </c>
    </row>
    <row r="2316" spans="1:10" ht="15.75" hidden="1" thickBot="1" x14ac:dyDescent="0.3">
      <c r="A2316" s="180"/>
      <c r="B2316" s="183"/>
      <c r="C2316" s="36"/>
      <c r="D2316" s="47"/>
      <c r="E2316" s="37"/>
      <c r="F2316" s="34" t="s">
        <v>568</v>
      </c>
      <c r="G2316" s="34" t="str">
        <f>IF(ISNUMBER(F2316),E2316*F2316,"")</f>
        <v/>
      </c>
      <c r="H2316" s="35"/>
      <c r="I2316" s="31"/>
      <c r="J2316" s="155">
        <v>0</v>
      </c>
    </row>
    <row r="2317" spans="1:10" ht="15.75" hidden="1" thickBot="1" x14ac:dyDescent="0.3">
      <c r="A2317" s="179" t="s">
        <v>762</v>
      </c>
      <c r="B2317" s="182" t="str">
        <f>INDEX(Orçamentária!A:B,MATCH(Composições!A2317,Orçamentária!A:A,0),2)</f>
        <v>Instalação de batentes de madeira reaproveitados</v>
      </c>
      <c r="C2317" s="41"/>
      <c r="D2317" s="26" t="str">
        <f>TRIM(INDEX(Orçamentária!C:C,MATCH(Composições!A2317,Orçamentária!A:A,0),1))</f>
        <v>un</v>
      </c>
      <c r="E2317" s="27"/>
      <c r="F2317" s="42" t="s">
        <v>568</v>
      </c>
      <c r="G2317" s="28" t="str">
        <f>IF(ISNUMBER(F2317),E2317*F2317,"")</f>
        <v/>
      </c>
      <c r="H2317" s="29"/>
      <c r="I2317" s="30"/>
      <c r="J2317" s="155">
        <v>0</v>
      </c>
    </row>
    <row r="2318" spans="1:10" ht="15.75" hidden="1" thickBot="1" x14ac:dyDescent="0.3">
      <c r="A2318" s="180"/>
      <c r="B2318" s="183"/>
      <c r="C2318" s="32"/>
      <c r="D2318" s="32"/>
      <c r="E2318" s="33"/>
      <c r="F2318" s="43" t="s">
        <v>568</v>
      </c>
      <c r="G2318" s="31" t="str">
        <f>IF(ISNUMBER(F2318),E2318*F2318,"")</f>
        <v/>
      </c>
      <c r="H2318" s="35"/>
      <c r="I2318" s="31"/>
      <c r="J2318" s="155">
        <v>0</v>
      </c>
    </row>
    <row r="2319" spans="1:10" ht="15.75" hidden="1" thickBot="1" x14ac:dyDescent="0.3">
      <c r="A2319" s="180"/>
      <c r="B2319" s="183"/>
      <c r="C2319" s="36" t="s">
        <v>1538</v>
      </c>
      <c r="D2319" s="47" t="s">
        <v>953</v>
      </c>
      <c r="E2319" s="37">
        <v>1.0999999999999999E-2</v>
      </c>
      <c r="F2319" s="34">
        <v>22.914000000000001</v>
      </c>
      <c r="G2319" s="31">
        <f>IF(ISNUMBER(F2319),E2319*F2319,"")</f>
        <v>0.252054</v>
      </c>
      <c r="H2319" s="39">
        <f>SUM(G2319:G2322)</f>
        <v>82.877353999999997</v>
      </c>
      <c r="I2319" s="40"/>
      <c r="J2319" s="155">
        <v>0</v>
      </c>
    </row>
    <row r="2320" spans="1:10" ht="15.75" hidden="1" thickBot="1" x14ac:dyDescent="0.3">
      <c r="A2320" s="180"/>
      <c r="B2320" s="183"/>
      <c r="C2320" s="36" t="s">
        <v>100</v>
      </c>
      <c r="D2320" s="50" t="s">
        <v>953</v>
      </c>
      <c r="E2320" s="37">
        <v>2.4E-2</v>
      </c>
      <c r="F2320" s="34">
        <v>17.394499999999997</v>
      </c>
      <c r="G2320" s="31">
        <f>IF(ISNUMBER(F2320),E2320*F2320,"")</f>
        <v>0.41746799999999995</v>
      </c>
      <c r="H2320" s="35"/>
      <c r="I2320" s="31"/>
      <c r="J2320" s="155">
        <v>0</v>
      </c>
    </row>
    <row r="2321" spans="1:10" ht="15.75" hidden="1" thickBot="1" x14ac:dyDescent="0.3">
      <c r="A2321" s="180"/>
      <c r="B2321" s="183"/>
      <c r="C2321" s="36" t="s">
        <v>754</v>
      </c>
      <c r="D2321" s="47" t="s">
        <v>755</v>
      </c>
      <c r="E2321" s="37">
        <v>2.7410000000000001</v>
      </c>
      <c r="F2321" s="31">
        <v>21.916499999999999</v>
      </c>
      <c r="G2321" s="31">
        <f>IF(ISNUMBER(F2321),E2321*F2321,"")</f>
        <v>60.073126500000001</v>
      </c>
      <c r="H2321" s="35"/>
      <c r="I2321" s="31"/>
      <c r="J2321" s="155">
        <v>0</v>
      </c>
    </row>
    <row r="2322" spans="1:10" ht="15.75" hidden="1" thickBot="1" x14ac:dyDescent="0.3">
      <c r="A2322" s="180"/>
      <c r="B2322" s="183"/>
      <c r="C2322" s="36" t="s">
        <v>756</v>
      </c>
      <c r="D2322" s="47" t="s">
        <v>755</v>
      </c>
      <c r="E2322" s="37">
        <v>1.357</v>
      </c>
      <c r="F2322" s="31">
        <v>16.311500000000002</v>
      </c>
      <c r="G2322" s="31">
        <f>IF(ISNUMBER(F2322),E2322*F2322,"")</f>
        <v>22.134705500000003</v>
      </c>
      <c r="H2322" s="35"/>
      <c r="I2322" s="31"/>
      <c r="J2322" s="155">
        <v>0</v>
      </c>
    </row>
    <row r="2323" spans="1:10" ht="15.75" hidden="1" thickBot="1" x14ac:dyDescent="0.3">
      <c r="A2323" s="180"/>
      <c r="B2323" s="183"/>
      <c r="C2323" s="36"/>
      <c r="D2323" s="36"/>
      <c r="E2323" s="37"/>
      <c r="F2323" s="31" t="s">
        <v>568</v>
      </c>
      <c r="G2323" s="34" t="str">
        <f>IF(ISNUMBER(F2323),E2323*F2323,"")</f>
        <v/>
      </c>
      <c r="H2323" s="35"/>
      <c r="I2323" s="31"/>
      <c r="J2323" s="155">
        <v>0</v>
      </c>
    </row>
    <row r="2324" spans="1:10" ht="15.75" hidden="1" thickBot="1" x14ac:dyDescent="0.3">
      <c r="A2324" s="179" t="s">
        <v>763</v>
      </c>
      <c r="B2324" s="182" t="str">
        <f>INDEX(Orçamentária!A:B,MATCH(Composições!A2324,Orçamentária!A:A,0),2)</f>
        <v>Instalação de folhas de portas e dobradiças reaproveitadas</v>
      </c>
      <c r="C2324" s="41"/>
      <c r="D2324" s="26" t="str">
        <f>TRIM(INDEX(Orçamentária!C:C,MATCH(Composições!A2324,Orçamentária!A:A,0),1))</f>
        <v>un</v>
      </c>
      <c r="E2324" s="27"/>
      <c r="F2324" s="42" t="s">
        <v>568</v>
      </c>
      <c r="G2324" s="28" t="str">
        <f>IF(ISNUMBER(F2324),E2324*F2324,"")</f>
        <v/>
      </c>
      <c r="H2324" s="29"/>
      <c r="I2324" s="30"/>
      <c r="J2324" s="155">
        <v>0</v>
      </c>
    </row>
    <row r="2325" spans="1:10" ht="15.75" hidden="1" thickBot="1" x14ac:dyDescent="0.3">
      <c r="A2325" s="180"/>
      <c r="B2325" s="183"/>
      <c r="C2325" s="32"/>
      <c r="D2325" s="32"/>
      <c r="E2325" s="33"/>
      <c r="F2325" s="43" t="s">
        <v>568</v>
      </c>
      <c r="G2325" s="34" t="str">
        <f>IF(ISNUMBER(F2325),E2325*F2325,"")</f>
        <v/>
      </c>
      <c r="H2325" s="35"/>
      <c r="I2325" s="31"/>
      <c r="J2325" s="155">
        <v>0</v>
      </c>
    </row>
    <row r="2326" spans="1:10" ht="26.25" hidden="1" thickBot="1" x14ac:dyDescent="0.3">
      <c r="A2326" s="180"/>
      <c r="B2326" s="183"/>
      <c r="C2326" s="36" t="s">
        <v>753</v>
      </c>
      <c r="D2326" s="36" t="s">
        <v>297</v>
      </c>
      <c r="E2326" s="37">
        <v>19.8</v>
      </c>
      <c r="F2326" s="31">
        <v>4.7500000000000001E-2</v>
      </c>
      <c r="G2326" s="34">
        <f>IF(ISNUMBER(F2326),E2326*F2326,"")</f>
        <v>0.9405</v>
      </c>
      <c r="H2326" s="39">
        <f>SUM(G2326:G2329)</f>
        <v>59.392727000000008</v>
      </c>
      <c r="I2326" s="40"/>
      <c r="J2326" s="155">
        <v>0</v>
      </c>
    </row>
    <row r="2327" spans="1:10" ht="15.75" hidden="1" thickBot="1" x14ac:dyDescent="0.3">
      <c r="A2327" s="180"/>
      <c r="B2327" s="183"/>
      <c r="C2327" s="36" t="s">
        <v>754</v>
      </c>
      <c r="D2327" s="36" t="s">
        <v>755</v>
      </c>
      <c r="E2327" s="37">
        <v>1.546</v>
      </c>
      <c r="F2327" s="31">
        <v>21.916499999999999</v>
      </c>
      <c r="G2327" s="34">
        <f>IF(ISNUMBER(F2327),E2327*F2327,"")</f>
        <v>33.882908999999998</v>
      </c>
      <c r="H2327" s="35"/>
      <c r="I2327" s="31"/>
      <c r="J2327" s="155">
        <v>0</v>
      </c>
    </row>
    <row r="2328" spans="1:10" ht="15.75" hidden="1" thickBot="1" x14ac:dyDescent="0.3">
      <c r="A2328" s="180"/>
      <c r="B2328" s="183"/>
      <c r="C2328" s="36" t="s">
        <v>764</v>
      </c>
      <c r="D2328" s="36" t="s">
        <v>755</v>
      </c>
      <c r="E2328" s="37">
        <v>0.221</v>
      </c>
      <c r="F2328" s="31">
        <v>22.087499999999999</v>
      </c>
      <c r="G2328" s="34">
        <f>IF(ISNUMBER(F2328),E2328*F2328,"")</f>
        <v>4.8813374999999999</v>
      </c>
      <c r="H2328" s="35"/>
      <c r="I2328" s="31"/>
      <c r="J2328" s="155">
        <v>0</v>
      </c>
    </row>
    <row r="2329" spans="1:10" ht="15.75" hidden="1" thickBot="1" x14ac:dyDescent="0.3">
      <c r="A2329" s="180"/>
      <c r="B2329" s="183"/>
      <c r="C2329" s="36" t="s">
        <v>756</v>
      </c>
      <c r="D2329" s="36" t="s">
        <v>755</v>
      </c>
      <c r="E2329" s="37">
        <v>1.2070000000000001</v>
      </c>
      <c r="F2329" s="31">
        <v>16.311500000000002</v>
      </c>
      <c r="G2329" s="34">
        <f>IF(ISNUMBER(F2329),E2329*F2329,"")</f>
        <v>19.687980500000005</v>
      </c>
      <c r="H2329" s="35"/>
      <c r="I2329" s="31"/>
      <c r="J2329" s="155">
        <v>0</v>
      </c>
    </row>
    <row r="2330" spans="1:10" ht="15.75" hidden="1" thickBot="1" x14ac:dyDescent="0.3">
      <c r="A2330" s="180"/>
      <c r="B2330" s="183"/>
      <c r="C2330" s="36"/>
      <c r="D2330" s="36"/>
      <c r="E2330" s="37"/>
      <c r="F2330" s="31" t="s">
        <v>568</v>
      </c>
      <c r="G2330" s="34" t="str">
        <f>IF(ISNUMBER(F2330),E2330*F2330,"")</f>
        <v/>
      </c>
      <c r="H2330" s="35"/>
      <c r="I2330" s="31"/>
      <c r="J2330" s="155">
        <v>0</v>
      </c>
    </row>
    <row r="2331" spans="1:10" ht="15.75" thickBot="1" x14ac:dyDescent="0.3">
      <c r="A2331" s="172" t="s">
        <v>765</v>
      </c>
      <c r="B2331" s="174" t="str">
        <f>INDEX(Orçamentária!A:B,MATCH(Composições!A2331,Orçamentária!A:A,0),2)</f>
        <v>Dobradiça para porta</v>
      </c>
      <c r="C2331" s="41"/>
      <c r="D2331" s="26" t="str">
        <f>TRIM(INDEX(Orçamentária!C:C,MATCH(Composições!A2331,Orçamentária!A:A,0),1))</f>
        <v>un</v>
      </c>
      <c r="E2331" s="27"/>
      <c r="F2331" s="42" t="s">
        <v>568</v>
      </c>
      <c r="G2331" s="28" t="str">
        <f>IF(ISNUMBER(F2331),E2331*F2331,"")</f>
        <v/>
      </c>
      <c r="H2331" s="29"/>
      <c r="I2331" s="30"/>
      <c r="J2331" s="155">
        <v>15</v>
      </c>
    </row>
    <row r="2332" spans="1:10" x14ac:dyDescent="0.25">
      <c r="A2332" s="176"/>
      <c r="B2332" s="175"/>
      <c r="C2332" s="32"/>
      <c r="D2332" s="32"/>
      <c r="E2332" s="33"/>
      <c r="F2332" s="43" t="s">
        <v>568</v>
      </c>
      <c r="G2332" s="34" t="str">
        <f>IF(ISNUMBER(F2332),E2332*F2332,"")</f>
        <v/>
      </c>
      <c r="H2332" s="35"/>
      <c r="I2332" s="31"/>
      <c r="J2332" s="155">
        <v>15</v>
      </c>
    </row>
    <row r="2333" spans="1:10" ht="25.5" x14ac:dyDescent="0.25">
      <c r="A2333" s="176"/>
      <c r="B2333" s="175"/>
      <c r="C2333" s="36" t="s">
        <v>752</v>
      </c>
      <c r="D2333" s="47" t="s">
        <v>297</v>
      </c>
      <c r="E2333" s="37">
        <v>1</v>
      </c>
      <c r="F2333" s="34">
        <v>16.9955</v>
      </c>
      <c r="G2333" s="34">
        <f>IF(ISNUMBER(F2333),E2333*F2333,"")</f>
        <v>16.9955</v>
      </c>
      <c r="H2333" s="39">
        <f>SUM(G2333:G2335)</f>
        <v>44.541680999999997</v>
      </c>
      <c r="I2333" s="40"/>
      <c r="J2333" s="155">
        <v>15</v>
      </c>
    </row>
    <row r="2334" spans="1:10" x14ac:dyDescent="0.25">
      <c r="A2334" s="176"/>
      <c r="B2334" s="175"/>
      <c r="C2334" s="36" t="s">
        <v>756</v>
      </c>
      <c r="D2334" s="47" t="s">
        <v>12</v>
      </c>
      <c r="E2334" s="37">
        <v>0.45800000000000002</v>
      </c>
      <c r="F2334" s="31">
        <v>16.311500000000002</v>
      </c>
      <c r="G2334" s="34">
        <f>IF(ISNUMBER(F2334),E2334*F2334,"")</f>
        <v>7.4706670000000015</v>
      </c>
      <c r="H2334" s="35"/>
      <c r="I2334" s="31"/>
      <c r="J2334" s="155">
        <v>15</v>
      </c>
    </row>
    <row r="2335" spans="1:10" x14ac:dyDescent="0.25">
      <c r="A2335" s="176"/>
      <c r="B2335" s="175"/>
      <c r="C2335" s="36" t="s">
        <v>44</v>
      </c>
      <c r="D2335" s="47" t="s">
        <v>12</v>
      </c>
      <c r="E2335" s="37">
        <v>0.91600000000000004</v>
      </c>
      <c r="F2335" s="31">
        <v>21.916499999999999</v>
      </c>
      <c r="G2335" s="34">
        <f>IF(ISNUMBER(F2335),E2335*F2335,"")</f>
        <v>20.075513999999998</v>
      </c>
      <c r="H2335" s="35"/>
      <c r="I2335" s="31"/>
      <c r="J2335" s="155">
        <v>15</v>
      </c>
    </row>
    <row r="2336" spans="1:10" ht="15.75" thickBot="1" x14ac:dyDescent="0.3">
      <c r="A2336" s="177"/>
      <c r="B2336" s="178"/>
      <c r="C2336" s="36"/>
      <c r="D2336" s="36"/>
      <c r="E2336" s="37"/>
      <c r="F2336" s="31" t="s">
        <v>568</v>
      </c>
      <c r="G2336" s="34" t="str">
        <f>IF(ISNUMBER(F2336),E2336*F2336,"")</f>
        <v/>
      </c>
      <c r="H2336" s="35"/>
      <c r="I2336" s="31"/>
      <c r="J2336" s="155">
        <v>15</v>
      </c>
    </row>
    <row r="2337" spans="1:10" ht="15.75" hidden="1" thickBot="1" x14ac:dyDescent="0.3">
      <c r="A2337" s="172" t="s">
        <v>766</v>
      </c>
      <c r="B2337" s="174" t="str">
        <f>INDEX(Orçamentária!A:B,MATCH(Composições!A2337,Orçamentária!A:A,0),2)</f>
        <v>Fechadura para banheiro maçaneta em barra</v>
      </c>
      <c r="C2337" s="41"/>
      <c r="D2337" s="26" t="str">
        <f>TRIM(INDEX(Orçamentária!C:C,MATCH(Composições!A2337,Orçamentária!A:A,0),1))</f>
        <v>un</v>
      </c>
      <c r="E2337" s="27"/>
      <c r="F2337" s="42" t="s">
        <v>568</v>
      </c>
      <c r="G2337" s="28" t="str">
        <f>IF(ISNUMBER(F2337),E2337*F2337,"")</f>
        <v/>
      </c>
      <c r="H2337" s="29"/>
      <c r="I2337" s="30"/>
      <c r="J2337" s="155">
        <v>0</v>
      </c>
    </row>
    <row r="2338" spans="1:10" ht="15.75" hidden="1" thickBot="1" x14ac:dyDescent="0.3">
      <c r="A2338" s="176"/>
      <c r="B2338" s="175"/>
      <c r="C2338" s="32"/>
      <c r="D2338" s="32"/>
      <c r="E2338" s="33"/>
      <c r="F2338" s="43" t="s">
        <v>568</v>
      </c>
      <c r="G2338" s="34" t="str">
        <f>IF(ISNUMBER(F2338),E2338*F2338,"")</f>
        <v/>
      </c>
      <c r="H2338" s="35"/>
      <c r="I2338" s="31"/>
      <c r="J2338" s="155">
        <v>0</v>
      </c>
    </row>
    <row r="2339" spans="1:10" ht="39" hidden="1" thickBot="1" x14ac:dyDescent="0.3">
      <c r="A2339" s="176"/>
      <c r="B2339" s="175"/>
      <c r="C2339" s="36" t="s">
        <v>767</v>
      </c>
      <c r="D2339" s="47" t="s">
        <v>149</v>
      </c>
      <c r="E2339" s="37">
        <v>1</v>
      </c>
      <c r="F2339" s="34" t="s">
        <v>568</v>
      </c>
      <c r="G2339" s="34" t="str">
        <f>IF(ISNUMBER(F2339),E2339*F2339,"")</f>
        <v/>
      </c>
      <c r="H2339" s="39">
        <f>SUM(G2339:G2341)</f>
        <v>23.0735715</v>
      </c>
      <c r="I2339" s="40"/>
      <c r="J2339" s="155">
        <v>0</v>
      </c>
    </row>
    <row r="2340" spans="1:10" ht="15.75" hidden="1" thickBot="1" x14ac:dyDescent="0.3">
      <c r="A2340" s="176"/>
      <c r="B2340" s="175"/>
      <c r="C2340" s="36" t="s">
        <v>44</v>
      </c>
      <c r="D2340" s="47" t="s">
        <v>12</v>
      </c>
      <c r="E2340" s="37">
        <v>0.76700000000000002</v>
      </c>
      <c r="F2340" s="31">
        <v>21.916499999999999</v>
      </c>
      <c r="G2340" s="34">
        <f>IF(ISNUMBER(F2340),E2340*F2340,"")</f>
        <v>16.809955500000001</v>
      </c>
      <c r="H2340" s="35"/>
      <c r="I2340" s="31"/>
      <c r="J2340" s="155">
        <v>0</v>
      </c>
    </row>
    <row r="2341" spans="1:10" ht="15.75" hidden="1" thickBot="1" x14ac:dyDescent="0.3">
      <c r="A2341" s="176"/>
      <c r="B2341" s="175"/>
      <c r="C2341" s="36" t="s">
        <v>23</v>
      </c>
      <c r="D2341" s="47" t="s">
        <v>12</v>
      </c>
      <c r="E2341" s="37">
        <v>0.38400000000000001</v>
      </c>
      <c r="F2341" s="31">
        <v>16.311500000000002</v>
      </c>
      <c r="G2341" s="34">
        <f>IF(ISNUMBER(F2341),E2341*F2341,"")</f>
        <v>6.2636160000000007</v>
      </c>
      <c r="H2341" s="35"/>
      <c r="I2341" s="31"/>
      <c r="J2341" s="155">
        <v>0</v>
      </c>
    </row>
    <row r="2342" spans="1:10" ht="15.75" hidden="1" thickBot="1" x14ac:dyDescent="0.3">
      <c r="A2342" s="177"/>
      <c r="B2342" s="178"/>
      <c r="C2342" s="36"/>
      <c r="D2342" s="36"/>
      <c r="E2342" s="37"/>
      <c r="F2342" s="31" t="s">
        <v>568</v>
      </c>
      <c r="G2342" s="34" t="str">
        <f>IF(ISNUMBER(F2342),E2342*F2342,"")</f>
        <v/>
      </c>
      <c r="H2342" s="35"/>
      <c r="I2342" s="31"/>
      <c r="J2342" s="155">
        <v>0</v>
      </c>
    </row>
    <row r="2343" spans="1:10" ht="15.75" thickBot="1" x14ac:dyDescent="0.3">
      <c r="A2343" s="172" t="s">
        <v>768</v>
      </c>
      <c r="B2343" s="174" t="str">
        <f>INDEX(Orçamentária!A:B,MATCH(Composições!A2343,Orçamentária!A:A,0),2)</f>
        <v>Fechadura para porta externa maçaneta em barra</v>
      </c>
      <c r="C2343" s="41"/>
      <c r="D2343" s="26" t="str">
        <f>TRIM(INDEX(Orçamentária!C:C,MATCH(Composições!A2343,Orçamentária!A:A,0),1))</f>
        <v>un</v>
      </c>
      <c r="E2343" s="27"/>
      <c r="F2343" s="42" t="s">
        <v>568</v>
      </c>
      <c r="G2343" s="28" t="str">
        <f>IF(ISNUMBER(F2343),E2343*F2343,"")</f>
        <v/>
      </c>
      <c r="H2343" s="29"/>
      <c r="I2343" s="30"/>
      <c r="J2343" s="155">
        <v>5</v>
      </c>
    </row>
    <row r="2344" spans="1:10" x14ac:dyDescent="0.25">
      <c r="A2344" s="176"/>
      <c r="B2344" s="175"/>
      <c r="C2344" s="32"/>
      <c r="D2344" s="32"/>
      <c r="E2344" s="33"/>
      <c r="F2344" s="43" t="s">
        <v>568</v>
      </c>
      <c r="G2344" s="34" t="str">
        <f>IF(ISNUMBER(F2344),E2344*F2344,"")</f>
        <v/>
      </c>
      <c r="H2344" s="35"/>
      <c r="I2344" s="31"/>
      <c r="J2344" s="155">
        <v>5</v>
      </c>
    </row>
    <row r="2345" spans="1:10" ht="38.25" x14ac:dyDescent="0.25">
      <c r="A2345" s="176"/>
      <c r="B2345" s="175"/>
      <c r="C2345" s="36" t="s">
        <v>769</v>
      </c>
      <c r="D2345" s="47" t="s">
        <v>149</v>
      </c>
      <c r="E2345" s="37">
        <v>1</v>
      </c>
      <c r="F2345" s="34">
        <v>138.33000000000001</v>
      </c>
      <c r="G2345" s="34">
        <f>IF(ISNUMBER(F2345),E2345*F2345,"")</f>
        <v>138.33000000000001</v>
      </c>
      <c r="H2345" s="39">
        <f>SUM(G2345:G2347)</f>
        <v>168.46239450000002</v>
      </c>
      <c r="I2345" s="40"/>
      <c r="J2345" s="155">
        <v>5</v>
      </c>
    </row>
    <row r="2346" spans="1:10" x14ac:dyDescent="0.25">
      <c r="A2346" s="176"/>
      <c r="B2346" s="175"/>
      <c r="C2346" s="36" t="s">
        <v>44</v>
      </c>
      <c r="D2346" s="47" t="s">
        <v>12</v>
      </c>
      <c r="E2346" s="37">
        <v>1.002</v>
      </c>
      <c r="F2346" s="31">
        <v>21.916499999999999</v>
      </c>
      <c r="G2346" s="34">
        <f>IF(ISNUMBER(F2346),E2346*F2346,"")</f>
        <v>21.960332999999999</v>
      </c>
      <c r="H2346" s="35"/>
      <c r="I2346" s="31"/>
      <c r="J2346" s="155">
        <v>5</v>
      </c>
    </row>
    <row r="2347" spans="1:10" x14ac:dyDescent="0.25">
      <c r="A2347" s="176"/>
      <c r="B2347" s="175"/>
      <c r="C2347" s="36" t="s">
        <v>23</v>
      </c>
      <c r="D2347" s="47" t="s">
        <v>12</v>
      </c>
      <c r="E2347" s="37">
        <v>0.501</v>
      </c>
      <c r="F2347" s="31">
        <v>16.311500000000002</v>
      </c>
      <c r="G2347" s="34">
        <f>IF(ISNUMBER(F2347),E2347*F2347,"")</f>
        <v>8.1720615000000016</v>
      </c>
      <c r="H2347" s="35"/>
      <c r="I2347" s="31"/>
      <c r="J2347" s="155">
        <v>5</v>
      </c>
    </row>
    <row r="2348" spans="1:10" ht="15.75" thickBot="1" x14ac:dyDescent="0.3">
      <c r="A2348" s="177"/>
      <c r="B2348" s="178"/>
      <c r="C2348" s="36"/>
      <c r="D2348" s="36"/>
      <c r="E2348" s="37"/>
      <c r="F2348" s="31" t="s">
        <v>568</v>
      </c>
      <c r="G2348" s="34" t="str">
        <f>IF(ISNUMBER(F2348),E2348*F2348,"")</f>
        <v/>
      </c>
      <c r="H2348" s="35"/>
      <c r="I2348" s="31"/>
      <c r="J2348" s="155">
        <v>5</v>
      </c>
    </row>
    <row r="2349" spans="1:10" ht="15.75" hidden="1" thickBot="1" x14ac:dyDescent="0.3">
      <c r="A2349" s="172" t="s">
        <v>770</v>
      </c>
      <c r="B2349" s="174" t="str">
        <f>INDEX(Orçamentária!A:B,MATCH(Composições!A2349,Orçamentária!A:A,0),2)</f>
        <v>Fechadura para porta interna maçaneta tubular</v>
      </c>
      <c r="C2349" s="41"/>
      <c r="D2349" s="26" t="str">
        <f>TRIM(INDEX(Orçamentária!C:C,MATCH(Composições!A2349,Orçamentária!A:A,0),1))</f>
        <v>un</v>
      </c>
      <c r="E2349" s="27"/>
      <c r="F2349" s="42" t="s">
        <v>568</v>
      </c>
      <c r="G2349" s="28" t="str">
        <f>IF(ISNUMBER(F2349),E2349*F2349,"")</f>
        <v/>
      </c>
      <c r="H2349" s="29"/>
      <c r="I2349" s="30"/>
      <c r="J2349" s="155">
        <v>0</v>
      </c>
    </row>
    <row r="2350" spans="1:10" ht="15.75" hidden="1" thickBot="1" x14ac:dyDescent="0.3">
      <c r="A2350" s="176"/>
      <c r="B2350" s="175"/>
      <c r="C2350" s="32"/>
      <c r="D2350" s="32"/>
      <c r="E2350" s="33"/>
      <c r="F2350" s="43" t="s">
        <v>568</v>
      </c>
      <c r="G2350" s="34" t="str">
        <f>IF(ISNUMBER(F2350),E2350*F2350,"")</f>
        <v/>
      </c>
      <c r="H2350" s="35"/>
      <c r="I2350" s="31"/>
      <c r="J2350" s="155">
        <v>0</v>
      </c>
    </row>
    <row r="2351" spans="1:10" ht="39" hidden="1" thickBot="1" x14ac:dyDescent="0.3">
      <c r="A2351" s="176"/>
      <c r="B2351" s="175"/>
      <c r="C2351" s="36" t="s">
        <v>771</v>
      </c>
      <c r="D2351" s="47" t="s">
        <v>149</v>
      </c>
      <c r="E2351" s="37">
        <v>1</v>
      </c>
      <c r="F2351" s="34" t="s">
        <v>568</v>
      </c>
      <c r="G2351" s="34" t="str">
        <f>IF(ISNUMBER(F2351),E2351*F2351,"")</f>
        <v/>
      </c>
      <c r="H2351" s="39">
        <f>SUM(G2351:G2353)</f>
        <v>30.1323945</v>
      </c>
      <c r="I2351" s="40"/>
      <c r="J2351" s="155">
        <v>0</v>
      </c>
    </row>
    <row r="2352" spans="1:10" ht="15.75" hidden="1" thickBot="1" x14ac:dyDescent="0.3">
      <c r="A2352" s="176"/>
      <c r="B2352" s="175"/>
      <c r="C2352" s="36" t="s">
        <v>44</v>
      </c>
      <c r="D2352" s="47" t="s">
        <v>12</v>
      </c>
      <c r="E2352" s="37">
        <v>1.002</v>
      </c>
      <c r="F2352" s="31">
        <v>21.916499999999999</v>
      </c>
      <c r="G2352" s="34">
        <f>IF(ISNUMBER(F2352),E2352*F2352,"")</f>
        <v>21.960332999999999</v>
      </c>
      <c r="H2352" s="35"/>
      <c r="I2352" s="31"/>
      <c r="J2352" s="155">
        <v>0</v>
      </c>
    </row>
    <row r="2353" spans="1:10" ht="15.75" hidden="1" thickBot="1" x14ac:dyDescent="0.3">
      <c r="A2353" s="176"/>
      <c r="B2353" s="175"/>
      <c r="C2353" s="36" t="s">
        <v>23</v>
      </c>
      <c r="D2353" s="47" t="s">
        <v>12</v>
      </c>
      <c r="E2353" s="37">
        <v>0.501</v>
      </c>
      <c r="F2353" s="31">
        <v>16.311500000000002</v>
      </c>
      <c r="G2353" s="34">
        <f>IF(ISNUMBER(F2353),E2353*F2353,"")</f>
        <v>8.1720615000000016</v>
      </c>
      <c r="H2353" s="35"/>
      <c r="I2353" s="31"/>
      <c r="J2353" s="155">
        <v>0</v>
      </c>
    </row>
    <row r="2354" spans="1:10" ht="15.75" hidden="1" thickBot="1" x14ac:dyDescent="0.3">
      <c r="A2354" s="177"/>
      <c r="B2354" s="178"/>
      <c r="C2354" s="36"/>
      <c r="D2354" s="36"/>
      <c r="E2354" s="37"/>
      <c r="F2354" s="31" t="s">
        <v>568</v>
      </c>
      <c r="G2354" s="34" t="str">
        <f>IF(ISNUMBER(F2354),E2354*F2354,"")</f>
        <v/>
      </c>
      <c r="H2354" s="35"/>
      <c r="I2354" s="31"/>
      <c r="J2354" s="155">
        <v>0</v>
      </c>
    </row>
    <row r="2355" spans="1:10" ht="15.75" hidden="1" thickBot="1" x14ac:dyDescent="0.3">
      <c r="A2355" s="172" t="s">
        <v>772</v>
      </c>
      <c r="B2355" s="174" t="str">
        <f>INDEX(Orçamentária!A:B,MATCH(Composições!A2355,Orçamentária!A:A,0),2)</f>
        <v>Instalação de fechadura/puxador de porta reaproveitados</v>
      </c>
      <c r="C2355" s="41"/>
      <c r="D2355" s="26" t="str">
        <f>TRIM(INDEX(Orçamentária!C:C,MATCH(Composições!A2355,Orçamentária!A:A,0),1))</f>
        <v>un</v>
      </c>
      <c r="E2355" s="27"/>
      <c r="F2355" s="42" t="s">
        <v>568</v>
      </c>
      <c r="G2355" s="28" t="str">
        <f>IF(ISNUMBER(F2355),E2355*F2355,"")</f>
        <v/>
      </c>
      <c r="H2355" s="29"/>
      <c r="I2355" s="30"/>
      <c r="J2355" s="155">
        <v>0</v>
      </c>
    </row>
    <row r="2356" spans="1:10" ht="15.75" hidden="1" thickBot="1" x14ac:dyDescent="0.3">
      <c r="A2356" s="176"/>
      <c r="B2356" s="175"/>
      <c r="C2356" s="32"/>
      <c r="D2356" s="32"/>
      <c r="E2356" s="33"/>
      <c r="F2356" s="43" t="s">
        <v>568</v>
      </c>
      <c r="G2356" s="34" t="str">
        <f>IF(ISNUMBER(F2356),E2356*F2356,"")</f>
        <v/>
      </c>
      <c r="H2356" s="35"/>
      <c r="I2356" s="31"/>
      <c r="J2356" s="155">
        <v>0</v>
      </c>
    </row>
    <row r="2357" spans="1:10" ht="15.75" hidden="1" thickBot="1" x14ac:dyDescent="0.3">
      <c r="A2357" s="176"/>
      <c r="B2357" s="175"/>
      <c r="C2357" s="36" t="s">
        <v>44</v>
      </c>
      <c r="D2357" s="36" t="s">
        <v>12</v>
      </c>
      <c r="E2357" s="37">
        <v>1.002</v>
      </c>
      <c r="F2357" s="31">
        <v>21.916499999999999</v>
      </c>
      <c r="G2357" s="34">
        <f>IF(ISNUMBER(F2357),E2357*F2357,"")</f>
        <v>21.960332999999999</v>
      </c>
      <c r="H2357" s="39">
        <f>SUM(G2357:G2358)</f>
        <v>30.1323945</v>
      </c>
      <c r="I2357" s="40"/>
      <c r="J2357" s="155">
        <v>0</v>
      </c>
    </row>
    <row r="2358" spans="1:10" ht="15.75" hidden="1" thickBot="1" x14ac:dyDescent="0.3">
      <c r="A2358" s="176"/>
      <c r="B2358" s="175"/>
      <c r="C2358" s="36" t="s">
        <v>23</v>
      </c>
      <c r="D2358" s="36" t="s">
        <v>12</v>
      </c>
      <c r="E2358" s="37">
        <v>0.501</v>
      </c>
      <c r="F2358" s="31">
        <v>16.311500000000002</v>
      </c>
      <c r="G2358" s="34">
        <f>IF(ISNUMBER(F2358),E2358*F2358,"")</f>
        <v>8.1720615000000016</v>
      </c>
      <c r="H2358" s="35"/>
      <c r="I2358" s="31"/>
      <c r="J2358" s="155">
        <v>0</v>
      </c>
    </row>
    <row r="2359" spans="1:10" ht="15.75" hidden="1" thickBot="1" x14ac:dyDescent="0.3">
      <c r="A2359" s="177"/>
      <c r="B2359" s="178"/>
      <c r="C2359" s="36"/>
      <c r="D2359" s="36"/>
      <c r="E2359" s="37"/>
      <c r="F2359" s="31" t="s">
        <v>568</v>
      </c>
      <c r="G2359" s="34" t="str">
        <f>IF(ISNUMBER(F2359),E2359*F2359,"")</f>
        <v/>
      </c>
      <c r="H2359" s="35"/>
      <c r="I2359" s="31"/>
      <c r="J2359" s="155">
        <v>0</v>
      </c>
    </row>
    <row r="2360" spans="1:10" ht="15.75" hidden="1" thickBot="1" x14ac:dyDescent="0.3">
      <c r="A2360" s="172" t="s">
        <v>773</v>
      </c>
      <c r="B2360" s="174" t="str">
        <f>INDEX(Orçamentária!A:B,MATCH(Composições!A2360,Orçamentária!A:A,0),2)</f>
        <v>Mola hidráulica aérea</v>
      </c>
      <c r="C2360" s="41"/>
      <c r="D2360" s="26" t="str">
        <f>TRIM(INDEX(Orçamentária!C:C,MATCH(Composições!A2360,Orçamentária!A:A,0),1))</f>
        <v>un</v>
      </c>
      <c r="E2360" s="27"/>
      <c r="F2360" s="42" t="s">
        <v>568</v>
      </c>
      <c r="G2360" s="28" t="str">
        <f>IF(ISNUMBER(F2360),E2360*F2360,"")</f>
        <v/>
      </c>
      <c r="H2360" s="29"/>
      <c r="I2360" s="30"/>
      <c r="J2360" s="155">
        <v>0</v>
      </c>
    </row>
    <row r="2361" spans="1:10" ht="15.75" hidden="1" thickBot="1" x14ac:dyDescent="0.3">
      <c r="A2361" s="176"/>
      <c r="B2361" s="175"/>
      <c r="C2361" s="32"/>
      <c r="D2361" s="32"/>
      <c r="E2361" s="33"/>
      <c r="F2361" s="43" t="s">
        <v>568</v>
      </c>
      <c r="G2361" s="34" t="str">
        <f>IF(ISNUMBER(F2361),E2361*F2361,"")</f>
        <v/>
      </c>
      <c r="H2361" s="35"/>
      <c r="I2361" s="31"/>
      <c r="J2361" s="155">
        <v>0</v>
      </c>
    </row>
    <row r="2362" spans="1:10" ht="15.75" hidden="1" thickBot="1" x14ac:dyDescent="0.3">
      <c r="A2362" s="176"/>
      <c r="B2362" s="175"/>
      <c r="C2362" s="36" t="s">
        <v>656</v>
      </c>
      <c r="D2362" s="36" t="s">
        <v>12</v>
      </c>
      <c r="E2362" s="37">
        <v>1</v>
      </c>
      <c r="F2362" s="31">
        <v>22.268000000000001</v>
      </c>
      <c r="G2362" s="34">
        <f>IF(ISNUMBER(F2362),E2362*F2362,"")</f>
        <v>22.268000000000001</v>
      </c>
      <c r="H2362" s="39">
        <f>SUM(G2362:G2363)</f>
        <v>22.268000000000001</v>
      </c>
      <c r="I2362" s="40"/>
      <c r="J2362" s="155">
        <v>0</v>
      </c>
    </row>
    <row r="2363" spans="1:10" ht="26.25" hidden="1" thickBot="1" x14ac:dyDescent="0.3">
      <c r="A2363" s="176"/>
      <c r="B2363" s="175"/>
      <c r="C2363" s="36" t="s">
        <v>774</v>
      </c>
      <c r="D2363" s="36" t="s">
        <v>20</v>
      </c>
      <c r="E2363" s="37">
        <v>1</v>
      </c>
      <c r="F2363" s="34" t="s">
        <v>568</v>
      </c>
      <c r="G2363" s="34" t="str">
        <f>IF(ISNUMBER(F2363),E2363*F2363,"")</f>
        <v/>
      </c>
      <c r="H2363" s="35"/>
      <c r="I2363" s="31"/>
      <c r="J2363" s="155">
        <v>0</v>
      </c>
    </row>
    <row r="2364" spans="1:10" ht="15.75" hidden="1" thickBot="1" x14ac:dyDescent="0.3">
      <c r="A2364" s="177"/>
      <c r="B2364" s="178"/>
      <c r="C2364" s="36"/>
      <c r="D2364" s="36"/>
      <c r="E2364" s="37"/>
      <c r="F2364" s="31" t="s">
        <v>568</v>
      </c>
      <c r="G2364" s="34" t="str">
        <f>IF(ISNUMBER(F2364),E2364*F2364,"")</f>
        <v/>
      </c>
      <c r="H2364" s="35"/>
      <c r="I2364" s="31"/>
      <c r="J2364" s="155">
        <v>0</v>
      </c>
    </row>
    <row r="2365" spans="1:10" ht="15.75" hidden="1" thickBot="1" x14ac:dyDescent="0.3">
      <c r="A2365" s="172" t="s">
        <v>775</v>
      </c>
      <c r="B2365" s="174" t="str">
        <f>INDEX(Orçamentária!A:B,MATCH(Composições!A2365,Orçamentária!A:A,0),2)</f>
        <v>Pivô em latão com acabamento cromado para portas pivotantes</v>
      </c>
      <c r="C2365" s="41"/>
      <c r="D2365" s="26" t="str">
        <f>TRIM(INDEX(Orçamentária!C:C,MATCH(Composições!A2365,Orçamentária!A:A,0),1))</f>
        <v>un</v>
      </c>
      <c r="E2365" s="27"/>
      <c r="F2365" s="42" t="s">
        <v>568</v>
      </c>
      <c r="G2365" s="28" t="str">
        <f>IF(ISNUMBER(F2365),E2365*F2365,"")</f>
        <v/>
      </c>
      <c r="H2365" s="29"/>
      <c r="I2365" s="30"/>
      <c r="J2365" s="155">
        <v>0</v>
      </c>
    </row>
    <row r="2366" spans="1:10" ht="15.75" hidden="1" thickBot="1" x14ac:dyDescent="0.3">
      <c r="A2366" s="176"/>
      <c r="B2366" s="175"/>
      <c r="C2366" s="32"/>
      <c r="D2366" s="32"/>
      <c r="E2366" s="33"/>
      <c r="F2366" s="43" t="s">
        <v>568</v>
      </c>
      <c r="G2366" s="34" t="str">
        <f>IF(ISNUMBER(F2366),E2366*F2366,"")</f>
        <v/>
      </c>
      <c r="H2366" s="35"/>
      <c r="I2366" s="31"/>
      <c r="J2366" s="155">
        <v>0</v>
      </c>
    </row>
    <row r="2367" spans="1:10" ht="15.75" hidden="1" thickBot="1" x14ac:dyDescent="0.3">
      <c r="A2367" s="176"/>
      <c r="B2367" s="175"/>
      <c r="C2367" s="36" t="s">
        <v>656</v>
      </c>
      <c r="D2367" s="36" t="s">
        <v>12</v>
      </c>
      <c r="E2367" s="37">
        <f>1/2</f>
        <v>0.5</v>
      </c>
      <c r="F2367" s="31">
        <v>22.268000000000001</v>
      </c>
      <c r="G2367" s="34">
        <f>IF(ISNUMBER(F2367),E2367*F2367,"")</f>
        <v>11.134</v>
      </c>
      <c r="H2367" s="39">
        <f>SUM(G2367:G2368)</f>
        <v>11.134</v>
      </c>
      <c r="I2367" s="40"/>
      <c r="J2367" s="155">
        <v>0</v>
      </c>
    </row>
    <row r="2368" spans="1:10" ht="39" hidden="1" thickBot="1" x14ac:dyDescent="0.3">
      <c r="A2368" s="176"/>
      <c r="B2368" s="175"/>
      <c r="C2368" s="36" t="s">
        <v>776</v>
      </c>
      <c r="D2368" s="36" t="s">
        <v>20</v>
      </c>
      <c r="E2368" s="37">
        <v>1</v>
      </c>
      <c r="F2368" s="34" t="s">
        <v>568</v>
      </c>
      <c r="G2368" s="34" t="str">
        <f>IF(ISNUMBER(F2368),E2368*F2368,"")</f>
        <v/>
      </c>
      <c r="H2368" s="35"/>
      <c r="I2368" s="31"/>
      <c r="J2368" s="155">
        <v>0</v>
      </c>
    </row>
    <row r="2369" spans="1:10" ht="15.75" hidden="1" thickBot="1" x14ac:dyDescent="0.3">
      <c r="A2369" s="177"/>
      <c r="B2369" s="178"/>
      <c r="C2369" s="36"/>
      <c r="D2369" s="36"/>
      <c r="E2369" s="37"/>
      <c r="F2369" s="31" t="s">
        <v>568</v>
      </c>
      <c r="G2369" s="34" t="str">
        <f>IF(ISNUMBER(F2369),E2369*F2369,"")</f>
        <v/>
      </c>
      <c r="H2369" s="35"/>
      <c r="I2369" s="31"/>
      <c r="J2369" s="155">
        <v>0</v>
      </c>
    </row>
    <row r="2370" spans="1:10" ht="15.75" thickBot="1" x14ac:dyDescent="0.3">
      <c r="A2370" s="172" t="s">
        <v>777</v>
      </c>
      <c r="B2370" s="174" t="str">
        <f>INDEX(Orçamentária!A:B,MATCH(Composições!A2370,Orçamentária!A:A,0),2)</f>
        <v>Cabo de dados tipo UTP, tipo LSZH, categoria 6</v>
      </c>
      <c r="C2370" s="41"/>
      <c r="D2370" s="26" t="str">
        <f>TRIM(INDEX(Orçamentária!C:C,MATCH(Composições!A2370,Orçamentária!A:A,0),1))</f>
        <v>m</v>
      </c>
      <c r="E2370" s="27"/>
      <c r="F2370" s="42" t="s">
        <v>568</v>
      </c>
      <c r="G2370" s="28" t="str">
        <f>IF(ISNUMBER(F2370),E2370*F2370,"")</f>
        <v/>
      </c>
      <c r="H2370" s="29"/>
      <c r="I2370" s="30"/>
      <c r="J2370" s="155">
        <v>370</v>
      </c>
    </row>
    <row r="2371" spans="1:10" x14ac:dyDescent="0.25">
      <c r="A2371" s="176"/>
      <c r="B2371" s="175"/>
      <c r="C2371" s="32"/>
      <c r="D2371" s="32"/>
      <c r="E2371" s="33"/>
      <c r="F2371" s="43" t="s">
        <v>568</v>
      </c>
      <c r="G2371" s="34" t="str">
        <f>IF(ISNUMBER(F2371),E2371*F2371,"")</f>
        <v/>
      </c>
      <c r="H2371" s="35"/>
      <c r="I2371" s="31"/>
      <c r="J2371" s="155">
        <v>370</v>
      </c>
    </row>
    <row r="2372" spans="1:10" x14ac:dyDescent="0.25">
      <c r="A2372" s="176"/>
      <c r="B2372" s="175"/>
      <c r="C2372" s="36" t="s">
        <v>74</v>
      </c>
      <c r="D2372" s="36" t="s">
        <v>12</v>
      </c>
      <c r="E2372" s="37">
        <v>2.8E-3</v>
      </c>
      <c r="F2372" s="31">
        <v>17.366</v>
      </c>
      <c r="G2372" s="34">
        <f>IF(ISNUMBER(F2372),E2372*F2372,"")</f>
        <v>4.8624799999999996E-2</v>
      </c>
      <c r="H2372" s="39">
        <f>SUM(G2372:G2374)</f>
        <v>6.0644752000000004</v>
      </c>
      <c r="I2372" s="40"/>
      <c r="J2372" s="155">
        <v>370</v>
      </c>
    </row>
    <row r="2373" spans="1:10" x14ac:dyDescent="0.25">
      <c r="A2373" s="176"/>
      <c r="B2373" s="175"/>
      <c r="C2373" s="36" t="s">
        <v>30</v>
      </c>
      <c r="D2373" s="36" t="s">
        <v>12</v>
      </c>
      <c r="E2373" s="37">
        <v>2.8E-3</v>
      </c>
      <c r="F2373" s="31">
        <v>22.268000000000001</v>
      </c>
      <c r="G2373" s="34">
        <f>IF(ISNUMBER(F2373),E2373*F2373,"")</f>
        <v>6.23504E-2</v>
      </c>
      <c r="H2373" s="35"/>
      <c r="I2373" s="31"/>
      <c r="J2373" s="155">
        <v>370</v>
      </c>
    </row>
    <row r="2374" spans="1:10" ht="25.5" x14ac:dyDescent="0.25">
      <c r="A2374" s="176"/>
      <c r="B2374" s="175"/>
      <c r="C2374" s="36" t="s">
        <v>778</v>
      </c>
      <c r="D2374" s="36" t="s">
        <v>93</v>
      </c>
      <c r="E2374" s="37">
        <v>1.05</v>
      </c>
      <c r="F2374" s="34">
        <v>5.67</v>
      </c>
      <c r="G2374" s="34">
        <f>IF(ISNUMBER(F2374),E2374*F2374,"")</f>
        <v>5.9535</v>
      </c>
      <c r="H2374" s="35"/>
      <c r="I2374" s="31"/>
      <c r="J2374" s="155">
        <v>370</v>
      </c>
    </row>
    <row r="2375" spans="1:10" ht="15.75" thickBot="1" x14ac:dyDescent="0.3">
      <c r="A2375" s="177"/>
      <c r="B2375" s="178"/>
      <c r="C2375" s="36"/>
      <c r="D2375" s="36"/>
      <c r="E2375" s="37"/>
      <c r="F2375" s="31" t="s">
        <v>568</v>
      </c>
      <c r="G2375" s="34" t="str">
        <f>IF(ISNUMBER(F2375),E2375*F2375,"")</f>
        <v/>
      </c>
      <c r="H2375" s="35"/>
      <c r="I2375" s="31"/>
      <c r="J2375" s="155">
        <v>370</v>
      </c>
    </row>
    <row r="2376" spans="1:10" ht="15.75" thickBot="1" x14ac:dyDescent="0.3">
      <c r="A2376" s="172" t="s">
        <v>779</v>
      </c>
      <c r="B2376" s="174" t="str">
        <f>INDEX(Orçamentária!A:B,MATCH(Composições!A2376,Orçamentária!A:A,0),2)</f>
        <v>Módulo (tomada) de rede RJ45, categoria 6, com conectorização e certificação</v>
      </c>
      <c r="C2376" s="41"/>
      <c r="D2376" s="26" t="str">
        <f>TRIM(INDEX(Orçamentária!C:C,MATCH(Composições!A2376,Orçamentária!A:A,0),1))</f>
        <v>un</v>
      </c>
      <c r="E2376" s="27"/>
      <c r="F2376" s="42" t="s">
        <v>568</v>
      </c>
      <c r="G2376" s="28" t="str">
        <f>IF(ISNUMBER(F2376),E2376*F2376,"")</f>
        <v/>
      </c>
      <c r="H2376" s="29"/>
      <c r="I2376" s="30"/>
      <c r="J2376" s="155">
        <v>9</v>
      </c>
    </row>
    <row r="2377" spans="1:10" x14ac:dyDescent="0.25">
      <c r="A2377" s="176"/>
      <c r="B2377" s="175"/>
      <c r="C2377" s="32"/>
      <c r="D2377" s="32"/>
      <c r="E2377" s="33"/>
      <c r="F2377" s="43" t="s">
        <v>568</v>
      </c>
      <c r="G2377" s="34" t="str">
        <f>IF(ISNUMBER(F2377),E2377*F2377,"")</f>
        <v/>
      </c>
      <c r="H2377" s="35"/>
      <c r="I2377" s="31"/>
      <c r="J2377" s="155">
        <v>9</v>
      </c>
    </row>
    <row r="2378" spans="1:10" ht="25.5" x14ac:dyDescent="0.25">
      <c r="A2378" s="176"/>
      <c r="B2378" s="175"/>
      <c r="C2378" s="36" t="s">
        <v>780</v>
      </c>
      <c r="D2378" s="36" t="s">
        <v>149</v>
      </c>
      <c r="E2378" s="37">
        <v>1</v>
      </c>
      <c r="F2378" s="34">
        <v>4.55</v>
      </c>
      <c r="G2378" s="34">
        <f>IF(ISNUMBER(F2378),E2378*F2378,"")</f>
        <v>4.55</v>
      </c>
      <c r="H2378" s="39">
        <f>SUM(G2378:G2382)</f>
        <v>141.15506159999998</v>
      </c>
      <c r="I2378" s="40"/>
      <c r="J2378" s="155">
        <v>9</v>
      </c>
    </row>
    <row r="2379" spans="1:10" x14ac:dyDescent="0.25">
      <c r="A2379" s="176"/>
      <c r="B2379" s="175"/>
      <c r="C2379" s="36" t="s">
        <v>781</v>
      </c>
      <c r="D2379" s="36" t="s">
        <v>149</v>
      </c>
      <c r="E2379" s="37">
        <v>1</v>
      </c>
      <c r="F2379" s="34">
        <v>30.26</v>
      </c>
      <c r="G2379" s="34">
        <f>IF(ISNUMBER(F2379),E2379*F2379,"")</f>
        <v>30.26</v>
      </c>
      <c r="H2379" s="35"/>
      <c r="I2379" s="31"/>
      <c r="J2379" s="155">
        <v>9</v>
      </c>
    </row>
    <row r="2380" spans="1:10" x14ac:dyDescent="0.25">
      <c r="A2380" s="176"/>
      <c r="B2380" s="175"/>
      <c r="C2380" s="36" t="s">
        <v>782</v>
      </c>
      <c r="D2380" s="36" t="s">
        <v>149</v>
      </c>
      <c r="E2380" s="37">
        <v>1</v>
      </c>
      <c r="F2380" s="34">
        <v>90</v>
      </c>
      <c r="G2380" s="34">
        <f>IF(ISNUMBER(F2380),E2380*F2380,"")</f>
        <v>90</v>
      </c>
      <c r="H2380" s="35"/>
      <c r="I2380" s="31"/>
      <c r="J2380" s="155">
        <v>9</v>
      </c>
    </row>
    <row r="2381" spans="1:10" x14ac:dyDescent="0.25">
      <c r="A2381" s="176"/>
      <c r="B2381" s="175"/>
      <c r="C2381" s="36" t="s">
        <v>74</v>
      </c>
      <c r="D2381" s="47" t="s">
        <v>12</v>
      </c>
      <c r="E2381" s="37">
        <f>0.2062*2</f>
        <v>0.41239999999999999</v>
      </c>
      <c r="F2381" s="31">
        <v>17.366</v>
      </c>
      <c r="G2381" s="34">
        <f>IF(ISNUMBER(F2381),E2381*F2381,"")</f>
        <v>7.1617383999999999</v>
      </c>
      <c r="H2381" s="35"/>
      <c r="I2381" s="31"/>
      <c r="J2381" s="155">
        <v>9</v>
      </c>
    </row>
    <row r="2382" spans="1:10" x14ac:dyDescent="0.25">
      <c r="A2382" s="176"/>
      <c r="B2382" s="175"/>
      <c r="C2382" s="36" t="s">
        <v>30</v>
      </c>
      <c r="D2382" s="36" t="s">
        <v>12</v>
      </c>
      <c r="E2382" s="37">
        <f>0.2062*2</f>
        <v>0.41239999999999999</v>
      </c>
      <c r="F2382" s="31">
        <v>22.268000000000001</v>
      </c>
      <c r="G2382" s="34">
        <f>IF(ISNUMBER(F2382),E2382*F2382,"")</f>
        <v>9.1833232000000002</v>
      </c>
      <c r="H2382" s="35"/>
      <c r="I2382" s="31"/>
      <c r="J2382" s="155">
        <v>9</v>
      </c>
    </row>
    <row r="2383" spans="1:10" ht="15.75" thickBot="1" x14ac:dyDescent="0.3">
      <c r="A2383" s="177"/>
      <c r="B2383" s="178"/>
      <c r="C2383" s="36"/>
      <c r="D2383" s="36"/>
      <c r="E2383" s="37"/>
      <c r="F2383" s="31" t="s">
        <v>568</v>
      </c>
      <c r="G2383" s="34" t="str">
        <f>IF(ISNUMBER(F2383),E2383*F2383,"")</f>
        <v/>
      </c>
      <c r="H2383" s="35"/>
      <c r="I2383" s="31"/>
      <c r="J2383" s="155">
        <v>9</v>
      </c>
    </row>
    <row r="2384" spans="1:10" ht="15.75" hidden="1" thickBot="1" x14ac:dyDescent="0.3">
      <c r="A2384" s="172" t="s">
        <v>783</v>
      </c>
      <c r="B2384" s="174" t="str">
        <f>INDEX(Orçamentária!A:B,MATCH(Composições!A2384,Orçamentária!A:A,0),2)</f>
        <v>Painel de distribuição (patch panel) de 24 portas, categoria 6</v>
      </c>
      <c r="C2384" s="41"/>
      <c r="D2384" s="26" t="str">
        <f>TRIM(INDEX(Orçamentária!C:C,MATCH(Composições!A2384,Orçamentária!A:A,0),1))</f>
        <v>un</v>
      </c>
      <c r="E2384" s="27"/>
      <c r="F2384" s="42" t="s">
        <v>568</v>
      </c>
      <c r="G2384" s="28" t="str">
        <f>IF(ISNUMBER(F2384),E2384*F2384,"")</f>
        <v/>
      </c>
      <c r="H2384" s="29"/>
      <c r="I2384" s="30"/>
      <c r="J2384" s="155">
        <v>0</v>
      </c>
    </row>
    <row r="2385" spans="1:10" ht="15.75" hidden="1" thickBot="1" x14ac:dyDescent="0.3">
      <c r="A2385" s="176"/>
      <c r="B2385" s="175"/>
      <c r="C2385" s="32"/>
      <c r="D2385" s="32"/>
      <c r="E2385" s="33"/>
      <c r="F2385" s="43" t="s">
        <v>568</v>
      </c>
      <c r="G2385" s="34" t="str">
        <f>IF(ISNUMBER(F2385),E2385*F2385,"")</f>
        <v/>
      </c>
      <c r="H2385" s="35"/>
      <c r="I2385" s="31"/>
      <c r="J2385" s="155">
        <v>0</v>
      </c>
    </row>
    <row r="2386" spans="1:10" ht="15.75" hidden="1" thickBot="1" x14ac:dyDescent="0.3">
      <c r="A2386" s="176"/>
      <c r="B2386" s="175"/>
      <c r="C2386" s="36" t="s">
        <v>74</v>
      </c>
      <c r="D2386" s="47" t="s">
        <v>12</v>
      </c>
      <c r="E2386" s="37">
        <f>6.2007</f>
        <v>6.2007000000000003</v>
      </c>
      <c r="F2386" s="31">
        <v>17.366</v>
      </c>
      <c r="G2386" s="34">
        <f>IF(ISNUMBER(F2386),E2386*F2386,"")</f>
        <v>107.68135620000001</v>
      </c>
      <c r="H2386" s="39">
        <f>SUM(G2386:G2389)</f>
        <v>971.99854379999999</v>
      </c>
      <c r="I2386" s="40"/>
      <c r="J2386" s="155">
        <v>0</v>
      </c>
    </row>
    <row r="2387" spans="1:10" ht="15.75" hidden="1" thickBot="1" x14ac:dyDescent="0.3">
      <c r="A2387" s="176"/>
      <c r="B2387" s="175"/>
      <c r="C2387" s="36" t="s">
        <v>30</v>
      </c>
      <c r="D2387" s="36" t="s">
        <v>12</v>
      </c>
      <c r="E2387" s="37">
        <f>6.2007</f>
        <v>6.2007000000000003</v>
      </c>
      <c r="F2387" s="31">
        <v>22.268000000000001</v>
      </c>
      <c r="G2387" s="34">
        <f>IF(ISNUMBER(F2387),E2387*F2387,"")</f>
        <v>138.0771876</v>
      </c>
      <c r="H2387" s="35"/>
      <c r="I2387" s="31"/>
      <c r="J2387" s="155">
        <v>0</v>
      </c>
    </row>
    <row r="2388" spans="1:10" ht="26.25" hidden="1" thickBot="1" x14ac:dyDescent="0.3">
      <c r="A2388" s="176"/>
      <c r="B2388" s="175"/>
      <c r="C2388" s="36" t="s">
        <v>784</v>
      </c>
      <c r="D2388" s="36" t="s">
        <v>20</v>
      </c>
      <c r="E2388" s="37">
        <v>1</v>
      </c>
      <c r="F2388" s="34" t="s">
        <v>568</v>
      </c>
      <c r="G2388" s="34" t="str">
        <f>IF(ISNUMBER(F2388),E2388*F2388,"")</f>
        <v/>
      </c>
      <c r="H2388" s="35"/>
      <c r="I2388" s="31"/>
      <c r="J2388" s="155">
        <v>0</v>
      </c>
    </row>
    <row r="2389" spans="1:10" ht="15.75" hidden="1" thickBot="1" x14ac:dyDescent="0.3">
      <c r="A2389" s="176"/>
      <c r="B2389" s="175"/>
      <c r="C2389" s="36" t="s">
        <v>781</v>
      </c>
      <c r="D2389" s="36" t="s">
        <v>149</v>
      </c>
      <c r="E2389" s="37">
        <v>24</v>
      </c>
      <c r="F2389" s="34">
        <v>30.26</v>
      </c>
      <c r="G2389" s="34">
        <f>IF(ISNUMBER(F2389),E2389*F2389,"")</f>
        <v>726.24</v>
      </c>
      <c r="H2389" s="35"/>
      <c r="I2389" s="31"/>
      <c r="J2389" s="155">
        <v>0</v>
      </c>
    </row>
    <row r="2390" spans="1:10" ht="15.75" hidden="1" thickBot="1" x14ac:dyDescent="0.3">
      <c r="A2390" s="177"/>
      <c r="B2390" s="178"/>
      <c r="C2390" s="36"/>
      <c r="D2390" s="36"/>
      <c r="E2390" s="37"/>
      <c r="F2390" s="31" t="s">
        <v>568</v>
      </c>
      <c r="G2390" s="34" t="str">
        <f>IF(ISNUMBER(F2390),E2390*F2390,"")</f>
        <v/>
      </c>
      <c r="H2390" s="35"/>
      <c r="I2390" s="31"/>
      <c r="J2390" s="155">
        <v>0</v>
      </c>
    </row>
    <row r="2391" spans="1:10" ht="15.75" hidden="1" thickBot="1" x14ac:dyDescent="0.3">
      <c r="A2391" s="172" t="s">
        <v>785</v>
      </c>
      <c r="B2391" s="174" t="str">
        <f>INDEX(Orçamentária!A:B,MATCH(Composições!A2391,Orçamentária!A:A,0),2)</f>
        <v>Cabo de telefonia tipo CCI 50x2</v>
      </c>
      <c r="C2391" s="41"/>
      <c r="D2391" s="26" t="str">
        <f>TRIM(INDEX(Orçamentária!C:C,MATCH(Composições!A2391,Orçamentária!A:A,0),1))</f>
        <v>m</v>
      </c>
      <c r="E2391" s="27"/>
      <c r="F2391" s="42" t="s">
        <v>568</v>
      </c>
      <c r="G2391" s="28" t="str">
        <f>IF(ISNUMBER(F2391),E2391*F2391,"")</f>
        <v/>
      </c>
      <c r="H2391" s="29"/>
      <c r="I2391" s="30"/>
      <c r="J2391" s="155">
        <v>0</v>
      </c>
    </row>
    <row r="2392" spans="1:10" ht="15.75" hidden="1" thickBot="1" x14ac:dyDescent="0.3">
      <c r="A2392" s="173"/>
      <c r="B2392" s="175"/>
      <c r="C2392" s="32"/>
      <c r="D2392" s="32"/>
      <c r="E2392" s="33"/>
      <c r="F2392" s="43" t="s">
        <v>568</v>
      </c>
      <c r="G2392" s="34" t="str">
        <f>IF(ISNUMBER(F2392),E2392*F2392,"")</f>
        <v/>
      </c>
      <c r="H2392" s="35"/>
      <c r="I2392" s="31"/>
      <c r="J2392" s="155">
        <v>0</v>
      </c>
    </row>
    <row r="2393" spans="1:10" ht="15.75" hidden="1" thickBot="1" x14ac:dyDescent="0.3">
      <c r="A2393" s="173"/>
      <c r="B2393" s="175"/>
      <c r="C2393" s="36" t="s">
        <v>74</v>
      </c>
      <c r="D2393" s="47" t="s">
        <v>12</v>
      </c>
      <c r="E2393" s="37">
        <v>6.4100000000000004E-2</v>
      </c>
      <c r="F2393" s="31">
        <v>17.366</v>
      </c>
      <c r="G2393" s="34">
        <f>IF(ISNUMBER(F2393),E2393*F2393,"")</f>
        <v>1.1131606000000001</v>
      </c>
      <c r="H2393" s="39">
        <f>SUM(G2393:G2395)</f>
        <v>3.5779394</v>
      </c>
      <c r="I2393" s="40"/>
      <c r="J2393" s="155">
        <v>0</v>
      </c>
    </row>
    <row r="2394" spans="1:10" ht="15.75" hidden="1" thickBot="1" x14ac:dyDescent="0.3">
      <c r="A2394" s="173"/>
      <c r="B2394" s="175"/>
      <c r="C2394" s="36" t="s">
        <v>30</v>
      </c>
      <c r="D2394" s="36" t="s">
        <v>12</v>
      </c>
      <c r="E2394" s="37">
        <v>6.4100000000000004E-2</v>
      </c>
      <c r="F2394" s="31">
        <v>22.268000000000001</v>
      </c>
      <c r="G2394" s="34">
        <f>IF(ISNUMBER(F2394),E2394*F2394,"")</f>
        <v>1.4273788000000001</v>
      </c>
      <c r="H2394" s="35"/>
      <c r="I2394" s="31"/>
      <c r="J2394" s="155">
        <v>0</v>
      </c>
    </row>
    <row r="2395" spans="1:10" ht="26.25" hidden="1" thickBot="1" x14ac:dyDescent="0.3">
      <c r="A2395" s="173"/>
      <c r="B2395" s="175"/>
      <c r="C2395" s="36" t="s">
        <v>786</v>
      </c>
      <c r="D2395" s="36" t="s">
        <v>93</v>
      </c>
      <c r="E2395" s="37">
        <v>1.05</v>
      </c>
      <c r="F2395" s="34">
        <v>0.98799999999999999</v>
      </c>
      <c r="G2395" s="34">
        <f>IF(ISNUMBER(F2395),E2395*F2395,"")</f>
        <v>1.0374000000000001</v>
      </c>
      <c r="H2395" s="35"/>
      <c r="I2395" s="31"/>
      <c r="J2395" s="155">
        <v>0</v>
      </c>
    </row>
    <row r="2396" spans="1:10" ht="15.75" hidden="1" thickBot="1" x14ac:dyDescent="0.3">
      <c r="A2396" s="185"/>
      <c r="B2396" s="178"/>
      <c r="C2396" s="36"/>
      <c r="D2396" s="36"/>
      <c r="E2396" s="37"/>
      <c r="F2396" s="34" t="s">
        <v>568</v>
      </c>
      <c r="G2396" s="34" t="str">
        <f>IF(ISNUMBER(F2396),E2396*F2396,"")</f>
        <v/>
      </c>
      <c r="H2396" s="35"/>
      <c r="I2396" s="31"/>
      <c r="J2396" s="155">
        <v>0</v>
      </c>
    </row>
    <row r="2397" spans="1:10" ht="15.75" hidden="1" thickBot="1" x14ac:dyDescent="0.3">
      <c r="A2397" s="172" t="s">
        <v>787</v>
      </c>
      <c r="B2397" s="174" t="str">
        <f>INDEX(Orçamentária!A:B,MATCH(Composições!A2397,Orçamentária!A:A,0),2)</f>
        <v>Módulo (tomada) de rede RJ45, para telefonia</v>
      </c>
      <c r="C2397" s="41"/>
      <c r="D2397" s="26" t="str">
        <f>TRIM(INDEX(Orçamentária!C:C,MATCH(Composições!A2397,Orçamentária!A:A,0),1))</f>
        <v>un</v>
      </c>
      <c r="E2397" s="27"/>
      <c r="F2397" s="42" t="s">
        <v>568</v>
      </c>
      <c r="G2397" s="28" t="str">
        <f>IF(ISNUMBER(F2397),E2397*F2397,"")</f>
        <v/>
      </c>
      <c r="H2397" s="29"/>
      <c r="I2397" s="30"/>
      <c r="J2397" s="155">
        <v>0</v>
      </c>
    </row>
    <row r="2398" spans="1:10" ht="15.75" hidden="1" thickBot="1" x14ac:dyDescent="0.3">
      <c r="A2398" s="176"/>
      <c r="B2398" s="175"/>
      <c r="C2398" s="32"/>
      <c r="D2398" s="32"/>
      <c r="E2398" s="33"/>
      <c r="F2398" s="43" t="s">
        <v>568</v>
      </c>
      <c r="G2398" s="34" t="str">
        <f>IF(ISNUMBER(F2398),E2398*F2398,"")</f>
        <v/>
      </c>
      <c r="H2398" s="35"/>
      <c r="I2398" s="31"/>
      <c r="J2398" s="155">
        <v>0</v>
      </c>
    </row>
    <row r="2399" spans="1:10" ht="26.25" hidden="1" thickBot="1" x14ac:dyDescent="0.3">
      <c r="A2399" s="176"/>
      <c r="B2399" s="175"/>
      <c r="C2399" s="36" t="s">
        <v>788</v>
      </c>
      <c r="D2399" s="36" t="s">
        <v>149</v>
      </c>
      <c r="E2399" s="37">
        <v>1</v>
      </c>
      <c r="F2399" s="34">
        <v>4.55</v>
      </c>
      <c r="G2399" s="34">
        <f>IF(ISNUMBER(F2399),E2399*F2399,"")</f>
        <v>4.55</v>
      </c>
      <c r="H2399" s="39">
        <f>SUM(G2399:G2402)</f>
        <v>39.3130308</v>
      </c>
      <c r="I2399" s="40"/>
      <c r="J2399" s="155">
        <v>0</v>
      </c>
    </row>
    <row r="2400" spans="1:10" ht="15.75" hidden="1" thickBot="1" x14ac:dyDescent="0.3">
      <c r="A2400" s="176"/>
      <c r="B2400" s="175"/>
      <c r="C2400" s="36" t="s">
        <v>789</v>
      </c>
      <c r="D2400" s="36" t="s">
        <v>297</v>
      </c>
      <c r="E2400" s="37">
        <v>1</v>
      </c>
      <c r="F2400" s="34">
        <v>26.590499999999999</v>
      </c>
      <c r="G2400" s="34">
        <f>IF(ISNUMBER(F2400),E2400*F2400,"")</f>
        <v>26.590499999999999</v>
      </c>
      <c r="H2400" s="35"/>
      <c r="I2400" s="31"/>
      <c r="J2400" s="155">
        <v>0</v>
      </c>
    </row>
    <row r="2401" spans="1:10" ht="15.75" hidden="1" thickBot="1" x14ac:dyDescent="0.3">
      <c r="A2401" s="176"/>
      <c r="B2401" s="175"/>
      <c r="C2401" s="36" t="s">
        <v>74</v>
      </c>
      <c r="D2401" s="47" t="s">
        <v>12</v>
      </c>
      <c r="E2401" s="37">
        <v>0.20619999999999999</v>
      </c>
      <c r="F2401" s="31">
        <v>17.366</v>
      </c>
      <c r="G2401" s="34">
        <f>IF(ISNUMBER(F2401),E2401*F2401,"")</f>
        <v>3.5808692</v>
      </c>
      <c r="H2401" s="35"/>
      <c r="I2401" s="31"/>
      <c r="J2401" s="155">
        <v>0</v>
      </c>
    </row>
    <row r="2402" spans="1:10" ht="15.75" hidden="1" thickBot="1" x14ac:dyDescent="0.3">
      <c r="A2402" s="176"/>
      <c r="B2402" s="175"/>
      <c r="C2402" s="36" t="s">
        <v>30</v>
      </c>
      <c r="D2402" s="36" t="s">
        <v>12</v>
      </c>
      <c r="E2402" s="37">
        <v>0.20619999999999999</v>
      </c>
      <c r="F2402" s="31">
        <v>22.268000000000001</v>
      </c>
      <c r="G2402" s="34">
        <f>IF(ISNUMBER(F2402),E2402*F2402,"")</f>
        <v>4.5916616000000001</v>
      </c>
      <c r="H2402" s="35"/>
      <c r="I2402" s="31"/>
      <c r="J2402" s="155">
        <v>0</v>
      </c>
    </row>
    <row r="2403" spans="1:10" ht="15.75" hidden="1" thickBot="1" x14ac:dyDescent="0.3">
      <c r="A2403" s="177"/>
      <c r="B2403" s="178"/>
      <c r="C2403" s="36"/>
      <c r="D2403" s="36"/>
      <c r="E2403" s="37"/>
      <c r="F2403" s="31" t="s">
        <v>568</v>
      </c>
      <c r="G2403" s="34" t="str">
        <f>IF(ISNUMBER(F2403),E2403*F2403,"")</f>
        <v/>
      </c>
      <c r="H2403" s="35"/>
      <c r="I2403" s="31"/>
      <c r="J2403" s="155">
        <v>0</v>
      </c>
    </row>
    <row r="2404" spans="1:10" ht="15.75" hidden="1" thickBot="1" x14ac:dyDescent="0.3">
      <c r="A2404" s="172" t="s">
        <v>790</v>
      </c>
      <c r="B2404" s="174" t="str">
        <f>INDEX(Orçamentária!A:B,MATCH(Composições!A2404,Orçamentária!A:A,0),2)</f>
        <v>Grelha para retorno para portas, divisórias e paredes 525x325 mm</v>
      </c>
      <c r="C2404" s="41"/>
      <c r="D2404" s="26" t="str">
        <f>TRIM(INDEX(Orçamentária!C:C,MATCH(Composições!A2404,Orçamentária!A:A,0),1))</f>
        <v>un</v>
      </c>
      <c r="E2404" s="27"/>
      <c r="F2404" s="42" t="s">
        <v>568</v>
      </c>
      <c r="G2404" s="28" t="str">
        <f>IF(ISNUMBER(F2404),E2404*F2404,"")</f>
        <v/>
      </c>
      <c r="H2404" s="29"/>
      <c r="I2404" s="30"/>
      <c r="J2404" s="155">
        <v>0</v>
      </c>
    </row>
    <row r="2405" spans="1:10" ht="15.75" hidden="1" thickBot="1" x14ac:dyDescent="0.3">
      <c r="A2405" s="176"/>
      <c r="B2405" s="175"/>
      <c r="C2405" s="32"/>
      <c r="D2405" s="32"/>
      <c r="E2405" s="33"/>
      <c r="F2405" s="43" t="s">
        <v>568</v>
      </c>
      <c r="G2405" s="34" t="str">
        <f>IF(ISNUMBER(F2405),E2405*F2405,"")</f>
        <v/>
      </c>
      <c r="H2405" s="35"/>
      <c r="I2405" s="31"/>
      <c r="J2405" s="155">
        <v>0</v>
      </c>
    </row>
    <row r="2406" spans="1:10" ht="15.75" hidden="1" thickBot="1" x14ac:dyDescent="0.3">
      <c r="A2406" s="176"/>
      <c r="B2406" s="175"/>
      <c r="C2406" s="36" t="s">
        <v>52</v>
      </c>
      <c r="D2406" s="47" t="s">
        <v>12</v>
      </c>
      <c r="E2406" s="37">
        <v>3.5</v>
      </c>
      <c r="F2406" s="31">
        <v>17.470500000000001</v>
      </c>
      <c r="G2406" s="34">
        <f>IF(ISNUMBER(F2406),E2406*F2406,"")</f>
        <v>61.146750000000004</v>
      </c>
      <c r="H2406" s="39">
        <f>SUM(G2406:G2408)</f>
        <v>141.87774999999999</v>
      </c>
      <c r="I2406" s="40"/>
      <c r="J2406" s="155">
        <v>0</v>
      </c>
    </row>
    <row r="2407" spans="1:10" ht="26.25" hidden="1" thickBot="1" x14ac:dyDescent="0.3">
      <c r="A2407" s="176"/>
      <c r="B2407" s="175"/>
      <c r="C2407" s="36" t="s">
        <v>619</v>
      </c>
      <c r="D2407" s="47" t="s">
        <v>12</v>
      </c>
      <c r="E2407" s="37">
        <v>3.5</v>
      </c>
      <c r="F2407" s="31">
        <v>23.065999999999999</v>
      </c>
      <c r="G2407" s="34">
        <f>IF(ISNUMBER(F2407),E2407*F2407,"")</f>
        <v>80.730999999999995</v>
      </c>
      <c r="H2407" s="35"/>
      <c r="I2407" s="31"/>
      <c r="J2407" s="155">
        <v>0</v>
      </c>
    </row>
    <row r="2408" spans="1:10" ht="26.25" hidden="1" thickBot="1" x14ac:dyDescent="0.3">
      <c r="A2408" s="176"/>
      <c r="B2408" s="175"/>
      <c r="C2408" s="36" t="s">
        <v>791</v>
      </c>
      <c r="D2408" s="36" t="s">
        <v>149</v>
      </c>
      <c r="E2408" s="37">
        <v>1</v>
      </c>
      <c r="F2408" s="34" t="s">
        <v>568</v>
      </c>
      <c r="G2408" s="34" t="str">
        <f>IF(ISNUMBER(F2408),E2408*F2408,"")</f>
        <v/>
      </c>
      <c r="H2408" s="35"/>
      <c r="I2408" s="31"/>
      <c r="J2408" s="155">
        <v>0</v>
      </c>
    </row>
    <row r="2409" spans="1:10" ht="15.75" hidden="1" thickBot="1" x14ac:dyDescent="0.3">
      <c r="A2409" s="177"/>
      <c r="B2409" s="178"/>
      <c r="C2409" s="36"/>
      <c r="D2409" s="36"/>
      <c r="E2409" s="37"/>
      <c r="F2409" s="31" t="s">
        <v>568</v>
      </c>
      <c r="G2409" s="34" t="str">
        <f>IF(ISNUMBER(F2409),E2409*F2409,"")</f>
        <v/>
      </c>
      <c r="H2409" s="35"/>
      <c r="I2409" s="31"/>
      <c r="J2409" s="155">
        <v>0</v>
      </c>
    </row>
    <row r="2410" spans="1:10" ht="15.75" hidden="1" thickBot="1" x14ac:dyDescent="0.3">
      <c r="A2410" s="172" t="s">
        <v>1976</v>
      </c>
      <c r="B2410" s="174" t="str">
        <f>INDEX(Orçamentária!A:B,MATCH(Composições!A2410,Orçamentária!A:A,0),2)</f>
        <v>Thinner</v>
      </c>
      <c r="C2410" s="41"/>
      <c r="D2410" s="26" t="str">
        <f>TRIM(INDEX(Orçamentária!C:C,MATCH(Composições!A2410,Orçamentária!A:A,0),1))</f>
        <v>Litro</v>
      </c>
      <c r="E2410" s="27"/>
      <c r="F2410" s="42" t="s">
        <v>568</v>
      </c>
      <c r="G2410" s="28" t="str">
        <f>IF(ISNUMBER(F2410),E2410*F2410,"")</f>
        <v/>
      </c>
      <c r="H2410" s="29"/>
      <c r="I2410" s="30"/>
      <c r="J2410" s="155">
        <v>0</v>
      </c>
    </row>
    <row r="2411" spans="1:10" ht="15.75" hidden="1" thickBot="1" x14ac:dyDescent="0.3">
      <c r="A2411" s="176"/>
      <c r="B2411" s="175"/>
      <c r="C2411" s="32"/>
      <c r="D2411" s="32"/>
      <c r="E2411" s="33"/>
      <c r="F2411" s="43" t="s">
        <v>568</v>
      </c>
      <c r="G2411" s="34" t="str">
        <f>IF(ISNUMBER(F2411),E2411*F2411,"")</f>
        <v/>
      </c>
      <c r="H2411" s="35"/>
      <c r="I2411" s="31"/>
      <c r="J2411" s="155">
        <v>0</v>
      </c>
    </row>
    <row r="2412" spans="1:10" ht="15.75" hidden="1" thickBot="1" x14ac:dyDescent="0.3">
      <c r="A2412" s="176"/>
      <c r="B2412" s="175"/>
      <c r="C2412" s="36" t="s">
        <v>3465</v>
      </c>
      <c r="D2412" s="47" t="s">
        <v>104</v>
      </c>
      <c r="E2412" s="37">
        <v>1</v>
      </c>
      <c r="F2412" s="31" t="s">
        <v>568</v>
      </c>
      <c r="G2412" s="34" t="str">
        <f>IF(ISNUMBER(F2412),E2412*F2412,"")</f>
        <v/>
      </c>
      <c r="H2412" s="39">
        <f>SUM(G2412:G2412)</f>
        <v>0</v>
      </c>
      <c r="I2412" s="40"/>
      <c r="J2412" s="155">
        <v>0</v>
      </c>
    </row>
    <row r="2413" spans="1:10" ht="15.75" hidden="1" thickBot="1" x14ac:dyDescent="0.3">
      <c r="A2413" s="177"/>
      <c r="B2413" s="178"/>
      <c r="C2413" s="36"/>
      <c r="D2413" s="36"/>
      <c r="E2413" s="37"/>
      <c r="F2413" s="31" t="s">
        <v>568</v>
      </c>
      <c r="G2413" s="34" t="str">
        <f>IF(ISNUMBER(F2413),E2413*F2413,"")</f>
        <v/>
      </c>
      <c r="H2413" s="35"/>
      <c r="I2413" s="31"/>
      <c r="J2413" s="155">
        <v>0</v>
      </c>
    </row>
    <row r="2414" spans="1:10" ht="15.75" hidden="1" thickBot="1" x14ac:dyDescent="0.3">
      <c r="A2414" s="172" t="s">
        <v>2012</v>
      </c>
      <c r="B2414" s="174" t="str">
        <f>INDEX(Orçamentária!A:B,MATCH(Composições!A2414,Orçamentária!A:A,0),2)</f>
        <v>Dobradiça para porta com anel</v>
      </c>
      <c r="C2414" s="41"/>
      <c r="D2414" s="26" t="str">
        <f>TRIM(INDEX(Orçamentária!C:C,MATCH(Composições!A2414,Orçamentária!A:A,0),1))</f>
        <v>un</v>
      </c>
      <c r="E2414" s="27"/>
      <c r="F2414" s="42" t="s">
        <v>568</v>
      </c>
      <c r="G2414" s="28" t="str">
        <f>IF(ISNUMBER(F2414),E2414*F2414,"")</f>
        <v/>
      </c>
      <c r="H2414" s="29"/>
      <c r="I2414" s="30"/>
      <c r="J2414" s="155">
        <v>0</v>
      </c>
    </row>
    <row r="2415" spans="1:10" ht="15.75" hidden="1" thickBot="1" x14ac:dyDescent="0.3">
      <c r="A2415" s="176"/>
      <c r="B2415" s="175"/>
      <c r="C2415" s="32"/>
      <c r="D2415" s="32"/>
      <c r="E2415" s="33"/>
      <c r="F2415" s="43" t="s">
        <v>568</v>
      </c>
      <c r="G2415" s="34" t="str">
        <f>IF(ISNUMBER(F2415),E2415*F2415,"")</f>
        <v/>
      </c>
      <c r="H2415" s="35"/>
      <c r="I2415" s="31"/>
      <c r="J2415" s="155">
        <v>0</v>
      </c>
    </row>
    <row r="2416" spans="1:10" ht="26.25" hidden="1" thickBot="1" x14ac:dyDescent="0.3">
      <c r="A2416" s="176"/>
      <c r="B2416" s="175"/>
      <c r="C2416" s="36" t="s">
        <v>3447</v>
      </c>
      <c r="D2416" s="36" t="s">
        <v>297</v>
      </c>
      <c r="E2416" s="37">
        <v>1</v>
      </c>
      <c r="F2416" s="31">
        <v>14.782</v>
      </c>
      <c r="G2416" s="34">
        <f>IF(ISNUMBER(F2416),E2416*F2416,"")</f>
        <v>14.782</v>
      </c>
      <c r="H2416" s="39">
        <f>SUM(G2416:G2416)</f>
        <v>14.782</v>
      </c>
      <c r="I2416" s="40"/>
      <c r="J2416" s="155">
        <v>0</v>
      </c>
    </row>
    <row r="2417" spans="1:10" ht="15.75" hidden="1" thickBot="1" x14ac:dyDescent="0.3">
      <c r="A2417" s="177"/>
      <c r="B2417" s="178"/>
      <c r="C2417" s="36"/>
      <c r="D2417" s="36"/>
      <c r="E2417" s="37"/>
      <c r="F2417" s="31" t="s">
        <v>568</v>
      </c>
      <c r="G2417" s="34" t="str">
        <f>IF(ISNUMBER(F2417),E2417*F2417,"")</f>
        <v/>
      </c>
      <c r="H2417" s="35"/>
      <c r="I2417" s="31"/>
      <c r="J2417" s="155">
        <v>0</v>
      </c>
    </row>
    <row r="2418" spans="1:10" ht="15.75" hidden="1" thickBot="1" x14ac:dyDescent="0.3">
      <c r="A2418" s="172" t="s">
        <v>2016</v>
      </c>
      <c r="B2418" s="174" t="str">
        <f>INDEX(Orçamentária!A:B,MATCH(Composições!A2418,Orçamentária!A:A,0),2)</f>
        <v>Fechadura para porta externa maçaneta em barra (fornecimento)</v>
      </c>
      <c r="C2418" s="41"/>
      <c r="D2418" s="26" t="str">
        <f>TRIM(INDEX(Orçamentária!C:C,MATCH(Composições!A2418,Orçamentária!A:A,0),1))</f>
        <v>un</v>
      </c>
      <c r="E2418" s="27"/>
      <c r="F2418" s="42" t="s">
        <v>568</v>
      </c>
      <c r="G2418" s="28" t="str">
        <f>IF(ISNUMBER(F2418),E2418*F2418,"")</f>
        <v/>
      </c>
      <c r="H2418" s="29"/>
      <c r="I2418" s="30"/>
      <c r="J2418" s="155">
        <v>0</v>
      </c>
    </row>
    <row r="2419" spans="1:10" ht="15.75" hidden="1" thickBot="1" x14ac:dyDescent="0.3">
      <c r="A2419" s="176"/>
      <c r="B2419" s="175"/>
      <c r="C2419" s="32"/>
      <c r="D2419" s="32"/>
      <c r="E2419" s="33"/>
      <c r="F2419" s="43" t="s">
        <v>568</v>
      </c>
      <c r="G2419" s="34" t="str">
        <f>IF(ISNUMBER(F2419),E2419*F2419,"")</f>
        <v/>
      </c>
      <c r="H2419" s="35"/>
      <c r="I2419" s="31"/>
      <c r="J2419" s="155">
        <v>0</v>
      </c>
    </row>
    <row r="2420" spans="1:10" ht="51.75" hidden="1" thickBot="1" x14ac:dyDescent="0.3">
      <c r="A2420" s="176"/>
      <c r="B2420" s="175"/>
      <c r="C2420" s="36" t="s">
        <v>3803</v>
      </c>
      <c r="D2420" s="47" t="s">
        <v>793</v>
      </c>
      <c r="E2420" s="37">
        <v>1</v>
      </c>
      <c r="F2420" s="31">
        <v>56.904999999999994</v>
      </c>
      <c r="G2420" s="34">
        <f>IF(ISNUMBER(F2420),E2420*F2420,"")</f>
        <v>56.904999999999994</v>
      </c>
      <c r="H2420" s="39">
        <f>SUM(G2420:G2420)</f>
        <v>56.904999999999994</v>
      </c>
      <c r="I2420" s="40"/>
      <c r="J2420" s="155">
        <v>0</v>
      </c>
    </row>
    <row r="2421" spans="1:10" ht="15.75" hidden="1" thickBot="1" x14ac:dyDescent="0.3">
      <c r="A2421" s="177"/>
      <c r="B2421" s="178"/>
      <c r="C2421" s="36"/>
      <c r="D2421" s="36"/>
      <c r="E2421" s="37"/>
      <c r="F2421" s="31" t="s">
        <v>568</v>
      </c>
      <c r="G2421" s="34" t="str">
        <f>IF(ISNUMBER(F2421),E2421*F2421,"")</f>
        <v/>
      </c>
      <c r="H2421" s="35"/>
      <c r="I2421" s="31"/>
      <c r="J2421" s="155">
        <v>0</v>
      </c>
    </row>
    <row r="2422" spans="1:10" ht="15.75" hidden="1" thickBot="1" x14ac:dyDescent="0.3">
      <c r="A2422" s="172" t="s">
        <v>792</v>
      </c>
      <c r="B2422" s="174" t="str">
        <f>INDEX(Orçamentária!A:B,MATCH(Composições!A2422,Orçamentária!A:A,0),2)</f>
        <v>Fechadura para Porta Externa com Espelho - Millenio</v>
      </c>
      <c r="C2422" s="41"/>
      <c r="D2422" s="26" t="str">
        <f>TRIM(INDEX(Orçamentária!C:C,MATCH(Composições!A2422,Orçamentária!A:A,0),1))</f>
        <v>un</v>
      </c>
      <c r="E2422" s="27"/>
      <c r="F2422" s="42" t="s">
        <v>568</v>
      </c>
      <c r="G2422" s="28" t="str">
        <f>IF(ISNUMBER(F2422),E2422*F2422,"")</f>
        <v/>
      </c>
      <c r="H2422" s="29"/>
      <c r="I2422" s="30"/>
      <c r="J2422" s="155">
        <v>0</v>
      </c>
    </row>
    <row r="2423" spans="1:10" ht="15.75" hidden="1" thickBot="1" x14ac:dyDescent="0.3">
      <c r="A2423" s="176"/>
      <c r="B2423" s="175"/>
      <c r="C2423" s="32"/>
      <c r="D2423" s="32"/>
      <c r="E2423" s="33"/>
      <c r="F2423" s="43" t="s">
        <v>568</v>
      </c>
      <c r="G2423" s="34" t="str">
        <f>IF(ISNUMBER(F2423),E2423*F2423,"")</f>
        <v/>
      </c>
      <c r="H2423" s="35"/>
      <c r="I2423" s="31"/>
      <c r="J2423" s="155">
        <v>0</v>
      </c>
    </row>
    <row r="2424" spans="1:10" ht="39" hidden="1" thickBot="1" x14ac:dyDescent="0.3">
      <c r="A2424" s="176"/>
      <c r="B2424" s="175"/>
      <c r="C2424" s="36" t="s">
        <v>3451</v>
      </c>
      <c r="D2424" s="47" t="s">
        <v>793</v>
      </c>
      <c r="E2424" s="37">
        <v>1</v>
      </c>
      <c r="F2424" s="31">
        <v>73.957499999999996</v>
      </c>
      <c r="G2424" s="34">
        <f>IF(ISNUMBER(F2424),E2424*F2424,"")</f>
        <v>73.957499999999996</v>
      </c>
      <c r="H2424" s="39">
        <f>SUM(G2424:G2424)</f>
        <v>73.957499999999996</v>
      </c>
      <c r="I2424" s="40"/>
      <c r="J2424" s="155">
        <v>0</v>
      </c>
    </row>
    <row r="2425" spans="1:10" ht="15.75" hidden="1" thickBot="1" x14ac:dyDescent="0.3">
      <c r="A2425" s="177"/>
      <c r="B2425" s="178"/>
      <c r="C2425" s="36"/>
      <c r="D2425" s="36"/>
      <c r="E2425" s="37"/>
      <c r="F2425" s="31" t="s">
        <v>568</v>
      </c>
      <c r="G2425" s="34" t="str">
        <f>IF(ISNUMBER(F2425),E2425*F2425,"")</f>
        <v/>
      </c>
      <c r="H2425" s="35"/>
      <c r="I2425" s="31"/>
      <c r="J2425" s="155">
        <v>0</v>
      </c>
    </row>
    <row r="2426" spans="1:10" ht="15.75" hidden="1" thickBot="1" x14ac:dyDescent="0.3">
      <c r="A2426" s="172" t="s">
        <v>2019</v>
      </c>
      <c r="B2426" s="174" t="str">
        <f>INDEX(Orçamentária!A:B,MATCH(Composições!A2426,Orçamentária!A:A,0),2)</f>
        <v>Fechadura para Porta de Banheiro com Espelho - Millenio</v>
      </c>
      <c r="C2426" s="41"/>
      <c r="D2426" s="26" t="str">
        <f>TRIM(INDEX(Orçamentária!C:C,MATCH(Composições!A2426,Orçamentária!A:A,0),1))</f>
        <v>un</v>
      </c>
      <c r="E2426" s="27"/>
      <c r="F2426" s="42" t="s">
        <v>568</v>
      </c>
      <c r="G2426" s="28" t="str">
        <f>IF(ISNUMBER(F2426),E2426*F2426,"")</f>
        <v/>
      </c>
      <c r="H2426" s="29"/>
      <c r="I2426" s="30"/>
      <c r="J2426" s="155">
        <v>0</v>
      </c>
    </row>
    <row r="2427" spans="1:10" ht="15.75" hidden="1" thickBot="1" x14ac:dyDescent="0.3">
      <c r="A2427" s="176"/>
      <c r="B2427" s="175"/>
      <c r="C2427" s="32"/>
      <c r="D2427" s="32"/>
      <c r="E2427" s="33"/>
      <c r="F2427" s="43" t="s">
        <v>568</v>
      </c>
      <c r="G2427" s="34" t="str">
        <f>IF(ISNUMBER(F2427),E2427*F2427,"")</f>
        <v/>
      </c>
      <c r="H2427" s="35"/>
      <c r="I2427" s="31"/>
      <c r="J2427" s="155">
        <v>0</v>
      </c>
    </row>
    <row r="2428" spans="1:10" ht="39" hidden="1" thickBot="1" x14ac:dyDescent="0.3">
      <c r="A2428" s="176"/>
      <c r="B2428" s="175"/>
      <c r="C2428" s="36" t="s">
        <v>3450</v>
      </c>
      <c r="D2428" s="47" t="s">
        <v>793</v>
      </c>
      <c r="E2428" s="37">
        <v>1</v>
      </c>
      <c r="F2428" s="31">
        <v>44.744999999999997</v>
      </c>
      <c r="G2428" s="34">
        <f>IF(ISNUMBER(F2428),E2428*F2428,"")</f>
        <v>44.744999999999997</v>
      </c>
      <c r="H2428" s="39">
        <f>SUM(G2428:G2428)</f>
        <v>44.744999999999997</v>
      </c>
      <c r="I2428" s="40"/>
      <c r="J2428" s="155">
        <v>0</v>
      </c>
    </row>
    <row r="2429" spans="1:10" ht="15.75" hidden="1" thickBot="1" x14ac:dyDescent="0.3">
      <c r="A2429" s="177"/>
      <c r="B2429" s="178"/>
      <c r="C2429" s="36"/>
      <c r="D2429" s="36"/>
      <c r="E2429" s="37"/>
      <c r="F2429" s="31" t="s">
        <v>568</v>
      </c>
      <c r="G2429" s="34" t="str">
        <f>IF(ISNUMBER(F2429),E2429*F2429,"")</f>
        <v/>
      </c>
      <c r="H2429" s="35"/>
      <c r="I2429" s="31"/>
      <c r="J2429" s="155">
        <v>0</v>
      </c>
    </row>
    <row r="2430" spans="1:10" ht="15.75" hidden="1" thickBot="1" x14ac:dyDescent="0.3">
      <c r="A2430" s="172" t="s">
        <v>2023</v>
      </c>
      <c r="B2430" s="174" t="str">
        <f>INDEX(Orçamentária!A:B,MATCH(Composições!A2430,Orçamentária!A:A,0),2)</f>
        <v>Tarjeta Livre / Ocupado para portas de banheiro</v>
      </c>
      <c r="C2430" s="41"/>
      <c r="D2430" s="26" t="str">
        <f>TRIM(INDEX(Orçamentária!C:C,MATCH(Composições!A2430,Orçamentária!A:A,0),1))</f>
        <v>un</v>
      </c>
      <c r="E2430" s="27"/>
      <c r="F2430" s="42" t="s">
        <v>568</v>
      </c>
      <c r="G2430" s="28" t="str">
        <f>IF(ISNUMBER(F2430),E2430*F2430,"")</f>
        <v/>
      </c>
      <c r="H2430" s="29"/>
      <c r="I2430" s="30"/>
      <c r="J2430" s="155">
        <v>0</v>
      </c>
    </row>
    <row r="2431" spans="1:10" ht="15.75" hidden="1" thickBot="1" x14ac:dyDescent="0.3">
      <c r="A2431" s="176"/>
      <c r="B2431" s="175"/>
      <c r="C2431" s="32"/>
      <c r="D2431" s="32"/>
      <c r="E2431" s="33"/>
      <c r="F2431" s="43" t="s">
        <v>568</v>
      </c>
      <c r="G2431" s="34" t="str">
        <f>IF(ISNUMBER(F2431),E2431*F2431,"")</f>
        <v/>
      </c>
      <c r="H2431" s="35"/>
      <c r="I2431" s="31"/>
      <c r="J2431" s="155">
        <v>0</v>
      </c>
    </row>
    <row r="2432" spans="1:10" ht="26.25" hidden="1" thickBot="1" x14ac:dyDescent="0.3">
      <c r="A2432" s="176"/>
      <c r="B2432" s="175"/>
      <c r="C2432" s="36" t="s">
        <v>3813</v>
      </c>
      <c r="D2432" s="36" t="s">
        <v>297</v>
      </c>
      <c r="E2432" s="37">
        <v>1</v>
      </c>
      <c r="F2432" s="31">
        <v>38.826499999999996</v>
      </c>
      <c r="G2432" s="34">
        <f>IF(ISNUMBER(F2432),E2432*F2432,"")</f>
        <v>38.826499999999996</v>
      </c>
      <c r="H2432" s="39">
        <f>SUM(G2432:G2432)</f>
        <v>38.826499999999996</v>
      </c>
      <c r="I2432" s="40"/>
      <c r="J2432" s="155">
        <v>0</v>
      </c>
    </row>
    <row r="2433" spans="1:10" ht="15.75" hidden="1" thickBot="1" x14ac:dyDescent="0.3">
      <c r="A2433" s="177"/>
      <c r="B2433" s="178"/>
      <c r="C2433" s="36"/>
      <c r="D2433" s="36"/>
      <c r="E2433" s="37"/>
      <c r="F2433" s="31" t="s">
        <v>568</v>
      </c>
      <c r="G2433" s="34" t="str">
        <f>IF(ISNUMBER(F2433),E2433*F2433,"")</f>
        <v/>
      </c>
      <c r="H2433" s="35"/>
      <c r="I2433" s="31"/>
      <c r="J2433" s="155">
        <v>0</v>
      </c>
    </row>
    <row r="2434" spans="1:10" ht="15.75" hidden="1" thickBot="1" x14ac:dyDescent="0.3">
      <c r="A2434" s="172" t="s">
        <v>2029</v>
      </c>
      <c r="B2434" s="174" t="str">
        <f>INDEX(Orçamentária!A:B,MATCH(Composições!A2434,Orçamentária!A:A,0),2)</f>
        <v>Fechadura de embutir para armário e gaveta</v>
      </c>
      <c r="C2434" s="41"/>
      <c r="D2434" s="26" t="str">
        <f>TRIM(INDEX(Orçamentária!C:C,MATCH(Composições!A2434,Orçamentária!A:A,0),1))</f>
        <v>un</v>
      </c>
      <c r="E2434" s="27"/>
      <c r="F2434" s="42" t="s">
        <v>568</v>
      </c>
      <c r="G2434" s="28" t="str">
        <f>IF(ISNUMBER(F2434),E2434*F2434,"")</f>
        <v/>
      </c>
      <c r="H2434" s="29"/>
      <c r="I2434" s="30"/>
      <c r="J2434" s="155">
        <v>0</v>
      </c>
    </row>
    <row r="2435" spans="1:10" ht="15.75" hidden="1" thickBot="1" x14ac:dyDescent="0.3">
      <c r="A2435" s="176"/>
      <c r="B2435" s="175"/>
      <c r="C2435" s="32"/>
      <c r="D2435" s="32"/>
      <c r="E2435" s="33"/>
      <c r="F2435" s="43" t="s">
        <v>568</v>
      </c>
      <c r="G2435" s="34" t="str">
        <f>IF(ISNUMBER(F2435),E2435*F2435,"")</f>
        <v/>
      </c>
      <c r="H2435" s="35"/>
      <c r="I2435" s="31"/>
      <c r="J2435" s="155">
        <v>0</v>
      </c>
    </row>
    <row r="2436" spans="1:10" ht="39" hidden="1" thickBot="1" x14ac:dyDescent="0.3">
      <c r="A2436" s="176"/>
      <c r="B2436" s="175"/>
      <c r="C2436" s="36" t="s">
        <v>3452</v>
      </c>
      <c r="D2436" s="36" t="s">
        <v>297</v>
      </c>
      <c r="E2436" s="37">
        <v>1</v>
      </c>
      <c r="F2436" s="31">
        <v>11.2385</v>
      </c>
      <c r="G2436" s="34">
        <f>IF(ISNUMBER(F2436),E2436*F2436,"")</f>
        <v>11.2385</v>
      </c>
      <c r="H2436" s="39">
        <f>SUM(G2436:G2436)</f>
        <v>11.2385</v>
      </c>
      <c r="I2436" s="40"/>
      <c r="J2436" s="155">
        <v>0</v>
      </c>
    </row>
    <row r="2437" spans="1:10" ht="15.75" hidden="1" thickBot="1" x14ac:dyDescent="0.3">
      <c r="A2437" s="177"/>
      <c r="B2437" s="178"/>
      <c r="C2437" s="36"/>
      <c r="D2437" s="36"/>
      <c r="E2437" s="37"/>
      <c r="F2437" s="31" t="s">
        <v>568</v>
      </c>
      <c r="G2437" s="34" t="str">
        <f>IF(ISNUMBER(F2437),E2437*F2437,"")</f>
        <v/>
      </c>
      <c r="H2437" s="35"/>
      <c r="I2437" s="31"/>
      <c r="J2437" s="155">
        <v>0</v>
      </c>
    </row>
    <row r="2438" spans="1:10" ht="15.75" hidden="1" thickBot="1" x14ac:dyDescent="0.3">
      <c r="A2438" s="172" t="s">
        <v>2031</v>
      </c>
      <c r="B2438" s="174" t="str">
        <f>INDEX(Orçamentária!A:B,MATCH(Composições!A2438,Orçamentária!A:A,0),2)</f>
        <v>Fechadura de embutir para móveis – Fechamento Superior - Referência 861</v>
      </c>
      <c r="C2438" s="41"/>
      <c r="D2438" s="26" t="str">
        <f>TRIM(INDEX(Orçamentária!C:C,MATCH(Composições!A2438,Orçamentária!A:A,0),1))</f>
        <v>un</v>
      </c>
      <c r="E2438" s="27"/>
      <c r="F2438" s="42" t="s">
        <v>568</v>
      </c>
      <c r="G2438" s="28" t="str">
        <f>IF(ISNUMBER(F2438),E2438*F2438,"")</f>
        <v/>
      </c>
      <c r="H2438" s="29"/>
      <c r="I2438" s="30"/>
      <c r="J2438" s="155">
        <v>0</v>
      </c>
    </row>
    <row r="2439" spans="1:10" ht="15.75" hidden="1" thickBot="1" x14ac:dyDescent="0.3">
      <c r="A2439" s="176"/>
      <c r="B2439" s="175"/>
      <c r="C2439" s="32"/>
      <c r="D2439" s="32"/>
      <c r="E2439" s="33"/>
      <c r="F2439" s="43" t="s">
        <v>568</v>
      </c>
      <c r="G2439" s="34" t="str">
        <f>IF(ISNUMBER(F2439),E2439*F2439,"")</f>
        <v/>
      </c>
      <c r="H2439" s="35"/>
      <c r="I2439" s="31"/>
      <c r="J2439" s="155">
        <v>0</v>
      </c>
    </row>
    <row r="2440" spans="1:10" ht="39" hidden="1" thickBot="1" x14ac:dyDescent="0.3">
      <c r="A2440" s="176"/>
      <c r="B2440" s="175"/>
      <c r="C2440" s="36" t="s">
        <v>3453</v>
      </c>
      <c r="D2440" s="36" t="s">
        <v>297</v>
      </c>
      <c r="E2440" s="37">
        <v>1</v>
      </c>
      <c r="F2440" s="31">
        <v>11.228999999999999</v>
      </c>
      <c r="G2440" s="34">
        <f>IF(ISNUMBER(F2440),E2440*F2440,"")</f>
        <v>11.228999999999999</v>
      </c>
      <c r="H2440" s="39">
        <f>SUM(G2440:G2440)</f>
        <v>11.228999999999999</v>
      </c>
      <c r="I2440" s="40"/>
      <c r="J2440" s="155">
        <v>0</v>
      </c>
    </row>
    <row r="2441" spans="1:10" ht="15.75" hidden="1" thickBot="1" x14ac:dyDescent="0.3">
      <c r="A2441" s="177"/>
      <c r="B2441" s="178"/>
      <c r="C2441" s="36"/>
      <c r="D2441" s="36"/>
      <c r="E2441" s="37"/>
      <c r="F2441" s="31" t="s">
        <v>568</v>
      </c>
      <c r="G2441" s="34" t="str">
        <f>IF(ISNUMBER(F2441),E2441*F2441,"")</f>
        <v/>
      </c>
      <c r="H2441" s="35"/>
      <c r="I2441" s="31"/>
      <c r="J2441" s="155">
        <v>0</v>
      </c>
    </row>
    <row r="2442" spans="1:10" ht="15.75" hidden="1" thickBot="1" x14ac:dyDescent="0.3">
      <c r="A2442" s="172" t="s">
        <v>2033</v>
      </c>
      <c r="B2442" s="174" t="str">
        <f>INDEX(Orçamentária!A:B,MATCH(Composições!A2442,Orçamentária!A:A,0),2)</f>
        <v>Fechadura de embutir para móveis – Fechamento lateral - Referência 871</v>
      </c>
      <c r="C2442" s="41"/>
      <c r="D2442" s="26" t="str">
        <f>TRIM(INDEX(Orçamentária!C:C,MATCH(Composições!A2442,Orçamentária!A:A,0),1))</f>
        <v>un</v>
      </c>
      <c r="E2442" s="27"/>
      <c r="F2442" s="42" t="s">
        <v>568</v>
      </c>
      <c r="G2442" s="28" t="str">
        <f>IF(ISNUMBER(F2442),E2442*F2442,"")</f>
        <v/>
      </c>
      <c r="H2442" s="29"/>
      <c r="I2442" s="30"/>
      <c r="J2442" s="155">
        <v>0</v>
      </c>
    </row>
    <row r="2443" spans="1:10" ht="15.75" hidden="1" thickBot="1" x14ac:dyDescent="0.3">
      <c r="A2443" s="176"/>
      <c r="B2443" s="175"/>
      <c r="C2443" s="32"/>
      <c r="D2443" s="32"/>
      <c r="E2443" s="33"/>
      <c r="F2443" s="43" t="s">
        <v>568</v>
      </c>
      <c r="G2443" s="34" t="str">
        <f>IF(ISNUMBER(F2443),E2443*F2443,"")</f>
        <v/>
      </c>
      <c r="H2443" s="35"/>
      <c r="I2443" s="31"/>
      <c r="J2443" s="155">
        <v>0</v>
      </c>
    </row>
    <row r="2444" spans="1:10" ht="39" hidden="1" thickBot="1" x14ac:dyDescent="0.3">
      <c r="A2444" s="176"/>
      <c r="B2444" s="175"/>
      <c r="C2444" s="36" t="s">
        <v>3453</v>
      </c>
      <c r="D2444" s="36" t="s">
        <v>297</v>
      </c>
      <c r="E2444" s="37">
        <v>1</v>
      </c>
      <c r="F2444" s="31">
        <v>11.228999999999999</v>
      </c>
      <c r="G2444" s="34">
        <f>IF(ISNUMBER(F2444),E2444*F2444,"")</f>
        <v>11.228999999999999</v>
      </c>
      <c r="H2444" s="39">
        <f>SUM(G2444:G2444)</f>
        <v>11.228999999999999</v>
      </c>
      <c r="I2444" s="40"/>
      <c r="J2444" s="155">
        <v>0</v>
      </c>
    </row>
    <row r="2445" spans="1:10" ht="15.75" hidden="1" thickBot="1" x14ac:dyDescent="0.3">
      <c r="A2445" s="177"/>
      <c r="B2445" s="178"/>
      <c r="C2445" s="36"/>
      <c r="D2445" s="36"/>
      <c r="E2445" s="37"/>
      <c r="F2445" s="31" t="s">
        <v>568</v>
      </c>
      <c r="G2445" s="34" t="str">
        <f>IF(ISNUMBER(F2445),E2445*F2445,"")</f>
        <v/>
      </c>
      <c r="H2445" s="35"/>
      <c r="I2445" s="31"/>
      <c r="J2445" s="155">
        <v>0</v>
      </c>
    </row>
    <row r="2446" spans="1:10" ht="15.75" hidden="1" thickBot="1" x14ac:dyDescent="0.3">
      <c r="A2446" s="172" t="s">
        <v>2088</v>
      </c>
      <c r="B2446" s="174" t="str">
        <f>INDEX(Orçamentária!A:B,MATCH(Composições!A2446,Orçamentária!A:A,0),2)</f>
        <v>Puxador alça 102mm</v>
      </c>
      <c r="C2446" s="41"/>
      <c r="D2446" s="26" t="str">
        <f>TRIM(INDEX(Orçamentária!C:C,MATCH(Composições!A2446,Orçamentária!A:A,0),1))</f>
        <v>un</v>
      </c>
      <c r="E2446" s="27"/>
      <c r="F2446" s="42" t="s">
        <v>568</v>
      </c>
      <c r="G2446" s="28" t="str">
        <f>IF(ISNUMBER(F2446),E2446*F2446,"")</f>
        <v/>
      </c>
      <c r="H2446" s="29"/>
      <c r="I2446" s="30"/>
      <c r="J2446" s="155">
        <v>0</v>
      </c>
    </row>
    <row r="2447" spans="1:10" ht="15.75" hidden="1" thickBot="1" x14ac:dyDescent="0.3">
      <c r="A2447" s="176"/>
      <c r="B2447" s="175"/>
      <c r="C2447" s="32"/>
      <c r="D2447" s="32"/>
      <c r="E2447" s="33"/>
      <c r="F2447" s="43" t="s">
        <v>568</v>
      </c>
      <c r="G2447" s="34" t="str">
        <f>IF(ISNUMBER(F2447),E2447*F2447,"")</f>
        <v/>
      </c>
      <c r="H2447" s="35"/>
      <c r="I2447" s="31"/>
      <c r="J2447" s="155">
        <v>0</v>
      </c>
    </row>
    <row r="2448" spans="1:10" ht="39" hidden="1" thickBot="1" x14ac:dyDescent="0.3">
      <c r="A2448" s="176"/>
      <c r="B2448" s="175"/>
      <c r="C2448" s="36" t="s">
        <v>3812</v>
      </c>
      <c r="D2448" s="36" t="s">
        <v>297</v>
      </c>
      <c r="E2448" s="37">
        <v>1</v>
      </c>
      <c r="F2448" s="31">
        <v>17.195</v>
      </c>
      <c r="G2448" s="34">
        <f>IF(ISNUMBER(F2448),E2448*F2448,"")</f>
        <v>17.195</v>
      </c>
      <c r="H2448" s="39">
        <f>SUM(G2448:G2448)</f>
        <v>17.195</v>
      </c>
      <c r="I2448" s="40"/>
      <c r="J2448" s="155">
        <v>0</v>
      </c>
    </row>
    <row r="2449" spans="1:10" ht="15.75" hidden="1" thickBot="1" x14ac:dyDescent="0.3">
      <c r="A2449" s="177"/>
      <c r="B2449" s="178"/>
      <c r="C2449" s="36"/>
      <c r="D2449" s="36"/>
      <c r="E2449" s="37"/>
      <c r="F2449" s="31" t="s">
        <v>568</v>
      </c>
      <c r="G2449" s="34" t="str">
        <f>IF(ISNUMBER(F2449),E2449*F2449,"")</f>
        <v/>
      </c>
      <c r="H2449" s="35"/>
      <c r="I2449" s="31"/>
      <c r="J2449" s="155">
        <v>0</v>
      </c>
    </row>
    <row r="2450" spans="1:10" ht="15.75" hidden="1" thickBot="1" x14ac:dyDescent="0.3">
      <c r="A2450" s="172" t="s">
        <v>794</v>
      </c>
      <c r="B2450" s="174" t="str">
        <f>INDEX(Orçamentária!A:B,MATCH(Composições!A2450,Orçamentária!A:A,0),2)</f>
        <v>Espuma Expansiva à base de poliuretano</v>
      </c>
      <c r="C2450" s="41"/>
      <c r="D2450" s="26" t="str">
        <f>TRIM(INDEX(Orçamentária!C:C,MATCH(Composições!A2450,Orçamentária!A:A,0),1))</f>
        <v>500 ml</v>
      </c>
      <c r="E2450" s="27"/>
      <c r="F2450" s="42" t="s">
        <v>568</v>
      </c>
      <c r="G2450" s="28" t="str">
        <f>IF(ISNUMBER(F2450),E2450*F2450,"")</f>
        <v/>
      </c>
      <c r="H2450" s="29"/>
      <c r="I2450" s="30"/>
      <c r="J2450" s="155">
        <v>0</v>
      </c>
    </row>
    <row r="2451" spans="1:10" ht="15.75" hidden="1" thickBot="1" x14ac:dyDescent="0.3">
      <c r="A2451" s="176"/>
      <c r="B2451" s="175"/>
      <c r="C2451" s="32"/>
      <c r="D2451" s="32"/>
      <c r="E2451" s="33"/>
      <c r="F2451" s="43" t="s">
        <v>568</v>
      </c>
      <c r="G2451" s="34" t="str">
        <f>IF(ISNUMBER(F2451),E2451*F2451,"")</f>
        <v/>
      </c>
      <c r="H2451" s="35"/>
      <c r="I2451" s="31"/>
      <c r="J2451" s="155">
        <v>0</v>
      </c>
    </row>
    <row r="2452" spans="1:10" ht="26.25" hidden="1" thickBot="1" x14ac:dyDescent="0.3">
      <c r="A2452" s="176"/>
      <c r="B2452" s="175"/>
      <c r="C2452" s="36" t="s">
        <v>795</v>
      </c>
      <c r="D2452" s="47" t="s">
        <v>297</v>
      </c>
      <c r="E2452" s="37">
        <v>1</v>
      </c>
      <c r="F2452" s="31">
        <v>20.9</v>
      </c>
      <c r="G2452" s="34">
        <f>IF(ISNUMBER(F2452),E2452*F2452,"")</f>
        <v>20.9</v>
      </c>
      <c r="H2452" s="39">
        <f>SUM(G2452:G2452)</f>
        <v>20.9</v>
      </c>
      <c r="I2452" s="40"/>
      <c r="J2452" s="155">
        <v>0</v>
      </c>
    </row>
    <row r="2453" spans="1:10" ht="15.75" hidden="1" thickBot="1" x14ac:dyDescent="0.3">
      <c r="A2453" s="177"/>
      <c r="B2453" s="178"/>
      <c r="C2453" s="36"/>
      <c r="D2453" s="36"/>
      <c r="E2453" s="37"/>
      <c r="F2453" s="31" t="s">
        <v>568</v>
      </c>
      <c r="G2453" s="34" t="str">
        <f>IF(ISNUMBER(F2453),E2453*F2453,"")</f>
        <v/>
      </c>
      <c r="H2453" s="35"/>
      <c r="I2453" s="31"/>
      <c r="J2453" s="155">
        <v>0</v>
      </c>
    </row>
    <row r="2454" spans="1:10" ht="15.75" hidden="1" thickBot="1" x14ac:dyDescent="0.3">
      <c r="A2454" s="172" t="s">
        <v>2138</v>
      </c>
      <c r="B2454" s="174" t="str">
        <f>INDEX(Orçamentária!A:B,MATCH(Composições!A2454,Orçamentária!A:A,0),2)</f>
        <v>Adesivo de Contato à Base d’água</v>
      </c>
      <c r="C2454" s="41"/>
      <c r="D2454" s="26" t="str">
        <f>TRIM(INDEX(Orçamentária!C:C,MATCH(Composições!A2454,Orçamentária!A:A,0),1))</f>
        <v>kg</v>
      </c>
      <c r="E2454" s="27"/>
      <c r="F2454" s="42" t="s">
        <v>568</v>
      </c>
      <c r="G2454" s="28" t="str">
        <f>IF(ISNUMBER(F2454),E2454*F2454,"")</f>
        <v/>
      </c>
      <c r="H2454" s="29"/>
      <c r="I2454" s="30"/>
      <c r="J2454" s="155">
        <v>0</v>
      </c>
    </row>
    <row r="2455" spans="1:10" ht="15.75" hidden="1" thickBot="1" x14ac:dyDescent="0.3">
      <c r="A2455" s="176"/>
      <c r="B2455" s="175"/>
      <c r="C2455" s="32"/>
      <c r="D2455" s="32"/>
      <c r="E2455" s="33"/>
      <c r="F2455" s="43" t="s">
        <v>568</v>
      </c>
      <c r="G2455" s="34" t="str">
        <f>IF(ISNUMBER(F2455),E2455*F2455,"")</f>
        <v/>
      </c>
      <c r="H2455" s="35"/>
      <c r="I2455" s="31"/>
      <c r="J2455" s="155">
        <v>0</v>
      </c>
    </row>
    <row r="2456" spans="1:10" ht="15.75" hidden="1" thickBot="1" x14ac:dyDescent="0.3">
      <c r="A2456" s="176"/>
      <c r="B2456" s="175"/>
      <c r="C2456" s="36" t="s">
        <v>303</v>
      </c>
      <c r="D2456" s="47" t="s">
        <v>953</v>
      </c>
      <c r="E2456" s="37">
        <v>1</v>
      </c>
      <c r="F2456" s="31">
        <v>25.478999999999999</v>
      </c>
      <c r="G2456" s="34">
        <f>IF(ISNUMBER(F2456),E2456*F2456,"")</f>
        <v>25.478999999999999</v>
      </c>
      <c r="H2456" s="39">
        <f>SUM(G2456:G2456)</f>
        <v>25.478999999999999</v>
      </c>
      <c r="I2456" s="40"/>
      <c r="J2456" s="155">
        <v>0</v>
      </c>
    </row>
    <row r="2457" spans="1:10" ht="15.75" hidden="1" thickBot="1" x14ac:dyDescent="0.3">
      <c r="A2457" s="177"/>
      <c r="B2457" s="178"/>
      <c r="C2457" s="36"/>
      <c r="D2457" s="36"/>
      <c r="E2457" s="37"/>
      <c r="F2457" s="31" t="s">
        <v>568</v>
      </c>
      <c r="G2457" s="34" t="str">
        <f>IF(ISNUMBER(F2457),E2457*F2457,"")</f>
        <v/>
      </c>
      <c r="H2457" s="35"/>
      <c r="I2457" s="31"/>
      <c r="J2457" s="155">
        <v>0</v>
      </c>
    </row>
    <row r="2458" spans="1:10" ht="15.75" hidden="1" thickBot="1" x14ac:dyDescent="0.3">
      <c r="A2458" s="172" t="s">
        <v>2142</v>
      </c>
      <c r="B2458" s="174" t="str">
        <f>INDEX(Orçamentária!A:B,MATCH(Composições!A2458,Orçamentária!A:A,0),2)</f>
        <v>Laminado fenólico melamínico texturizado - Azul Noturno</v>
      </c>
      <c r="C2458" s="41"/>
      <c r="D2458" s="26" t="str">
        <f>TRIM(INDEX(Orçamentária!C:C,MATCH(Composições!A2458,Orçamentária!A:A,0),1))</f>
        <v>m2</v>
      </c>
      <c r="E2458" s="27"/>
      <c r="F2458" s="42" t="s">
        <v>568</v>
      </c>
      <c r="G2458" s="28" t="str">
        <f>IF(ISNUMBER(F2458),E2458*F2458,"")</f>
        <v/>
      </c>
      <c r="H2458" s="29"/>
      <c r="I2458" s="30"/>
      <c r="J2458" s="155">
        <v>0</v>
      </c>
    </row>
    <row r="2459" spans="1:10" ht="15.75" hidden="1" thickBot="1" x14ac:dyDescent="0.3">
      <c r="A2459" s="176"/>
      <c r="B2459" s="175"/>
      <c r="C2459" s="32"/>
      <c r="D2459" s="32"/>
      <c r="E2459" s="33"/>
      <c r="F2459" s="43" t="s">
        <v>568</v>
      </c>
      <c r="G2459" s="34" t="str">
        <f>IF(ISNUMBER(F2459),E2459*F2459,"")</f>
        <v/>
      </c>
      <c r="H2459" s="35"/>
      <c r="I2459" s="31"/>
      <c r="J2459" s="155">
        <v>0</v>
      </c>
    </row>
    <row r="2460" spans="1:10" ht="26.25" hidden="1" thickBot="1" x14ac:dyDescent="0.3">
      <c r="A2460" s="176"/>
      <c r="B2460" s="175"/>
      <c r="C2460" s="36" t="s">
        <v>3441</v>
      </c>
      <c r="D2460" s="47" t="s">
        <v>95</v>
      </c>
      <c r="E2460" s="37">
        <v>1</v>
      </c>
      <c r="F2460" s="31">
        <v>37.610500000000002</v>
      </c>
      <c r="G2460" s="34">
        <f>IF(ISNUMBER(F2460),E2460*F2460,"")</f>
        <v>37.610500000000002</v>
      </c>
      <c r="H2460" s="39">
        <f>SUM(G2460:G2460)</f>
        <v>37.610500000000002</v>
      </c>
      <c r="I2460" s="40"/>
      <c r="J2460" s="155">
        <v>0</v>
      </c>
    </row>
    <row r="2461" spans="1:10" ht="15.75" hidden="1" thickBot="1" x14ac:dyDescent="0.3">
      <c r="A2461" s="177"/>
      <c r="B2461" s="178"/>
      <c r="C2461" s="36"/>
      <c r="D2461" s="36"/>
      <c r="E2461" s="37"/>
      <c r="F2461" s="31" t="s">
        <v>568</v>
      </c>
      <c r="G2461" s="34" t="str">
        <f>IF(ISNUMBER(F2461),E2461*F2461,"")</f>
        <v/>
      </c>
      <c r="H2461" s="35"/>
      <c r="I2461" s="31"/>
      <c r="J2461" s="155">
        <v>0</v>
      </c>
    </row>
    <row r="2462" spans="1:10" ht="15.75" hidden="1" thickBot="1" x14ac:dyDescent="0.3">
      <c r="A2462" s="172" t="s">
        <v>2144</v>
      </c>
      <c r="B2462" s="174" t="str">
        <f>INDEX(Orçamentária!A:B,MATCH(Composições!A2462,Orçamentária!A:A,0),2)</f>
        <v>Laminado fenólico melamínico texturizado - Branco</v>
      </c>
      <c r="C2462" s="41"/>
      <c r="D2462" s="26" t="str">
        <f>TRIM(INDEX(Orçamentária!C:C,MATCH(Composições!A2462,Orçamentária!A:A,0),1))</f>
        <v>m2</v>
      </c>
      <c r="E2462" s="27"/>
      <c r="F2462" s="42" t="s">
        <v>568</v>
      </c>
      <c r="G2462" s="28" t="str">
        <f>IF(ISNUMBER(F2462),E2462*F2462,"")</f>
        <v/>
      </c>
      <c r="H2462" s="29"/>
      <c r="I2462" s="30"/>
      <c r="J2462" s="155">
        <v>0</v>
      </c>
    </row>
    <row r="2463" spans="1:10" ht="15.75" hidden="1" thickBot="1" x14ac:dyDescent="0.3">
      <c r="A2463" s="176"/>
      <c r="B2463" s="175"/>
      <c r="C2463" s="32"/>
      <c r="D2463" s="32"/>
      <c r="E2463" s="33"/>
      <c r="F2463" s="43" t="s">
        <v>568</v>
      </c>
      <c r="G2463" s="34" t="str">
        <f>IF(ISNUMBER(F2463),E2463*F2463,"")</f>
        <v/>
      </c>
      <c r="H2463" s="35"/>
      <c r="I2463" s="31"/>
      <c r="J2463" s="155">
        <v>0</v>
      </c>
    </row>
    <row r="2464" spans="1:10" ht="26.25" hidden="1" thickBot="1" x14ac:dyDescent="0.3">
      <c r="A2464" s="176"/>
      <c r="B2464" s="175"/>
      <c r="C2464" s="36" t="s">
        <v>3441</v>
      </c>
      <c r="D2464" s="47" t="s">
        <v>95</v>
      </c>
      <c r="E2464" s="37">
        <v>1</v>
      </c>
      <c r="F2464" s="31">
        <v>37.610500000000002</v>
      </c>
      <c r="G2464" s="34">
        <f>IF(ISNUMBER(F2464),E2464*F2464,"")</f>
        <v>37.610500000000002</v>
      </c>
      <c r="H2464" s="39">
        <f>SUM(G2464:G2464)</f>
        <v>37.610500000000002</v>
      </c>
      <c r="I2464" s="40"/>
      <c r="J2464" s="155">
        <v>0</v>
      </c>
    </row>
    <row r="2465" spans="1:10" ht="15.75" hidden="1" thickBot="1" x14ac:dyDescent="0.3">
      <c r="A2465" s="177"/>
      <c r="B2465" s="178"/>
      <c r="C2465" s="36"/>
      <c r="D2465" s="36"/>
      <c r="E2465" s="37"/>
      <c r="F2465" s="31" t="s">
        <v>568</v>
      </c>
      <c r="G2465" s="34" t="str">
        <f>IF(ISNUMBER(F2465),E2465*F2465,"")</f>
        <v/>
      </c>
      <c r="H2465" s="35"/>
      <c r="I2465" s="31"/>
      <c r="J2465" s="155">
        <v>0</v>
      </c>
    </row>
    <row r="2466" spans="1:10" ht="15.75" hidden="1" thickBot="1" x14ac:dyDescent="0.3">
      <c r="A2466" s="172" t="s">
        <v>2146</v>
      </c>
      <c r="B2466" s="174" t="str">
        <f>INDEX(Orçamentária!A:B,MATCH(Composições!A2466,Orçamentária!A:A,0),2)</f>
        <v>Laminado fenólico melamínico texturizado - Ovo</v>
      </c>
      <c r="C2466" s="41"/>
      <c r="D2466" s="26" t="str">
        <f>TRIM(INDEX(Orçamentária!C:C,MATCH(Composições!A2466,Orçamentária!A:A,0),1))</f>
        <v>m2</v>
      </c>
      <c r="E2466" s="27"/>
      <c r="F2466" s="42" t="s">
        <v>568</v>
      </c>
      <c r="G2466" s="28" t="str">
        <f>IF(ISNUMBER(F2466),E2466*F2466,"")</f>
        <v/>
      </c>
      <c r="H2466" s="29"/>
      <c r="I2466" s="30"/>
      <c r="J2466" s="155">
        <v>0</v>
      </c>
    </row>
    <row r="2467" spans="1:10" ht="15.75" hidden="1" thickBot="1" x14ac:dyDescent="0.3">
      <c r="A2467" s="176"/>
      <c r="B2467" s="175"/>
      <c r="C2467" s="32"/>
      <c r="D2467" s="32"/>
      <c r="E2467" s="33"/>
      <c r="F2467" s="43" t="s">
        <v>568</v>
      </c>
      <c r="G2467" s="34" t="str">
        <f>IF(ISNUMBER(F2467),E2467*F2467,"")</f>
        <v/>
      </c>
      <c r="H2467" s="35"/>
      <c r="I2467" s="31"/>
      <c r="J2467" s="155">
        <v>0</v>
      </c>
    </row>
    <row r="2468" spans="1:10" ht="26.25" hidden="1" thickBot="1" x14ac:dyDescent="0.3">
      <c r="A2468" s="176"/>
      <c r="B2468" s="175"/>
      <c r="C2468" s="36" t="s">
        <v>3441</v>
      </c>
      <c r="D2468" s="47" t="s">
        <v>95</v>
      </c>
      <c r="E2468" s="37">
        <v>1</v>
      </c>
      <c r="F2468" s="31">
        <v>37.610500000000002</v>
      </c>
      <c r="G2468" s="34">
        <f>IF(ISNUMBER(F2468),E2468*F2468,"")</f>
        <v>37.610500000000002</v>
      </c>
      <c r="H2468" s="39">
        <f>SUM(G2468:G2468)</f>
        <v>37.610500000000002</v>
      </c>
      <c r="I2468" s="40"/>
      <c r="J2468" s="155">
        <v>0</v>
      </c>
    </row>
    <row r="2469" spans="1:10" ht="15.75" hidden="1" thickBot="1" x14ac:dyDescent="0.3">
      <c r="A2469" s="177"/>
      <c r="B2469" s="178"/>
      <c r="C2469" s="36"/>
      <c r="D2469" s="36"/>
      <c r="E2469" s="37"/>
      <c r="F2469" s="31" t="s">
        <v>568</v>
      </c>
      <c r="G2469" s="34" t="str">
        <f>IF(ISNUMBER(F2469),E2469*F2469,"")</f>
        <v/>
      </c>
      <c r="H2469" s="35"/>
      <c r="I2469" s="31"/>
      <c r="J2469" s="155">
        <v>0</v>
      </c>
    </row>
    <row r="2470" spans="1:10" ht="15.75" hidden="1" thickBot="1" x14ac:dyDescent="0.3">
      <c r="A2470" s="172" t="s">
        <v>2178</v>
      </c>
      <c r="B2470" s="174" t="str">
        <f>INDEX(Orçamentária!A:B,MATCH(Composições!A2470,Orçamentária!A:A,0),2)</f>
        <v>Tábua de Madeira bruta aparelhada - Pinus</v>
      </c>
      <c r="C2470" s="41"/>
      <c r="D2470" s="26" t="str">
        <f>TRIM(INDEX(Orçamentária!C:C,MATCH(Composições!A2470,Orçamentária!A:A,0),1))</f>
        <v>m3</v>
      </c>
      <c r="E2470" s="27"/>
      <c r="F2470" s="42" t="s">
        <v>568</v>
      </c>
      <c r="G2470" s="28" t="str">
        <f>IF(ISNUMBER(F2470),E2470*F2470,"")</f>
        <v/>
      </c>
      <c r="H2470" s="29"/>
      <c r="I2470" s="30"/>
      <c r="J2470" s="155">
        <v>0</v>
      </c>
    </row>
    <row r="2471" spans="1:10" ht="15.75" hidden="1" thickBot="1" x14ac:dyDescent="0.3">
      <c r="A2471" s="176"/>
      <c r="B2471" s="175"/>
      <c r="C2471" s="32"/>
      <c r="D2471" s="32"/>
      <c r="E2471" s="33"/>
      <c r="F2471" s="43" t="s">
        <v>568</v>
      </c>
      <c r="G2471" s="34" t="str">
        <f>IF(ISNUMBER(F2471),E2471*F2471,"")</f>
        <v/>
      </c>
      <c r="H2471" s="35"/>
      <c r="I2471" s="31"/>
      <c r="J2471" s="155">
        <v>0</v>
      </c>
    </row>
    <row r="2472" spans="1:10" ht="26.25" hidden="1" thickBot="1" x14ac:dyDescent="0.3">
      <c r="A2472" s="176"/>
      <c r="B2472" s="175"/>
      <c r="C2472" s="36" t="s">
        <v>3783</v>
      </c>
      <c r="D2472" s="47" t="s">
        <v>93</v>
      </c>
      <c r="E2472" s="37">
        <f>1/(0.025*0.3)</f>
        <v>133.33333333333334</v>
      </c>
      <c r="F2472" s="31">
        <v>9.4429999999999996</v>
      </c>
      <c r="G2472" s="34">
        <f>IF(ISNUMBER(F2472),E2472*F2472,"")</f>
        <v>1259.0666666666666</v>
      </c>
      <c r="H2472" s="39">
        <f>SUM(G2472:G2472)</f>
        <v>1259.0666666666666</v>
      </c>
      <c r="I2472" s="40"/>
      <c r="J2472" s="155">
        <v>0</v>
      </c>
    </row>
    <row r="2473" spans="1:10" ht="15.75" hidden="1" thickBot="1" x14ac:dyDescent="0.3">
      <c r="A2473" s="177"/>
      <c r="B2473" s="178"/>
      <c r="C2473" s="36"/>
      <c r="D2473" s="36"/>
      <c r="E2473" s="37"/>
      <c r="F2473" s="31" t="s">
        <v>568</v>
      </c>
      <c r="G2473" s="34" t="str">
        <f>IF(ISNUMBER(F2473),E2473*F2473,"")</f>
        <v/>
      </c>
      <c r="H2473" s="35"/>
      <c r="I2473" s="31"/>
      <c r="J2473" s="155">
        <v>0</v>
      </c>
    </row>
    <row r="2474" spans="1:10" ht="15.75" hidden="1" thickBot="1" x14ac:dyDescent="0.3">
      <c r="A2474" s="172" t="s">
        <v>2180</v>
      </c>
      <c r="B2474" s="174" t="str">
        <f>INDEX(Orçamentária!A:B,MATCH(Composições!A2474,Orçamentária!A:A,0),2)</f>
        <v>Sarrafo De Madeira</v>
      </c>
      <c r="C2474" s="41"/>
      <c r="D2474" s="26" t="str">
        <f>TRIM(INDEX(Orçamentária!C:C,MATCH(Composições!A2474,Orçamentária!A:A,0),1))</f>
        <v>m</v>
      </c>
      <c r="E2474" s="27"/>
      <c r="F2474" s="42" t="s">
        <v>568</v>
      </c>
      <c r="G2474" s="28" t="str">
        <f>IF(ISNUMBER(F2474),E2474*F2474,"")</f>
        <v/>
      </c>
      <c r="H2474" s="29"/>
      <c r="I2474" s="30"/>
      <c r="J2474" s="155">
        <v>0</v>
      </c>
    </row>
    <row r="2475" spans="1:10" ht="15.75" hidden="1" thickBot="1" x14ac:dyDescent="0.3">
      <c r="A2475" s="176"/>
      <c r="B2475" s="175"/>
      <c r="C2475" s="32"/>
      <c r="D2475" s="32"/>
      <c r="E2475" s="33"/>
      <c r="F2475" s="43" t="s">
        <v>568</v>
      </c>
      <c r="G2475" s="34" t="str">
        <f>IF(ISNUMBER(F2475),E2475*F2475,"")</f>
        <v/>
      </c>
      <c r="H2475" s="35"/>
      <c r="I2475" s="31"/>
      <c r="J2475" s="155">
        <v>0</v>
      </c>
    </row>
    <row r="2476" spans="1:10" ht="26.25" hidden="1" thickBot="1" x14ac:dyDescent="0.3">
      <c r="A2476" s="176"/>
      <c r="B2476" s="175"/>
      <c r="C2476" s="36" t="s">
        <v>3781</v>
      </c>
      <c r="D2476" s="47" t="s">
        <v>93</v>
      </c>
      <c r="E2476" s="37">
        <v>1</v>
      </c>
      <c r="F2476" s="31">
        <v>2.8879999999999999</v>
      </c>
      <c r="G2476" s="34">
        <f>IF(ISNUMBER(F2476),E2476*F2476,"")</f>
        <v>2.8879999999999999</v>
      </c>
      <c r="H2476" s="39">
        <f>SUM(G2476:G2476)</f>
        <v>2.8879999999999999</v>
      </c>
      <c r="I2476" s="40"/>
      <c r="J2476" s="155">
        <v>0</v>
      </c>
    </row>
    <row r="2477" spans="1:10" ht="15.75" hidden="1" thickBot="1" x14ac:dyDescent="0.3">
      <c r="A2477" s="177"/>
      <c r="B2477" s="178"/>
      <c r="C2477" s="36"/>
      <c r="D2477" s="36"/>
      <c r="E2477" s="37"/>
      <c r="F2477" s="31" t="s">
        <v>568</v>
      </c>
      <c r="G2477" s="34" t="str">
        <f>IF(ISNUMBER(F2477),E2477*F2477,"")</f>
        <v/>
      </c>
      <c r="H2477" s="35"/>
      <c r="I2477" s="31"/>
      <c r="J2477" s="155">
        <v>0</v>
      </c>
    </row>
    <row r="2478" spans="1:10" ht="15.75" hidden="1" thickBot="1" x14ac:dyDescent="0.3">
      <c r="A2478" s="172" t="s">
        <v>2182</v>
      </c>
      <c r="B2478" s="174" t="str">
        <f>INDEX(Orçamentária!A:B,MATCH(Composições!A2478,Orçamentária!A:A,0),2)</f>
        <v>Caibro De Madeira</v>
      </c>
      <c r="C2478" s="41"/>
      <c r="D2478" s="26" t="str">
        <f>TRIM(INDEX(Orçamentária!C:C,MATCH(Composições!A2478,Orçamentária!A:A,0),1))</f>
        <v>m</v>
      </c>
      <c r="E2478" s="27"/>
      <c r="F2478" s="42" t="s">
        <v>568</v>
      </c>
      <c r="G2478" s="28" t="str">
        <f>IF(ISNUMBER(F2478),E2478*F2478,"")</f>
        <v/>
      </c>
      <c r="H2478" s="29"/>
      <c r="I2478" s="30"/>
      <c r="J2478" s="155">
        <v>0</v>
      </c>
    </row>
    <row r="2479" spans="1:10" ht="15.75" hidden="1" thickBot="1" x14ac:dyDescent="0.3">
      <c r="A2479" s="176"/>
      <c r="B2479" s="175"/>
      <c r="C2479" s="32"/>
      <c r="D2479" s="32"/>
      <c r="E2479" s="33"/>
      <c r="F2479" s="43" t="s">
        <v>568</v>
      </c>
      <c r="G2479" s="34" t="str">
        <f>IF(ISNUMBER(F2479),E2479*F2479,"")</f>
        <v/>
      </c>
      <c r="H2479" s="35"/>
      <c r="I2479" s="31"/>
      <c r="J2479" s="155">
        <v>0</v>
      </c>
    </row>
    <row r="2480" spans="1:10" ht="26.25" hidden="1" thickBot="1" x14ac:dyDescent="0.3">
      <c r="A2480" s="176"/>
      <c r="B2480" s="175"/>
      <c r="C2480" s="36" t="s">
        <v>3437</v>
      </c>
      <c r="D2480" s="47" t="s">
        <v>93</v>
      </c>
      <c r="E2480" s="37">
        <v>1</v>
      </c>
      <c r="F2480" s="31" t="s">
        <v>568</v>
      </c>
      <c r="G2480" s="34" t="str">
        <f>IF(ISNUMBER(F2480),E2480*F2480,"")</f>
        <v/>
      </c>
      <c r="H2480" s="39">
        <f>SUM(G2480:G2480)</f>
        <v>0</v>
      </c>
      <c r="I2480" s="40"/>
      <c r="J2480" s="155">
        <v>0</v>
      </c>
    </row>
    <row r="2481" spans="1:10" ht="15.75" hidden="1" thickBot="1" x14ac:dyDescent="0.3">
      <c r="A2481" s="177"/>
      <c r="B2481" s="178"/>
      <c r="C2481" s="36"/>
      <c r="D2481" s="36"/>
      <c r="E2481" s="37"/>
      <c r="F2481" s="31" t="s">
        <v>568</v>
      </c>
      <c r="G2481" s="34" t="str">
        <f>IF(ISNUMBER(F2481),E2481*F2481,"")</f>
        <v/>
      </c>
      <c r="H2481" s="35"/>
      <c r="I2481" s="31"/>
      <c r="J2481" s="155">
        <v>0</v>
      </c>
    </row>
    <row r="2482" spans="1:10" ht="15.75" hidden="1" thickBot="1" x14ac:dyDescent="0.3">
      <c r="A2482" s="172" t="s">
        <v>2188</v>
      </c>
      <c r="B2482" s="174" t="str">
        <f>INDEX(Orçamentária!A:B,MATCH(Composições!A2482,Orçamentária!A:A,0),2)</f>
        <v>Painel de MDF Laminado – Branco - 06mm</v>
      </c>
      <c r="C2482" s="41"/>
      <c r="D2482" s="26" t="str">
        <f>TRIM(INDEX(Orçamentária!C:C,MATCH(Composições!A2482,Orçamentária!A:A,0),1))</f>
        <v>m2</v>
      </c>
      <c r="E2482" s="27"/>
      <c r="F2482" s="42" t="s">
        <v>568</v>
      </c>
      <c r="G2482" s="28" t="str">
        <f>IF(ISNUMBER(F2482),E2482*F2482,"")</f>
        <v/>
      </c>
      <c r="H2482" s="29"/>
      <c r="I2482" s="30"/>
      <c r="J2482" s="155">
        <v>0</v>
      </c>
    </row>
    <row r="2483" spans="1:10" ht="15.75" hidden="1" thickBot="1" x14ac:dyDescent="0.3">
      <c r="A2483" s="176"/>
      <c r="B2483" s="175"/>
      <c r="C2483" s="32"/>
      <c r="D2483" s="32"/>
      <c r="E2483" s="33"/>
      <c r="F2483" s="43" t="s">
        <v>568</v>
      </c>
      <c r="G2483" s="34" t="str">
        <f>IF(ISNUMBER(F2483),E2483*F2483,"")</f>
        <v/>
      </c>
      <c r="H2483" s="35"/>
      <c r="I2483" s="31"/>
      <c r="J2483" s="155">
        <v>0</v>
      </c>
    </row>
    <row r="2484" spans="1:10" ht="15.75" hidden="1" thickBot="1" x14ac:dyDescent="0.3">
      <c r="A2484" s="176"/>
      <c r="B2484" s="175"/>
      <c r="C2484" s="36" t="s">
        <v>3443</v>
      </c>
      <c r="D2484" s="47" t="s">
        <v>95</v>
      </c>
      <c r="E2484" s="37">
        <v>1</v>
      </c>
      <c r="F2484" s="31">
        <v>25.5075</v>
      </c>
      <c r="G2484" s="34">
        <f>IF(ISNUMBER(F2484),E2484*F2484,"")</f>
        <v>25.5075</v>
      </c>
      <c r="H2484" s="39">
        <f>SUM(G2484:G2484)</f>
        <v>25.5075</v>
      </c>
      <c r="I2484" s="40"/>
      <c r="J2484" s="155">
        <v>0</v>
      </c>
    </row>
    <row r="2485" spans="1:10" ht="15.75" hidden="1" thickBot="1" x14ac:dyDescent="0.3">
      <c r="A2485" s="177"/>
      <c r="B2485" s="178"/>
      <c r="C2485" s="36"/>
      <c r="D2485" s="36"/>
      <c r="E2485" s="37"/>
      <c r="F2485" s="31" t="s">
        <v>568</v>
      </c>
      <c r="G2485" s="34" t="str">
        <f>IF(ISNUMBER(F2485),E2485*F2485,"")</f>
        <v/>
      </c>
      <c r="H2485" s="35"/>
      <c r="I2485" s="31"/>
      <c r="J2485" s="155">
        <v>0</v>
      </c>
    </row>
    <row r="2486" spans="1:10" ht="15.75" hidden="1" thickBot="1" x14ac:dyDescent="0.3">
      <c r="A2486" s="172" t="s">
        <v>2192</v>
      </c>
      <c r="B2486" s="174" t="str">
        <f>INDEX(Orçamentária!A:B,MATCH(Composições!A2486,Orçamentária!A:A,0),2)</f>
        <v>Painel de MDF Laminado - Branco - 15mm</v>
      </c>
      <c r="C2486" s="41"/>
      <c r="D2486" s="26" t="str">
        <f>TRIM(INDEX(Orçamentária!C:C,MATCH(Composições!A2486,Orçamentária!A:A,0),1))</f>
        <v>m2</v>
      </c>
      <c r="E2486" s="27"/>
      <c r="F2486" s="42" t="s">
        <v>568</v>
      </c>
      <c r="G2486" s="28" t="str">
        <f>IF(ISNUMBER(F2486),E2486*F2486,"")</f>
        <v/>
      </c>
      <c r="H2486" s="29"/>
      <c r="I2486" s="30"/>
      <c r="J2486" s="155">
        <v>0</v>
      </c>
    </row>
    <row r="2487" spans="1:10" ht="15.75" hidden="1" thickBot="1" x14ac:dyDescent="0.3">
      <c r="A2487" s="176"/>
      <c r="B2487" s="175"/>
      <c r="C2487" s="32"/>
      <c r="D2487" s="32"/>
      <c r="E2487" s="33"/>
      <c r="F2487" s="43" t="s">
        <v>568</v>
      </c>
      <c r="G2487" s="34" t="str">
        <f>IF(ISNUMBER(F2487),E2487*F2487,"")</f>
        <v/>
      </c>
      <c r="H2487" s="35"/>
      <c r="I2487" s="31"/>
      <c r="J2487" s="155">
        <v>0</v>
      </c>
    </row>
    <row r="2488" spans="1:10" ht="26.25" hidden="1" thickBot="1" x14ac:dyDescent="0.3">
      <c r="A2488" s="176"/>
      <c r="B2488" s="175"/>
      <c r="C2488" s="36" t="s">
        <v>3444</v>
      </c>
      <c r="D2488" s="47" t="s">
        <v>95</v>
      </c>
      <c r="E2488" s="37">
        <v>1</v>
      </c>
      <c r="F2488" s="31">
        <v>40.023499999999999</v>
      </c>
      <c r="G2488" s="34">
        <f>IF(ISNUMBER(F2488),E2488*F2488,"")</f>
        <v>40.023499999999999</v>
      </c>
      <c r="H2488" s="39">
        <f>SUM(G2488:G2488)</f>
        <v>40.023499999999999</v>
      </c>
      <c r="I2488" s="40"/>
      <c r="J2488" s="155">
        <v>0</v>
      </c>
    </row>
    <row r="2489" spans="1:10" ht="15.75" hidden="1" thickBot="1" x14ac:dyDescent="0.3">
      <c r="A2489" s="177"/>
      <c r="B2489" s="178"/>
      <c r="C2489" s="36"/>
      <c r="D2489" s="36"/>
      <c r="E2489" s="37"/>
      <c r="F2489" s="31" t="s">
        <v>568</v>
      </c>
      <c r="G2489" s="34" t="str">
        <f>IF(ISNUMBER(F2489),E2489*F2489,"")</f>
        <v/>
      </c>
      <c r="H2489" s="35"/>
      <c r="I2489" s="31"/>
      <c r="J2489" s="155">
        <v>0</v>
      </c>
    </row>
    <row r="2490" spans="1:10" ht="15.75" hidden="1" thickBot="1" x14ac:dyDescent="0.3">
      <c r="A2490" s="172" t="s">
        <v>2196</v>
      </c>
      <c r="B2490" s="174" t="str">
        <f>INDEX(Orçamentária!A:B,MATCH(Composições!A2490,Orçamentária!A:A,0),2)</f>
        <v>Painel de MDF Laminado – Branco - 18mm</v>
      </c>
      <c r="C2490" s="41"/>
      <c r="D2490" s="26" t="str">
        <f>TRIM(INDEX(Orçamentária!C:C,MATCH(Composições!A2490,Orçamentária!A:A,0),1))</f>
        <v>m2</v>
      </c>
      <c r="E2490" s="27"/>
      <c r="F2490" s="42" t="s">
        <v>568</v>
      </c>
      <c r="G2490" s="28" t="str">
        <f>IF(ISNUMBER(F2490),E2490*F2490,"")</f>
        <v/>
      </c>
      <c r="H2490" s="29"/>
      <c r="I2490" s="30"/>
      <c r="J2490" s="155">
        <v>0</v>
      </c>
    </row>
    <row r="2491" spans="1:10" ht="15.75" hidden="1" thickBot="1" x14ac:dyDescent="0.3">
      <c r="A2491" s="176"/>
      <c r="B2491" s="175"/>
      <c r="C2491" s="32"/>
      <c r="D2491" s="32"/>
      <c r="E2491" s="33"/>
      <c r="F2491" s="43" t="s">
        <v>568</v>
      </c>
      <c r="G2491" s="34" t="str">
        <f>IF(ISNUMBER(F2491),E2491*F2491,"")</f>
        <v/>
      </c>
      <c r="H2491" s="35"/>
      <c r="I2491" s="31"/>
      <c r="J2491" s="155">
        <v>0</v>
      </c>
    </row>
    <row r="2492" spans="1:10" ht="26.25" hidden="1" thickBot="1" x14ac:dyDescent="0.3">
      <c r="A2492" s="176"/>
      <c r="B2492" s="175"/>
      <c r="C2492" s="36" t="s">
        <v>3445</v>
      </c>
      <c r="D2492" s="47" t="s">
        <v>95</v>
      </c>
      <c r="E2492" s="37">
        <v>1</v>
      </c>
      <c r="F2492" s="31">
        <v>49.684999999999995</v>
      </c>
      <c r="G2492" s="34">
        <f>IF(ISNUMBER(F2492),E2492*F2492,"")</f>
        <v>49.684999999999995</v>
      </c>
      <c r="H2492" s="39">
        <f>SUM(G2492:G2492)</f>
        <v>49.684999999999995</v>
      </c>
      <c r="I2492" s="40"/>
      <c r="J2492" s="155">
        <v>0</v>
      </c>
    </row>
    <row r="2493" spans="1:10" ht="15.75" hidden="1" thickBot="1" x14ac:dyDescent="0.3">
      <c r="A2493" s="177"/>
      <c r="B2493" s="178"/>
      <c r="C2493" s="36"/>
      <c r="D2493" s="36"/>
      <c r="E2493" s="37"/>
      <c r="F2493" s="31" t="s">
        <v>568</v>
      </c>
      <c r="G2493" s="34" t="str">
        <f>IF(ISNUMBER(F2493),E2493*F2493,"")</f>
        <v/>
      </c>
      <c r="H2493" s="35"/>
      <c r="I2493" s="31"/>
      <c r="J2493" s="155">
        <v>0</v>
      </c>
    </row>
    <row r="2494" spans="1:10" ht="15.75" hidden="1" thickBot="1" x14ac:dyDescent="0.3">
      <c r="A2494" s="172" t="s">
        <v>2200</v>
      </c>
      <c r="B2494" s="174" t="str">
        <f>INDEX(Orçamentária!A:B,MATCH(Composições!A2494,Orçamentária!A:A,0),2)</f>
        <v>Cantoneira laminada em aço abas iguais 1" x 3/16"</v>
      </c>
      <c r="C2494" s="41"/>
      <c r="D2494" s="26" t="str">
        <f>TRIM(INDEX(Orçamentária!C:C,MATCH(Composições!A2494,Orçamentária!A:A,0),1))</f>
        <v>m</v>
      </c>
      <c r="E2494" s="27"/>
      <c r="F2494" s="42" t="s">
        <v>568</v>
      </c>
      <c r="G2494" s="28" t="str">
        <f>IF(ISNUMBER(F2494),E2494*F2494,"")</f>
        <v/>
      </c>
      <c r="H2494" s="29"/>
      <c r="I2494" s="30"/>
      <c r="J2494" s="155">
        <v>0</v>
      </c>
    </row>
    <row r="2495" spans="1:10" ht="15.75" hidden="1" thickBot="1" x14ac:dyDescent="0.3">
      <c r="A2495" s="176"/>
      <c r="B2495" s="175"/>
      <c r="C2495" s="32"/>
      <c r="D2495" s="32"/>
      <c r="E2495" s="33"/>
      <c r="F2495" s="43" t="s">
        <v>568</v>
      </c>
      <c r="G2495" s="34" t="str">
        <f>IF(ISNUMBER(F2495),E2495*F2495,"")</f>
        <v/>
      </c>
      <c r="H2495" s="35"/>
      <c r="I2495" s="31"/>
      <c r="J2495" s="155">
        <v>0</v>
      </c>
    </row>
    <row r="2496" spans="1:10" ht="26.25" hidden="1" thickBot="1" x14ac:dyDescent="0.3">
      <c r="A2496" s="176"/>
      <c r="B2496" s="175"/>
      <c r="C2496" s="36" t="s">
        <v>134</v>
      </c>
      <c r="D2496" s="47" t="s">
        <v>42</v>
      </c>
      <c r="E2496" s="37">
        <v>1.73</v>
      </c>
      <c r="F2496" s="31">
        <v>8.2174999999999994</v>
      </c>
      <c r="G2496" s="34">
        <f>IF(ISNUMBER(F2496),E2496*F2496,"")</f>
        <v>14.216275</v>
      </c>
      <c r="H2496" s="39">
        <f>SUM(G2496:G2496)</f>
        <v>14.216275</v>
      </c>
      <c r="I2496" s="40"/>
      <c r="J2496" s="155">
        <v>0</v>
      </c>
    </row>
    <row r="2497" spans="1:10" ht="15.75" hidden="1" thickBot="1" x14ac:dyDescent="0.3">
      <c r="A2497" s="177"/>
      <c r="B2497" s="178"/>
      <c r="C2497" s="36"/>
      <c r="D2497" s="36"/>
      <c r="E2497" s="37"/>
      <c r="F2497" s="31" t="s">
        <v>568</v>
      </c>
      <c r="G2497" s="34" t="str">
        <f>IF(ISNUMBER(F2497),E2497*F2497,"")</f>
        <v/>
      </c>
      <c r="H2497" s="35"/>
      <c r="I2497" s="31"/>
      <c r="J2497" s="155">
        <v>0</v>
      </c>
    </row>
    <row r="2498" spans="1:10" ht="15.75" hidden="1" thickBot="1" x14ac:dyDescent="0.3">
      <c r="A2498" s="172" t="s">
        <v>2202</v>
      </c>
      <c r="B2498" s="174" t="str">
        <f>INDEX(Orçamentária!A:B,MATCH(Composições!A2498,Orçamentária!A:A,0),2)</f>
        <v>Cantoneira laminada em aço abas iguais 1"1/4 x 3/16"</v>
      </c>
      <c r="C2498" s="41"/>
      <c r="D2498" s="26" t="str">
        <f>TRIM(INDEX(Orçamentária!C:C,MATCH(Composições!A2498,Orçamentária!A:A,0),1))</f>
        <v>m</v>
      </c>
      <c r="E2498" s="27"/>
      <c r="F2498" s="42" t="s">
        <v>568</v>
      </c>
      <c r="G2498" s="28" t="str">
        <f>IF(ISNUMBER(F2498),E2498*F2498,"")</f>
        <v/>
      </c>
      <c r="H2498" s="29"/>
      <c r="I2498" s="30"/>
      <c r="J2498" s="155">
        <v>0</v>
      </c>
    </row>
    <row r="2499" spans="1:10" ht="15.75" hidden="1" thickBot="1" x14ac:dyDescent="0.3">
      <c r="A2499" s="176"/>
      <c r="B2499" s="175"/>
      <c r="C2499" s="32"/>
      <c r="D2499" s="32"/>
      <c r="E2499" s="33"/>
      <c r="F2499" s="43" t="s">
        <v>568</v>
      </c>
      <c r="G2499" s="34" t="str">
        <f>IF(ISNUMBER(F2499),E2499*F2499,"")</f>
        <v/>
      </c>
      <c r="H2499" s="35"/>
      <c r="I2499" s="31"/>
      <c r="J2499" s="155">
        <v>0</v>
      </c>
    </row>
    <row r="2500" spans="1:10" ht="26.25" hidden="1" thickBot="1" x14ac:dyDescent="0.3">
      <c r="A2500" s="176"/>
      <c r="B2500" s="175"/>
      <c r="C2500" s="36" t="s">
        <v>134</v>
      </c>
      <c r="D2500" s="47" t="s">
        <v>42</v>
      </c>
      <c r="E2500" s="37">
        <v>2.2000000000000002</v>
      </c>
      <c r="F2500" s="31">
        <v>8.2174999999999994</v>
      </c>
      <c r="G2500" s="34">
        <f>IF(ISNUMBER(F2500),E2500*F2500,"")</f>
        <v>18.078500000000002</v>
      </c>
      <c r="H2500" s="39">
        <f>SUM(G2500:G2500)</f>
        <v>18.078500000000002</v>
      </c>
      <c r="I2500" s="40"/>
      <c r="J2500" s="155">
        <v>0</v>
      </c>
    </row>
    <row r="2501" spans="1:10" ht="15.75" hidden="1" thickBot="1" x14ac:dyDescent="0.3">
      <c r="A2501" s="177"/>
      <c r="B2501" s="178"/>
      <c r="C2501" s="36"/>
      <c r="D2501" s="36"/>
      <c r="E2501" s="37"/>
      <c r="F2501" s="31" t="s">
        <v>568</v>
      </c>
      <c r="G2501" s="34" t="str">
        <f>IF(ISNUMBER(F2501),E2501*F2501,"")</f>
        <v/>
      </c>
      <c r="H2501" s="35"/>
      <c r="I2501" s="31"/>
      <c r="J2501" s="155">
        <v>0</v>
      </c>
    </row>
    <row r="2502" spans="1:10" ht="15.75" hidden="1" thickBot="1" x14ac:dyDescent="0.3">
      <c r="A2502" s="172" t="s">
        <v>2204</v>
      </c>
      <c r="B2502" s="174" t="str">
        <f>INDEX(Orçamentária!A:B,MATCH(Composições!A2502,Orçamentária!A:A,0),2)</f>
        <v>Cantoneira laminada em aço abas iguais 2” x 1/8”</v>
      </c>
      <c r="C2502" s="41"/>
      <c r="D2502" s="26" t="str">
        <f>TRIM(INDEX(Orçamentária!C:C,MATCH(Composições!A2502,Orçamentária!A:A,0),1))</f>
        <v>m</v>
      </c>
      <c r="E2502" s="27"/>
      <c r="F2502" s="42" t="s">
        <v>568</v>
      </c>
      <c r="G2502" s="28" t="str">
        <f>IF(ISNUMBER(F2502),E2502*F2502,"")</f>
        <v/>
      </c>
      <c r="H2502" s="29"/>
      <c r="I2502" s="30"/>
      <c r="J2502" s="155">
        <v>0</v>
      </c>
    </row>
    <row r="2503" spans="1:10" ht="15.75" hidden="1" thickBot="1" x14ac:dyDescent="0.3">
      <c r="A2503" s="176"/>
      <c r="B2503" s="175"/>
      <c r="C2503" s="32"/>
      <c r="D2503" s="32"/>
      <c r="E2503" s="33"/>
      <c r="F2503" s="43" t="s">
        <v>568</v>
      </c>
      <c r="G2503" s="34" t="str">
        <f>IF(ISNUMBER(F2503),E2503*F2503,"")</f>
        <v/>
      </c>
      <c r="H2503" s="35"/>
      <c r="I2503" s="31"/>
      <c r="J2503" s="155">
        <v>0</v>
      </c>
    </row>
    <row r="2504" spans="1:10" ht="26.25" hidden="1" thickBot="1" x14ac:dyDescent="0.3">
      <c r="A2504" s="176"/>
      <c r="B2504" s="175"/>
      <c r="C2504" s="36" t="s">
        <v>134</v>
      </c>
      <c r="D2504" s="47" t="s">
        <v>42</v>
      </c>
      <c r="E2504" s="37">
        <v>2.46</v>
      </c>
      <c r="F2504" s="31">
        <v>8.2174999999999994</v>
      </c>
      <c r="G2504" s="34">
        <f>IF(ISNUMBER(F2504),E2504*F2504,"")</f>
        <v>20.215049999999998</v>
      </c>
      <c r="H2504" s="39">
        <f>SUM(G2504:G2504)</f>
        <v>20.215049999999998</v>
      </c>
      <c r="I2504" s="40"/>
      <c r="J2504" s="155">
        <v>0</v>
      </c>
    </row>
    <row r="2505" spans="1:10" ht="15.75" hidden="1" thickBot="1" x14ac:dyDescent="0.3">
      <c r="A2505" s="177"/>
      <c r="B2505" s="178"/>
      <c r="C2505" s="36"/>
      <c r="D2505" s="36"/>
      <c r="E2505" s="37"/>
      <c r="F2505" s="31" t="s">
        <v>568</v>
      </c>
      <c r="G2505" s="34" t="str">
        <f>IF(ISNUMBER(F2505),E2505*F2505,"")</f>
        <v/>
      </c>
      <c r="H2505" s="35"/>
      <c r="I2505" s="31"/>
      <c r="J2505" s="155">
        <v>0</v>
      </c>
    </row>
    <row r="2506" spans="1:10" ht="15.75" hidden="1" thickBot="1" x14ac:dyDescent="0.3">
      <c r="A2506" s="172" t="s">
        <v>2206</v>
      </c>
      <c r="B2506" s="174" t="str">
        <f>INDEX(Orçamentária!A:B,MATCH(Composições!A2506,Orçamentária!A:A,0),2)</f>
        <v>Cantoneira laminada em aço abas Iguais 2” x 3/16”</v>
      </c>
      <c r="C2506" s="41"/>
      <c r="D2506" s="26" t="str">
        <f>TRIM(INDEX(Orçamentária!C:C,MATCH(Composições!A2506,Orçamentária!A:A,0),1))</f>
        <v>m</v>
      </c>
      <c r="E2506" s="27"/>
      <c r="F2506" s="42" t="s">
        <v>568</v>
      </c>
      <c r="G2506" s="28" t="str">
        <f>IF(ISNUMBER(F2506),E2506*F2506,"")</f>
        <v/>
      </c>
      <c r="H2506" s="29"/>
      <c r="I2506" s="30"/>
      <c r="J2506" s="155">
        <v>0</v>
      </c>
    </row>
    <row r="2507" spans="1:10" ht="15.75" hidden="1" thickBot="1" x14ac:dyDescent="0.3">
      <c r="A2507" s="176"/>
      <c r="B2507" s="175"/>
      <c r="C2507" s="32"/>
      <c r="D2507" s="32"/>
      <c r="E2507" s="33"/>
      <c r="F2507" s="43" t="s">
        <v>568</v>
      </c>
      <c r="G2507" s="34" t="str">
        <f>IF(ISNUMBER(F2507),E2507*F2507,"")</f>
        <v/>
      </c>
      <c r="H2507" s="35"/>
      <c r="I2507" s="31"/>
      <c r="J2507" s="155">
        <v>0</v>
      </c>
    </row>
    <row r="2508" spans="1:10" ht="26.25" hidden="1" thickBot="1" x14ac:dyDescent="0.3">
      <c r="A2508" s="176"/>
      <c r="B2508" s="175"/>
      <c r="C2508" s="36" t="s">
        <v>134</v>
      </c>
      <c r="D2508" s="47" t="s">
        <v>42</v>
      </c>
      <c r="E2508" s="37">
        <v>3.63</v>
      </c>
      <c r="F2508" s="31">
        <v>8.2174999999999994</v>
      </c>
      <c r="G2508" s="34">
        <f>IF(ISNUMBER(F2508),E2508*F2508,"")</f>
        <v>29.829524999999997</v>
      </c>
      <c r="H2508" s="39">
        <f>SUM(G2508:G2508)</f>
        <v>29.829524999999997</v>
      </c>
      <c r="I2508" s="40"/>
      <c r="J2508" s="155">
        <v>0</v>
      </c>
    </row>
    <row r="2509" spans="1:10" ht="15.75" hidden="1" thickBot="1" x14ac:dyDescent="0.3">
      <c r="A2509" s="177"/>
      <c r="B2509" s="178"/>
      <c r="C2509" s="36"/>
      <c r="D2509" s="36"/>
      <c r="E2509" s="37"/>
      <c r="F2509" s="31" t="s">
        <v>568</v>
      </c>
      <c r="G2509" s="34" t="str">
        <f>IF(ISNUMBER(F2509),E2509*F2509,"")</f>
        <v/>
      </c>
      <c r="H2509" s="35"/>
      <c r="I2509" s="31"/>
      <c r="J2509" s="155">
        <v>0</v>
      </c>
    </row>
    <row r="2510" spans="1:10" ht="15.75" hidden="1" thickBot="1" x14ac:dyDescent="0.3">
      <c r="A2510" s="172" t="s">
        <v>2208</v>
      </c>
      <c r="B2510" s="174" t="str">
        <f>INDEX(Orçamentária!A:B,MATCH(Composições!A2510,Orçamentária!A:A,0),2)</f>
        <v>Cantoneira laminada em aço abas Iguais 5/8” x 1/8”</v>
      </c>
      <c r="C2510" s="41"/>
      <c r="D2510" s="26" t="str">
        <f>TRIM(INDEX(Orçamentária!C:C,MATCH(Composições!A2510,Orçamentária!A:A,0),1))</f>
        <v>m</v>
      </c>
      <c r="E2510" s="27"/>
      <c r="F2510" s="42" t="s">
        <v>568</v>
      </c>
      <c r="G2510" s="28" t="str">
        <f>IF(ISNUMBER(F2510),E2510*F2510,"")</f>
        <v/>
      </c>
      <c r="H2510" s="29"/>
      <c r="I2510" s="30"/>
      <c r="J2510" s="155">
        <v>0</v>
      </c>
    </row>
    <row r="2511" spans="1:10" ht="15.75" hidden="1" thickBot="1" x14ac:dyDescent="0.3">
      <c r="A2511" s="176"/>
      <c r="B2511" s="175"/>
      <c r="C2511" s="32"/>
      <c r="D2511" s="32"/>
      <c r="E2511" s="33"/>
      <c r="F2511" s="43" t="s">
        <v>568</v>
      </c>
      <c r="G2511" s="34" t="str">
        <f>IF(ISNUMBER(F2511),E2511*F2511,"")</f>
        <v/>
      </c>
      <c r="H2511" s="35"/>
      <c r="I2511" s="31"/>
      <c r="J2511" s="155">
        <v>0</v>
      </c>
    </row>
    <row r="2512" spans="1:10" ht="26.25" hidden="1" thickBot="1" x14ac:dyDescent="0.3">
      <c r="A2512" s="176"/>
      <c r="B2512" s="175"/>
      <c r="C2512" s="36" t="s">
        <v>134</v>
      </c>
      <c r="D2512" s="47" t="s">
        <v>42</v>
      </c>
      <c r="E2512" s="37">
        <v>0.71</v>
      </c>
      <c r="F2512" s="31">
        <v>8.2174999999999994</v>
      </c>
      <c r="G2512" s="34">
        <f>IF(ISNUMBER(F2512),E2512*F2512,"")</f>
        <v>5.8344249999999995</v>
      </c>
      <c r="H2512" s="39">
        <f>SUM(G2512:G2512)</f>
        <v>5.8344249999999995</v>
      </c>
      <c r="I2512" s="40"/>
      <c r="J2512" s="155">
        <v>0</v>
      </c>
    </row>
    <row r="2513" spans="1:10" ht="15.75" hidden="1" thickBot="1" x14ac:dyDescent="0.3">
      <c r="A2513" s="177"/>
      <c r="B2513" s="178"/>
      <c r="C2513" s="36"/>
      <c r="D2513" s="36"/>
      <c r="E2513" s="37"/>
      <c r="F2513" s="31" t="s">
        <v>568</v>
      </c>
      <c r="G2513" s="34" t="str">
        <f>IF(ISNUMBER(F2513),E2513*F2513,"")</f>
        <v/>
      </c>
      <c r="H2513" s="35"/>
      <c r="I2513" s="31"/>
      <c r="J2513" s="155">
        <v>0</v>
      </c>
    </row>
    <row r="2514" spans="1:10" ht="15.75" hidden="1" thickBot="1" x14ac:dyDescent="0.3">
      <c r="A2514" s="172" t="s">
        <v>2210</v>
      </c>
      <c r="B2514" s="174" t="str">
        <f>INDEX(Orçamentária!A:B,MATCH(Composições!A2514,Orçamentária!A:A,0),2)</f>
        <v>Chapa aço galvanizado # 16 (kg)</v>
      </c>
      <c r="C2514" s="41"/>
      <c r="D2514" s="26" t="str">
        <f>TRIM(INDEX(Orçamentária!C:C,MATCH(Composições!A2514,Orçamentária!A:A,0),1))</f>
        <v>kg</v>
      </c>
      <c r="E2514" s="27"/>
      <c r="F2514" s="42" t="s">
        <v>568</v>
      </c>
      <c r="G2514" s="28" t="str">
        <f>IF(ISNUMBER(F2514),E2514*F2514,"")</f>
        <v/>
      </c>
      <c r="H2514" s="29"/>
      <c r="I2514" s="30"/>
      <c r="J2514" s="155">
        <v>0</v>
      </c>
    </row>
    <row r="2515" spans="1:10" ht="15.75" hidden="1" thickBot="1" x14ac:dyDescent="0.3">
      <c r="A2515" s="176"/>
      <c r="B2515" s="175"/>
      <c r="C2515" s="32"/>
      <c r="D2515" s="32"/>
      <c r="E2515" s="33"/>
      <c r="F2515" s="43" t="s">
        <v>568</v>
      </c>
      <c r="G2515" s="34" t="str">
        <f>IF(ISNUMBER(F2515),E2515*F2515,"")</f>
        <v/>
      </c>
      <c r="H2515" s="35"/>
      <c r="I2515" s="31"/>
      <c r="J2515" s="155">
        <v>0</v>
      </c>
    </row>
    <row r="2516" spans="1:10" ht="26.25" hidden="1" thickBot="1" x14ac:dyDescent="0.3">
      <c r="A2516" s="176"/>
      <c r="B2516" s="175"/>
      <c r="C2516" s="36" t="s">
        <v>3440</v>
      </c>
      <c r="D2516" s="47" t="s">
        <v>42</v>
      </c>
      <c r="E2516" s="37">
        <v>1</v>
      </c>
      <c r="F2516" s="31">
        <v>12.378499999999999</v>
      </c>
      <c r="G2516" s="34">
        <f>IF(ISNUMBER(F2516),E2516*F2516,"")</f>
        <v>12.378499999999999</v>
      </c>
      <c r="H2516" s="39">
        <f>SUM(G2516:G2516)</f>
        <v>12.378499999999999</v>
      </c>
      <c r="I2516" s="40"/>
      <c r="J2516" s="155">
        <v>0</v>
      </c>
    </row>
    <row r="2517" spans="1:10" ht="15.75" hidden="1" thickBot="1" x14ac:dyDescent="0.3">
      <c r="A2517" s="177"/>
      <c r="B2517" s="178"/>
      <c r="C2517" s="36"/>
      <c r="D2517" s="36"/>
      <c r="E2517" s="37"/>
      <c r="F2517" s="31" t="s">
        <v>568</v>
      </c>
      <c r="G2517" s="34" t="str">
        <f>IF(ISNUMBER(F2517),E2517*F2517,"")</f>
        <v/>
      </c>
      <c r="H2517" s="35"/>
      <c r="I2517" s="31"/>
      <c r="J2517" s="155">
        <v>0</v>
      </c>
    </row>
    <row r="2518" spans="1:10" ht="15.75" hidden="1" thickBot="1" x14ac:dyDescent="0.3">
      <c r="A2518" s="172" t="s">
        <v>2212</v>
      </c>
      <c r="B2518" s="174" t="str">
        <f>INDEX(Orçamentária!A:B,MATCH(Composições!A2518,Orçamentária!A:A,0),2)</f>
        <v>Ferro chato 1"x1/8"</v>
      </c>
      <c r="C2518" s="41"/>
      <c r="D2518" s="26" t="str">
        <f>TRIM(INDEX(Orçamentária!C:C,MATCH(Composições!A2518,Orçamentária!A:A,0),1))</f>
        <v>m</v>
      </c>
      <c r="E2518" s="27"/>
      <c r="F2518" s="42" t="s">
        <v>568</v>
      </c>
      <c r="G2518" s="28" t="str">
        <f>IF(ISNUMBER(F2518),E2518*F2518,"")</f>
        <v/>
      </c>
      <c r="H2518" s="29"/>
      <c r="I2518" s="30"/>
      <c r="J2518" s="155">
        <v>0</v>
      </c>
    </row>
    <row r="2519" spans="1:10" ht="15.75" hidden="1" thickBot="1" x14ac:dyDescent="0.3">
      <c r="A2519" s="176"/>
      <c r="B2519" s="175"/>
      <c r="C2519" s="32"/>
      <c r="D2519" s="32"/>
      <c r="E2519" s="33"/>
      <c r="F2519" s="43" t="s">
        <v>568</v>
      </c>
      <c r="G2519" s="34" t="str">
        <f>IF(ISNUMBER(F2519),E2519*F2519,"")</f>
        <v/>
      </c>
      <c r="H2519" s="35"/>
      <c r="I2519" s="31"/>
      <c r="J2519" s="155">
        <v>0</v>
      </c>
    </row>
    <row r="2520" spans="1:10" ht="15.75" hidden="1" thickBot="1" x14ac:dyDescent="0.3">
      <c r="A2520" s="176"/>
      <c r="B2520" s="175"/>
      <c r="C2520" s="36" t="s">
        <v>3773</v>
      </c>
      <c r="D2520" s="47" t="s">
        <v>42</v>
      </c>
      <c r="E2520" s="37">
        <v>0.63</v>
      </c>
      <c r="F2520" s="31">
        <v>11.324</v>
      </c>
      <c r="G2520" s="34">
        <f>IF(ISNUMBER(F2520),E2520*F2520,"")</f>
        <v>7.1341200000000002</v>
      </c>
      <c r="H2520" s="39">
        <f>SUM(G2520:G2520)</f>
        <v>7.1341200000000002</v>
      </c>
      <c r="I2520" s="40"/>
      <c r="J2520" s="155">
        <v>0</v>
      </c>
    </row>
    <row r="2521" spans="1:10" ht="15.75" hidden="1" thickBot="1" x14ac:dyDescent="0.3">
      <c r="A2521" s="177"/>
      <c r="B2521" s="178"/>
      <c r="C2521" s="36"/>
      <c r="D2521" s="36"/>
      <c r="E2521" s="37"/>
      <c r="F2521" s="31" t="s">
        <v>568</v>
      </c>
      <c r="G2521" s="34" t="str">
        <f>IF(ISNUMBER(F2521),E2521*F2521,"")</f>
        <v/>
      </c>
      <c r="H2521" s="35"/>
      <c r="I2521" s="31"/>
      <c r="J2521" s="155">
        <v>0</v>
      </c>
    </row>
    <row r="2522" spans="1:10" ht="15.75" hidden="1" thickBot="1" x14ac:dyDescent="0.3">
      <c r="A2522" s="172" t="s">
        <v>2214</v>
      </c>
      <c r="B2522" s="174" t="str">
        <f>INDEX(Orçamentária!A:B,MATCH(Composições!A2522,Orçamentária!A:A,0),2)</f>
        <v>Ferro chato 1"x3/16"</v>
      </c>
      <c r="C2522" s="41"/>
      <c r="D2522" s="26" t="str">
        <f>TRIM(INDEX(Orçamentária!C:C,MATCH(Composições!A2522,Orçamentária!A:A,0),1))</f>
        <v>m</v>
      </c>
      <c r="E2522" s="27"/>
      <c r="F2522" s="42" t="s">
        <v>568</v>
      </c>
      <c r="G2522" s="28" t="str">
        <f>IF(ISNUMBER(F2522),E2522*F2522,"")</f>
        <v/>
      </c>
      <c r="H2522" s="29"/>
      <c r="I2522" s="30"/>
      <c r="J2522" s="155">
        <v>0</v>
      </c>
    </row>
    <row r="2523" spans="1:10" ht="15.75" hidden="1" thickBot="1" x14ac:dyDescent="0.3">
      <c r="A2523" s="176"/>
      <c r="B2523" s="175"/>
      <c r="C2523" s="32"/>
      <c r="D2523" s="32"/>
      <c r="E2523" s="33"/>
      <c r="F2523" s="43" t="s">
        <v>568</v>
      </c>
      <c r="G2523" s="34" t="str">
        <f>IF(ISNUMBER(F2523),E2523*F2523,"")</f>
        <v/>
      </c>
      <c r="H2523" s="35"/>
      <c r="I2523" s="31"/>
      <c r="J2523" s="155">
        <v>0</v>
      </c>
    </row>
    <row r="2524" spans="1:10" ht="15.75" hidden="1" thickBot="1" x14ac:dyDescent="0.3">
      <c r="A2524" s="176"/>
      <c r="B2524" s="175"/>
      <c r="C2524" s="36" t="s">
        <v>3773</v>
      </c>
      <c r="D2524" s="47" t="s">
        <v>42</v>
      </c>
      <c r="E2524" s="37">
        <v>0.95</v>
      </c>
      <c r="F2524" s="31">
        <v>11.324</v>
      </c>
      <c r="G2524" s="34">
        <f>IF(ISNUMBER(F2524),E2524*F2524,"")</f>
        <v>10.7578</v>
      </c>
      <c r="H2524" s="39">
        <f>SUM(G2524:G2524)</f>
        <v>10.7578</v>
      </c>
      <c r="I2524" s="40"/>
      <c r="J2524" s="155">
        <v>0</v>
      </c>
    </row>
    <row r="2525" spans="1:10" ht="15.75" hidden="1" thickBot="1" x14ac:dyDescent="0.3">
      <c r="A2525" s="177"/>
      <c r="B2525" s="178"/>
      <c r="C2525" s="36"/>
      <c r="D2525" s="36"/>
      <c r="E2525" s="37"/>
      <c r="F2525" s="31" t="s">
        <v>568</v>
      </c>
      <c r="G2525" s="34" t="str">
        <f>IF(ISNUMBER(F2525),E2525*F2525,"")</f>
        <v/>
      </c>
      <c r="H2525" s="35"/>
      <c r="I2525" s="31"/>
      <c r="J2525" s="155">
        <v>0</v>
      </c>
    </row>
    <row r="2526" spans="1:10" ht="15.75" hidden="1" thickBot="1" x14ac:dyDescent="0.3">
      <c r="A2526" s="172" t="s">
        <v>2216</v>
      </c>
      <c r="B2526" s="174" t="str">
        <f>INDEX(Orçamentária!A:B,MATCH(Composições!A2526,Orçamentária!A:A,0),2)</f>
        <v>Ferro chato  3/4"x1/4" ou 7/8"x1/4" ou 1” x 1/4”</v>
      </c>
      <c r="C2526" s="41"/>
      <c r="D2526" s="26" t="str">
        <f>TRIM(INDEX(Orçamentária!C:C,MATCH(Composições!A2526,Orçamentária!A:A,0),1))</f>
        <v>m</v>
      </c>
      <c r="E2526" s="27"/>
      <c r="F2526" s="42" t="s">
        <v>568</v>
      </c>
      <c r="G2526" s="28" t="str">
        <f>IF(ISNUMBER(F2526),E2526*F2526,"")</f>
        <v/>
      </c>
      <c r="H2526" s="29"/>
      <c r="I2526" s="30"/>
      <c r="J2526" s="155">
        <v>0</v>
      </c>
    </row>
    <row r="2527" spans="1:10" ht="15.75" hidden="1" thickBot="1" x14ac:dyDescent="0.3">
      <c r="A2527" s="176"/>
      <c r="B2527" s="175"/>
      <c r="C2527" s="32"/>
      <c r="D2527" s="32"/>
      <c r="E2527" s="33"/>
      <c r="F2527" s="43" t="s">
        <v>568</v>
      </c>
      <c r="G2527" s="34" t="str">
        <f>IF(ISNUMBER(F2527),E2527*F2527,"")</f>
        <v/>
      </c>
      <c r="H2527" s="35"/>
      <c r="I2527" s="31"/>
      <c r="J2527" s="155">
        <v>0</v>
      </c>
    </row>
    <row r="2528" spans="1:10" ht="15.75" hidden="1" thickBot="1" x14ac:dyDescent="0.3">
      <c r="A2528" s="176"/>
      <c r="B2528" s="175"/>
      <c r="C2528" s="36" t="s">
        <v>3773</v>
      </c>
      <c r="D2528" s="47" t="s">
        <v>42</v>
      </c>
      <c r="E2528" s="37">
        <v>1.1100000000000001</v>
      </c>
      <c r="F2528" s="31">
        <v>11.324</v>
      </c>
      <c r="G2528" s="34">
        <f>IF(ISNUMBER(F2528),E2528*F2528,"")</f>
        <v>12.569640000000001</v>
      </c>
      <c r="H2528" s="39">
        <f>SUM(G2528:G2528)</f>
        <v>12.569640000000001</v>
      </c>
      <c r="I2528" s="40"/>
      <c r="J2528" s="155">
        <v>0</v>
      </c>
    </row>
    <row r="2529" spans="1:10" ht="15.75" hidden="1" thickBot="1" x14ac:dyDescent="0.3">
      <c r="A2529" s="177"/>
      <c r="B2529" s="178"/>
      <c r="C2529" s="36"/>
      <c r="D2529" s="36"/>
      <c r="E2529" s="37"/>
      <c r="F2529" s="31" t="s">
        <v>568</v>
      </c>
      <c r="G2529" s="34" t="str">
        <f>IF(ISNUMBER(F2529),E2529*F2529,"")</f>
        <v/>
      </c>
      <c r="H2529" s="35"/>
      <c r="I2529" s="31"/>
      <c r="J2529" s="155">
        <v>0</v>
      </c>
    </row>
    <row r="2530" spans="1:10" ht="15.75" hidden="1" thickBot="1" x14ac:dyDescent="0.3">
      <c r="A2530" s="172" t="s">
        <v>2218</v>
      </c>
      <c r="B2530" s="174" t="str">
        <f>INDEX(Orçamentária!A:B,MATCH(Composições!A2530,Orçamentária!A:A,0),2)</f>
        <v>Ferro chato 3/4"x1/8"</v>
      </c>
      <c r="C2530" s="41"/>
      <c r="D2530" s="26" t="str">
        <f>TRIM(INDEX(Orçamentária!C:C,MATCH(Composições!A2530,Orçamentária!A:A,0),1))</f>
        <v>m</v>
      </c>
      <c r="E2530" s="27"/>
      <c r="F2530" s="42" t="s">
        <v>568</v>
      </c>
      <c r="G2530" s="28" t="str">
        <f>IF(ISNUMBER(F2530),E2530*F2530,"")</f>
        <v/>
      </c>
      <c r="H2530" s="29"/>
      <c r="I2530" s="30"/>
      <c r="J2530" s="155">
        <v>0</v>
      </c>
    </row>
    <row r="2531" spans="1:10" ht="15.75" hidden="1" thickBot="1" x14ac:dyDescent="0.3">
      <c r="A2531" s="176"/>
      <c r="B2531" s="175"/>
      <c r="C2531" s="32"/>
      <c r="D2531" s="32"/>
      <c r="E2531" s="33"/>
      <c r="F2531" s="43" t="s">
        <v>568</v>
      </c>
      <c r="G2531" s="34" t="str">
        <f>IF(ISNUMBER(F2531),E2531*F2531,"")</f>
        <v/>
      </c>
      <c r="H2531" s="35"/>
      <c r="I2531" s="31"/>
      <c r="J2531" s="155">
        <v>0</v>
      </c>
    </row>
    <row r="2532" spans="1:10" ht="15.75" hidden="1" thickBot="1" x14ac:dyDescent="0.3">
      <c r="A2532" s="176"/>
      <c r="B2532" s="175"/>
      <c r="C2532" s="36" t="s">
        <v>3773</v>
      </c>
      <c r="D2532" s="47" t="s">
        <v>42</v>
      </c>
      <c r="E2532" s="37">
        <v>0.48</v>
      </c>
      <c r="F2532" s="31">
        <v>11.324</v>
      </c>
      <c r="G2532" s="34">
        <f>IF(ISNUMBER(F2532),E2532*F2532,"")</f>
        <v>5.4355199999999995</v>
      </c>
      <c r="H2532" s="39">
        <f>SUM(G2532:G2532)</f>
        <v>5.4355199999999995</v>
      </c>
      <c r="I2532" s="40"/>
      <c r="J2532" s="155">
        <v>0</v>
      </c>
    </row>
    <row r="2533" spans="1:10" ht="15.75" hidden="1" thickBot="1" x14ac:dyDescent="0.3">
      <c r="A2533" s="177"/>
      <c r="B2533" s="178"/>
      <c r="C2533" s="36"/>
      <c r="D2533" s="36"/>
      <c r="E2533" s="37"/>
      <c r="F2533" s="31" t="s">
        <v>568</v>
      </c>
      <c r="G2533" s="34" t="str">
        <f>IF(ISNUMBER(F2533),E2533*F2533,"")</f>
        <v/>
      </c>
      <c r="H2533" s="35"/>
      <c r="I2533" s="31"/>
      <c r="J2533" s="155">
        <v>0</v>
      </c>
    </row>
    <row r="2534" spans="1:10" ht="15.75" hidden="1" thickBot="1" x14ac:dyDescent="0.3">
      <c r="A2534" s="172" t="s">
        <v>2220</v>
      </c>
      <c r="B2534" s="174" t="str">
        <f>INDEX(Orçamentária!A:B,MATCH(Composições!A2534,Orçamentária!A:A,0),2)</f>
        <v>Ferro chato 3/4"x3/16"</v>
      </c>
      <c r="C2534" s="41"/>
      <c r="D2534" s="26" t="str">
        <f>TRIM(INDEX(Orçamentária!C:C,MATCH(Composições!A2534,Orçamentária!A:A,0),1))</f>
        <v>m</v>
      </c>
      <c r="E2534" s="27"/>
      <c r="F2534" s="42" t="s">
        <v>568</v>
      </c>
      <c r="G2534" s="28" t="str">
        <f>IF(ISNUMBER(F2534),E2534*F2534,"")</f>
        <v/>
      </c>
      <c r="H2534" s="29"/>
      <c r="I2534" s="30"/>
      <c r="J2534" s="155">
        <v>0</v>
      </c>
    </row>
    <row r="2535" spans="1:10" ht="15.75" hidden="1" thickBot="1" x14ac:dyDescent="0.3">
      <c r="A2535" s="176"/>
      <c r="B2535" s="175"/>
      <c r="C2535" s="32"/>
      <c r="D2535" s="32"/>
      <c r="E2535" s="33"/>
      <c r="F2535" s="43" t="s">
        <v>568</v>
      </c>
      <c r="G2535" s="34" t="str">
        <f>IF(ISNUMBER(F2535),E2535*F2535,"")</f>
        <v/>
      </c>
      <c r="H2535" s="35"/>
      <c r="I2535" s="31"/>
      <c r="J2535" s="155">
        <v>0</v>
      </c>
    </row>
    <row r="2536" spans="1:10" ht="15.75" hidden="1" thickBot="1" x14ac:dyDescent="0.3">
      <c r="A2536" s="176"/>
      <c r="B2536" s="175"/>
      <c r="C2536" s="36" t="s">
        <v>3773</v>
      </c>
      <c r="D2536" s="47" t="s">
        <v>42</v>
      </c>
      <c r="E2536" s="37">
        <v>0.71</v>
      </c>
      <c r="F2536" s="31">
        <v>11.324</v>
      </c>
      <c r="G2536" s="34">
        <f>IF(ISNUMBER(F2536),E2536*F2536,"")</f>
        <v>8.0400399999999994</v>
      </c>
      <c r="H2536" s="39">
        <f>SUM(G2536:G2536)</f>
        <v>8.0400399999999994</v>
      </c>
      <c r="I2536" s="40"/>
      <c r="J2536" s="155">
        <v>0</v>
      </c>
    </row>
    <row r="2537" spans="1:10" ht="15.75" hidden="1" thickBot="1" x14ac:dyDescent="0.3">
      <c r="A2537" s="177"/>
      <c r="B2537" s="178"/>
      <c r="C2537" s="36"/>
      <c r="D2537" s="36"/>
      <c r="E2537" s="37"/>
      <c r="F2537" s="31" t="s">
        <v>568</v>
      </c>
      <c r="G2537" s="34" t="str">
        <f>IF(ISNUMBER(F2537),E2537*F2537,"")</f>
        <v/>
      </c>
      <c r="H2537" s="35"/>
      <c r="I2537" s="31"/>
      <c r="J2537" s="155">
        <v>0</v>
      </c>
    </row>
    <row r="2538" spans="1:10" ht="15.75" hidden="1" thickBot="1" x14ac:dyDescent="0.3">
      <c r="A2538" s="172" t="s">
        <v>2222</v>
      </c>
      <c r="B2538" s="174" t="str">
        <f>INDEX(Orçamentária!A:B,MATCH(Composições!A2538,Orçamentária!A:A,0),2)</f>
        <v>Ferro chato 5/8"x1/8"</v>
      </c>
      <c r="C2538" s="41"/>
      <c r="D2538" s="26" t="str">
        <f>TRIM(INDEX(Orçamentária!C:C,MATCH(Composições!A2538,Orçamentária!A:A,0),1))</f>
        <v>m</v>
      </c>
      <c r="E2538" s="27"/>
      <c r="F2538" s="42" t="s">
        <v>568</v>
      </c>
      <c r="G2538" s="28" t="str">
        <f>IF(ISNUMBER(F2538),E2538*F2538,"")</f>
        <v/>
      </c>
      <c r="H2538" s="29"/>
      <c r="I2538" s="30"/>
      <c r="J2538" s="155">
        <v>0</v>
      </c>
    </row>
    <row r="2539" spans="1:10" ht="15.75" hidden="1" thickBot="1" x14ac:dyDescent="0.3">
      <c r="A2539" s="176"/>
      <c r="B2539" s="175"/>
      <c r="C2539" s="32"/>
      <c r="D2539" s="32"/>
      <c r="E2539" s="33"/>
      <c r="F2539" s="43" t="s">
        <v>568</v>
      </c>
      <c r="G2539" s="34" t="str">
        <f>IF(ISNUMBER(F2539),E2539*F2539,"")</f>
        <v/>
      </c>
      <c r="H2539" s="35"/>
      <c r="I2539" s="31"/>
      <c r="J2539" s="155">
        <v>0</v>
      </c>
    </row>
    <row r="2540" spans="1:10" ht="15.75" hidden="1" thickBot="1" x14ac:dyDescent="0.3">
      <c r="A2540" s="176"/>
      <c r="B2540" s="175"/>
      <c r="C2540" s="36" t="s">
        <v>3773</v>
      </c>
      <c r="D2540" s="47" t="s">
        <v>42</v>
      </c>
      <c r="E2540" s="37">
        <v>0.4</v>
      </c>
      <c r="F2540" s="31">
        <v>11.324</v>
      </c>
      <c r="G2540" s="34">
        <f>IF(ISNUMBER(F2540),E2540*F2540,"")</f>
        <v>4.5296000000000003</v>
      </c>
      <c r="H2540" s="39">
        <f>SUM(G2540:G2540)</f>
        <v>4.5296000000000003</v>
      </c>
      <c r="I2540" s="40"/>
      <c r="J2540" s="155">
        <v>0</v>
      </c>
    </row>
    <row r="2541" spans="1:10" ht="15.75" hidden="1" thickBot="1" x14ac:dyDescent="0.3">
      <c r="A2541" s="177"/>
      <c r="B2541" s="178"/>
      <c r="C2541" s="36"/>
      <c r="D2541" s="36"/>
      <c r="E2541" s="37"/>
      <c r="F2541" s="31" t="s">
        <v>568</v>
      </c>
      <c r="G2541" s="34" t="str">
        <f>IF(ISNUMBER(F2541),E2541*F2541,"")</f>
        <v/>
      </c>
      <c r="H2541" s="35"/>
      <c r="I2541" s="31"/>
      <c r="J2541" s="155">
        <v>0</v>
      </c>
    </row>
    <row r="2542" spans="1:10" ht="15.75" hidden="1" thickBot="1" x14ac:dyDescent="0.3">
      <c r="A2542" s="172" t="s">
        <v>2224</v>
      </c>
      <c r="B2542" s="174" t="str">
        <f>INDEX(Orçamentária!A:B,MATCH(Composições!A2542,Orçamentária!A:A,0),2)</f>
        <v>Ferro chato 5/8"x3/16"</v>
      </c>
      <c r="C2542" s="41"/>
      <c r="D2542" s="26" t="str">
        <f>TRIM(INDEX(Orçamentária!C:C,MATCH(Composições!A2542,Orçamentária!A:A,0),1))</f>
        <v>m</v>
      </c>
      <c r="E2542" s="27"/>
      <c r="F2542" s="42" t="s">
        <v>568</v>
      </c>
      <c r="G2542" s="28" t="str">
        <f>IF(ISNUMBER(F2542),E2542*F2542,"")</f>
        <v/>
      </c>
      <c r="H2542" s="29"/>
      <c r="I2542" s="30"/>
      <c r="J2542" s="155">
        <v>0</v>
      </c>
    </row>
    <row r="2543" spans="1:10" ht="15.75" hidden="1" thickBot="1" x14ac:dyDescent="0.3">
      <c r="A2543" s="176"/>
      <c r="B2543" s="175"/>
      <c r="C2543" s="32"/>
      <c r="D2543" s="32"/>
      <c r="E2543" s="33"/>
      <c r="F2543" s="43" t="s">
        <v>568</v>
      </c>
      <c r="G2543" s="34" t="str">
        <f>IF(ISNUMBER(F2543),E2543*F2543,"")</f>
        <v/>
      </c>
      <c r="H2543" s="35"/>
      <c r="I2543" s="31"/>
      <c r="J2543" s="155">
        <v>0</v>
      </c>
    </row>
    <row r="2544" spans="1:10" ht="15.75" hidden="1" thickBot="1" x14ac:dyDescent="0.3">
      <c r="A2544" s="176"/>
      <c r="B2544" s="175"/>
      <c r="C2544" s="36" t="s">
        <v>3773</v>
      </c>
      <c r="D2544" s="47" t="s">
        <v>42</v>
      </c>
      <c r="E2544" s="37">
        <v>0.79</v>
      </c>
      <c r="F2544" s="31">
        <v>11.324</v>
      </c>
      <c r="G2544" s="34">
        <f>IF(ISNUMBER(F2544),E2544*F2544,"")</f>
        <v>8.9459599999999995</v>
      </c>
      <c r="H2544" s="39">
        <f>SUM(G2544:G2544)</f>
        <v>8.9459599999999995</v>
      </c>
      <c r="I2544" s="40"/>
      <c r="J2544" s="155">
        <v>0</v>
      </c>
    </row>
    <row r="2545" spans="1:10" ht="15.75" hidden="1" thickBot="1" x14ac:dyDescent="0.3">
      <c r="A2545" s="177"/>
      <c r="B2545" s="178"/>
      <c r="C2545" s="36"/>
      <c r="D2545" s="36"/>
      <c r="E2545" s="37"/>
      <c r="F2545" s="31" t="s">
        <v>568</v>
      </c>
      <c r="G2545" s="34" t="str">
        <f>IF(ISNUMBER(F2545),E2545*F2545,"")</f>
        <v/>
      </c>
      <c r="H2545" s="35"/>
      <c r="I2545" s="31"/>
      <c r="J2545" s="155">
        <v>0</v>
      </c>
    </row>
    <row r="2546" spans="1:10" ht="15.75" hidden="1" thickBot="1" x14ac:dyDescent="0.3">
      <c r="A2546" s="172" t="s">
        <v>2226</v>
      </c>
      <c r="B2546" s="174" t="str">
        <f>INDEX(Orçamentária!A:B,MATCH(Composições!A2546,Orçamentária!A:A,0),2)</f>
        <v>Ferro chato 7/8"x1/8"</v>
      </c>
      <c r="C2546" s="41"/>
      <c r="D2546" s="26" t="str">
        <f>TRIM(INDEX(Orçamentária!C:C,MATCH(Composições!A2546,Orçamentária!A:A,0),1))</f>
        <v>m</v>
      </c>
      <c r="E2546" s="27"/>
      <c r="F2546" s="42" t="s">
        <v>568</v>
      </c>
      <c r="G2546" s="28" t="str">
        <f>IF(ISNUMBER(F2546),E2546*F2546,"")</f>
        <v/>
      </c>
      <c r="H2546" s="29"/>
      <c r="I2546" s="30"/>
      <c r="J2546" s="155">
        <v>0</v>
      </c>
    </row>
    <row r="2547" spans="1:10" ht="15.75" hidden="1" thickBot="1" x14ac:dyDescent="0.3">
      <c r="A2547" s="176"/>
      <c r="B2547" s="175"/>
      <c r="C2547" s="32"/>
      <c r="D2547" s="32"/>
      <c r="E2547" s="33"/>
      <c r="F2547" s="43" t="s">
        <v>568</v>
      </c>
      <c r="G2547" s="34" t="str">
        <f>IF(ISNUMBER(F2547),E2547*F2547,"")</f>
        <v/>
      </c>
      <c r="H2547" s="35"/>
      <c r="I2547" s="31"/>
      <c r="J2547" s="155">
        <v>0</v>
      </c>
    </row>
    <row r="2548" spans="1:10" ht="15.75" hidden="1" thickBot="1" x14ac:dyDescent="0.3">
      <c r="A2548" s="176"/>
      <c r="B2548" s="175"/>
      <c r="C2548" s="36" t="s">
        <v>3773</v>
      </c>
      <c r="D2548" s="47" t="s">
        <v>42</v>
      </c>
      <c r="E2548" s="37">
        <v>0.55000000000000004</v>
      </c>
      <c r="F2548" s="31">
        <v>11.324</v>
      </c>
      <c r="G2548" s="34">
        <f>IF(ISNUMBER(F2548),E2548*F2548,"")</f>
        <v>6.2282000000000002</v>
      </c>
      <c r="H2548" s="39">
        <f>SUM(G2548:G2548)</f>
        <v>6.2282000000000002</v>
      </c>
      <c r="I2548" s="40"/>
      <c r="J2548" s="155">
        <v>0</v>
      </c>
    </row>
    <row r="2549" spans="1:10" ht="15.75" hidden="1" thickBot="1" x14ac:dyDescent="0.3">
      <c r="A2549" s="177"/>
      <c r="B2549" s="178"/>
      <c r="C2549" s="36"/>
      <c r="D2549" s="36"/>
      <c r="E2549" s="37"/>
      <c r="F2549" s="31" t="s">
        <v>568</v>
      </c>
      <c r="G2549" s="34" t="str">
        <f>IF(ISNUMBER(F2549),E2549*F2549,"")</f>
        <v/>
      </c>
      <c r="H2549" s="35"/>
      <c r="I2549" s="31"/>
      <c r="J2549" s="155">
        <v>0</v>
      </c>
    </row>
    <row r="2550" spans="1:10" ht="15.75" hidden="1" thickBot="1" x14ac:dyDescent="0.3">
      <c r="A2550" s="172" t="s">
        <v>2228</v>
      </c>
      <c r="B2550" s="174" t="str">
        <f>INDEX(Orçamentária!A:B,MATCH(Composições!A2550,Orçamentária!A:A,0),2)</f>
        <v>Ferro chato 7/8"x3/16"</v>
      </c>
      <c r="C2550" s="41"/>
      <c r="D2550" s="26" t="str">
        <f>TRIM(INDEX(Orçamentária!C:C,MATCH(Composições!A2550,Orçamentária!A:A,0),1))</f>
        <v>m</v>
      </c>
      <c r="E2550" s="27"/>
      <c r="F2550" s="42" t="s">
        <v>568</v>
      </c>
      <c r="G2550" s="28" t="str">
        <f>IF(ISNUMBER(F2550),E2550*F2550,"")</f>
        <v/>
      </c>
      <c r="H2550" s="29"/>
      <c r="I2550" s="30"/>
      <c r="J2550" s="155">
        <v>0</v>
      </c>
    </row>
    <row r="2551" spans="1:10" ht="15.75" hidden="1" thickBot="1" x14ac:dyDescent="0.3">
      <c r="A2551" s="176"/>
      <c r="B2551" s="175"/>
      <c r="C2551" s="32"/>
      <c r="D2551" s="32"/>
      <c r="E2551" s="33"/>
      <c r="F2551" s="43" t="s">
        <v>568</v>
      </c>
      <c r="G2551" s="34" t="str">
        <f>IF(ISNUMBER(F2551),E2551*F2551,"")</f>
        <v/>
      </c>
      <c r="H2551" s="35"/>
      <c r="I2551" s="31"/>
      <c r="J2551" s="155">
        <v>0</v>
      </c>
    </row>
    <row r="2552" spans="1:10" ht="15.75" hidden="1" thickBot="1" x14ac:dyDescent="0.3">
      <c r="A2552" s="176"/>
      <c r="B2552" s="175"/>
      <c r="C2552" s="36" t="s">
        <v>3773</v>
      </c>
      <c r="D2552" s="47" t="s">
        <v>42</v>
      </c>
      <c r="E2552" s="37">
        <v>0.83</v>
      </c>
      <c r="F2552" s="31">
        <v>11.324</v>
      </c>
      <c r="G2552" s="34">
        <f>IF(ISNUMBER(F2552),E2552*F2552,"")</f>
        <v>9.3989199999999986</v>
      </c>
      <c r="H2552" s="39">
        <f>SUM(G2552:G2552)</f>
        <v>9.3989199999999986</v>
      </c>
      <c r="I2552" s="40"/>
      <c r="J2552" s="155">
        <v>0</v>
      </c>
    </row>
    <row r="2553" spans="1:10" ht="15.75" hidden="1" thickBot="1" x14ac:dyDescent="0.3">
      <c r="A2553" s="177"/>
      <c r="B2553" s="178"/>
      <c r="C2553" s="36"/>
      <c r="D2553" s="36"/>
      <c r="E2553" s="37"/>
      <c r="F2553" s="31" t="s">
        <v>568</v>
      </c>
      <c r="G2553" s="34" t="str">
        <f>IF(ISNUMBER(F2553),E2553*F2553,"")</f>
        <v/>
      </c>
      <c r="H2553" s="35"/>
      <c r="I2553" s="31"/>
      <c r="J2553" s="155">
        <v>0</v>
      </c>
    </row>
    <row r="2554" spans="1:10" ht="15.75" hidden="1" thickBot="1" x14ac:dyDescent="0.3">
      <c r="A2554" s="172" t="s">
        <v>2315</v>
      </c>
      <c r="B2554" s="174" t="str">
        <f>INDEX(Orçamentária!A:B,MATCH(Composições!A2554,Orçamentária!A:A,0),2)</f>
        <v>Tela de estuque</v>
      </c>
      <c r="C2554" s="41"/>
      <c r="D2554" s="26" t="str">
        <f>TRIM(INDEX(Orçamentária!C:C,MATCH(Composições!A2554,Orçamentária!A:A,0),1))</f>
        <v>m2</v>
      </c>
      <c r="E2554" s="27"/>
      <c r="F2554" s="42" t="s">
        <v>568</v>
      </c>
      <c r="G2554" s="28" t="str">
        <f>IF(ISNUMBER(F2554),E2554*F2554,"")</f>
        <v/>
      </c>
      <c r="H2554" s="29"/>
      <c r="I2554" s="30"/>
      <c r="J2554" s="155">
        <v>0</v>
      </c>
    </row>
    <row r="2555" spans="1:10" ht="15.75" hidden="1" thickBot="1" x14ac:dyDescent="0.3">
      <c r="A2555" s="176"/>
      <c r="B2555" s="175"/>
      <c r="C2555" s="32"/>
      <c r="D2555" s="32"/>
      <c r="E2555" s="33"/>
      <c r="F2555" s="43" t="s">
        <v>568</v>
      </c>
      <c r="G2555" s="34" t="str">
        <f>IF(ISNUMBER(F2555),E2555*F2555,"")</f>
        <v/>
      </c>
      <c r="H2555" s="35"/>
      <c r="I2555" s="31"/>
      <c r="J2555" s="155">
        <v>0</v>
      </c>
    </row>
    <row r="2556" spans="1:10" ht="15.75" hidden="1" thickBot="1" x14ac:dyDescent="0.3">
      <c r="A2556" s="176"/>
      <c r="B2556" s="175"/>
      <c r="C2556" s="36" t="s">
        <v>3472</v>
      </c>
      <c r="D2556" s="47" t="s">
        <v>95</v>
      </c>
      <c r="E2556" s="37">
        <v>1</v>
      </c>
      <c r="F2556" s="31">
        <v>5.0444999999999993</v>
      </c>
      <c r="G2556" s="34">
        <f>IF(ISNUMBER(F2556),E2556*F2556,"")</f>
        <v>5.0444999999999993</v>
      </c>
      <c r="H2556" s="39">
        <f>SUM(G2556:G2556)</f>
        <v>5.0444999999999993</v>
      </c>
      <c r="I2556" s="40"/>
      <c r="J2556" s="155">
        <v>0</v>
      </c>
    </row>
    <row r="2557" spans="1:10" ht="15.75" hidden="1" thickBot="1" x14ac:dyDescent="0.3">
      <c r="A2557" s="177"/>
      <c r="B2557" s="178"/>
      <c r="C2557" s="36"/>
      <c r="D2557" s="36"/>
      <c r="E2557" s="37"/>
      <c r="F2557" s="31" t="s">
        <v>568</v>
      </c>
      <c r="G2557" s="34" t="str">
        <f>IF(ISNUMBER(F2557),E2557*F2557,"")</f>
        <v/>
      </c>
      <c r="H2557" s="35"/>
      <c r="I2557" s="31"/>
      <c r="J2557" s="155">
        <v>0</v>
      </c>
    </row>
    <row r="2558" spans="1:10" ht="15.75" hidden="1" thickBot="1" x14ac:dyDescent="0.3">
      <c r="A2558" s="172" t="s">
        <v>2319</v>
      </c>
      <c r="B2558" s="174" t="str">
        <f>INDEX(Orçamentária!A:B,MATCH(Composições!A2558,Orçamentária!A:A,0),2)</f>
        <v>Arame galvanizado, bitola 16 BWG (1,65mm)</v>
      </c>
      <c r="C2558" s="41"/>
      <c r="D2558" s="26" t="str">
        <f>TRIM(INDEX(Orçamentária!C:C,MATCH(Composições!A2558,Orçamentária!A:A,0),1))</f>
        <v>kg</v>
      </c>
      <c r="E2558" s="27"/>
      <c r="F2558" s="42" t="s">
        <v>568</v>
      </c>
      <c r="G2558" s="28" t="str">
        <f>IF(ISNUMBER(F2558),E2558*F2558,"")</f>
        <v/>
      </c>
      <c r="H2558" s="29"/>
      <c r="I2558" s="30"/>
      <c r="J2558" s="155">
        <v>0</v>
      </c>
    </row>
    <row r="2559" spans="1:10" ht="15.75" hidden="1" thickBot="1" x14ac:dyDescent="0.3">
      <c r="A2559" s="176"/>
      <c r="B2559" s="175"/>
      <c r="C2559" s="32"/>
      <c r="D2559" s="32"/>
      <c r="E2559" s="33"/>
      <c r="F2559" s="43" t="s">
        <v>568</v>
      </c>
      <c r="G2559" s="34" t="str">
        <f>IF(ISNUMBER(F2559),E2559*F2559,"")</f>
        <v/>
      </c>
      <c r="H2559" s="35"/>
      <c r="I2559" s="31"/>
      <c r="J2559" s="155">
        <v>0</v>
      </c>
    </row>
    <row r="2560" spans="1:10" ht="15.75" hidden="1" thickBot="1" x14ac:dyDescent="0.3">
      <c r="A2560" s="176"/>
      <c r="B2560" s="175"/>
      <c r="C2560" s="36" t="s">
        <v>3435</v>
      </c>
      <c r="D2560" s="47" t="s">
        <v>42</v>
      </c>
      <c r="E2560" s="37">
        <v>1</v>
      </c>
      <c r="F2560" s="31">
        <v>24.766500000000001</v>
      </c>
      <c r="G2560" s="34">
        <f>IF(ISNUMBER(F2560),E2560*F2560,"")</f>
        <v>24.766500000000001</v>
      </c>
      <c r="H2560" s="39">
        <f>SUM(G2560:G2560)</f>
        <v>24.766500000000001</v>
      </c>
      <c r="I2560" s="40"/>
      <c r="J2560" s="155">
        <v>0</v>
      </c>
    </row>
    <row r="2561" spans="1:10" ht="15.75" hidden="1" thickBot="1" x14ac:dyDescent="0.3">
      <c r="A2561" s="177"/>
      <c r="B2561" s="178"/>
      <c r="C2561" s="36"/>
      <c r="D2561" s="36"/>
      <c r="E2561" s="37"/>
      <c r="F2561" s="31" t="s">
        <v>568</v>
      </c>
      <c r="G2561" s="34" t="str">
        <f>IF(ISNUMBER(F2561),E2561*F2561,"")</f>
        <v/>
      </c>
      <c r="H2561" s="35"/>
      <c r="I2561" s="31"/>
      <c r="J2561" s="155">
        <v>0</v>
      </c>
    </row>
    <row r="2562" spans="1:10" ht="15.75" hidden="1" thickBot="1" x14ac:dyDescent="0.3">
      <c r="A2562" s="172" t="s">
        <v>2323</v>
      </c>
      <c r="B2562" s="174" t="str">
        <f>INDEX(Orçamentária!A:B,MATCH(Composições!A2562,Orçamentária!A:A,0),2)</f>
        <v>Tela em aço galvanizado, tipo alambrado, malha 2, fio 12</v>
      </c>
      <c r="C2562" s="41"/>
      <c r="D2562" s="26" t="str">
        <f>TRIM(INDEX(Orçamentária!C:C,MATCH(Composições!A2562,Orçamentária!A:A,0),1))</f>
        <v>m2</v>
      </c>
      <c r="E2562" s="27"/>
      <c r="F2562" s="42" t="s">
        <v>568</v>
      </c>
      <c r="G2562" s="28" t="str">
        <f>IF(ISNUMBER(F2562),E2562*F2562,"")</f>
        <v/>
      </c>
      <c r="H2562" s="29"/>
      <c r="I2562" s="30"/>
      <c r="J2562" s="155">
        <v>0</v>
      </c>
    </row>
    <row r="2563" spans="1:10" ht="15.75" hidden="1" thickBot="1" x14ac:dyDescent="0.3">
      <c r="A2563" s="176"/>
      <c r="B2563" s="175"/>
      <c r="C2563" s="32"/>
      <c r="D2563" s="32"/>
      <c r="E2563" s="33"/>
      <c r="F2563" s="43" t="s">
        <v>568</v>
      </c>
      <c r="G2563" s="34" t="str">
        <f>IF(ISNUMBER(F2563),E2563*F2563,"")</f>
        <v/>
      </c>
      <c r="H2563" s="35"/>
      <c r="I2563" s="31"/>
      <c r="J2563" s="155">
        <v>0</v>
      </c>
    </row>
    <row r="2564" spans="1:10" ht="26.25" hidden="1" thickBot="1" x14ac:dyDescent="0.3">
      <c r="A2564" s="176"/>
      <c r="B2564" s="175"/>
      <c r="C2564" s="36" t="s">
        <v>3471</v>
      </c>
      <c r="D2564" s="47" t="s">
        <v>95</v>
      </c>
      <c r="E2564" s="37">
        <v>1</v>
      </c>
      <c r="F2564" s="31">
        <v>35.909999999999997</v>
      </c>
      <c r="G2564" s="34">
        <f>IF(ISNUMBER(F2564),E2564*F2564,"")</f>
        <v>35.909999999999997</v>
      </c>
      <c r="H2564" s="39">
        <f>SUM(G2564:G2564)</f>
        <v>35.909999999999997</v>
      </c>
      <c r="I2564" s="40"/>
      <c r="J2564" s="155">
        <v>0</v>
      </c>
    </row>
    <row r="2565" spans="1:10" ht="15.75" hidden="1" thickBot="1" x14ac:dyDescent="0.3">
      <c r="A2565" s="177"/>
      <c r="B2565" s="178"/>
      <c r="C2565" s="36"/>
      <c r="D2565" s="36"/>
      <c r="E2565" s="37"/>
      <c r="F2565" s="31" t="s">
        <v>568</v>
      </c>
      <c r="G2565" s="34" t="str">
        <f>IF(ISNUMBER(F2565),E2565*F2565,"")</f>
        <v/>
      </c>
      <c r="H2565" s="35"/>
      <c r="I2565" s="31"/>
      <c r="J2565" s="155">
        <v>0</v>
      </c>
    </row>
    <row r="2566" spans="1:10" ht="15.75" hidden="1" thickBot="1" x14ac:dyDescent="0.3">
      <c r="A2566" s="172" t="s">
        <v>2325</v>
      </c>
      <c r="B2566" s="174" t="str">
        <f>INDEX(Orçamentária!A:B,MATCH(Composições!A2566,Orçamentária!A:A,0),2)</f>
        <v>Massa Adesiva Plástica</v>
      </c>
      <c r="C2566" s="41"/>
      <c r="D2566" s="26" t="str">
        <f>TRIM(INDEX(Orçamentária!C:C,MATCH(Composições!A2566,Orçamentária!A:A,0),1))</f>
        <v>un</v>
      </c>
      <c r="E2566" s="27"/>
      <c r="F2566" s="42" t="s">
        <v>568</v>
      </c>
      <c r="G2566" s="28" t="str">
        <f>IF(ISNUMBER(F2566),E2566*F2566,"")</f>
        <v/>
      </c>
      <c r="H2566" s="29"/>
      <c r="I2566" s="30"/>
      <c r="J2566" s="155">
        <v>0</v>
      </c>
    </row>
    <row r="2567" spans="1:10" ht="15.75" hidden="1" thickBot="1" x14ac:dyDescent="0.3">
      <c r="A2567" s="176"/>
      <c r="B2567" s="175"/>
      <c r="C2567" s="32"/>
      <c r="D2567" s="32"/>
      <c r="E2567" s="33"/>
      <c r="F2567" s="43" t="s">
        <v>568</v>
      </c>
      <c r="G2567" s="34" t="str">
        <f>IF(ISNUMBER(F2567),E2567*F2567,"")</f>
        <v/>
      </c>
      <c r="H2567" s="35"/>
      <c r="I2567" s="31"/>
      <c r="J2567" s="155">
        <v>0</v>
      </c>
    </row>
    <row r="2568" spans="1:10" ht="15.75" hidden="1" thickBot="1" x14ac:dyDescent="0.3">
      <c r="A2568" s="176"/>
      <c r="B2568" s="175"/>
      <c r="C2568" s="36" t="s">
        <v>3459</v>
      </c>
      <c r="D2568" s="47" t="s">
        <v>42</v>
      </c>
      <c r="E2568" s="37">
        <v>0.4</v>
      </c>
      <c r="F2568" s="31">
        <v>26.685499999999998</v>
      </c>
      <c r="G2568" s="34">
        <f>IF(ISNUMBER(F2568),E2568*F2568,"")</f>
        <v>10.674199999999999</v>
      </c>
      <c r="H2568" s="39">
        <f>SUM(G2568:G2568)</f>
        <v>10.674199999999999</v>
      </c>
      <c r="I2568" s="40"/>
      <c r="J2568" s="155">
        <v>0</v>
      </c>
    </row>
    <row r="2569" spans="1:10" ht="15.75" hidden="1" thickBot="1" x14ac:dyDescent="0.3">
      <c r="A2569" s="177"/>
      <c r="B2569" s="178"/>
      <c r="C2569" s="36"/>
      <c r="D2569" s="36"/>
      <c r="E2569" s="37"/>
      <c r="F2569" s="31" t="s">
        <v>568</v>
      </c>
      <c r="G2569" s="34" t="str">
        <f>IF(ISNUMBER(F2569),E2569*F2569,"")</f>
        <v/>
      </c>
      <c r="H2569" s="35"/>
      <c r="I2569" s="31"/>
      <c r="J2569" s="155">
        <v>0</v>
      </c>
    </row>
    <row r="2570" spans="1:10" ht="15.75" hidden="1" thickBot="1" x14ac:dyDescent="0.3">
      <c r="A2570" s="172" t="s">
        <v>796</v>
      </c>
      <c r="B2570" s="174" t="str">
        <f>INDEX(Orçamentária!A:B,MATCH(Composições!A2570,Orçamentária!A:A,0),2)</f>
        <v>Argamassa Para Contrapiso</v>
      </c>
      <c r="C2570" s="41"/>
      <c r="D2570" s="26" t="str">
        <f>TRIM(INDEX(Orçamentária!C:C,MATCH(Composições!A2570,Orçamentária!A:A,0),1))</f>
        <v>40 kg</v>
      </c>
      <c r="E2570" s="27"/>
      <c r="F2570" s="42" t="s">
        <v>568</v>
      </c>
      <c r="G2570" s="28" t="str">
        <f>IF(ISNUMBER(F2570),E2570*F2570,"")</f>
        <v/>
      </c>
      <c r="H2570" s="29"/>
      <c r="I2570" s="30"/>
      <c r="J2570" s="155">
        <v>0</v>
      </c>
    </row>
    <row r="2571" spans="1:10" ht="15.75" hidden="1" thickBot="1" x14ac:dyDescent="0.3">
      <c r="A2571" s="176"/>
      <c r="B2571" s="175"/>
      <c r="C2571" s="32"/>
      <c r="D2571" s="32"/>
      <c r="E2571" s="33"/>
      <c r="F2571" s="43" t="s">
        <v>568</v>
      </c>
      <c r="G2571" s="34" t="str">
        <f>IF(ISNUMBER(F2571),E2571*F2571,"")</f>
        <v/>
      </c>
      <c r="H2571" s="35"/>
      <c r="I2571" s="31"/>
      <c r="J2571" s="155">
        <v>0</v>
      </c>
    </row>
    <row r="2572" spans="1:10" ht="15.75" hidden="1" thickBot="1" x14ac:dyDescent="0.3">
      <c r="A2572" s="176"/>
      <c r="B2572" s="175"/>
      <c r="C2572" s="36" t="s">
        <v>797</v>
      </c>
      <c r="D2572" s="47" t="s">
        <v>42</v>
      </c>
      <c r="E2572" s="37">
        <v>40</v>
      </c>
      <c r="F2572" s="31">
        <v>0.437</v>
      </c>
      <c r="G2572" s="34">
        <f>IF(ISNUMBER(F2572),E2572*F2572,"")</f>
        <v>17.48</v>
      </c>
      <c r="H2572" s="39">
        <f>SUM(G2572:G2572)</f>
        <v>17.48</v>
      </c>
      <c r="I2572" s="40"/>
      <c r="J2572" s="155">
        <v>0</v>
      </c>
    </row>
    <row r="2573" spans="1:10" ht="15.75" hidden="1" thickBot="1" x14ac:dyDescent="0.3">
      <c r="A2573" s="177"/>
      <c r="B2573" s="178"/>
      <c r="C2573" s="36"/>
      <c r="D2573" s="36"/>
      <c r="E2573" s="37"/>
      <c r="F2573" s="31" t="s">
        <v>568</v>
      </c>
      <c r="G2573" s="34" t="str">
        <f>IF(ISNUMBER(F2573),E2573*F2573,"")</f>
        <v/>
      </c>
      <c r="H2573" s="35"/>
      <c r="I2573" s="31"/>
      <c r="J2573" s="155">
        <v>0</v>
      </c>
    </row>
    <row r="2574" spans="1:10" ht="15.75" hidden="1" thickBot="1" x14ac:dyDescent="0.3">
      <c r="A2574" s="172" t="s">
        <v>798</v>
      </c>
      <c r="B2574" s="174" t="str">
        <f>INDEX(Orçamentária!A:B,MATCH(Composições!A2574,Orçamentária!A:A,0),2)</f>
        <v>Argamassa Múltiplo Uso</v>
      </c>
      <c r="C2574" s="41"/>
      <c r="D2574" s="26" t="str">
        <f>TRIM(INDEX(Orçamentária!C:C,MATCH(Composições!A2574,Orçamentária!A:A,0),1))</f>
        <v>40 kg</v>
      </c>
      <c r="E2574" s="27"/>
      <c r="F2574" s="42" t="s">
        <v>568</v>
      </c>
      <c r="G2574" s="28" t="str">
        <f>IF(ISNUMBER(F2574),E2574*F2574,"")</f>
        <v/>
      </c>
      <c r="H2574" s="29"/>
      <c r="I2574" s="30"/>
      <c r="J2574" s="155">
        <v>0</v>
      </c>
    </row>
    <row r="2575" spans="1:10" ht="15.75" hidden="1" thickBot="1" x14ac:dyDescent="0.3">
      <c r="A2575" s="176"/>
      <c r="B2575" s="175"/>
      <c r="C2575" s="32"/>
      <c r="D2575" s="32"/>
      <c r="E2575" s="33"/>
      <c r="F2575" s="43" t="s">
        <v>568</v>
      </c>
      <c r="G2575" s="34" t="str">
        <f>IF(ISNUMBER(F2575),E2575*F2575,"")</f>
        <v/>
      </c>
      <c r="H2575" s="35"/>
      <c r="I2575" s="31"/>
      <c r="J2575" s="155">
        <v>0</v>
      </c>
    </row>
    <row r="2576" spans="1:10" ht="26.25" hidden="1" thickBot="1" x14ac:dyDescent="0.3">
      <c r="A2576" s="176"/>
      <c r="B2576" s="175"/>
      <c r="C2576" s="36" t="s">
        <v>799</v>
      </c>
      <c r="D2576" s="47" t="s">
        <v>42</v>
      </c>
      <c r="E2576" s="37">
        <v>40</v>
      </c>
      <c r="F2576" s="31">
        <v>0.46549999999999997</v>
      </c>
      <c r="G2576" s="34">
        <f>IF(ISNUMBER(F2576),E2576*F2576,"")</f>
        <v>18.619999999999997</v>
      </c>
      <c r="H2576" s="39">
        <f>SUM(G2576:G2576)</f>
        <v>18.619999999999997</v>
      </c>
      <c r="I2576" s="40"/>
      <c r="J2576" s="155">
        <v>0</v>
      </c>
    </row>
    <row r="2577" spans="1:10" ht="15.75" hidden="1" thickBot="1" x14ac:dyDescent="0.3">
      <c r="A2577" s="177"/>
      <c r="B2577" s="178"/>
      <c r="C2577" s="36"/>
      <c r="D2577" s="36"/>
      <c r="E2577" s="37"/>
      <c r="F2577" s="31" t="s">
        <v>568</v>
      </c>
      <c r="G2577" s="34" t="str">
        <f>IF(ISNUMBER(F2577),E2577*F2577,"")</f>
        <v/>
      </c>
      <c r="H2577" s="35"/>
      <c r="I2577" s="31"/>
      <c r="J2577" s="155">
        <v>0</v>
      </c>
    </row>
    <row r="2578" spans="1:10" ht="15.75" hidden="1" thickBot="1" x14ac:dyDescent="0.3">
      <c r="A2578" s="172" t="s">
        <v>800</v>
      </c>
      <c r="B2578" s="174" t="str">
        <f>INDEX(Orçamentária!A:B,MATCH(Composições!A2578,Orçamentária!A:A,0),2)</f>
        <v>Cimento Portland CP II E 32</v>
      </c>
      <c r="C2578" s="41"/>
      <c r="D2578" s="26" t="str">
        <f>TRIM(INDEX(Orçamentária!C:C,MATCH(Composições!A2578,Orçamentária!A:A,0),1))</f>
        <v>50 kg</v>
      </c>
      <c r="E2578" s="27"/>
      <c r="F2578" s="42" t="s">
        <v>568</v>
      </c>
      <c r="G2578" s="28" t="str">
        <f>IF(ISNUMBER(F2578),E2578*F2578,"")</f>
        <v/>
      </c>
      <c r="H2578" s="29"/>
      <c r="I2578" s="30"/>
      <c r="J2578" s="155">
        <v>0</v>
      </c>
    </row>
    <row r="2579" spans="1:10" ht="15.75" hidden="1" thickBot="1" x14ac:dyDescent="0.3">
      <c r="A2579" s="176"/>
      <c r="B2579" s="175"/>
      <c r="C2579" s="32"/>
      <c r="D2579" s="32"/>
      <c r="E2579" s="33"/>
      <c r="F2579" s="43" t="s">
        <v>568</v>
      </c>
      <c r="G2579" s="34" t="str">
        <f>IF(ISNUMBER(F2579),E2579*F2579,"")</f>
        <v/>
      </c>
      <c r="H2579" s="35"/>
      <c r="I2579" s="31"/>
      <c r="J2579" s="155">
        <v>0</v>
      </c>
    </row>
    <row r="2580" spans="1:10" ht="15.75" hidden="1" thickBot="1" x14ac:dyDescent="0.3">
      <c r="A2580" s="176"/>
      <c r="B2580" s="175"/>
      <c r="C2580" s="36" t="s">
        <v>801</v>
      </c>
      <c r="D2580" s="47" t="s">
        <v>42</v>
      </c>
      <c r="E2580" s="37">
        <v>50</v>
      </c>
      <c r="F2580" s="31">
        <v>0.47499999999999998</v>
      </c>
      <c r="G2580" s="34">
        <f>IF(ISNUMBER(F2580),E2580*F2580,"")</f>
        <v>23.75</v>
      </c>
      <c r="H2580" s="39">
        <f>SUM(G2580:G2580)</f>
        <v>23.75</v>
      </c>
      <c r="I2580" s="40"/>
      <c r="J2580" s="155">
        <v>0</v>
      </c>
    </row>
    <row r="2581" spans="1:10" ht="15.75" hidden="1" thickBot="1" x14ac:dyDescent="0.3">
      <c r="A2581" s="177"/>
      <c r="B2581" s="178"/>
      <c r="C2581" s="36"/>
      <c r="D2581" s="36"/>
      <c r="E2581" s="37"/>
      <c r="F2581" s="31" t="s">
        <v>568</v>
      </c>
      <c r="G2581" s="34" t="str">
        <f>IF(ISNUMBER(F2581),E2581*F2581,"")</f>
        <v/>
      </c>
      <c r="H2581" s="35"/>
      <c r="I2581" s="31"/>
      <c r="J2581" s="155">
        <v>0</v>
      </c>
    </row>
    <row r="2582" spans="1:10" ht="15.75" hidden="1" thickBot="1" x14ac:dyDescent="0.3">
      <c r="A2582" s="172" t="s">
        <v>802</v>
      </c>
      <c r="B2582" s="174" t="str">
        <f>INDEX(Orçamentária!A:B,MATCH(Composições!A2582,Orçamentária!A:A,0),2)</f>
        <v>Argamassa Colante tipo AC III</v>
      </c>
      <c r="C2582" s="41"/>
      <c r="D2582" s="26" t="str">
        <f>TRIM(INDEX(Orçamentária!C:C,MATCH(Composições!A2582,Orçamentária!A:A,0),1))</f>
        <v>20 kg</v>
      </c>
      <c r="E2582" s="27"/>
      <c r="F2582" s="42" t="s">
        <v>568</v>
      </c>
      <c r="G2582" s="28" t="str">
        <f>IF(ISNUMBER(F2582),E2582*F2582,"")</f>
        <v/>
      </c>
      <c r="H2582" s="29"/>
      <c r="I2582" s="30"/>
      <c r="J2582" s="155">
        <v>0</v>
      </c>
    </row>
    <row r="2583" spans="1:10" ht="15.75" hidden="1" thickBot="1" x14ac:dyDescent="0.3">
      <c r="A2583" s="176"/>
      <c r="B2583" s="175"/>
      <c r="C2583" s="32"/>
      <c r="D2583" s="32"/>
      <c r="E2583" s="33"/>
      <c r="F2583" s="43" t="s">
        <v>568</v>
      </c>
      <c r="G2583" s="34" t="str">
        <f>IF(ISNUMBER(F2583),E2583*F2583,"")</f>
        <v/>
      </c>
      <c r="H2583" s="35"/>
      <c r="I2583" s="31"/>
      <c r="J2583" s="155">
        <v>0</v>
      </c>
    </row>
    <row r="2584" spans="1:10" ht="15.75" hidden="1" thickBot="1" x14ac:dyDescent="0.3">
      <c r="A2584" s="176"/>
      <c r="B2584" s="175"/>
      <c r="C2584" s="36" t="s">
        <v>3613</v>
      </c>
      <c r="D2584" s="47" t="s">
        <v>42</v>
      </c>
      <c r="E2584" s="37">
        <v>20</v>
      </c>
      <c r="F2584" s="31">
        <v>1.3109999999999999</v>
      </c>
      <c r="G2584" s="34">
        <f>IF(ISNUMBER(F2584),E2584*F2584,"")</f>
        <v>26.22</v>
      </c>
      <c r="H2584" s="39">
        <f>SUM(G2584:G2584)</f>
        <v>26.22</v>
      </c>
      <c r="I2584" s="40"/>
      <c r="J2584" s="155">
        <v>0</v>
      </c>
    </row>
    <row r="2585" spans="1:10" ht="15.75" hidden="1" thickBot="1" x14ac:dyDescent="0.3">
      <c r="A2585" s="177"/>
      <c r="B2585" s="178"/>
      <c r="C2585" s="36"/>
      <c r="D2585" s="36"/>
      <c r="E2585" s="37"/>
      <c r="F2585" s="31" t="s">
        <v>568</v>
      </c>
      <c r="G2585" s="34" t="str">
        <f>IF(ISNUMBER(F2585),E2585*F2585,"")</f>
        <v/>
      </c>
      <c r="H2585" s="35"/>
      <c r="I2585" s="31"/>
      <c r="J2585" s="155">
        <v>0</v>
      </c>
    </row>
    <row r="2586" spans="1:10" ht="15.75" hidden="1" thickBot="1" x14ac:dyDescent="0.3">
      <c r="A2586" s="172" t="s">
        <v>803</v>
      </c>
      <c r="B2586" s="174" t="str">
        <f>INDEX(Orçamentária!A:B,MATCH(Composições!A2586,Orçamentária!A:A,0),2)</f>
        <v>Gesso Para Uso Geral</v>
      </c>
      <c r="C2586" s="41"/>
      <c r="D2586" s="26" t="str">
        <f>TRIM(INDEX(Orçamentária!C:C,MATCH(Composições!A2586,Orçamentária!A:A,0),1))</f>
        <v>40 kg</v>
      </c>
      <c r="E2586" s="27"/>
      <c r="F2586" s="42" t="s">
        <v>568</v>
      </c>
      <c r="G2586" s="28" t="str">
        <f>IF(ISNUMBER(F2586),E2586*F2586,"")</f>
        <v/>
      </c>
      <c r="H2586" s="29"/>
      <c r="I2586" s="30"/>
      <c r="J2586" s="155">
        <v>0</v>
      </c>
    </row>
    <row r="2587" spans="1:10" ht="15.75" hidden="1" thickBot="1" x14ac:dyDescent="0.3">
      <c r="A2587" s="176"/>
      <c r="B2587" s="175"/>
      <c r="C2587" s="32"/>
      <c r="D2587" s="32"/>
      <c r="E2587" s="33"/>
      <c r="F2587" s="43" t="s">
        <v>568</v>
      </c>
      <c r="G2587" s="34" t="str">
        <f>IF(ISNUMBER(F2587),E2587*F2587,"")</f>
        <v/>
      </c>
      <c r="H2587" s="35"/>
      <c r="I2587" s="31"/>
      <c r="J2587" s="155">
        <v>0</v>
      </c>
    </row>
    <row r="2588" spans="1:10" ht="26.25" hidden="1" thickBot="1" x14ac:dyDescent="0.3">
      <c r="A2588" s="176"/>
      <c r="B2588" s="175"/>
      <c r="C2588" s="36" t="s">
        <v>3774</v>
      </c>
      <c r="D2588" s="47" t="s">
        <v>42</v>
      </c>
      <c r="E2588" s="37">
        <v>40</v>
      </c>
      <c r="F2588" s="31">
        <v>0.33249999999999996</v>
      </c>
      <c r="G2588" s="34">
        <f>IF(ISNUMBER(F2588),E2588*F2588,"")</f>
        <v>13.299999999999999</v>
      </c>
      <c r="H2588" s="39">
        <f>SUM(G2588:G2588)</f>
        <v>13.299999999999999</v>
      </c>
      <c r="I2588" s="40"/>
      <c r="J2588" s="155">
        <v>0</v>
      </c>
    </row>
    <row r="2589" spans="1:10" ht="15.75" hidden="1" thickBot="1" x14ac:dyDescent="0.3">
      <c r="A2589" s="177"/>
      <c r="B2589" s="178"/>
      <c r="C2589" s="36"/>
      <c r="D2589" s="36"/>
      <c r="E2589" s="37"/>
      <c r="F2589" s="31" t="s">
        <v>568</v>
      </c>
      <c r="G2589" s="34" t="str">
        <f>IF(ISNUMBER(F2589),E2589*F2589,"")</f>
        <v/>
      </c>
      <c r="H2589" s="35"/>
      <c r="I2589" s="31"/>
      <c r="J2589" s="155">
        <v>0</v>
      </c>
    </row>
    <row r="2590" spans="1:10" ht="15.75" hidden="1" thickBot="1" x14ac:dyDescent="0.3">
      <c r="A2590" s="172" t="s">
        <v>804</v>
      </c>
      <c r="B2590" s="174" t="str">
        <f>INDEX(Orçamentária!A:B,MATCH(Composições!A2590,Orçamentária!A:A,0),2)</f>
        <v>Areia Média</v>
      </c>
      <c r="C2590" s="41"/>
      <c r="D2590" s="26" t="str">
        <f>TRIM(INDEX(Orçamentária!C:C,MATCH(Composições!A2590,Orçamentária!A:A,0),1))</f>
        <v>m3</v>
      </c>
      <c r="E2590" s="27"/>
      <c r="F2590" s="42" t="s">
        <v>568</v>
      </c>
      <c r="G2590" s="28" t="str">
        <f>IF(ISNUMBER(F2590),E2590*F2590,"")</f>
        <v/>
      </c>
      <c r="H2590" s="29"/>
      <c r="I2590" s="30"/>
      <c r="J2590" s="155">
        <v>0</v>
      </c>
    </row>
    <row r="2591" spans="1:10" ht="15.75" hidden="1" thickBot="1" x14ac:dyDescent="0.3">
      <c r="A2591" s="176"/>
      <c r="B2591" s="175"/>
      <c r="C2591" s="32"/>
      <c r="D2591" s="32"/>
      <c r="E2591" s="33"/>
      <c r="F2591" s="43" t="s">
        <v>568</v>
      </c>
      <c r="G2591" s="34" t="str">
        <f>IF(ISNUMBER(F2591),E2591*F2591,"")</f>
        <v/>
      </c>
      <c r="H2591" s="35"/>
      <c r="I2591" s="31"/>
      <c r="J2591" s="155">
        <v>0</v>
      </c>
    </row>
    <row r="2592" spans="1:10" ht="26.25" hidden="1" thickBot="1" x14ac:dyDescent="0.3">
      <c r="A2592" s="176"/>
      <c r="B2592" s="175"/>
      <c r="C2592" s="36" t="s">
        <v>805</v>
      </c>
      <c r="D2592" s="47" t="s">
        <v>111</v>
      </c>
      <c r="E2592" s="37">
        <v>1</v>
      </c>
      <c r="F2592" s="31">
        <v>90.25</v>
      </c>
      <c r="G2592" s="34">
        <f>IF(ISNUMBER(F2592),E2592*F2592,"")</f>
        <v>90.25</v>
      </c>
      <c r="H2592" s="39">
        <f>SUM(G2592:G2594)</f>
        <v>120.48873655</v>
      </c>
      <c r="I2592" s="40"/>
      <c r="J2592" s="155">
        <v>0</v>
      </c>
    </row>
    <row r="2593" spans="1:10" ht="51.75" hidden="1" thickBot="1" x14ac:dyDescent="0.3">
      <c r="A2593" s="176"/>
      <c r="B2593" s="175"/>
      <c r="C2593" s="36" t="s">
        <v>3611</v>
      </c>
      <c r="D2593" s="36" t="s">
        <v>111</v>
      </c>
      <c r="E2593" s="37">
        <f>E2592</f>
        <v>1</v>
      </c>
      <c r="F2593" s="34">
        <v>5.5686425499999999</v>
      </c>
      <c r="G2593" s="34">
        <f>IF(ISNUMBER(F2593),E2593*F2593,"")</f>
        <v>5.5686425499999999</v>
      </c>
      <c r="H2593" s="35"/>
      <c r="I2593" s="31"/>
      <c r="J2593" s="155">
        <v>0</v>
      </c>
    </row>
    <row r="2594" spans="1:10" ht="39" hidden="1" thickBot="1" x14ac:dyDescent="0.3">
      <c r="A2594" s="176"/>
      <c r="B2594" s="175"/>
      <c r="C2594" s="36" t="s">
        <v>806</v>
      </c>
      <c r="D2594" s="47" t="s">
        <v>807</v>
      </c>
      <c r="E2594" s="37">
        <f>E2592*20</f>
        <v>20</v>
      </c>
      <c r="F2594" s="31">
        <v>1.2335046999999999</v>
      </c>
      <c r="G2594" s="34">
        <f>IF(ISNUMBER(F2594),E2594*F2594,"")</f>
        <v>24.670093999999999</v>
      </c>
      <c r="H2594" s="35"/>
      <c r="I2594" s="31"/>
      <c r="J2594" s="155">
        <v>0</v>
      </c>
    </row>
    <row r="2595" spans="1:10" ht="15.75" hidden="1" thickBot="1" x14ac:dyDescent="0.3">
      <c r="A2595" s="176"/>
      <c r="B2595" s="175"/>
      <c r="C2595" s="36"/>
      <c r="D2595" s="47"/>
      <c r="E2595" s="37"/>
      <c r="F2595" s="31" t="s">
        <v>568</v>
      </c>
      <c r="G2595" s="34" t="str">
        <f>IF(ISNUMBER(F2595),E2595*F2595,"")</f>
        <v/>
      </c>
      <c r="H2595" s="35"/>
      <c r="I2595" s="31"/>
      <c r="J2595" s="155">
        <v>0</v>
      </c>
    </row>
    <row r="2596" spans="1:10" ht="15.75" hidden="1" thickBot="1" x14ac:dyDescent="0.3">
      <c r="A2596" s="176"/>
      <c r="B2596" s="175"/>
      <c r="C2596" s="48" t="s">
        <v>808</v>
      </c>
      <c r="D2596" s="47"/>
      <c r="E2596" s="37"/>
      <c r="F2596" s="31" t="s">
        <v>568</v>
      </c>
      <c r="G2596" s="34" t="str">
        <f>IF(ISNUMBER(F2596),E2596*F2596,"")</f>
        <v/>
      </c>
      <c r="H2596" s="35"/>
      <c r="I2596" s="31"/>
      <c r="J2596" s="155">
        <v>0</v>
      </c>
    </row>
    <row r="2597" spans="1:10" ht="15.75" hidden="1" thickBot="1" x14ac:dyDescent="0.3">
      <c r="A2597" s="177"/>
      <c r="B2597" s="178"/>
      <c r="C2597" s="36"/>
      <c r="D2597" s="36"/>
      <c r="E2597" s="37"/>
      <c r="F2597" s="31" t="s">
        <v>568</v>
      </c>
      <c r="G2597" s="34" t="str">
        <f>IF(ISNUMBER(F2597),E2597*F2597,"")</f>
        <v/>
      </c>
      <c r="H2597" s="35"/>
      <c r="I2597" s="31"/>
      <c r="J2597" s="155">
        <v>0</v>
      </c>
    </row>
    <row r="2598" spans="1:10" ht="15.75" hidden="1" thickBot="1" x14ac:dyDescent="0.3">
      <c r="A2598" s="172" t="s">
        <v>809</v>
      </c>
      <c r="B2598" s="174" t="str">
        <f>INDEX(Orçamentária!A:B,MATCH(Composições!A2598,Orçamentária!A:A,0),2)</f>
        <v>Brita Nº 0</v>
      </c>
      <c r="C2598" s="41"/>
      <c r="D2598" s="26" t="str">
        <f>TRIM(INDEX(Orçamentária!C:C,MATCH(Composições!A2598,Orçamentária!A:A,0),1))</f>
        <v>m3</v>
      </c>
      <c r="E2598" s="27"/>
      <c r="F2598" s="42" t="s">
        <v>568</v>
      </c>
      <c r="G2598" s="28" t="str">
        <f>IF(ISNUMBER(F2598),E2598*F2598,"")</f>
        <v/>
      </c>
      <c r="H2598" s="29"/>
      <c r="I2598" s="30"/>
      <c r="J2598" s="155">
        <v>0</v>
      </c>
    </row>
    <row r="2599" spans="1:10" ht="15.75" hidden="1" thickBot="1" x14ac:dyDescent="0.3">
      <c r="A2599" s="176"/>
      <c r="B2599" s="175"/>
      <c r="C2599" s="32"/>
      <c r="D2599" s="32"/>
      <c r="E2599" s="33"/>
      <c r="F2599" s="43" t="s">
        <v>568</v>
      </c>
      <c r="G2599" s="34" t="str">
        <f>IF(ISNUMBER(F2599),E2599*F2599,"")</f>
        <v/>
      </c>
      <c r="H2599" s="35"/>
      <c r="I2599" s="31"/>
      <c r="J2599" s="155">
        <v>0</v>
      </c>
    </row>
    <row r="2600" spans="1:10" ht="26.25" hidden="1" thickBot="1" x14ac:dyDescent="0.3">
      <c r="A2600" s="176"/>
      <c r="B2600" s="175"/>
      <c r="C2600" s="36" t="s">
        <v>810</v>
      </c>
      <c r="D2600" s="47" t="s">
        <v>111</v>
      </c>
      <c r="E2600" s="37">
        <v>1</v>
      </c>
      <c r="F2600" s="31">
        <v>135.81200000000001</v>
      </c>
      <c r="G2600" s="34">
        <f>IF(ISNUMBER(F2600),E2600*F2600,"")</f>
        <v>135.81200000000001</v>
      </c>
      <c r="H2600" s="39">
        <f>SUM(G2600:G2602)</f>
        <v>166.05073655000001</v>
      </c>
      <c r="I2600" s="40"/>
      <c r="J2600" s="155">
        <v>0</v>
      </c>
    </row>
    <row r="2601" spans="1:10" ht="51.75" hidden="1" thickBot="1" x14ac:dyDescent="0.3">
      <c r="A2601" s="176"/>
      <c r="B2601" s="175"/>
      <c r="C2601" s="36" t="s">
        <v>3611</v>
      </c>
      <c r="D2601" s="36" t="s">
        <v>111</v>
      </c>
      <c r="E2601" s="37">
        <f>E2600</f>
        <v>1</v>
      </c>
      <c r="F2601" s="34">
        <v>5.5686425499999999</v>
      </c>
      <c r="G2601" s="34">
        <f>IF(ISNUMBER(F2601),E2601*F2601,"")</f>
        <v>5.5686425499999999</v>
      </c>
      <c r="H2601" s="35"/>
      <c r="I2601" s="31"/>
      <c r="J2601" s="155">
        <v>0</v>
      </c>
    </row>
    <row r="2602" spans="1:10" ht="39" hidden="1" thickBot="1" x14ac:dyDescent="0.3">
      <c r="A2602" s="176"/>
      <c r="B2602" s="175"/>
      <c r="C2602" s="36" t="s">
        <v>806</v>
      </c>
      <c r="D2602" s="47" t="s">
        <v>807</v>
      </c>
      <c r="E2602" s="37">
        <f>E2600*20</f>
        <v>20</v>
      </c>
      <c r="F2602" s="31">
        <v>1.2335046999999999</v>
      </c>
      <c r="G2602" s="34">
        <f>IF(ISNUMBER(F2602),E2602*F2602,"")</f>
        <v>24.670093999999999</v>
      </c>
      <c r="H2602" s="35"/>
      <c r="I2602" s="31"/>
      <c r="J2602" s="155">
        <v>0</v>
      </c>
    </row>
    <row r="2603" spans="1:10" ht="15.75" hidden="1" thickBot="1" x14ac:dyDescent="0.3">
      <c r="A2603" s="176"/>
      <c r="B2603" s="175"/>
      <c r="C2603" s="36"/>
      <c r="D2603" s="47"/>
      <c r="E2603" s="37"/>
      <c r="F2603" s="31" t="s">
        <v>568</v>
      </c>
      <c r="G2603" s="34" t="str">
        <f>IF(ISNUMBER(F2603),E2603*F2603,"")</f>
        <v/>
      </c>
      <c r="H2603" s="35"/>
      <c r="I2603" s="31"/>
      <c r="J2603" s="155">
        <v>0</v>
      </c>
    </row>
    <row r="2604" spans="1:10" ht="15.75" hidden="1" thickBot="1" x14ac:dyDescent="0.3">
      <c r="A2604" s="176"/>
      <c r="B2604" s="175"/>
      <c r="C2604" s="48" t="s">
        <v>811</v>
      </c>
      <c r="D2604" s="47"/>
      <c r="E2604" s="37"/>
      <c r="F2604" s="31" t="s">
        <v>568</v>
      </c>
      <c r="G2604" s="34" t="str">
        <f>IF(ISNUMBER(F2604),E2604*F2604,"")</f>
        <v/>
      </c>
      <c r="H2604" s="35"/>
      <c r="I2604" s="31"/>
      <c r="J2604" s="155">
        <v>0</v>
      </c>
    </row>
    <row r="2605" spans="1:10" ht="15.75" hidden="1" thickBot="1" x14ac:dyDescent="0.3">
      <c r="A2605" s="177"/>
      <c r="B2605" s="178"/>
      <c r="C2605" s="36"/>
      <c r="D2605" s="36"/>
      <c r="E2605" s="37"/>
      <c r="F2605" s="31" t="s">
        <v>568</v>
      </c>
      <c r="G2605" s="34" t="str">
        <f>IF(ISNUMBER(F2605),E2605*F2605,"")</f>
        <v/>
      </c>
      <c r="H2605" s="35"/>
      <c r="I2605" s="31"/>
      <c r="J2605" s="155">
        <v>0</v>
      </c>
    </row>
    <row r="2606" spans="1:10" ht="15.75" hidden="1" thickBot="1" x14ac:dyDescent="0.3">
      <c r="A2606" s="172" t="s">
        <v>812</v>
      </c>
      <c r="B2606" s="174" t="str">
        <f>INDEX(Orçamentária!A:B,MATCH(Composições!A2606,Orçamentária!A:A,0),2)</f>
        <v>Brita Nº 1</v>
      </c>
      <c r="C2606" s="41"/>
      <c r="D2606" s="26" t="str">
        <f>TRIM(INDEX(Orçamentária!C:C,MATCH(Composições!A2606,Orçamentária!A:A,0),1))</f>
        <v>m3</v>
      </c>
      <c r="E2606" s="27"/>
      <c r="F2606" s="42" t="s">
        <v>568</v>
      </c>
      <c r="G2606" s="28" t="str">
        <f>IF(ISNUMBER(F2606),E2606*F2606,"")</f>
        <v/>
      </c>
      <c r="H2606" s="29"/>
      <c r="I2606" s="30"/>
      <c r="J2606" s="155">
        <v>0</v>
      </c>
    </row>
    <row r="2607" spans="1:10" ht="15.75" hidden="1" thickBot="1" x14ac:dyDescent="0.3">
      <c r="A2607" s="176"/>
      <c r="B2607" s="175"/>
      <c r="C2607" s="32"/>
      <c r="D2607" s="32"/>
      <c r="E2607" s="33"/>
      <c r="F2607" s="43" t="s">
        <v>568</v>
      </c>
      <c r="G2607" s="34" t="str">
        <f>IF(ISNUMBER(F2607),E2607*F2607,"")</f>
        <v/>
      </c>
      <c r="H2607" s="35"/>
      <c r="I2607" s="31"/>
      <c r="J2607" s="155">
        <v>0</v>
      </c>
    </row>
    <row r="2608" spans="1:10" ht="26.25" hidden="1" thickBot="1" x14ac:dyDescent="0.3">
      <c r="A2608" s="176"/>
      <c r="B2608" s="175"/>
      <c r="C2608" s="36" t="s">
        <v>813</v>
      </c>
      <c r="D2608" s="47" t="s">
        <v>111</v>
      </c>
      <c r="E2608" s="37">
        <v>1</v>
      </c>
      <c r="F2608" s="31">
        <v>117.63849999999999</v>
      </c>
      <c r="G2608" s="34">
        <f>IF(ISNUMBER(F2608),E2608*F2608,"")</f>
        <v>117.63849999999999</v>
      </c>
      <c r="H2608" s="39">
        <f>SUM(G2608:G2610)</f>
        <v>147.87723654999999</v>
      </c>
      <c r="I2608" s="40"/>
      <c r="J2608" s="155">
        <v>0</v>
      </c>
    </row>
    <row r="2609" spans="1:10" ht="51.75" hidden="1" thickBot="1" x14ac:dyDescent="0.3">
      <c r="A2609" s="176"/>
      <c r="B2609" s="175"/>
      <c r="C2609" s="36" t="s">
        <v>3611</v>
      </c>
      <c r="D2609" s="36" t="s">
        <v>111</v>
      </c>
      <c r="E2609" s="37">
        <f>E2608</f>
        <v>1</v>
      </c>
      <c r="F2609" s="34">
        <v>5.5686425499999999</v>
      </c>
      <c r="G2609" s="34">
        <f>IF(ISNUMBER(F2609),E2609*F2609,"")</f>
        <v>5.5686425499999999</v>
      </c>
      <c r="H2609" s="35"/>
      <c r="I2609" s="31"/>
      <c r="J2609" s="155">
        <v>0</v>
      </c>
    </row>
    <row r="2610" spans="1:10" ht="39" hidden="1" thickBot="1" x14ac:dyDescent="0.3">
      <c r="A2610" s="176"/>
      <c r="B2610" s="175"/>
      <c r="C2610" s="36" t="s">
        <v>806</v>
      </c>
      <c r="D2610" s="47" t="s">
        <v>807</v>
      </c>
      <c r="E2610" s="37">
        <f>E2608*20</f>
        <v>20</v>
      </c>
      <c r="F2610" s="31">
        <v>1.2335046999999999</v>
      </c>
      <c r="G2610" s="34">
        <f>IF(ISNUMBER(F2610),E2610*F2610,"")</f>
        <v>24.670093999999999</v>
      </c>
      <c r="H2610" s="35"/>
      <c r="I2610" s="31"/>
      <c r="J2610" s="155">
        <v>0</v>
      </c>
    </row>
    <row r="2611" spans="1:10" ht="15.75" hidden="1" thickBot="1" x14ac:dyDescent="0.3">
      <c r="A2611" s="176"/>
      <c r="B2611" s="175"/>
      <c r="C2611" s="36"/>
      <c r="D2611" s="47"/>
      <c r="E2611" s="37"/>
      <c r="F2611" s="31" t="s">
        <v>568</v>
      </c>
      <c r="G2611" s="34" t="str">
        <f>IF(ISNUMBER(F2611),E2611*F2611,"")</f>
        <v/>
      </c>
      <c r="H2611" s="35"/>
      <c r="I2611" s="31"/>
      <c r="J2611" s="155">
        <v>0</v>
      </c>
    </row>
    <row r="2612" spans="1:10" ht="15.75" hidden="1" thickBot="1" x14ac:dyDescent="0.3">
      <c r="A2612" s="176"/>
      <c r="B2612" s="175"/>
      <c r="C2612" s="48" t="s">
        <v>811</v>
      </c>
      <c r="D2612" s="47"/>
      <c r="E2612" s="37"/>
      <c r="F2612" s="31" t="s">
        <v>568</v>
      </c>
      <c r="G2612" s="34" t="str">
        <f>IF(ISNUMBER(F2612),E2612*F2612,"")</f>
        <v/>
      </c>
      <c r="H2612" s="35"/>
      <c r="I2612" s="31"/>
      <c r="J2612" s="155">
        <v>0</v>
      </c>
    </row>
    <row r="2613" spans="1:10" ht="15.75" hidden="1" thickBot="1" x14ac:dyDescent="0.3">
      <c r="A2613" s="177"/>
      <c r="B2613" s="178"/>
      <c r="C2613" s="36"/>
      <c r="D2613" s="36"/>
      <c r="E2613" s="37"/>
      <c r="F2613" s="31" t="s">
        <v>568</v>
      </c>
      <c r="G2613" s="34" t="str">
        <f>IF(ISNUMBER(F2613),E2613*F2613,"")</f>
        <v/>
      </c>
      <c r="H2613" s="35"/>
      <c r="I2613" s="31"/>
      <c r="J2613" s="155">
        <v>0</v>
      </c>
    </row>
    <row r="2614" spans="1:10" ht="15.75" hidden="1" thickBot="1" x14ac:dyDescent="0.3">
      <c r="A2614" s="172" t="s">
        <v>814</v>
      </c>
      <c r="B2614" s="174" t="str">
        <f>INDEX(Orçamentária!A:B,MATCH(Composições!A2614,Orçamentária!A:A,0),2)</f>
        <v>Bloco Cerâmico De 08 Furos</v>
      </c>
      <c r="C2614" s="41"/>
      <c r="D2614" s="26" t="str">
        <f>TRIM(INDEX(Orçamentária!C:C,MATCH(Composições!A2614,Orçamentária!A:A,0),1))</f>
        <v>un</v>
      </c>
      <c r="E2614" s="27"/>
      <c r="F2614" s="42" t="s">
        <v>568</v>
      </c>
      <c r="G2614" s="28" t="str">
        <f>IF(ISNUMBER(F2614),E2614*F2614,"")</f>
        <v/>
      </c>
      <c r="H2614" s="29"/>
      <c r="I2614" s="30"/>
      <c r="J2614" s="155">
        <v>0</v>
      </c>
    </row>
    <row r="2615" spans="1:10" ht="15.75" hidden="1" thickBot="1" x14ac:dyDescent="0.3">
      <c r="A2615" s="176"/>
      <c r="B2615" s="175"/>
      <c r="C2615" s="32"/>
      <c r="D2615" s="32"/>
      <c r="E2615" s="33"/>
      <c r="F2615" s="43" t="s">
        <v>568</v>
      </c>
      <c r="G2615" s="34" t="str">
        <f>IF(ISNUMBER(F2615),E2615*F2615,"")</f>
        <v/>
      </c>
      <c r="H2615" s="35"/>
      <c r="I2615" s="31"/>
      <c r="J2615" s="155">
        <v>0</v>
      </c>
    </row>
    <row r="2616" spans="1:10" ht="26.25" hidden="1" thickBot="1" x14ac:dyDescent="0.3">
      <c r="A2616" s="176"/>
      <c r="B2616" s="175"/>
      <c r="C2616" s="36" t="s">
        <v>3601</v>
      </c>
      <c r="D2616" s="36" t="s">
        <v>155</v>
      </c>
      <c r="E2616" s="37">
        <f>1/1000</f>
        <v>1E-3</v>
      </c>
      <c r="F2616" s="31">
        <v>750.5</v>
      </c>
      <c r="G2616" s="34">
        <f>IF(ISNUMBER(F2616),E2616*F2616,"")</f>
        <v>0.75050000000000006</v>
      </c>
      <c r="H2616" s="39">
        <f>SUM(G2616:G2616)</f>
        <v>0.75050000000000006</v>
      </c>
      <c r="I2616" s="40"/>
      <c r="J2616" s="155">
        <v>0</v>
      </c>
    </row>
    <row r="2617" spans="1:10" ht="15.75" hidden="1" thickBot="1" x14ac:dyDescent="0.3">
      <c r="A2617" s="177"/>
      <c r="B2617" s="178"/>
      <c r="C2617" s="36"/>
      <c r="D2617" s="36"/>
      <c r="E2617" s="37"/>
      <c r="F2617" s="31" t="s">
        <v>568</v>
      </c>
      <c r="G2617" s="34" t="str">
        <f>IF(ISNUMBER(F2617),E2617*F2617,"")</f>
        <v/>
      </c>
      <c r="H2617" s="35"/>
      <c r="I2617" s="31"/>
      <c r="J2617" s="155">
        <v>0</v>
      </c>
    </row>
    <row r="2618" spans="1:10" ht="15.75" hidden="1" thickBot="1" x14ac:dyDescent="0.3">
      <c r="A2618" s="172" t="s">
        <v>815</v>
      </c>
      <c r="B2618" s="174" t="str">
        <f>INDEX(Orçamentária!A:B,MATCH(Composições!A2618,Orçamentária!A:A,0),2)</f>
        <v>Tijolo Maciço</v>
      </c>
      <c r="C2618" s="41"/>
      <c r="D2618" s="26" t="str">
        <f>TRIM(INDEX(Orçamentária!C:C,MATCH(Composições!A2618,Orçamentária!A:A,0),1))</f>
        <v>un</v>
      </c>
      <c r="E2618" s="27"/>
      <c r="F2618" s="42" t="s">
        <v>568</v>
      </c>
      <c r="G2618" s="28" t="str">
        <f>IF(ISNUMBER(F2618),E2618*F2618,"")</f>
        <v/>
      </c>
      <c r="H2618" s="29"/>
      <c r="I2618" s="30"/>
      <c r="J2618" s="155">
        <v>0</v>
      </c>
    </row>
    <row r="2619" spans="1:10" ht="15.75" hidden="1" thickBot="1" x14ac:dyDescent="0.3">
      <c r="A2619" s="176"/>
      <c r="B2619" s="175"/>
      <c r="C2619" s="32"/>
      <c r="D2619" s="32"/>
      <c r="E2619" s="33"/>
      <c r="F2619" s="43" t="s">
        <v>568</v>
      </c>
      <c r="G2619" s="34" t="str">
        <f>IF(ISNUMBER(F2619),E2619*F2619,"")</f>
        <v/>
      </c>
      <c r="H2619" s="35"/>
      <c r="I2619" s="31"/>
      <c r="J2619" s="155">
        <v>0</v>
      </c>
    </row>
    <row r="2620" spans="1:10" ht="15.75" hidden="1" thickBot="1" x14ac:dyDescent="0.3">
      <c r="A2620" s="176"/>
      <c r="B2620" s="175"/>
      <c r="C2620" s="36" t="s">
        <v>3605</v>
      </c>
      <c r="D2620" s="36" t="s">
        <v>297</v>
      </c>
      <c r="E2620" s="37">
        <v>1</v>
      </c>
      <c r="F2620" s="31">
        <v>0.64600000000000002</v>
      </c>
      <c r="G2620" s="34">
        <f>IF(ISNUMBER(F2620),E2620*F2620,"")</f>
        <v>0.64600000000000002</v>
      </c>
      <c r="H2620" s="39">
        <f>SUM(G2620:G2620)</f>
        <v>0.64600000000000002</v>
      </c>
      <c r="I2620" s="40"/>
      <c r="J2620" s="155">
        <v>0</v>
      </c>
    </row>
    <row r="2621" spans="1:10" ht="15.75" hidden="1" thickBot="1" x14ac:dyDescent="0.3">
      <c r="A2621" s="177"/>
      <c r="B2621" s="178"/>
      <c r="C2621" s="36"/>
      <c r="D2621" s="36"/>
      <c r="E2621" s="37"/>
      <c r="F2621" s="31" t="s">
        <v>568</v>
      </c>
      <c r="G2621" s="34" t="str">
        <f>IF(ISNUMBER(F2621),E2621*F2621,"")</f>
        <v/>
      </c>
      <c r="H2621" s="35"/>
      <c r="I2621" s="31"/>
      <c r="J2621" s="155">
        <v>0</v>
      </c>
    </row>
    <row r="2622" spans="1:10" ht="15.75" hidden="1" thickBot="1" x14ac:dyDescent="0.3">
      <c r="A2622" s="172" t="s">
        <v>816</v>
      </c>
      <c r="B2622" s="174" t="str">
        <f>INDEX(Orçamentária!A:B,MATCH(Composições!A2622,Orçamentária!A:A,0),2)</f>
        <v>Bloco De Concreto Com 02 Furos</v>
      </c>
      <c r="C2622" s="41"/>
      <c r="D2622" s="26" t="str">
        <f>TRIM(INDEX(Orçamentária!C:C,MATCH(Composições!A2622,Orçamentária!A:A,0),1))</f>
        <v>un</v>
      </c>
      <c r="E2622" s="27"/>
      <c r="F2622" s="42" t="s">
        <v>568</v>
      </c>
      <c r="G2622" s="28" t="str">
        <f>IF(ISNUMBER(F2622),E2622*F2622,"")</f>
        <v/>
      </c>
      <c r="H2622" s="29"/>
      <c r="I2622" s="30"/>
      <c r="J2622" s="155">
        <v>0</v>
      </c>
    </row>
    <row r="2623" spans="1:10" ht="15.75" hidden="1" thickBot="1" x14ac:dyDescent="0.3">
      <c r="A2623" s="176"/>
      <c r="B2623" s="175"/>
      <c r="C2623" s="32"/>
      <c r="D2623" s="32"/>
      <c r="E2623" s="33"/>
      <c r="F2623" s="43" t="s">
        <v>568</v>
      </c>
      <c r="G2623" s="34" t="str">
        <f>IF(ISNUMBER(F2623),E2623*F2623,"")</f>
        <v/>
      </c>
      <c r="H2623" s="35"/>
      <c r="I2623" s="31"/>
      <c r="J2623" s="155">
        <v>0</v>
      </c>
    </row>
    <row r="2624" spans="1:10" ht="26.25" hidden="1" thickBot="1" x14ac:dyDescent="0.3">
      <c r="A2624" s="176"/>
      <c r="B2624" s="175"/>
      <c r="C2624" s="36" t="s">
        <v>3602</v>
      </c>
      <c r="D2624" s="36" t="s">
        <v>297</v>
      </c>
      <c r="E2624" s="37">
        <v>1</v>
      </c>
      <c r="F2624" s="31">
        <v>2.0710000000000002</v>
      </c>
      <c r="G2624" s="34">
        <f>IF(ISNUMBER(F2624),E2624*F2624,"")</f>
        <v>2.0710000000000002</v>
      </c>
      <c r="H2624" s="39">
        <f>SUM(G2624:G2624)</f>
        <v>2.0710000000000002</v>
      </c>
      <c r="I2624" s="40"/>
      <c r="J2624" s="155">
        <v>0</v>
      </c>
    </row>
    <row r="2625" spans="1:10" ht="15.75" hidden="1" thickBot="1" x14ac:dyDescent="0.3">
      <c r="A2625" s="177"/>
      <c r="B2625" s="178"/>
      <c r="C2625" s="36"/>
      <c r="D2625" s="36"/>
      <c r="E2625" s="37"/>
      <c r="F2625" s="31" t="s">
        <v>568</v>
      </c>
      <c r="G2625" s="34" t="str">
        <f>IF(ISNUMBER(F2625),E2625*F2625,"")</f>
        <v/>
      </c>
      <c r="H2625" s="35"/>
      <c r="I2625" s="31"/>
      <c r="J2625" s="155">
        <v>0</v>
      </c>
    </row>
    <row r="2626" spans="1:10" ht="15.75" hidden="1" thickBot="1" x14ac:dyDescent="0.3">
      <c r="A2626" s="172" t="s">
        <v>817</v>
      </c>
      <c r="B2626" s="174" t="str">
        <f>INDEX(Orçamentária!A:B,MATCH(Composições!A2626,Orçamentária!A:A,0),2)</f>
        <v>Bloco De Concreto Tipo Canaleta</v>
      </c>
      <c r="C2626" s="41"/>
      <c r="D2626" s="26" t="str">
        <f>TRIM(INDEX(Orçamentária!C:C,MATCH(Composições!A2626,Orçamentária!A:A,0),1))</f>
        <v>un</v>
      </c>
      <c r="E2626" s="27"/>
      <c r="F2626" s="42" t="s">
        <v>568</v>
      </c>
      <c r="G2626" s="28" t="str">
        <f>IF(ISNUMBER(F2626),E2626*F2626,"")</f>
        <v/>
      </c>
      <c r="H2626" s="29"/>
      <c r="I2626" s="30"/>
      <c r="J2626" s="155">
        <v>0</v>
      </c>
    </row>
    <row r="2627" spans="1:10" ht="15.75" hidden="1" thickBot="1" x14ac:dyDescent="0.3">
      <c r="A2627" s="176"/>
      <c r="B2627" s="175"/>
      <c r="C2627" s="32"/>
      <c r="D2627" s="32"/>
      <c r="E2627" s="33"/>
      <c r="F2627" s="43" t="s">
        <v>568</v>
      </c>
      <c r="G2627" s="34" t="str">
        <f>IF(ISNUMBER(F2627),E2627*F2627,"")</f>
        <v/>
      </c>
      <c r="H2627" s="35"/>
      <c r="I2627" s="31"/>
      <c r="J2627" s="155">
        <v>0</v>
      </c>
    </row>
    <row r="2628" spans="1:10" ht="15.75" hidden="1" thickBot="1" x14ac:dyDescent="0.3">
      <c r="A2628" s="176"/>
      <c r="B2628" s="175"/>
      <c r="C2628" s="36" t="s">
        <v>148</v>
      </c>
      <c r="D2628" s="36" t="s">
        <v>149</v>
      </c>
      <c r="E2628" s="37">
        <v>1</v>
      </c>
      <c r="F2628" s="31">
        <v>3.0590000000000002</v>
      </c>
      <c r="G2628" s="34">
        <f>IF(ISNUMBER(F2628),E2628*F2628,"")</f>
        <v>3.0590000000000002</v>
      </c>
      <c r="H2628" s="39">
        <f>SUM(G2628:G2628)</f>
        <v>3.0590000000000002</v>
      </c>
      <c r="I2628" s="40"/>
      <c r="J2628" s="155">
        <v>0</v>
      </c>
    </row>
    <row r="2629" spans="1:10" ht="15.75" hidden="1" thickBot="1" x14ac:dyDescent="0.3">
      <c r="A2629" s="177"/>
      <c r="B2629" s="178"/>
      <c r="C2629" s="36"/>
      <c r="D2629" s="36"/>
      <c r="E2629" s="37"/>
      <c r="F2629" s="31" t="s">
        <v>568</v>
      </c>
      <c r="G2629" s="34" t="str">
        <f>IF(ISNUMBER(F2629),E2629*F2629,"")</f>
        <v/>
      </c>
      <c r="H2629" s="35"/>
      <c r="I2629" s="31"/>
      <c r="J2629" s="155">
        <v>0</v>
      </c>
    </row>
    <row r="2630" spans="1:10" ht="15.75" hidden="1" thickBot="1" x14ac:dyDescent="0.3">
      <c r="A2630" s="172" t="s">
        <v>818</v>
      </c>
      <c r="B2630" s="174" t="str">
        <f>INDEX(Orçamentária!A:B,MATCH(Composições!A2630,Orçamentária!A:A,0),2)</f>
        <v>Vergalhão Ca-60 Diâmetro 5,0 Mm</v>
      </c>
      <c r="C2630" s="41"/>
      <c r="D2630" s="26" t="str">
        <f>TRIM(INDEX(Orçamentária!C:C,MATCH(Composições!A2630,Orçamentária!A:A,0),1))</f>
        <v>m</v>
      </c>
      <c r="E2630" s="27"/>
      <c r="F2630" s="42" t="s">
        <v>568</v>
      </c>
      <c r="G2630" s="28" t="str">
        <f>IF(ISNUMBER(F2630),E2630*F2630,"")</f>
        <v/>
      </c>
      <c r="H2630" s="29"/>
      <c r="I2630" s="30"/>
      <c r="J2630" s="155">
        <v>0</v>
      </c>
    </row>
    <row r="2631" spans="1:10" ht="15.75" hidden="1" thickBot="1" x14ac:dyDescent="0.3">
      <c r="A2631" s="176"/>
      <c r="B2631" s="175"/>
      <c r="C2631" s="32"/>
      <c r="D2631" s="32"/>
      <c r="E2631" s="33"/>
      <c r="F2631" s="43" t="s">
        <v>568</v>
      </c>
      <c r="G2631" s="34" t="str">
        <f>IF(ISNUMBER(F2631),E2631*F2631,"")</f>
        <v/>
      </c>
      <c r="H2631" s="35"/>
      <c r="I2631" s="31"/>
      <c r="J2631" s="155">
        <v>0</v>
      </c>
    </row>
    <row r="2632" spans="1:10" ht="15.75" hidden="1" thickBot="1" x14ac:dyDescent="0.3">
      <c r="A2632" s="176"/>
      <c r="B2632" s="175"/>
      <c r="C2632" s="36" t="s">
        <v>3605</v>
      </c>
      <c r="D2632" s="36" t="s">
        <v>297</v>
      </c>
      <c r="E2632" s="37">
        <v>1</v>
      </c>
      <c r="F2632" s="31">
        <v>0.64600000000000002</v>
      </c>
      <c r="G2632" s="34">
        <f>IF(ISNUMBER(F2632),E2632*F2632,"")</f>
        <v>0.64600000000000002</v>
      </c>
      <c r="H2632" s="39">
        <f>SUM(G2632:G2632)</f>
        <v>0.64600000000000002</v>
      </c>
      <c r="I2632" s="40"/>
      <c r="J2632" s="155">
        <v>0</v>
      </c>
    </row>
    <row r="2633" spans="1:10" ht="15.75" hidden="1" thickBot="1" x14ac:dyDescent="0.3">
      <c r="A2633" s="177"/>
      <c r="B2633" s="178"/>
      <c r="C2633" s="36"/>
      <c r="D2633" s="36"/>
      <c r="E2633" s="37"/>
      <c r="F2633" s="31" t="s">
        <v>568</v>
      </c>
      <c r="G2633" s="34" t="str">
        <f>IF(ISNUMBER(F2633),E2633*F2633,"")</f>
        <v/>
      </c>
      <c r="H2633" s="35"/>
      <c r="I2633" s="31"/>
      <c r="J2633" s="155">
        <v>0</v>
      </c>
    </row>
    <row r="2634" spans="1:10" ht="15.75" hidden="1" thickBot="1" x14ac:dyDescent="0.3">
      <c r="A2634" s="172" t="s">
        <v>819</v>
      </c>
      <c r="B2634" s="174" t="str">
        <f>INDEX(Orçamentária!A:B,MATCH(Composições!A2634,Orçamentária!A:A,0),2)</f>
        <v>Vergalhão Ca-50 Diâmetro 6,3 Mm</v>
      </c>
      <c r="C2634" s="41"/>
      <c r="D2634" s="26" t="str">
        <f>TRIM(INDEX(Orçamentária!C:C,MATCH(Composições!A2634,Orçamentária!A:A,0),1))</f>
        <v>m</v>
      </c>
      <c r="E2634" s="27"/>
      <c r="F2634" s="42" t="s">
        <v>568</v>
      </c>
      <c r="G2634" s="28" t="str">
        <f>IF(ISNUMBER(F2634),E2634*F2634,"")</f>
        <v/>
      </c>
      <c r="H2634" s="29"/>
      <c r="I2634" s="30"/>
      <c r="J2634" s="155">
        <v>0</v>
      </c>
    </row>
    <row r="2635" spans="1:10" ht="15.75" hidden="1" thickBot="1" x14ac:dyDescent="0.3">
      <c r="A2635" s="176"/>
      <c r="B2635" s="175"/>
      <c r="C2635" s="32"/>
      <c r="D2635" s="32"/>
      <c r="E2635" s="33"/>
      <c r="F2635" s="43" t="s">
        <v>568</v>
      </c>
      <c r="G2635" s="34" t="str">
        <f>IF(ISNUMBER(F2635),E2635*F2635,"")</f>
        <v/>
      </c>
      <c r="H2635" s="35"/>
      <c r="I2635" s="31"/>
      <c r="J2635" s="155">
        <v>0</v>
      </c>
    </row>
    <row r="2636" spans="1:10" ht="15.75" hidden="1" thickBot="1" x14ac:dyDescent="0.3">
      <c r="A2636" s="176"/>
      <c r="B2636" s="175"/>
      <c r="C2636" s="36" t="s">
        <v>820</v>
      </c>
      <c r="D2636" s="36" t="s">
        <v>42</v>
      </c>
      <c r="E2636" s="37">
        <v>0.245</v>
      </c>
      <c r="F2636" s="31">
        <v>9.5474999999999994</v>
      </c>
      <c r="G2636" s="34">
        <f>IF(ISNUMBER(F2636),E2636*F2636,"")</f>
        <v>2.3391374999999996</v>
      </c>
      <c r="H2636" s="39">
        <f>SUM(G2636:G2636)</f>
        <v>2.3391374999999996</v>
      </c>
      <c r="I2636" s="40"/>
      <c r="J2636" s="155">
        <v>0</v>
      </c>
    </row>
    <row r="2637" spans="1:10" ht="15.75" hidden="1" thickBot="1" x14ac:dyDescent="0.3">
      <c r="A2637" s="177"/>
      <c r="B2637" s="178"/>
      <c r="C2637" s="36"/>
      <c r="D2637" s="36"/>
      <c r="E2637" s="37"/>
      <c r="F2637" s="31" t="s">
        <v>568</v>
      </c>
      <c r="G2637" s="34" t="str">
        <f>IF(ISNUMBER(F2637),E2637*F2637,"")</f>
        <v/>
      </c>
      <c r="H2637" s="35"/>
      <c r="I2637" s="31"/>
      <c r="J2637" s="155">
        <v>0</v>
      </c>
    </row>
    <row r="2638" spans="1:10" ht="15.75" hidden="1" thickBot="1" x14ac:dyDescent="0.3">
      <c r="A2638" s="172" t="s">
        <v>821</v>
      </c>
      <c r="B2638" s="174" t="str">
        <f>INDEX(Orçamentária!A:B,MATCH(Composições!A2638,Orçamentária!A:A,0),2)</f>
        <v>Vergalhão Ca-50 Diâmetro 8,0 Mm</v>
      </c>
      <c r="C2638" s="41"/>
      <c r="D2638" s="26" t="str">
        <f>TRIM(INDEX(Orçamentária!C:C,MATCH(Composições!A2638,Orçamentária!A:A,0),1))</f>
        <v>m</v>
      </c>
      <c r="E2638" s="27"/>
      <c r="F2638" s="42" t="s">
        <v>568</v>
      </c>
      <c r="G2638" s="28" t="str">
        <f>IF(ISNUMBER(F2638),E2638*F2638,"")</f>
        <v/>
      </c>
      <c r="H2638" s="29"/>
      <c r="I2638" s="30"/>
      <c r="J2638" s="155">
        <v>0</v>
      </c>
    </row>
    <row r="2639" spans="1:10" ht="15.75" hidden="1" thickBot="1" x14ac:dyDescent="0.3">
      <c r="A2639" s="176"/>
      <c r="B2639" s="175"/>
      <c r="C2639" s="32"/>
      <c r="D2639" s="32"/>
      <c r="E2639" s="33"/>
      <c r="F2639" s="43" t="s">
        <v>568</v>
      </c>
      <c r="G2639" s="34" t="str">
        <f>IF(ISNUMBER(F2639),E2639*F2639,"")</f>
        <v/>
      </c>
      <c r="H2639" s="35"/>
      <c r="I2639" s="31"/>
      <c r="J2639" s="155">
        <v>0</v>
      </c>
    </row>
    <row r="2640" spans="1:10" ht="15.75" hidden="1" thickBot="1" x14ac:dyDescent="0.3">
      <c r="A2640" s="176"/>
      <c r="B2640" s="175"/>
      <c r="C2640" s="36" t="s">
        <v>822</v>
      </c>
      <c r="D2640" s="36" t="s">
        <v>42</v>
      </c>
      <c r="E2640" s="37">
        <v>0.39500000000000002</v>
      </c>
      <c r="F2640" s="31">
        <v>9.5949999999999989</v>
      </c>
      <c r="G2640" s="34">
        <f>IF(ISNUMBER(F2640),E2640*F2640,"")</f>
        <v>3.7900249999999995</v>
      </c>
      <c r="H2640" s="39">
        <f>SUM(G2640:G2640)</f>
        <v>3.7900249999999995</v>
      </c>
      <c r="I2640" s="40"/>
      <c r="J2640" s="155">
        <v>0</v>
      </c>
    </row>
    <row r="2641" spans="1:10" ht="15.75" hidden="1" thickBot="1" x14ac:dyDescent="0.3">
      <c r="A2641" s="177"/>
      <c r="B2641" s="178"/>
      <c r="C2641" s="36"/>
      <c r="D2641" s="36"/>
      <c r="E2641" s="37"/>
      <c r="F2641" s="31" t="s">
        <v>568</v>
      </c>
      <c r="G2641" s="34" t="str">
        <f>IF(ISNUMBER(F2641),E2641*F2641,"")</f>
        <v/>
      </c>
      <c r="H2641" s="35"/>
      <c r="I2641" s="31"/>
      <c r="J2641" s="155">
        <v>0</v>
      </c>
    </row>
    <row r="2642" spans="1:10" ht="15.75" hidden="1" thickBot="1" x14ac:dyDescent="0.3">
      <c r="A2642" s="172" t="s">
        <v>823</v>
      </c>
      <c r="B2642" s="174" t="str">
        <f>INDEX(Orçamentária!A:B,MATCH(Composições!A2642,Orçamentária!A:A,0),2)</f>
        <v>Vergalhão Ca-50 Diâmetro 10,0 Mm</v>
      </c>
      <c r="C2642" s="41"/>
      <c r="D2642" s="26" t="str">
        <f>TRIM(INDEX(Orçamentária!C:C,MATCH(Composições!A2642,Orçamentária!A:A,0),1))</f>
        <v>m</v>
      </c>
      <c r="E2642" s="27"/>
      <c r="F2642" s="42" t="s">
        <v>568</v>
      </c>
      <c r="G2642" s="28" t="str">
        <f>IF(ISNUMBER(F2642),E2642*F2642,"")</f>
        <v/>
      </c>
      <c r="H2642" s="29"/>
      <c r="I2642" s="30"/>
      <c r="J2642" s="155">
        <v>0</v>
      </c>
    </row>
    <row r="2643" spans="1:10" ht="15.75" hidden="1" thickBot="1" x14ac:dyDescent="0.3">
      <c r="A2643" s="176"/>
      <c r="B2643" s="175"/>
      <c r="C2643" s="32"/>
      <c r="D2643" s="32"/>
      <c r="E2643" s="33"/>
      <c r="F2643" s="43" t="s">
        <v>568</v>
      </c>
      <c r="G2643" s="34" t="str">
        <f>IF(ISNUMBER(F2643),E2643*F2643,"")</f>
        <v/>
      </c>
      <c r="H2643" s="35"/>
      <c r="I2643" s="31"/>
      <c r="J2643" s="155">
        <v>0</v>
      </c>
    </row>
    <row r="2644" spans="1:10" ht="15.75" hidden="1" thickBot="1" x14ac:dyDescent="0.3">
      <c r="A2644" s="176"/>
      <c r="B2644" s="175"/>
      <c r="C2644" s="36" t="s">
        <v>824</v>
      </c>
      <c r="D2644" s="36" t="s">
        <v>42</v>
      </c>
      <c r="E2644" s="37">
        <v>0.61699999999999999</v>
      </c>
      <c r="F2644" s="31">
        <v>9.0439999999999987</v>
      </c>
      <c r="G2644" s="34">
        <f>IF(ISNUMBER(F2644),E2644*F2644,"")</f>
        <v>5.5801479999999994</v>
      </c>
      <c r="H2644" s="39">
        <f>SUM(G2644:G2644)</f>
        <v>5.5801479999999994</v>
      </c>
      <c r="I2644" s="40"/>
      <c r="J2644" s="155">
        <v>0</v>
      </c>
    </row>
    <row r="2645" spans="1:10" ht="15.75" hidden="1" thickBot="1" x14ac:dyDescent="0.3">
      <c r="A2645" s="177"/>
      <c r="B2645" s="178"/>
      <c r="C2645" s="36"/>
      <c r="D2645" s="36"/>
      <c r="E2645" s="37"/>
      <c r="F2645" s="31" t="s">
        <v>568</v>
      </c>
      <c r="G2645" s="34" t="str">
        <f>IF(ISNUMBER(F2645),E2645*F2645,"")</f>
        <v/>
      </c>
      <c r="H2645" s="35"/>
      <c r="I2645" s="31"/>
      <c r="J2645" s="155">
        <v>0</v>
      </c>
    </row>
    <row r="2646" spans="1:10" ht="15.75" hidden="1" thickBot="1" x14ac:dyDescent="0.3">
      <c r="A2646" s="172" t="s">
        <v>825</v>
      </c>
      <c r="B2646" s="174" t="str">
        <f>INDEX(Orçamentária!A:B,MATCH(Composições!A2646,Orçamentária!A:A,0),2)</f>
        <v>Vergalhão Ca-50 Diâmetro 12,5 Mm</v>
      </c>
      <c r="C2646" s="41"/>
      <c r="D2646" s="26" t="str">
        <f>TRIM(INDEX(Orçamentária!C:C,MATCH(Composições!A2646,Orçamentária!A:A,0),1))</f>
        <v>m</v>
      </c>
      <c r="E2646" s="27"/>
      <c r="F2646" s="42" t="s">
        <v>568</v>
      </c>
      <c r="G2646" s="28" t="str">
        <f>IF(ISNUMBER(F2646),E2646*F2646,"")</f>
        <v/>
      </c>
      <c r="H2646" s="29"/>
      <c r="I2646" s="30"/>
      <c r="J2646" s="155">
        <v>0</v>
      </c>
    </row>
    <row r="2647" spans="1:10" ht="15.75" hidden="1" thickBot="1" x14ac:dyDescent="0.3">
      <c r="A2647" s="176"/>
      <c r="B2647" s="175"/>
      <c r="C2647" s="32"/>
      <c r="D2647" s="32"/>
      <c r="E2647" s="33"/>
      <c r="F2647" s="43" t="s">
        <v>568</v>
      </c>
      <c r="G2647" s="34" t="str">
        <f>IF(ISNUMBER(F2647),E2647*F2647,"")</f>
        <v/>
      </c>
      <c r="H2647" s="35"/>
      <c r="I2647" s="31"/>
      <c r="J2647" s="155">
        <v>0</v>
      </c>
    </row>
    <row r="2648" spans="1:10" ht="15.75" hidden="1" thickBot="1" x14ac:dyDescent="0.3">
      <c r="A2648" s="176"/>
      <c r="B2648" s="175"/>
      <c r="C2648" s="36" t="s">
        <v>826</v>
      </c>
      <c r="D2648" s="36" t="s">
        <v>42</v>
      </c>
      <c r="E2648" s="37">
        <v>0.96299999999999997</v>
      </c>
      <c r="F2648" s="31">
        <v>7.8374999999999995</v>
      </c>
      <c r="G2648" s="34">
        <f>IF(ISNUMBER(F2648),E2648*F2648,"")</f>
        <v>7.547512499999999</v>
      </c>
      <c r="H2648" s="39">
        <f>SUM(G2648:G2648)</f>
        <v>7.547512499999999</v>
      </c>
      <c r="I2648" s="40"/>
      <c r="J2648" s="155">
        <v>0</v>
      </c>
    </row>
    <row r="2649" spans="1:10" ht="15.75" hidden="1" thickBot="1" x14ac:dyDescent="0.3">
      <c r="A2649" s="177"/>
      <c r="B2649" s="178"/>
      <c r="C2649" s="36"/>
      <c r="D2649" s="36"/>
      <c r="E2649" s="37"/>
      <c r="F2649" s="31" t="s">
        <v>568</v>
      </c>
      <c r="G2649" s="34" t="str">
        <f>IF(ISNUMBER(F2649),E2649*F2649,"")</f>
        <v/>
      </c>
      <c r="H2649" s="35"/>
      <c r="I2649" s="31"/>
      <c r="J2649" s="155">
        <v>0</v>
      </c>
    </row>
    <row r="2650" spans="1:10" ht="15.75" hidden="1" thickBot="1" x14ac:dyDescent="0.3">
      <c r="A2650" s="172" t="s">
        <v>827</v>
      </c>
      <c r="B2650" s="174" t="str">
        <f>INDEX(Orçamentária!A:B,MATCH(Composições!A2650,Orçamentária!A:A,0),2)</f>
        <v>Arame Recozido Nº 18</v>
      </c>
      <c r="C2650" s="41"/>
      <c r="D2650" s="26" t="str">
        <f>TRIM(INDEX(Orçamentária!C:C,MATCH(Composições!A2650,Orçamentária!A:A,0),1))</f>
        <v>kg</v>
      </c>
      <c r="E2650" s="27"/>
      <c r="F2650" s="42" t="s">
        <v>568</v>
      </c>
      <c r="G2650" s="28" t="str">
        <f>IF(ISNUMBER(F2650),E2650*F2650,"")</f>
        <v/>
      </c>
      <c r="H2650" s="29"/>
      <c r="I2650" s="30"/>
      <c r="J2650" s="155">
        <v>0</v>
      </c>
    </row>
    <row r="2651" spans="1:10" ht="15.75" hidden="1" thickBot="1" x14ac:dyDescent="0.3">
      <c r="A2651" s="176"/>
      <c r="B2651" s="175"/>
      <c r="C2651" s="32"/>
      <c r="D2651" s="32"/>
      <c r="E2651" s="33"/>
      <c r="F2651" s="43" t="s">
        <v>568</v>
      </c>
      <c r="G2651" s="34" t="str">
        <f>IF(ISNUMBER(F2651),E2651*F2651,"")</f>
        <v/>
      </c>
      <c r="H2651" s="35"/>
      <c r="I2651" s="31"/>
      <c r="J2651" s="155">
        <v>0</v>
      </c>
    </row>
    <row r="2652" spans="1:10" ht="26.25" hidden="1" thickBot="1" x14ac:dyDescent="0.3">
      <c r="A2652" s="176"/>
      <c r="B2652" s="175"/>
      <c r="C2652" s="36" t="s">
        <v>3599</v>
      </c>
      <c r="D2652" s="36" t="s">
        <v>42</v>
      </c>
      <c r="E2652" s="37">
        <v>1</v>
      </c>
      <c r="F2652" s="31">
        <v>18.838499999999996</v>
      </c>
      <c r="G2652" s="34">
        <f>IF(ISNUMBER(F2652),E2652*F2652,"")</f>
        <v>18.838499999999996</v>
      </c>
      <c r="H2652" s="39">
        <f>SUM(G2652:G2652)</f>
        <v>18.838499999999996</v>
      </c>
      <c r="I2652" s="40"/>
      <c r="J2652" s="155">
        <v>0</v>
      </c>
    </row>
    <row r="2653" spans="1:10" ht="15.75" hidden="1" thickBot="1" x14ac:dyDescent="0.3">
      <c r="A2653" s="177"/>
      <c r="B2653" s="178"/>
      <c r="C2653" s="36"/>
      <c r="D2653" s="36"/>
      <c r="E2653" s="37"/>
      <c r="F2653" s="31" t="s">
        <v>568</v>
      </c>
      <c r="G2653" s="34" t="str">
        <f>IF(ISNUMBER(F2653),E2653*F2653,"")</f>
        <v/>
      </c>
      <c r="H2653" s="35"/>
      <c r="I2653" s="31"/>
      <c r="J2653" s="155">
        <v>0</v>
      </c>
    </row>
    <row r="2654" spans="1:10" ht="15.75" hidden="1" thickBot="1" x14ac:dyDescent="0.3">
      <c r="A2654" s="172" t="s">
        <v>828</v>
      </c>
      <c r="B2654" s="174" t="str">
        <f>INDEX(Orçamentária!A:B,MATCH(Composições!A2654,Orçamentária!A:A,0),2)</f>
        <v>Adesivo Estrutural Epóxi Bicomponente</v>
      </c>
      <c r="C2654" s="41"/>
      <c r="D2654" s="26" t="str">
        <f>TRIM(INDEX(Orçamentária!C:C,MATCH(Composições!A2654,Orçamentária!A:A,0),1))</f>
        <v>kg</v>
      </c>
      <c r="E2654" s="27"/>
      <c r="F2654" s="42" t="s">
        <v>568</v>
      </c>
      <c r="G2654" s="28" t="str">
        <f>IF(ISNUMBER(F2654),E2654*F2654,"")</f>
        <v/>
      </c>
      <c r="H2654" s="29"/>
      <c r="I2654" s="30"/>
      <c r="J2654" s="155">
        <v>0</v>
      </c>
    </row>
    <row r="2655" spans="1:10" ht="15.75" hidden="1" thickBot="1" x14ac:dyDescent="0.3">
      <c r="A2655" s="176"/>
      <c r="B2655" s="175"/>
      <c r="C2655" s="32"/>
      <c r="D2655" s="32"/>
      <c r="E2655" s="33"/>
      <c r="F2655" s="43" t="s">
        <v>568</v>
      </c>
      <c r="G2655" s="34" t="str">
        <f>IF(ISNUMBER(F2655),E2655*F2655,"")</f>
        <v/>
      </c>
      <c r="H2655" s="35"/>
      <c r="I2655" s="31"/>
      <c r="J2655" s="155">
        <v>0</v>
      </c>
    </row>
    <row r="2656" spans="1:10" ht="26.25" hidden="1" thickBot="1" x14ac:dyDescent="0.3">
      <c r="A2656" s="176"/>
      <c r="B2656" s="175"/>
      <c r="C2656" s="36" t="s">
        <v>3433</v>
      </c>
      <c r="D2656" s="36" t="s">
        <v>42</v>
      </c>
      <c r="E2656" s="37">
        <v>1</v>
      </c>
      <c r="F2656" s="31">
        <v>43.300999999999995</v>
      </c>
      <c r="G2656" s="34">
        <f>IF(ISNUMBER(F2656),E2656*F2656,"")</f>
        <v>43.300999999999995</v>
      </c>
      <c r="H2656" s="39">
        <f>SUM(G2656:G2656)</f>
        <v>43.300999999999995</v>
      </c>
      <c r="I2656" s="40"/>
      <c r="J2656" s="155">
        <v>0</v>
      </c>
    </row>
    <row r="2657" spans="1:10" ht="15.75" hidden="1" thickBot="1" x14ac:dyDescent="0.3">
      <c r="A2657" s="177"/>
      <c r="B2657" s="178"/>
      <c r="C2657" s="36"/>
      <c r="D2657" s="36"/>
      <c r="E2657" s="37"/>
      <c r="F2657" s="31" t="s">
        <v>568</v>
      </c>
      <c r="G2657" s="34" t="str">
        <f>IF(ISNUMBER(F2657),E2657*F2657,"")</f>
        <v/>
      </c>
      <c r="H2657" s="35"/>
      <c r="I2657" s="31"/>
      <c r="J2657" s="155">
        <v>0</v>
      </c>
    </row>
    <row r="2658" spans="1:10" ht="15.75" hidden="1" thickBot="1" x14ac:dyDescent="0.3">
      <c r="A2658" s="172" t="s">
        <v>2351</v>
      </c>
      <c r="B2658" s="174" t="str">
        <f>INDEX(Orçamentária!A:B,MATCH(Composições!A2658,Orçamentária!A:A,0),2)</f>
        <v>Selante de Silicone</v>
      </c>
      <c r="C2658" s="41"/>
      <c r="D2658" s="26" t="str">
        <f>TRIM(INDEX(Orçamentária!C:C,MATCH(Composições!A2658,Orçamentária!A:A,0),1))</f>
        <v>un</v>
      </c>
      <c r="E2658" s="27"/>
      <c r="F2658" s="42" t="s">
        <v>568</v>
      </c>
      <c r="G2658" s="28" t="str">
        <f>IF(ISNUMBER(F2658),E2658*F2658,"")</f>
        <v/>
      </c>
      <c r="H2658" s="29"/>
      <c r="I2658" s="30"/>
      <c r="J2658" s="155">
        <v>0</v>
      </c>
    </row>
    <row r="2659" spans="1:10" ht="15.75" hidden="1" thickBot="1" x14ac:dyDescent="0.3">
      <c r="A2659" s="176"/>
      <c r="B2659" s="175"/>
      <c r="C2659" s="32"/>
      <c r="D2659" s="32"/>
      <c r="E2659" s="33"/>
      <c r="F2659" s="43" t="s">
        <v>568</v>
      </c>
      <c r="G2659" s="34" t="str">
        <f>IF(ISNUMBER(F2659),E2659*F2659,"")</f>
        <v/>
      </c>
      <c r="H2659" s="35"/>
      <c r="I2659" s="31"/>
      <c r="J2659" s="155">
        <v>0</v>
      </c>
    </row>
    <row r="2660" spans="1:10" ht="15.75" hidden="1" thickBot="1" x14ac:dyDescent="0.3">
      <c r="A2660" s="176"/>
      <c r="B2660" s="175"/>
      <c r="C2660" s="36" t="s">
        <v>1190</v>
      </c>
      <c r="D2660" s="47" t="s">
        <v>20</v>
      </c>
      <c r="E2660" s="37">
        <v>1</v>
      </c>
      <c r="F2660" s="31">
        <v>18.515499999999999</v>
      </c>
      <c r="G2660" s="34">
        <f>IF(ISNUMBER(F2660),E2660*F2660,"")</f>
        <v>18.515499999999999</v>
      </c>
      <c r="H2660" s="39">
        <f>SUM(G2660:G2660)</f>
        <v>18.515499999999999</v>
      </c>
      <c r="I2660" s="40"/>
      <c r="J2660" s="155">
        <v>0</v>
      </c>
    </row>
    <row r="2661" spans="1:10" ht="15.75" hidden="1" thickBot="1" x14ac:dyDescent="0.3">
      <c r="A2661" s="177"/>
      <c r="B2661" s="178"/>
      <c r="C2661" s="36"/>
      <c r="D2661" s="36"/>
      <c r="E2661" s="37"/>
      <c r="F2661" s="31" t="s">
        <v>568</v>
      </c>
      <c r="G2661" s="34" t="str">
        <f>IF(ISNUMBER(F2661),E2661*F2661,"")</f>
        <v/>
      </c>
      <c r="H2661" s="35"/>
      <c r="I2661" s="31"/>
      <c r="J2661" s="155">
        <v>0</v>
      </c>
    </row>
    <row r="2662" spans="1:10" ht="15.75" hidden="1" thickBot="1" x14ac:dyDescent="0.3">
      <c r="A2662" s="172" t="s">
        <v>830</v>
      </c>
      <c r="B2662" s="174" t="str">
        <f>INDEX(Orçamentária!A:B,MATCH(Composições!A2662,Orçamentária!A:A,0),2)</f>
        <v>Aditivo Impermeabilizante</v>
      </c>
      <c r="C2662" s="41"/>
      <c r="D2662" s="26" t="str">
        <f>TRIM(INDEX(Orçamentária!C:C,MATCH(Composições!A2662,Orçamentária!A:A,0),1))</f>
        <v>L</v>
      </c>
      <c r="E2662" s="27"/>
      <c r="F2662" s="42" t="s">
        <v>568</v>
      </c>
      <c r="G2662" s="28" t="str">
        <f>IF(ISNUMBER(F2662),E2662*F2662,"")</f>
        <v/>
      </c>
      <c r="H2662" s="29"/>
      <c r="I2662" s="30"/>
      <c r="J2662" s="155">
        <v>0</v>
      </c>
    </row>
    <row r="2663" spans="1:10" ht="15.75" hidden="1" thickBot="1" x14ac:dyDescent="0.3">
      <c r="A2663" s="176"/>
      <c r="B2663" s="175"/>
      <c r="C2663" s="32"/>
      <c r="D2663" s="32"/>
      <c r="E2663" s="33"/>
      <c r="F2663" s="43" t="s">
        <v>568</v>
      </c>
      <c r="G2663" s="34" t="str">
        <f>IF(ISNUMBER(F2663),E2663*F2663,"")</f>
        <v/>
      </c>
      <c r="H2663" s="35"/>
      <c r="I2663" s="31"/>
      <c r="J2663" s="155">
        <v>0</v>
      </c>
    </row>
    <row r="2664" spans="1:10" ht="39" hidden="1" thickBot="1" x14ac:dyDescent="0.3">
      <c r="A2664" s="176"/>
      <c r="B2664" s="175"/>
      <c r="C2664" s="36" t="s">
        <v>831</v>
      </c>
      <c r="D2664" s="47" t="s">
        <v>104</v>
      </c>
      <c r="E2664" s="37">
        <v>1</v>
      </c>
      <c r="F2664" s="31">
        <v>5.8425000000000002</v>
      </c>
      <c r="G2664" s="34">
        <f>IF(ISNUMBER(F2664),E2664*F2664,"")</f>
        <v>5.8425000000000002</v>
      </c>
      <c r="H2664" s="39">
        <f>SUM(G2664:G2664)</f>
        <v>5.8425000000000002</v>
      </c>
      <c r="I2664" s="40"/>
      <c r="J2664" s="155">
        <v>0</v>
      </c>
    </row>
    <row r="2665" spans="1:10" ht="15.75" hidden="1" thickBot="1" x14ac:dyDescent="0.3">
      <c r="A2665" s="177"/>
      <c r="B2665" s="178"/>
      <c r="C2665" s="36"/>
      <c r="D2665" s="36"/>
      <c r="E2665" s="37"/>
      <c r="F2665" s="31" t="s">
        <v>568</v>
      </c>
      <c r="G2665" s="34" t="str">
        <f>IF(ISNUMBER(F2665),E2665*F2665,"")</f>
        <v/>
      </c>
      <c r="H2665" s="35"/>
      <c r="I2665" s="31"/>
      <c r="J2665" s="155">
        <v>0</v>
      </c>
    </row>
    <row r="2666" spans="1:10" ht="15.75" hidden="1" thickBot="1" x14ac:dyDescent="0.3">
      <c r="A2666" s="172" t="s">
        <v>2368</v>
      </c>
      <c r="B2666" s="174" t="str">
        <f>INDEX(Orçamentária!A:B,MATCH(Composições!A2666,Orçamentária!A:A,0),2)</f>
        <v>Lona Plástica</v>
      </c>
      <c r="C2666" s="41"/>
      <c r="D2666" s="26" t="str">
        <f>TRIM(INDEX(Orçamentária!C:C,MATCH(Composições!A2666,Orçamentária!A:A,0),1))</f>
        <v>m2</v>
      </c>
      <c r="E2666" s="27"/>
      <c r="F2666" s="42" t="s">
        <v>568</v>
      </c>
      <c r="G2666" s="28" t="str">
        <f>IF(ISNUMBER(F2666),E2666*F2666,"")</f>
        <v/>
      </c>
      <c r="H2666" s="29"/>
      <c r="I2666" s="30"/>
      <c r="J2666" s="155">
        <v>0</v>
      </c>
    </row>
    <row r="2667" spans="1:10" ht="15.75" hidden="1" thickBot="1" x14ac:dyDescent="0.3">
      <c r="A2667" s="176"/>
      <c r="B2667" s="175"/>
      <c r="C2667" s="32"/>
      <c r="D2667" s="32"/>
      <c r="E2667" s="33"/>
      <c r="F2667" s="43" t="s">
        <v>568</v>
      </c>
      <c r="G2667" s="34" t="str">
        <f>IF(ISNUMBER(F2667),E2667*F2667,"")</f>
        <v/>
      </c>
      <c r="H2667" s="35"/>
      <c r="I2667" s="31"/>
      <c r="J2667" s="155">
        <v>0</v>
      </c>
    </row>
    <row r="2668" spans="1:10" ht="15.75" hidden="1" thickBot="1" x14ac:dyDescent="0.3">
      <c r="A2668" s="176"/>
      <c r="B2668" s="175"/>
      <c r="C2668" s="36" t="s">
        <v>3775</v>
      </c>
      <c r="D2668" s="47" t="s">
        <v>95</v>
      </c>
      <c r="E2668" s="37">
        <v>1</v>
      </c>
      <c r="F2668" s="31">
        <v>1.0924999999999998</v>
      </c>
      <c r="G2668" s="34">
        <f>IF(ISNUMBER(F2668),E2668*F2668,"")</f>
        <v>1.0924999999999998</v>
      </c>
      <c r="H2668" s="39">
        <f>SUM(G2668:G2668)</f>
        <v>1.0924999999999998</v>
      </c>
      <c r="I2668" s="40"/>
      <c r="J2668" s="155">
        <v>0</v>
      </c>
    </row>
    <row r="2669" spans="1:10" ht="15.75" hidden="1" thickBot="1" x14ac:dyDescent="0.3">
      <c r="A2669" s="177"/>
      <c r="B2669" s="178"/>
      <c r="C2669" s="36"/>
      <c r="D2669" s="36"/>
      <c r="E2669" s="37"/>
      <c r="F2669" s="31" t="s">
        <v>568</v>
      </c>
      <c r="G2669" s="34" t="str">
        <f>IF(ISNUMBER(F2669),E2669*F2669,"")</f>
        <v/>
      </c>
      <c r="H2669" s="35"/>
      <c r="I2669" s="31"/>
      <c r="J2669" s="155">
        <v>0</v>
      </c>
    </row>
    <row r="2670" spans="1:10" ht="15.75" hidden="1" thickBot="1" x14ac:dyDescent="0.3">
      <c r="A2670" s="172" t="s">
        <v>832</v>
      </c>
      <c r="B2670" s="174" t="str">
        <f>INDEX(Orçamentária!A:B,MATCH(Composições!A2670,Orçamentária!A:A,0),2)</f>
        <v>Supervisor(a)-Geral</v>
      </c>
      <c r="C2670" s="41"/>
      <c r="D2670" s="26" t="str">
        <f>TRIM(INDEX(Orçamentária!C:C,MATCH(Composições!A2670,Orçamentária!A:A,0),1))</f>
        <v>Profissional</v>
      </c>
      <c r="E2670" s="27"/>
      <c r="F2670" s="42" t="s">
        <v>568</v>
      </c>
      <c r="G2670" s="28" t="str">
        <f>IF(ISNUMBER(F2670),E2670*F2670,"")</f>
        <v/>
      </c>
      <c r="H2670" s="29"/>
      <c r="I2670" s="30"/>
      <c r="J2670" s="155">
        <v>0</v>
      </c>
    </row>
    <row r="2671" spans="1:10" ht="15.75" hidden="1" thickBot="1" x14ac:dyDescent="0.3">
      <c r="A2671" s="176"/>
      <c r="B2671" s="175"/>
      <c r="C2671" s="32"/>
      <c r="D2671" s="32"/>
      <c r="E2671" s="33"/>
      <c r="F2671" s="43" t="s">
        <v>568</v>
      </c>
      <c r="G2671" s="34" t="str">
        <f>IF(ISNUMBER(F2671),E2671*F2671,"")</f>
        <v/>
      </c>
      <c r="H2671" s="35"/>
      <c r="I2671" s="31"/>
      <c r="J2671" s="155">
        <v>0</v>
      </c>
    </row>
    <row r="2672" spans="1:10" ht="26.25" hidden="1" thickBot="1" x14ac:dyDescent="0.3">
      <c r="A2672" s="176"/>
      <c r="B2672" s="175"/>
      <c r="C2672" s="36" t="s">
        <v>833</v>
      </c>
      <c r="D2672" s="47" t="s">
        <v>12</v>
      </c>
      <c r="E2672" s="37">
        <f>ROUND(220/(1+112.85%),4)</f>
        <v>103.3592</v>
      </c>
      <c r="F2672" s="31">
        <v>100.3295</v>
      </c>
      <c r="G2672" s="34">
        <f>IF(ISNUMBER(F2672),E2672*F2672,"")</f>
        <v>10369.976856400001</v>
      </c>
      <c r="H2672" s="39">
        <f>SUM(G2672:G2672)</f>
        <v>10369.976856400001</v>
      </c>
      <c r="I2672" s="40"/>
      <c r="J2672" s="155">
        <v>0</v>
      </c>
    </row>
    <row r="2673" spans="1:10" ht="15.75" hidden="1" thickBot="1" x14ac:dyDescent="0.3">
      <c r="A2673" s="176"/>
      <c r="B2673" s="175"/>
      <c r="C2673" s="36"/>
      <c r="D2673" s="47"/>
      <c r="E2673" s="37"/>
      <c r="F2673" s="31" t="s">
        <v>568</v>
      </c>
      <c r="G2673" s="34" t="str">
        <f>IF(ISNUMBER(F2673),E2673*F2673,"")</f>
        <v/>
      </c>
      <c r="H2673" s="39"/>
      <c r="I2673" s="40"/>
      <c r="J2673" s="155">
        <v>0</v>
      </c>
    </row>
    <row r="2674" spans="1:10" ht="26.25" hidden="1" thickBot="1" x14ac:dyDescent="0.3">
      <c r="A2674" s="176"/>
      <c r="B2674" s="175"/>
      <c r="C2674" s="48" t="s">
        <v>834</v>
      </c>
      <c r="D2674" s="47"/>
      <c r="E2674" s="37"/>
      <c r="F2674" s="31" t="s">
        <v>568</v>
      </c>
      <c r="G2674" s="34" t="str">
        <f>IF(ISNUMBER(F2674),E2674*F2674,"")</f>
        <v/>
      </c>
      <c r="H2674" s="39"/>
      <c r="I2674" s="40"/>
      <c r="J2674" s="155">
        <v>0</v>
      </c>
    </row>
    <row r="2675" spans="1:10" ht="15.75" hidden="1" thickBot="1" x14ac:dyDescent="0.3">
      <c r="A2675" s="177"/>
      <c r="B2675" s="178"/>
      <c r="C2675" s="36"/>
      <c r="D2675" s="36"/>
      <c r="E2675" s="37"/>
      <c r="F2675" s="31" t="s">
        <v>568</v>
      </c>
      <c r="G2675" s="34" t="str">
        <f>IF(ISNUMBER(F2675),E2675*F2675,"")</f>
        <v/>
      </c>
      <c r="H2675" s="35"/>
      <c r="I2675" s="31"/>
      <c r="J2675" s="155">
        <v>0</v>
      </c>
    </row>
    <row r="2676" spans="1:10" ht="15.75" hidden="1" thickBot="1" x14ac:dyDescent="0.3">
      <c r="A2676" s="172" t="s">
        <v>835</v>
      </c>
      <c r="B2676" s="174" t="str">
        <f>INDEX(Orçamentária!A:B,MATCH(Composições!A2676,Orçamentária!A:A,0),2)</f>
        <v>Apoio Técnico Administrativo – Controle de Almoxarifado</v>
      </c>
      <c r="C2676" s="41"/>
      <c r="D2676" s="26" t="str">
        <f>TRIM(INDEX(Orçamentária!C:C,MATCH(Composições!A2676,Orçamentária!A:A,0),1))</f>
        <v>Profissional</v>
      </c>
      <c r="E2676" s="27"/>
      <c r="F2676" s="42" t="s">
        <v>568</v>
      </c>
      <c r="G2676" s="28" t="str">
        <f>IF(ISNUMBER(F2676),E2676*F2676,"")</f>
        <v/>
      </c>
      <c r="H2676" s="29"/>
      <c r="I2676" s="30"/>
      <c r="J2676" s="155">
        <v>0</v>
      </c>
    </row>
    <row r="2677" spans="1:10" ht="15.75" hidden="1" thickBot="1" x14ac:dyDescent="0.3">
      <c r="A2677" s="173"/>
      <c r="B2677" s="175"/>
      <c r="C2677" s="32"/>
      <c r="D2677" s="32"/>
      <c r="E2677" s="33"/>
      <c r="F2677" s="43" t="s">
        <v>568</v>
      </c>
      <c r="G2677" s="34" t="str">
        <f>IF(ISNUMBER(F2677),E2677*F2677,"")</f>
        <v/>
      </c>
      <c r="H2677" s="35"/>
      <c r="I2677" s="31"/>
      <c r="J2677" s="155">
        <v>0</v>
      </c>
    </row>
    <row r="2678" spans="1:10" ht="15.75" hidden="1" thickBot="1" x14ac:dyDescent="0.3">
      <c r="A2678" s="173"/>
      <c r="B2678" s="175"/>
      <c r="C2678" s="36" t="s">
        <v>836</v>
      </c>
      <c r="D2678" s="47" t="s">
        <v>12</v>
      </c>
      <c r="E2678" s="37">
        <f>ROUND(220/(1+112.85%),4)</f>
        <v>103.3592</v>
      </c>
      <c r="F2678" s="31">
        <v>26.058499999999999</v>
      </c>
      <c r="G2678" s="34">
        <f>IF(ISNUMBER(F2678),E2678*F2678,"")</f>
        <v>2693.3857131999998</v>
      </c>
      <c r="H2678" s="39">
        <f>SUM(G2678:G2678)</f>
        <v>2693.3857131999998</v>
      </c>
      <c r="I2678" s="40"/>
      <c r="J2678" s="155">
        <v>0</v>
      </c>
    </row>
    <row r="2679" spans="1:10" ht="15.75" hidden="1" thickBot="1" x14ac:dyDescent="0.3">
      <c r="A2679" s="173"/>
      <c r="B2679" s="175"/>
      <c r="C2679" s="36"/>
      <c r="D2679" s="47"/>
      <c r="E2679" s="37"/>
      <c r="F2679" s="31" t="s">
        <v>568</v>
      </c>
      <c r="G2679" s="34" t="str">
        <f>IF(ISNUMBER(F2679),E2679*F2679,"")</f>
        <v/>
      </c>
      <c r="H2679" s="39"/>
      <c r="I2679" s="40"/>
      <c r="J2679" s="155">
        <v>0</v>
      </c>
    </row>
    <row r="2680" spans="1:10" ht="26.25" hidden="1" thickBot="1" x14ac:dyDescent="0.3">
      <c r="A2680" s="173"/>
      <c r="B2680" s="175"/>
      <c r="C2680" s="48" t="s">
        <v>834</v>
      </c>
      <c r="D2680" s="47"/>
      <c r="E2680" s="37"/>
      <c r="F2680" s="31" t="s">
        <v>568</v>
      </c>
      <c r="G2680" s="34" t="str">
        <f>IF(ISNUMBER(F2680),E2680*F2680,"")</f>
        <v/>
      </c>
      <c r="H2680" s="39"/>
      <c r="I2680" s="40"/>
      <c r="J2680" s="155">
        <v>0</v>
      </c>
    </row>
    <row r="2681" spans="1:10" ht="15.75" hidden="1" thickBot="1" x14ac:dyDescent="0.3">
      <c r="A2681" s="185"/>
      <c r="B2681" s="178"/>
      <c r="C2681" s="36"/>
      <c r="D2681" s="36"/>
      <c r="E2681" s="37"/>
      <c r="F2681" s="31" t="s">
        <v>568</v>
      </c>
      <c r="G2681" s="34" t="str">
        <f>IF(ISNUMBER(F2681),E2681*F2681,"")</f>
        <v/>
      </c>
      <c r="H2681" s="35"/>
      <c r="I2681" s="31"/>
      <c r="J2681" s="155">
        <v>0</v>
      </c>
    </row>
    <row r="2682" spans="1:10" ht="15.75" hidden="1" thickBot="1" x14ac:dyDescent="0.3">
      <c r="A2682" s="172" t="s">
        <v>837</v>
      </c>
      <c r="B2682" s="174" t="str">
        <f>INDEX(Orçamentária!A:B,MATCH(Composições!A2682,Orçamentária!A:A,0),2)</f>
        <v>Ajudante de Serviços Gerais</v>
      </c>
      <c r="C2682" s="41"/>
      <c r="D2682" s="26" t="str">
        <f>TRIM(INDEX(Orçamentária!C:C,MATCH(Composições!A2682,Orçamentária!A:A,0),1))</f>
        <v>Profissional</v>
      </c>
      <c r="E2682" s="27"/>
      <c r="F2682" s="42" t="s">
        <v>568</v>
      </c>
      <c r="G2682" s="28" t="str">
        <f>IF(ISNUMBER(F2682),E2682*F2682,"")</f>
        <v/>
      </c>
      <c r="H2682" s="29"/>
      <c r="I2682" s="30"/>
      <c r="J2682" s="155">
        <v>0</v>
      </c>
    </row>
    <row r="2683" spans="1:10" ht="15.75" hidden="1" thickBot="1" x14ac:dyDescent="0.3">
      <c r="A2683" s="176"/>
      <c r="B2683" s="175"/>
      <c r="C2683" s="32"/>
      <c r="D2683" s="32"/>
      <c r="E2683" s="33"/>
      <c r="F2683" s="43" t="s">
        <v>568</v>
      </c>
      <c r="G2683" s="34" t="str">
        <f>IF(ISNUMBER(F2683),E2683*F2683,"")</f>
        <v/>
      </c>
      <c r="H2683" s="35"/>
      <c r="I2683" s="31"/>
      <c r="J2683" s="155">
        <v>0</v>
      </c>
    </row>
    <row r="2684" spans="1:10" ht="15.75" hidden="1" thickBot="1" x14ac:dyDescent="0.3">
      <c r="A2684" s="176"/>
      <c r="B2684" s="175"/>
      <c r="C2684" s="36" t="s">
        <v>756</v>
      </c>
      <c r="D2684" s="47" t="s">
        <v>12</v>
      </c>
      <c r="E2684" s="37">
        <f>ROUND(220/(1+112.85%),4)</f>
        <v>103.3592</v>
      </c>
      <c r="F2684" s="31">
        <v>16.311500000000002</v>
      </c>
      <c r="G2684" s="34">
        <f>IF(ISNUMBER(F2684),E2684*F2684,"")</f>
        <v>1685.9435908000003</v>
      </c>
      <c r="H2684" s="39">
        <f>SUM(G2684:G2684)</f>
        <v>1685.9435908000003</v>
      </c>
      <c r="I2684" s="40"/>
      <c r="J2684" s="155">
        <v>0</v>
      </c>
    </row>
    <row r="2685" spans="1:10" ht="15.75" hidden="1" thickBot="1" x14ac:dyDescent="0.3">
      <c r="A2685" s="176"/>
      <c r="B2685" s="175"/>
      <c r="C2685" s="36"/>
      <c r="D2685" s="47"/>
      <c r="E2685" s="37"/>
      <c r="F2685" s="31" t="s">
        <v>568</v>
      </c>
      <c r="G2685" s="34" t="str">
        <f>IF(ISNUMBER(F2685),E2685*F2685,"")</f>
        <v/>
      </c>
      <c r="H2685" s="39"/>
      <c r="I2685" s="40"/>
      <c r="J2685" s="155">
        <v>0</v>
      </c>
    </row>
    <row r="2686" spans="1:10" ht="26.25" hidden="1" thickBot="1" x14ac:dyDescent="0.3">
      <c r="A2686" s="176"/>
      <c r="B2686" s="175"/>
      <c r="C2686" s="48" t="s">
        <v>834</v>
      </c>
      <c r="D2686" s="47"/>
      <c r="E2686" s="37"/>
      <c r="F2686" s="31" t="s">
        <v>568</v>
      </c>
      <c r="G2686" s="34" t="str">
        <f>IF(ISNUMBER(F2686),E2686*F2686,"")</f>
        <v/>
      </c>
      <c r="H2686" s="39"/>
      <c r="I2686" s="40"/>
      <c r="J2686" s="155">
        <v>0</v>
      </c>
    </row>
    <row r="2687" spans="1:10" ht="15.75" hidden="1" thickBot="1" x14ac:dyDescent="0.3">
      <c r="A2687" s="177"/>
      <c r="B2687" s="178"/>
      <c r="C2687" s="36"/>
      <c r="D2687" s="36"/>
      <c r="E2687" s="37"/>
      <c r="F2687" s="31" t="s">
        <v>568</v>
      </c>
      <c r="G2687" s="34" t="str">
        <f>IF(ISNUMBER(F2687),E2687*F2687,"")</f>
        <v/>
      </c>
      <c r="H2687" s="35"/>
      <c r="I2687" s="31"/>
      <c r="J2687" s="155">
        <v>0</v>
      </c>
    </row>
    <row r="2688" spans="1:10" ht="15.75" hidden="1" thickBot="1" x14ac:dyDescent="0.3">
      <c r="A2688" s="172" t="s">
        <v>838</v>
      </c>
      <c r="B2688" s="174" t="str">
        <f>INDEX(Orçamentária!A:B,MATCH(Composições!A2688,Orçamentária!A:A,0),2)</f>
        <v>Ajudante de Marceneiro(a)</v>
      </c>
      <c r="C2688" s="41"/>
      <c r="D2688" s="26" t="str">
        <f>TRIM(INDEX(Orçamentária!C:C,MATCH(Composições!A2688,Orçamentária!A:A,0),1))</f>
        <v>Profissional</v>
      </c>
      <c r="E2688" s="27"/>
      <c r="F2688" s="42" t="s">
        <v>568</v>
      </c>
      <c r="G2688" s="28" t="str">
        <f>IF(ISNUMBER(F2688),E2688*F2688,"")</f>
        <v/>
      </c>
      <c r="H2688" s="29"/>
      <c r="I2688" s="30"/>
      <c r="J2688" s="155">
        <v>0</v>
      </c>
    </row>
    <row r="2689" spans="1:10" ht="15.75" hidden="1" thickBot="1" x14ac:dyDescent="0.3">
      <c r="A2689" s="176"/>
      <c r="B2689" s="175"/>
      <c r="C2689" s="32"/>
      <c r="D2689" s="32"/>
      <c r="E2689" s="33"/>
      <c r="F2689" s="43" t="s">
        <v>568</v>
      </c>
      <c r="G2689" s="34" t="str">
        <f>IF(ISNUMBER(F2689),E2689*F2689,"")</f>
        <v/>
      </c>
      <c r="H2689" s="35"/>
      <c r="I2689" s="31"/>
      <c r="J2689" s="155">
        <v>0</v>
      </c>
    </row>
    <row r="2690" spans="1:10" ht="15.75" hidden="1" thickBot="1" x14ac:dyDescent="0.3">
      <c r="A2690" s="176"/>
      <c r="B2690" s="175"/>
      <c r="C2690" s="36" t="s">
        <v>839</v>
      </c>
      <c r="D2690" s="47" t="s">
        <v>12</v>
      </c>
      <c r="E2690" s="37">
        <f>ROUND(220/(1+112.85%),4)</f>
        <v>103.3592</v>
      </c>
      <c r="F2690" s="31">
        <v>18.468</v>
      </c>
      <c r="G2690" s="34">
        <f>IF(ISNUMBER(F2690),E2690*F2690,"")</f>
        <v>1908.8377055999999</v>
      </c>
      <c r="H2690" s="39">
        <f>SUM(G2690:G2690)</f>
        <v>1908.8377055999999</v>
      </c>
      <c r="I2690" s="40"/>
      <c r="J2690" s="155">
        <v>0</v>
      </c>
    </row>
    <row r="2691" spans="1:10" ht="15.75" hidden="1" thickBot="1" x14ac:dyDescent="0.3">
      <c r="A2691" s="176"/>
      <c r="B2691" s="175"/>
      <c r="C2691" s="36"/>
      <c r="D2691" s="47"/>
      <c r="E2691" s="37"/>
      <c r="F2691" s="31" t="s">
        <v>568</v>
      </c>
      <c r="G2691" s="34" t="str">
        <f>IF(ISNUMBER(F2691),E2691*F2691,"")</f>
        <v/>
      </c>
      <c r="H2691" s="39"/>
      <c r="I2691" s="40"/>
      <c r="J2691" s="155">
        <v>0</v>
      </c>
    </row>
    <row r="2692" spans="1:10" ht="26.25" hidden="1" thickBot="1" x14ac:dyDescent="0.3">
      <c r="A2692" s="176"/>
      <c r="B2692" s="175"/>
      <c r="C2692" s="48" t="s">
        <v>834</v>
      </c>
      <c r="D2692" s="47"/>
      <c r="E2692" s="37"/>
      <c r="F2692" s="31" t="s">
        <v>568</v>
      </c>
      <c r="G2692" s="34" t="str">
        <f>IF(ISNUMBER(F2692),E2692*F2692,"")</f>
        <v/>
      </c>
      <c r="H2692" s="39"/>
      <c r="I2692" s="40"/>
      <c r="J2692" s="155">
        <v>0</v>
      </c>
    </row>
    <row r="2693" spans="1:10" ht="15.75" hidden="1" thickBot="1" x14ac:dyDescent="0.3">
      <c r="A2693" s="177"/>
      <c r="B2693" s="178"/>
      <c r="C2693" s="36"/>
      <c r="D2693" s="36"/>
      <c r="E2693" s="37"/>
      <c r="F2693" s="31" t="s">
        <v>568</v>
      </c>
      <c r="G2693" s="34" t="str">
        <f>IF(ISNUMBER(F2693),E2693*F2693,"")</f>
        <v/>
      </c>
      <c r="H2693" s="35"/>
      <c r="I2693" s="31"/>
      <c r="J2693" s="155">
        <v>0</v>
      </c>
    </row>
    <row r="2694" spans="1:10" ht="15.75" hidden="1" thickBot="1" x14ac:dyDescent="0.3">
      <c r="A2694" s="172" t="s">
        <v>840</v>
      </c>
      <c r="B2694" s="174" t="str">
        <f>INDEX(Orçamentária!A:B,MATCH(Composições!A2694,Orçamentária!A:A,0),2)</f>
        <v>Ajudante de Serralheiro(a)</v>
      </c>
      <c r="C2694" s="41"/>
      <c r="D2694" s="26" t="str">
        <f>TRIM(INDEX(Orçamentária!C:C,MATCH(Composições!A2694,Orçamentária!A:A,0),1))</f>
        <v>Profissional</v>
      </c>
      <c r="E2694" s="27"/>
      <c r="F2694" s="42" t="s">
        <v>568</v>
      </c>
      <c r="G2694" s="28" t="str">
        <f>IF(ISNUMBER(F2694),E2694*F2694,"")</f>
        <v/>
      </c>
      <c r="H2694" s="29"/>
      <c r="I2694" s="30"/>
      <c r="J2694" s="155">
        <v>0</v>
      </c>
    </row>
    <row r="2695" spans="1:10" ht="15.75" hidden="1" thickBot="1" x14ac:dyDescent="0.3">
      <c r="A2695" s="176"/>
      <c r="B2695" s="175"/>
      <c r="C2695" s="32"/>
      <c r="D2695" s="32"/>
      <c r="E2695" s="33"/>
      <c r="F2695" s="43" t="s">
        <v>568</v>
      </c>
      <c r="G2695" s="34" t="str">
        <f>IF(ISNUMBER(F2695),E2695*F2695,"")</f>
        <v/>
      </c>
      <c r="H2695" s="35"/>
      <c r="I2695" s="31"/>
      <c r="J2695" s="155">
        <v>0</v>
      </c>
    </row>
    <row r="2696" spans="1:10" ht="15.75" hidden="1" thickBot="1" x14ac:dyDescent="0.3">
      <c r="A2696" s="176"/>
      <c r="B2696" s="175"/>
      <c r="C2696" s="36" t="s">
        <v>841</v>
      </c>
      <c r="D2696" s="47" t="s">
        <v>12</v>
      </c>
      <c r="E2696" s="37">
        <f>ROUND(220/(1+112.85%),4)</f>
        <v>103.3592</v>
      </c>
      <c r="F2696" s="31">
        <v>17.898</v>
      </c>
      <c r="G2696" s="34">
        <f>IF(ISNUMBER(F2696),E2696*F2696,"")</f>
        <v>1849.9229616</v>
      </c>
      <c r="H2696" s="39">
        <f>SUM(G2696:G2696)</f>
        <v>1849.9229616</v>
      </c>
      <c r="I2696" s="40"/>
      <c r="J2696" s="155">
        <v>0</v>
      </c>
    </row>
    <row r="2697" spans="1:10" ht="15.75" hidden="1" thickBot="1" x14ac:dyDescent="0.3">
      <c r="A2697" s="176"/>
      <c r="B2697" s="175"/>
      <c r="C2697" s="36"/>
      <c r="D2697" s="47"/>
      <c r="E2697" s="37"/>
      <c r="F2697" s="31" t="s">
        <v>568</v>
      </c>
      <c r="G2697" s="34" t="str">
        <f>IF(ISNUMBER(F2697),E2697*F2697,"")</f>
        <v/>
      </c>
      <c r="H2697" s="39"/>
      <c r="I2697" s="40"/>
      <c r="J2697" s="155">
        <v>0</v>
      </c>
    </row>
    <row r="2698" spans="1:10" ht="26.25" hidden="1" thickBot="1" x14ac:dyDescent="0.3">
      <c r="A2698" s="176"/>
      <c r="B2698" s="175"/>
      <c r="C2698" s="48" t="s">
        <v>834</v>
      </c>
      <c r="D2698" s="47"/>
      <c r="E2698" s="37"/>
      <c r="F2698" s="31" t="s">
        <v>568</v>
      </c>
      <c r="G2698" s="34" t="str">
        <f>IF(ISNUMBER(F2698),E2698*F2698,"")</f>
        <v/>
      </c>
      <c r="H2698" s="39"/>
      <c r="I2698" s="40"/>
      <c r="J2698" s="155">
        <v>0</v>
      </c>
    </row>
    <row r="2699" spans="1:10" ht="15.75" hidden="1" thickBot="1" x14ac:dyDescent="0.3">
      <c r="A2699" s="177"/>
      <c r="B2699" s="178"/>
      <c r="C2699" s="36"/>
      <c r="D2699" s="36"/>
      <c r="E2699" s="37"/>
      <c r="F2699" s="31" t="s">
        <v>568</v>
      </c>
      <c r="G2699" s="34" t="str">
        <f>IF(ISNUMBER(F2699),E2699*F2699,"")</f>
        <v/>
      </c>
      <c r="H2699" s="35"/>
      <c r="I2699" s="31"/>
      <c r="J2699" s="155">
        <v>0</v>
      </c>
    </row>
    <row r="2700" spans="1:10" ht="15.75" hidden="1" thickBot="1" x14ac:dyDescent="0.3">
      <c r="A2700" s="172" t="s">
        <v>842</v>
      </c>
      <c r="B2700" s="174" t="str">
        <f>INDEX(Orçamentária!A:B,MATCH(Composições!A2700,Orçamentária!A:A,0),2)</f>
        <v>Lustrador(a) de Móveis</v>
      </c>
      <c r="C2700" s="41"/>
      <c r="D2700" s="26" t="str">
        <f>TRIM(INDEX(Orçamentária!C:C,MATCH(Composições!A2700,Orçamentária!A:A,0),1))</f>
        <v>Profissional</v>
      </c>
      <c r="E2700" s="27"/>
      <c r="F2700" s="42" t="s">
        <v>568</v>
      </c>
      <c r="G2700" s="28" t="str">
        <f>IF(ISNUMBER(F2700),E2700*F2700,"")</f>
        <v/>
      </c>
      <c r="H2700" s="29"/>
      <c r="I2700" s="30"/>
      <c r="J2700" s="155">
        <v>0</v>
      </c>
    </row>
    <row r="2701" spans="1:10" ht="15.75" hidden="1" thickBot="1" x14ac:dyDescent="0.3">
      <c r="A2701" s="176"/>
      <c r="B2701" s="175"/>
      <c r="C2701" s="32"/>
      <c r="D2701" s="32"/>
      <c r="E2701" s="33"/>
      <c r="F2701" s="43" t="s">
        <v>568</v>
      </c>
      <c r="G2701" s="34" t="str">
        <f>IF(ISNUMBER(F2701),E2701*F2701,"")</f>
        <v/>
      </c>
      <c r="H2701" s="35"/>
      <c r="I2701" s="31"/>
      <c r="J2701" s="155">
        <v>0</v>
      </c>
    </row>
    <row r="2702" spans="1:10" ht="15.75" hidden="1" thickBot="1" x14ac:dyDescent="0.3">
      <c r="A2702" s="176"/>
      <c r="B2702" s="175"/>
      <c r="C2702" s="36" t="s">
        <v>656</v>
      </c>
      <c r="D2702" s="47" t="s">
        <v>12</v>
      </c>
      <c r="E2702" s="37">
        <f>ROUND(220/(1+112.85%),4)</f>
        <v>103.3592</v>
      </c>
      <c r="F2702" s="31">
        <v>22.268000000000001</v>
      </c>
      <c r="G2702" s="34">
        <f>IF(ISNUMBER(F2702),E2702*F2702,"")</f>
        <v>2301.6026655999999</v>
      </c>
      <c r="H2702" s="39">
        <f>SUM(G2702:G2702)</f>
        <v>2301.6026655999999</v>
      </c>
      <c r="I2702" s="40"/>
      <c r="J2702" s="155">
        <v>0</v>
      </c>
    </row>
    <row r="2703" spans="1:10" ht="15.75" hidden="1" thickBot="1" x14ac:dyDescent="0.3">
      <c r="A2703" s="176"/>
      <c r="B2703" s="175"/>
      <c r="C2703" s="36"/>
      <c r="D2703" s="47"/>
      <c r="E2703" s="37"/>
      <c r="F2703" s="31" t="s">
        <v>568</v>
      </c>
      <c r="G2703" s="34" t="str">
        <f>IF(ISNUMBER(F2703),E2703*F2703,"")</f>
        <v/>
      </c>
      <c r="H2703" s="39"/>
      <c r="I2703" s="40"/>
      <c r="J2703" s="155">
        <v>0</v>
      </c>
    </row>
    <row r="2704" spans="1:10" ht="26.25" hidden="1" thickBot="1" x14ac:dyDescent="0.3">
      <c r="A2704" s="176"/>
      <c r="B2704" s="175"/>
      <c r="C2704" s="48" t="s">
        <v>834</v>
      </c>
      <c r="D2704" s="47"/>
      <c r="E2704" s="37"/>
      <c r="F2704" s="31" t="s">
        <v>568</v>
      </c>
      <c r="G2704" s="34" t="str">
        <f>IF(ISNUMBER(F2704),E2704*F2704,"")</f>
        <v/>
      </c>
      <c r="H2704" s="39"/>
      <c r="I2704" s="40"/>
      <c r="J2704" s="155">
        <v>0</v>
      </c>
    </row>
    <row r="2705" spans="1:10" ht="15.75" hidden="1" thickBot="1" x14ac:dyDescent="0.3">
      <c r="A2705" s="177"/>
      <c r="B2705" s="178"/>
      <c r="C2705" s="36"/>
      <c r="D2705" s="36"/>
      <c r="E2705" s="37"/>
      <c r="F2705" s="31" t="s">
        <v>568</v>
      </c>
      <c r="G2705" s="34" t="str">
        <f>IF(ISNUMBER(F2705),E2705*F2705,"")</f>
        <v/>
      </c>
      <c r="H2705" s="35"/>
      <c r="I2705" s="31"/>
      <c r="J2705" s="155">
        <v>0</v>
      </c>
    </row>
    <row r="2706" spans="1:10" ht="15.75" hidden="1" thickBot="1" x14ac:dyDescent="0.3">
      <c r="A2706" s="172" t="s">
        <v>843</v>
      </c>
      <c r="B2706" s="174" t="str">
        <f>INDEX(Orçamentária!A:B,MATCH(Composições!A2706,Orçamentária!A:A,0),2)</f>
        <v>Marceneiro(a)</v>
      </c>
      <c r="C2706" s="41"/>
      <c r="D2706" s="26" t="str">
        <f>TRIM(INDEX(Orçamentária!C:C,MATCH(Composições!A2706,Orçamentária!A:A,0),1))</f>
        <v>Profissional</v>
      </c>
      <c r="E2706" s="27"/>
      <c r="F2706" s="42" t="s">
        <v>568</v>
      </c>
      <c r="G2706" s="28" t="str">
        <f>IF(ISNUMBER(F2706),E2706*F2706,"")</f>
        <v/>
      </c>
      <c r="H2706" s="29"/>
      <c r="I2706" s="30"/>
      <c r="J2706" s="155">
        <v>0</v>
      </c>
    </row>
    <row r="2707" spans="1:10" ht="15.75" hidden="1" thickBot="1" x14ac:dyDescent="0.3">
      <c r="A2707" s="176"/>
      <c r="B2707" s="175"/>
      <c r="C2707" s="32"/>
      <c r="D2707" s="32"/>
      <c r="E2707" s="33"/>
      <c r="F2707" s="43" t="s">
        <v>568</v>
      </c>
      <c r="G2707" s="34" t="str">
        <f>IF(ISNUMBER(F2707),E2707*F2707,"")</f>
        <v/>
      </c>
      <c r="H2707" s="35"/>
      <c r="I2707" s="31"/>
      <c r="J2707" s="155">
        <v>0</v>
      </c>
    </row>
    <row r="2708" spans="1:10" ht="15.75" hidden="1" thickBot="1" x14ac:dyDescent="0.3">
      <c r="A2708" s="176"/>
      <c r="B2708" s="175"/>
      <c r="C2708" s="36" t="s">
        <v>656</v>
      </c>
      <c r="D2708" s="47" t="s">
        <v>12</v>
      </c>
      <c r="E2708" s="37">
        <f>ROUND(220/(1+112.85%),4)</f>
        <v>103.3592</v>
      </c>
      <c r="F2708" s="31">
        <v>22.268000000000001</v>
      </c>
      <c r="G2708" s="34">
        <f>IF(ISNUMBER(F2708),E2708*F2708,"")</f>
        <v>2301.6026655999999</v>
      </c>
      <c r="H2708" s="39">
        <f>SUM(G2708:G2708)</f>
        <v>2301.6026655999999</v>
      </c>
      <c r="I2708" s="40"/>
      <c r="J2708" s="155">
        <v>0</v>
      </c>
    </row>
    <row r="2709" spans="1:10" ht="15.75" hidden="1" thickBot="1" x14ac:dyDescent="0.3">
      <c r="A2709" s="176"/>
      <c r="B2709" s="175"/>
      <c r="C2709" s="36"/>
      <c r="D2709" s="47"/>
      <c r="E2709" s="37"/>
      <c r="F2709" s="31" t="s">
        <v>568</v>
      </c>
      <c r="G2709" s="34" t="str">
        <f>IF(ISNUMBER(F2709),E2709*F2709,"")</f>
        <v/>
      </c>
      <c r="H2709" s="39"/>
      <c r="I2709" s="40"/>
      <c r="J2709" s="155">
        <v>0</v>
      </c>
    </row>
    <row r="2710" spans="1:10" ht="26.25" hidden="1" thickBot="1" x14ac:dyDescent="0.3">
      <c r="A2710" s="176"/>
      <c r="B2710" s="175"/>
      <c r="C2710" s="48" t="s">
        <v>834</v>
      </c>
      <c r="D2710" s="47"/>
      <c r="E2710" s="37"/>
      <c r="F2710" s="31" t="s">
        <v>568</v>
      </c>
      <c r="G2710" s="34" t="str">
        <f>IF(ISNUMBER(F2710),E2710*F2710,"")</f>
        <v/>
      </c>
      <c r="H2710" s="39"/>
      <c r="I2710" s="40"/>
      <c r="J2710" s="155">
        <v>0</v>
      </c>
    </row>
    <row r="2711" spans="1:10" ht="15.75" hidden="1" thickBot="1" x14ac:dyDescent="0.3">
      <c r="A2711" s="177"/>
      <c r="B2711" s="178"/>
      <c r="C2711" s="36"/>
      <c r="D2711" s="36"/>
      <c r="E2711" s="37"/>
      <c r="F2711" s="31" t="s">
        <v>568</v>
      </c>
      <c r="G2711" s="34" t="str">
        <f>IF(ISNUMBER(F2711),E2711*F2711,"")</f>
        <v/>
      </c>
      <c r="H2711" s="35"/>
      <c r="I2711" s="31"/>
      <c r="J2711" s="155">
        <v>0</v>
      </c>
    </row>
    <row r="2712" spans="1:10" ht="15.75" hidden="1" thickBot="1" x14ac:dyDescent="0.3">
      <c r="A2712" s="172" t="s">
        <v>844</v>
      </c>
      <c r="B2712" s="174" t="str">
        <f>INDEX(Orçamentária!A:B,MATCH(Composições!A2712,Orçamentária!A:A,0),2)</f>
        <v>Serralheiro(a)</v>
      </c>
      <c r="C2712" s="41"/>
      <c r="D2712" s="26" t="str">
        <f>TRIM(INDEX(Orçamentária!C:C,MATCH(Composições!A2712,Orçamentária!A:A,0),1))</f>
        <v>Profissional</v>
      </c>
      <c r="E2712" s="27"/>
      <c r="F2712" s="42" t="s">
        <v>568</v>
      </c>
      <c r="G2712" s="28" t="str">
        <f>IF(ISNUMBER(F2712),E2712*F2712,"")</f>
        <v/>
      </c>
      <c r="H2712" s="29"/>
      <c r="I2712" s="30"/>
      <c r="J2712" s="155">
        <v>0</v>
      </c>
    </row>
    <row r="2713" spans="1:10" ht="15.75" hidden="1" thickBot="1" x14ac:dyDescent="0.3">
      <c r="A2713" s="176"/>
      <c r="B2713" s="175"/>
      <c r="C2713" s="32"/>
      <c r="D2713" s="32"/>
      <c r="E2713" s="33"/>
      <c r="F2713" s="43" t="s">
        <v>568</v>
      </c>
      <c r="G2713" s="34" t="str">
        <f>IF(ISNUMBER(F2713),E2713*F2713,"")</f>
        <v/>
      </c>
      <c r="H2713" s="35"/>
      <c r="I2713" s="31"/>
      <c r="J2713" s="155">
        <v>0</v>
      </c>
    </row>
    <row r="2714" spans="1:10" ht="15.75" hidden="1" thickBot="1" x14ac:dyDescent="0.3">
      <c r="A2714" s="176"/>
      <c r="B2714" s="175"/>
      <c r="C2714" s="36" t="s">
        <v>666</v>
      </c>
      <c r="D2714" s="47" t="s">
        <v>12</v>
      </c>
      <c r="E2714" s="37">
        <f>ROUND(220/(1+112.85%),4)</f>
        <v>103.3592</v>
      </c>
      <c r="F2714" s="31">
        <v>21.973499999999998</v>
      </c>
      <c r="G2714" s="34">
        <f>IF(ISNUMBER(F2714),E2714*F2714,"")</f>
        <v>2271.1633812</v>
      </c>
      <c r="H2714" s="39">
        <f>SUM(G2714:G2714)</f>
        <v>2271.1633812</v>
      </c>
      <c r="I2714" s="40"/>
      <c r="J2714" s="155">
        <v>0</v>
      </c>
    </row>
    <row r="2715" spans="1:10" ht="15.75" hidden="1" thickBot="1" x14ac:dyDescent="0.3">
      <c r="A2715" s="176"/>
      <c r="B2715" s="175"/>
      <c r="C2715" s="36"/>
      <c r="D2715" s="47"/>
      <c r="E2715" s="37"/>
      <c r="F2715" s="31" t="s">
        <v>568</v>
      </c>
      <c r="G2715" s="34" t="str">
        <f>IF(ISNUMBER(F2715),E2715*F2715,"")</f>
        <v/>
      </c>
      <c r="H2715" s="39"/>
      <c r="I2715" s="40"/>
      <c r="J2715" s="155">
        <v>0</v>
      </c>
    </row>
    <row r="2716" spans="1:10" ht="26.25" hidden="1" thickBot="1" x14ac:dyDescent="0.3">
      <c r="A2716" s="176"/>
      <c r="B2716" s="175"/>
      <c r="C2716" s="48" t="s">
        <v>834</v>
      </c>
      <c r="D2716" s="47"/>
      <c r="E2716" s="37"/>
      <c r="F2716" s="31" t="s">
        <v>568</v>
      </c>
      <c r="G2716" s="34" t="str">
        <f>IF(ISNUMBER(F2716),E2716*F2716,"")</f>
        <v/>
      </c>
      <c r="H2716" s="39"/>
      <c r="I2716" s="40"/>
      <c r="J2716" s="155">
        <v>0</v>
      </c>
    </row>
    <row r="2717" spans="1:10" ht="15.75" hidden="1" thickBot="1" x14ac:dyDescent="0.3">
      <c r="A2717" s="177"/>
      <c r="B2717" s="178"/>
      <c r="C2717" s="36"/>
      <c r="D2717" s="36"/>
      <c r="E2717" s="37"/>
      <c r="F2717" s="31" t="s">
        <v>568</v>
      </c>
      <c r="G2717" s="34" t="str">
        <f>IF(ISNUMBER(F2717),E2717*F2717,"")</f>
        <v/>
      </c>
      <c r="H2717" s="35"/>
      <c r="I2717" s="31"/>
      <c r="J2717" s="155">
        <v>0</v>
      </c>
    </row>
    <row r="2718" spans="1:10" ht="15.75" hidden="1" thickBot="1" x14ac:dyDescent="0.3">
      <c r="A2718" s="172" t="s">
        <v>845</v>
      </c>
      <c r="B2718" s="174" t="str">
        <f>INDEX(Orçamentária!A:B,MATCH(Composições!A2718,Orçamentária!A:A,0),2)</f>
        <v>Mestre de Obras (Posto de Trabalho)</v>
      </c>
      <c r="C2718" s="41"/>
      <c r="D2718" s="26" t="str">
        <f>TRIM(INDEX(Orçamentária!C:C,MATCH(Composições!A2718,Orçamentária!A:A,0),1))</f>
        <v>Profissional</v>
      </c>
      <c r="E2718" s="27"/>
      <c r="F2718" s="42" t="s">
        <v>568</v>
      </c>
      <c r="G2718" s="28" t="str">
        <f>IF(ISNUMBER(F2718),E2718*F2718,"")</f>
        <v/>
      </c>
      <c r="H2718" s="29"/>
      <c r="I2718" s="30"/>
      <c r="J2718" s="155">
        <v>0</v>
      </c>
    </row>
    <row r="2719" spans="1:10" ht="15.75" hidden="1" thickBot="1" x14ac:dyDescent="0.3">
      <c r="A2719" s="176"/>
      <c r="B2719" s="175"/>
      <c r="C2719" s="32"/>
      <c r="D2719" s="32"/>
      <c r="E2719" s="33"/>
      <c r="F2719" s="43" t="s">
        <v>568</v>
      </c>
      <c r="G2719" s="34" t="str">
        <f>IF(ISNUMBER(F2719),E2719*F2719,"")</f>
        <v/>
      </c>
      <c r="H2719" s="35"/>
      <c r="I2719" s="31"/>
      <c r="J2719" s="155">
        <v>0</v>
      </c>
    </row>
    <row r="2720" spans="1:10" ht="15.75" hidden="1" thickBot="1" x14ac:dyDescent="0.3">
      <c r="A2720" s="176"/>
      <c r="B2720" s="175"/>
      <c r="C2720" s="36" t="s">
        <v>14</v>
      </c>
      <c r="D2720" s="47" t="s">
        <v>12</v>
      </c>
      <c r="E2720" s="37">
        <f>ROUND(220/(1+112.85%),4)</f>
        <v>103.3592</v>
      </c>
      <c r="F2720" s="31">
        <v>26.248499999999996</v>
      </c>
      <c r="G2720" s="34">
        <f>IF(ISNUMBER(F2720),E2720*F2720,"")</f>
        <v>2713.0239611999996</v>
      </c>
      <c r="H2720" s="39">
        <f>SUM(G2720:G2720)</f>
        <v>2713.0239611999996</v>
      </c>
      <c r="I2720" s="40"/>
      <c r="J2720" s="155">
        <v>0</v>
      </c>
    </row>
    <row r="2721" spans="1:10" ht="15.75" hidden="1" thickBot="1" x14ac:dyDescent="0.3">
      <c r="A2721" s="176"/>
      <c r="B2721" s="175"/>
      <c r="C2721" s="36"/>
      <c r="D2721" s="47"/>
      <c r="E2721" s="37"/>
      <c r="F2721" s="31" t="s">
        <v>568</v>
      </c>
      <c r="G2721" s="34" t="str">
        <f>IF(ISNUMBER(F2721),E2721*F2721,"")</f>
        <v/>
      </c>
      <c r="H2721" s="39"/>
      <c r="I2721" s="40"/>
      <c r="J2721" s="155">
        <v>0</v>
      </c>
    </row>
    <row r="2722" spans="1:10" ht="26.25" hidden="1" thickBot="1" x14ac:dyDescent="0.3">
      <c r="A2722" s="176"/>
      <c r="B2722" s="175"/>
      <c r="C2722" s="48" t="s">
        <v>834</v>
      </c>
      <c r="D2722" s="47"/>
      <c r="E2722" s="37"/>
      <c r="F2722" s="31" t="s">
        <v>568</v>
      </c>
      <c r="G2722" s="34" t="str">
        <f>IF(ISNUMBER(F2722),E2722*F2722,"")</f>
        <v/>
      </c>
      <c r="H2722" s="39"/>
      <c r="I2722" s="40"/>
      <c r="J2722" s="155">
        <v>0</v>
      </c>
    </row>
    <row r="2723" spans="1:10" ht="15.75" hidden="1" thickBot="1" x14ac:dyDescent="0.3">
      <c r="A2723" s="177"/>
      <c r="B2723" s="178"/>
      <c r="C2723" s="36"/>
      <c r="D2723" s="36"/>
      <c r="E2723" s="37"/>
      <c r="F2723" s="31" t="s">
        <v>568</v>
      </c>
      <c r="G2723" s="34" t="str">
        <f>IF(ISNUMBER(F2723),E2723*F2723,"")</f>
        <v/>
      </c>
      <c r="H2723" s="35"/>
      <c r="I2723" s="31"/>
      <c r="J2723" s="155">
        <v>0</v>
      </c>
    </row>
    <row r="2724" spans="1:10" ht="15.75" hidden="1" thickBot="1" x14ac:dyDescent="0.3">
      <c r="A2724" s="172" t="s">
        <v>846</v>
      </c>
      <c r="B2724" s="174" t="str">
        <f>INDEX(Orçamentária!A:B,MATCH(Composições!A2724,Orçamentária!A:A,0),2)</f>
        <v>Oficial de Serviços Gerais</v>
      </c>
      <c r="C2724" s="41"/>
      <c r="D2724" s="26" t="str">
        <f>TRIM(INDEX(Orçamentária!C:C,MATCH(Composições!A2724,Orçamentária!A:A,0),1))</f>
        <v>Profissional</v>
      </c>
      <c r="E2724" s="27"/>
      <c r="F2724" s="42" t="s">
        <v>568</v>
      </c>
      <c r="G2724" s="28" t="str">
        <f>IF(ISNUMBER(F2724),E2724*F2724,"")</f>
        <v/>
      </c>
      <c r="H2724" s="29"/>
      <c r="I2724" s="30"/>
      <c r="J2724" s="155">
        <v>0</v>
      </c>
    </row>
    <row r="2725" spans="1:10" ht="15.75" hidden="1" thickBot="1" x14ac:dyDescent="0.3">
      <c r="A2725" s="176"/>
      <c r="B2725" s="175"/>
      <c r="C2725" s="32"/>
      <c r="D2725" s="32"/>
      <c r="E2725" s="33"/>
      <c r="F2725" s="43" t="s">
        <v>568</v>
      </c>
      <c r="G2725" s="34" t="str">
        <f>IF(ISNUMBER(F2725),E2725*F2725,"")</f>
        <v/>
      </c>
      <c r="H2725" s="35"/>
      <c r="I2725" s="31"/>
      <c r="J2725" s="155">
        <v>0</v>
      </c>
    </row>
    <row r="2726" spans="1:10" ht="15.75" hidden="1" thickBot="1" x14ac:dyDescent="0.3">
      <c r="A2726" s="176"/>
      <c r="B2726" s="175"/>
      <c r="C2726" s="36" t="s">
        <v>764</v>
      </c>
      <c r="D2726" s="47" t="s">
        <v>12</v>
      </c>
      <c r="E2726" s="37">
        <f>ROUND(220/(1+112.85%),4)</f>
        <v>103.3592</v>
      </c>
      <c r="F2726" s="31">
        <v>22.087499999999999</v>
      </c>
      <c r="G2726" s="34">
        <f>IF(ISNUMBER(F2726),E2726*F2726,"")</f>
        <v>2282.9463299999998</v>
      </c>
      <c r="H2726" s="39">
        <f>SUM(G2726:G2726)</f>
        <v>2282.9463299999998</v>
      </c>
      <c r="I2726" s="40"/>
      <c r="J2726" s="155">
        <v>0</v>
      </c>
    </row>
    <row r="2727" spans="1:10" ht="15.75" hidden="1" thickBot="1" x14ac:dyDescent="0.3">
      <c r="A2727" s="176"/>
      <c r="B2727" s="175"/>
      <c r="C2727" s="36"/>
      <c r="D2727" s="47"/>
      <c r="E2727" s="37"/>
      <c r="F2727" s="31" t="s">
        <v>568</v>
      </c>
      <c r="G2727" s="34" t="str">
        <f>IF(ISNUMBER(F2727),E2727*F2727,"")</f>
        <v/>
      </c>
      <c r="H2727" s="39"/>
      <c r="I2727" s="40"/>
      <c r="J2727" s="155">
        <v>0</v>
      </c>
    </row>
    <row r="2728" spans="1:10" ht="26.25" hidden="1" thickBot="1" x14ac:dyDescent="0.3">
      <c r="A2728" s="176"/>
      <c r="B2728" s="175"/>
      <c r="C2728" s="48" t="s">
        <v>834</v>
      </c>
      <c r="D2728" s="47"/>
      <c r="E2728" s="37"/>
      <c r="F2728" s="31" t="s">
        <v>568</v>
      </c>
      <c r="G2728" s="34" t="str">
        <f>IF(ISNUMBER(F2728),E2728*F2728,"")</f>
        <v/>
      </c>
      <c r="H2728" s="39"/>
      <c r="I2728" s="40"/>
      <c r="J2728" s="155">
        <v>0</v>
      </c>
    </row>
    <row r="2729" spans="1:10" ht="15.75" hidden="1" thickBot="1" x14ac:dyDescent="0.3">
      <c r="A2729" s="177"/>
      <c r="B2729" s="178"/>
      <c r="C2729" s="36"/>
      <c r="D2729" s="36"/>
      <c r="E2729" s="37"/>
      <c r="F2729" s="31" t="s">
        <v>568</v>
      </c>
      <c r="G2729" s="34" t="str">
        <f>IF(ISNUMBER(F2729),E2729*F2729,"")</f>
        <v/>
      </c>
      <c r="H2729" s="35"/>
      <c r="I2729" s="31"/>
      <c r="J2729" s="155">
        <v>0</v>
      </c>
    </row>
    <row r="2730" spans="1:10" ht="15.75" hidden="1" thickBot="1" x14ac:dyDescent="0.3">
      <c r="A2730" s="172" t="s">
        <v>847</v>
      </c>
      <c r="B2730" s="174" t="str">
        <f>INDEX(Orçamentária!A:B,MATCH(Composições!A2730,Orçamentária!A:A,0),2)</f>
        <v>Instalação de vidro (comum, temperado, aramado ou laminado) reaproveitado</v>
      </c>
      <c r="C2730" s="41"/>
      <c r="D2730" s="26" t="str">
        <f>TRIM(INDEX(Orçamentária!C:C,MATCH(Composições!A2730,Orçamentária!A:A,0),1))</f>
        <v>m2</v>
      </c>
      <c r="E2730" s="27"/>
      <c r="F2730" s="42" t="s">
        <v>568</v>
      </c>
      <c r="G2730" s="28" t="str">
        <f>IF(ISNUMBER(F2730),E2730*F2730,"")</f>
        <v/>
      </c>
      <c r="H2730" s="29"/>
      <c r="I2730" s="30"/>
      <c r="J2730" s="155">
        <v>0</v>
      </c>
    </row>
    <row r="2731" spans="1:10" ht="15.75" hidden="1" thickBot="1" x14ac:dyDescent="0.3">
      <c r="A2731" s="176"/>
      <c r="B2731" s="175"/>
      <c r="C2731" s="32"/>
      <c r="D2731" s="32"/>
      <c r="E2731" s="33"/>
      <c r="F2731" s="43" t="s">
        <v>568</v>
      </c>
      <c r="G2731" s="34" t="str">
        <f>IF(ISNUMBER(F2731),E2731*F2731,"")</f>
        <v/>
      </c>
      <c r="H2731" s="35"/>
      <c r="I2731" s="31"/>
      <c r="J2731" s="155">
        <v>0</v>
      </c>
    </row>
    <row r="2732" spans="1:10" ht="15.75" hidden="1" thickBot="1" x14ac:dyDescent="0.3">
      <c r="A2732" s="176"/>
      <c r="B2732" s="175"/>
      <c r="C2732" s="36" t="s">
        <v>68</v>
      </c>
      <c r="D2732" s="47" t="s">
        <v>12</v>
      </c>
      <c r="E2732" s="37">
        <v>1</v>
      </c>
      <c r="F2732" s="31">
        <v>20.539000000000001</v>
      </c>
      <c r="G2732" s="34">
        <f>IF(ISNUMBER(F2732),E2732*F2732,"")</f>
        <v>20.539000000000001</v>
      </c>
      <c r="H2732" s="39">
        <f>SUM(G2732:G2734)</f>
        <v>36.835300000000004</v>
      </c>
      <c r="I2732" s="40"/>
      <c r="J2732" s="155">
        <v>0</v>
      </c>
    </row>
    <row r="2733" spans="1:10" ht="15.75" hidden="1" thickBot="1" x14ac:dyDescent="0.3">
      <c r="A2733" s="176"/>
      <c r="B2733" s="175"/>
      <c r="C2733" s="36" t="s">
        <v>23</v>
      </c>
      <c r="D2733" s="47" t="s">
        <v>12</v>
      </c>
      <c r="E2733" s="37">
        <v>0.2</v>
      </c>
      <c r="F2733" s="31">
        <v>16.311500000000002</v>
      </c>
      <c r="G2733" s="34">
        <f>IF(ISNUMBER(F2733),E2733*F2733,"")</f>
        <v>3.2623000000000006</v>
      </c>
      <c r="H2733" s="35"/>
      <c r="I2733" s="31"/>
      <c r="J2733" s="155">
        <v>0</v>
      </c>
    </row>
    <row r="2734" spans="1:10" ht="15.75" hidden="1" thickBot="1" x14ac:dyDescent="0.3">
      <c r="A2734" s="176"/>
      <c r="B2734" s="175"/>
      <c r="C2734" s="36" t="s">
        <v>307</v>
      </c>
      <c r="D2734" s="36" t="s">
        <v>848</v>
      </c>
      <c r="E2734" s="37">
        <v>2</v>
      </c>
      <c r="F2734" s="34">
        <v>6.5170000000000003</v>
      </c>
      <c r="G2734" s="34">
        <f>IF(ISNUMBER(F2734),E2734*F2734,"")</f>
        <v>13.034000000000001</v>
      </c>
      <c r="H2734" s="35"/>
      <c r="I2734" s="31"/>
      <c r="J2734" s="155">
        <v>0</v>
      </c>
    </row>
    <row r="2735" spans="1:10" ht="15.75" hidden="1" thickBot="1" x14ac:dyDescent="0.3">
      <c r="A2735" s="177"/>
      <c r="B2735" s="178"/>
      <c r="C2735" s="36"/>
      <c r="D2735" s="36"/>
      <c r="E2735" s="37"/>
      <c r="F2735" s="31" t="s">
        <v>568</v>
      </c>
      <c r="G2735" s="34" t="str">
        <f>IF(ISNUMBER(F2735),E2735*F2735,"")</f>
        <v/>
      </c>
      <c r="H2735" s="35"/>
      <c r="I2735" s="31"/>
      <c r="J2735" s="155">
        <v>0</v>
      </c>
    </row>
    <row r="2736" spans="1:10" ht="15.75" hidden="1" thickBot="1" x14ac:dyDescent="0.3">
      <c r="A2736" s="172" t="s">
        <v>849</v>
      </c>
      <c r="B2736" s="174" t="str">
        <f>INDEX(Orçamentária!A:B,MATCH(Composições!A2736,Orçamentária!A:A,0),2)</f>
        <v>Vidro temperado incolor com 8mm de espessura</v>
      </c>
      <c r="C2736" s="41"/>
      <c r="D2736" s="26" t="str">
        <f>TRIM(INDEX(Orçamentária!C:C,MATCH(Composições!A2736,Orçamentária!A:A,0),1))</f>
        <v>m2</v>
      </c>
      <c r="E2736" s="27"/>
      <c r="F2736" s="42" t="s">
        <v>568</v>
      </c>
      <c r="G2736" s="28" t="str">
        <f>IF(ISNUMBER(F2736),E2736*F2736,"")</f>
        <v/>
      </c>
      <c r="H2736" s="29"/>
      <c r="I2736" s="30"/>
      <c r="J2736" s="155">
        <v>0</v>
      </c>
    </row>
    <row r="2737" spans="1:10" ht="15.75" hidden="1" thickBot="1" x14ac:dyDescent="0.3">
      <c r="A2737" s="176"/>
      <c r="B2737" s="175"/>
      <c r="C2737" s="32"/>
      <c r="D2737" s="32"/>
      <c r="E2737" s="33"/>
      <c r="F2737" s="43" t="s">
        <v>568</v>
      </c>
      <c r="G2737" s="34" t="str">
        <f>IF(ISNUMBER(F2737),E2737*F2737,"")</f>
        <v/>
      </c>
      <c r="H2737" s="35"/>
      <c r="I2737" s="31"/>
      <c r="J2737" s="155">
        <v>0</v>
      </c>
    </row>
    <row r="2738" spans="1:10" ht="15.75" hidden="1" thickBot="1" x14ac:dyDescent="0.3">
      <c r="A2738" s="176"/>
      <c r="B2738" s="175"/>
      <c r="C2738" s="36" t="s">
        <v>68</v>
      </c>
      <c r="D2738" s="36" t="s">
        <v>12</v>
      </c>
      <c r="E2738" s="37">
        <v>0.5</v>
      </c>
      <c r="F2738" s="34">
        <v>20.539000000000001</v>
      </c>
      <c r="G2738" s="34">
        <f>IF(ISNUMBER(F2738),E2738*F2738,"")</f>
        <v>10.269500000000001</v>
      </c>
      <c r="H2738" s="39">
        <f>SUM(G2738:G2741)</f>
        <v>160.12725</v>
      </c>
      <c r="I2738" s="40"/>
      <c r="J2738" s="155">
        <v>0</v>
      </c>
    </row>
    <row r="2739" spans="1:10" ht="15.75" hidden="1" thickBot="1" x14ac:dyDescent="0.3">
      <c r="A2739" s="176"/>
      <c r="B2739" s="175"/>
      <c r="C2739" s="36" t="s">
        <v>23</v>
      </c>
      <c r="D2739" s="36" t="s">
        <v>12</v>
      </c>
      <c r="E2739" s="37">
        <v>0.5</v>
      </c>
      <c r="F2739" s="34">
        <v>16.311500000000002</v>
      </c>
      <c r="G2739" s="34">
        <f>IF(ISNUMBER(F2739),E2739*F2739,"")</f>
        <v>8.1557500000000012</v>
      </c>
      <c r="H2739" s="35"/>
      <c r="I2739" s="31"/>
      <c r="J2739" s="155">
        <v>0</v>
      </c>
    </row>
    <row r="2740" spans="1:10" ht="15.75" hidden="1" thickBot="1" x14ac:dyDescent="0.3">
      <c r="A2740" s="176"/>
      <c r="B2740" s="175"/>
      <c r="C2740" s="36" t="s">
        <v>307</v>
      </c>
      <c r="D2740" s="36" t="s">
        <v>848</v>
      </c>
      <c r="E2740" s="37">
        <v>1.5</v>
      </c>
      <c r="F2740" s="31">
        <v>6.5170000000000003</v>
      </c>
      <c r="G2740" s="34">
        <f>IF(ISNUMBER(F2740),E2740*F2740,"")</f>
        <v>9.775500000000001</v>
      </c>
      <c r="H2740" s="35"/>
      <c r="I2740" s="31"/>
      <c r="J2740" s="155">
        <v>0</v>
      </c>
    </row>
    <row r="2741" spans="1:10" ht="15.75" hidden="1" thickBot="1" x14ac:dyDescent="0.3">
      <c r="A2741" s="176"/>
      <c r="B2741" s="175"/>
      <c r="C2741" s="36" t="s">
        <v>852</v>
      </c>
      <c r="D2741" s="47" t="s">
        <v>95</v>
      </c>
      <c r="E2741" s="37">
        <v>1</v>
      </c>
      <c r="F2741" s="31">
        <v>131.9265</v>
      </c>
      <c r="G2741" s="34">
        <f>IF(ISNUMBER(F2741),E2741*F2741,"")</f>
        <v>131.9265</v>
      </c>
      <c r="H2741" s="35"/>
      <c r="I2741" s="31"/>
      <c r="J2741" s="155">
        <v>0</v>
      </c>
    </row>
    <row r="2742" spans="1:10" ht="15.75" hidden="1" thickBot="1" x14ac:dyDescent="0.3">
      <c r="A2742" s="177"/>
      <c r="B2742" s="178"/>
      <c r="C2742" s="36"/>
      <c r="D2742" s="36"/>
      <c r="E2742" s="37"/>
      <c r="F2742" s="31" t="s">
        <v>568</v>
      </c>
      <c r="G2742" s="34" t="str">
        <f>IF(ISNUMBER(F2742),E2742*F2742,"")</f>
        <v/>
      </c>
      <c r="H2742" s="35"/>
      <c r="I2742" s="31"/>
      <c r="J2742" s="155">
        <v>0</v>
      </c>
    </row>
    <row r="2743" spans="1:10" ht="15.75" hidden="1" thickBot="1" x14ac:dyDescent="0.3">
      <c r="A2743" s="172" t="s">
        <v>851</v>
      </c>
      <c r="B2743" s="174" t="str">
        <f>INDEX(Orçamentária!A:B,MATCH(Composições!A2743,Orçamentária!A:A,0),2)</f>
        <v>Vidro liso comum transparente 5mm</v>
      </c>
      <c r="C2743" s="41"/>
      <c r="D2743" s="26" t="str">
        <f>TRIM(INDEX(Orçamentária!C:C,MATCH(Composições!A2743,Orçamentária!A:A,0),1))</f>
        <v>m2</v>
      </c>
      <c r="E2743" s="27"/>
      <c r="F2743" s="42" t="s">
        <v>568</v>
      </c>
      <c r="G2743" s="28" t="str">
        <f>IF(ISNUMBER(F2743),E2743*F2743,"")</f>
        <v/>
      </c>
      <c r="H2743" s="29"/>
      <c r="I2743" s="30"/>
      <c r="J2743" s="155">
        <v>0</v>
      </c>
    </row>
    <row r="2744" spans="1:10" ht="15.75" hidden="1" thickBot="1" x14ac:dyDescent="0.3">
      <c r="A2744" s="176"/>
      <c r="B2744" s="175"/>
      <c r="C2744" s="32"/>
      <c r="D2744" s="32"/>
      <c r="E2744" s="33"/>
      <c r="F2744" s="43" t="s">
        <v>568</v>
      </c>
      <c r="G2744" s="34" t="str">
        <f>IF(ISNUMBER(F2744),E2744*F2744,"")</f>
        <v/>
      </c>
      <c r="H2744" s="35"/>
      <c r="I2744" s="31"/>
      <c r="J2744" s="155">
        <v>0</v>
      </c>
    </row>
    <row r="2745" spans="1:10" ht="15.75" hidden="1" thickBot="1" x14ac:dyDescent="0.3">
      <c r="A2745" s="176"/>
      <c r="B2745" s="175"/>
      <c r="C2745" s="36" t="s">
        <v>68</v>
      </c>
      <c r="D2745" s="47" t="s">
        <v>12</v>
      </c>
      <c r="E2745" s="37">
        <v>1</v>
      </c>
      <c r="F2745" s="34">
        <v>20.539000000000001</v>
      </c>
      <c r="G2745" s="34">
        <f>IF(ISNUMBER(F2745),E2745*F2745,"")</f>
        <v>20.539000000000001</v>
      </c>
      <c r="H2745" s="39">
        <f>SUM(G2745:G2748)</f>
        <v>156.53530000000001</v>
      </c>
      <c r="I2745" s="40"/>
      <c r="J2745" s="155">
        <v>0</v>
      </c>
    </row>
    <row r="2746" spans="1:10" ht="15.75" hidden="1" thickBot="1" x14ac:dyDescent="0.3">
      <c r="A2746" s="176"/>
      <c r="B2746" s="175"/>
      <c r="C2746" s="36" t="s">
        <v>23</v>
      </c>
      <c r="D2746" s="47" t="s">
        <v>12</v>
      </c>
      <c r="E2746" s="37">
        <v>0.2</v>
      </c>
      <c r="F2746" s="34">
        <v>16.311500000000002</v>
      </c>
      <c r="G2746" s="34">
        <f>IF(ISNUMBER(F2746),E2746*F2746,"")</f>
        <v>3.2623000000000006</v>
      </c>
      <c r="H2746" s="35"/>
      <c r="I2746" s="31"/>
      <c r="J2746" s="155">
        <v>0</v>
      </c>
    </row>
    <row r="2747" spans="1:10" ht="15.75" hidden="1" thickBot="1" x14ac:dyDescent="0.3">
      <c r="A2747" s="176"/>
      <c r="B2747" s="175"/>
      <c r="C2747" s="36" t="s">
        <v>307</v>
      </c>
      <c r="D2747" s="47" t="s">
        <v>848</v>
      </c>
      <c r="E2747" s="37">
        <v>2</v>
      </c>
      <c r="F2747" s="31">
        <v>6.5170000000000003</v>
      </c>
      <c r="G2747" s="34">
        <f>IF(ISNUMBER(F2747),E2747*F2747,"")</f>
        <v>13.034000000000001</v>
      </c>
      <c r="H2747" s="35"/>
      <c r="I2747" s="31"/>
      <c r="J2747" s="155">
        <v>0</v>
      </c>
    </row>
    <row r="2748" spans="1:10" ht="15.75" hidden="1" thickBot="1" x14ac:dyDescent="0.3">
      <c r="A2748" s="176"/>
      <c r="B2748" s="175"/>
      <c r="C2748" s="36" t="s">
        <v>850</v>
      </c>
      <c r="D2748" s="36" t="s">
        <v>95</v>
      </c>
      <c r="E2748" s="37">
        <v>1</v>
      </c>
      <c r="F2748" s="31">
        <v>119.69999999999999</v>
      </c>
      <c r="G2748" s="34">
        <f>IF(ISNUMBER(F2748),E2748*F2748,"")</f>
        <v>119.69999999999999</v>
      </c>
      <c r="H2748" s="35"/>
      <c r="I2748" s="31"/>
      <c r="J2748" s="155">
        <v>0</v>
      </c>
    </row>
    <row r="2749" spans="1:10" ht="15.75" hidden="1" thickBot="1" x14ac:dyDescent="0.3">
      <c r="A2749" s="177"/>
      <c r="B2749" s="178"/>
      <c r="C2749" s="36"/>
      <c r="D2749" s="36"/>
      <c r="E2749" s="37"/>
      <c r="F2749" s="31" t="s">
        <v>568</v>
      </c>
      <c r="G2749" s="34" t="str">
        <f>IF(ISNUMBER(F2749),E2749*F2749,"")</f>
        <v/>
      </c>
      <c r="H2749" s="35"/>
      <c r="I2749" s="31"/>
      <c r="J2749" s="155">
        <v>0</v>
      </c>
    </row>
    <row r="2750" spans="1:10" ht="15.75" hidden="1" thickBot="1" x14ac:dyDescent="0.3">
      <c r="A2750" s="172" t="s">
        <v>2867</v>
      </c>
      <c r="B2750" s="174" t="str">
        <f>INDEX(Orçamentária!A:B,MATCH(Composições!A2750,Orçamentária!A:A,0),2)</f>
        <v>Corte em vidro ou espelho reaproveitado</v>
      </c>
      <c r="C2750" s="41"/>
      <c r="D2750" s="26" t="str">
        <f>TRIM(INDEX(Orçamentária!C:C,MATCH(Composições!A2750,Orçamentária!A:A,0),1))</f>
        <v>m</v>
      </c>
      <c r="E2750" s="27"/>
      <c r="F2750" s="42" t="s">
        <v>568</v>
      </c>
      <c r="G2750" s="28" t="str">
        <f>IF(ISNUMBER(F2750),E2750*F2750,"")</f>
        <v/>
      </c>
      <c r="H2750" s="29"/>
      <c r="I2750" s="30"/>
      <c r="J2750" s="155">
        <v>0</v>
      </c>
    </row>
    <row r="2751" spans="1:10" ht="15.75" hidden="1" thickBot="1" x14ac:dyDescent="0.3">
      <c r="A2751" s="176"/>
      <c r="B2751" s="175"/>
      <c r="C2751" s="32"/>
      <c r="D2751" s="32"/>
      <c r="E2751" s="33"/>
      <c r="F2751" s="43" t="s">
        <v>568</v>
      </c>
      <c r="G2751" s="34" t="str">
        <f>IF(ISNUMBER(F2751),E2751*F2751,"")</f>
        <v/>
      </c>
      <c r="H2751" s="35"/>
      <c r="I2751" s="31"/>
      <c r="J2751" s="155">
        <v>0</v>
      </c>
    </row>
    <row r="2752" spans="1:10" ht="15.75" hidden="1" thickBot="1" x14ac:dyDescent="0.3">
      <c r="A2752" s="176"/>
      <c r="B2752" s="175"/>
      <c r="C2752" s="36" t="s">
        <v>68</v>
      </c>
      <c r="D2752" s="47" t="s">
        <v>12</v>
      </c>
      <c r="E2752" s="37">
        <v>0.5</v>
      </c>
      <c r="F2752" s="31">
        <v>20.539000000000001</v>
      </c>
      <c r="G2752" s="34">
        <f>IF(ISNUMBER(F2752),E2752*F2752,"")</f>
        <v>10.269500000000001</v>
      </c>
      <c r="H2752" s="39">
        <f>SUM(G2752:G2753)</f>
        <v>18.425250000000002</v>
      </c>
      <c r="I2752" s="40"/>
      <c r="J2752" s="155">
        <v>0</v>
      </c>
    </row>
    <row r="2753" spans="1:10" ht="15.75" hidden="1" thickBot="1" x14ac:dyDescent="0.3">
      <c r="A2753" s="176"/>
      <c r="B2753" s="175"/>
      <c r="C2753" s="36" t="s">
        <v>23</v>
      </c>
      <c r="D2753" s="47" t="s">
        <v>12</v>
      </c>
      <c r="E2753" s="37">
        <v>0.5</v>
      </c>
      <c r="F2753" s="31">
        <v>16.311500000000002</v>
      </c>
      <c r="G2753" s="34">
        <f>IF(ISNUMBER(F2753),E2753*F2753,"")</f>
        <v>8.1557500000000012</v>
      </c>
      <c r="H2753" s="35"/>
      <c r="I2753" s="31"/>
      <c r="J2753" s="155">
        <v>0</v>
      </c>
    </row>
    <row r="2754" spans="1:10" ht="15.75" hidden="1" thickBot="1" x14ac:dyDescent="0.3">
      <c r="A2754" s="177"/>
      <c r="B2754" s="178"/>
      <c r="C2754" s="36"/>
      <c r="D2754" s="36"/>
      <c r="E2754" s="37"/>
      <c r="F2754" s="31" t="s">
        <v>568</v>
      </c>
      <c r="G2754" s="34" t="str">
        <f>IF(ISNUMBER(F2754),E2754*F2754,"")</f>
        <v/>
      </c>
      <c r="H2754" s="35"/>
      <c r="I2754" s="31"/>
      <c r="J2754" s="155">
        <v>0</v>
      </c>
    </row>
    <row r="2755" spans="1:10" ht="15.75" hidden="1" thickBot="1" x14ac:dyDescent="0.3">
      <c r="A2755" s="172" t="s">
        <v>2869</v>
      </c>
      <c r="B2755" s="174" t="str">
        <f>INDEX(Orçamentária!A:B,MATCH(Composições!A2755,Orçamentária!A:A,0),2)</f>
        <v>Lapidação de vidro / espelho reaproveitado</v>
      </c>
      <c r="C2755" s="41"/>
      <c r="D2755" s="26" t="str">
        <f>TRIM(INDEX(Orçamentária!C:C,MATCH(Composições!A2755,Orçamentária!A:A,0),1))</f>
        <v>m</v>
      </c>
      <c r="E2755" s="27"/>
      <c r="F2755" s="42" t="s">
        <v>568</v>
      </c>
      <c r="G2755" s="28" t="str">
        <f>IF(ISNUMBER(F2755),E2755*F2755,"")</f>
        <v/>
      </c>
      <c r="H2755" s="29"/>
      <c r="I2755" s="30"/>
      <c r="J2755" s="155">
        <v>0</v>
      </c>
    </row>
    <row r="2756" spans="1:10" ht="15.75" hidden="1" thickBot="1" x14ac:dyDescent="0.3">
      <c r="A2756" s="176"/>
      <c r="B2756" s="175"/>
      <c r="C2756" s="32"/>
      <c r="D2756" s="32"/>
      <c r="E2756" s="33"/>
      <c r="F2756" s="43" t="s">
        <v>568</v>
      </c>
      <c r="G2756" s="34" t="str">
        <f>IF(ISNUMBER(F2756),E2756*F2756,"")</f>
        <v/>
      </c>
      <c r="H2756" s="35"/>
      <c r="I2756" s="31"/>
      <c r="J2756" s="155">
        <v>0</v>
      </c>
    </row>
    <row r="2757" spans="1:10" ht="15.75" hidden="1" thickBot="1" x14ac:dyDescent="0.3">
      <c r="A2757" s="176"/>
      <c r="B2757" s="175"/>
      <c r="C2757" s="36" t="s">
        <v>68</v>
      </c>
      <c r="D2757" s="47" t="s">
        <v>12</v>
      </c>
      <c r="E2757" s="37">
        <v>0.75</v>
      </c>
      <c r="F2757" s="31">
        <v>20.539000000000001</v>
      </c>
      <c r="G2757" s="34">
        <f>IF(ISNUMBER(F2757),E2757*F2757,"")</f>
        <v>15.404250000000001</v>
      </c>
      <c r="H2757" s="39">
        <f>SUM(G2757:G2758)</f>
        <v>27.637875000000001</v>
      </c>
      <c r="I2757" s="40"/>
      <c r="J2757" s="155">
        <v>0</v>
      </c>
    </row>
    <row r="2758" spans="1:10" ht="15.75" hidden="1" thickBot="1" x14ac:dyDescent="0.3">
      <c r="A2758" s="176"/>
      <c r="B2758" s="175"/>
      <c r="C2758" s="36" t="s">
        <v>23</v>
      </c>
      <c r="D2758" s="47" t="s">
        <v>12</v>
      </c>
      <c r="E2758" s="37">
        <v>0.75</v>
      </c>
      <c r="F2758" s="31">
        <v>16.311500000000002</v>
      </c>
      <c r="G2758" s="34">
        <f>IF(ISNUMBER(F2758),E2758*F2758,"")</f>
        <v>12.233625000000002</v>
      </c>
      <c r="H2758" s="35"/>
      <c r="I2758" s="31"/>
      <c r="J2758" s="155">
        <v>0</v>
      </c>
    </row>
    <row r="2759" spans="1:10" ht="15.75" hidden="1" thickBot="1" x14ac:dyDescent="0.3">
      <c r="A2759" s="177"/>
      <c r="B2759" s="178"/>
      <c r="C2759" s="36"/>
      <c r="D2759" s="36"/>
      <c r="E2759" s="37"/>
      <c r="F2759" s="31" t="s">
        <v>568</v>
      </c>
      <c r="G2759" s="34" t="str">
        <f>IF(ISNUMBER(F2759),E2759*F2759,"")</f>
        <v/>
      </c>
      <c r="H2759" s="35"/>
      <c r="I2759" s="31"/>
      <c r="J2759" s="155">
        <v>0</v>
      </c>
    </row>
    <row r="2760" spans="1:10" ht="15.75" hidden="1" thickBot="1" x14ac:dyDescent="0.3">
      <c r="A2760" s="172" t="s">
        <v>853</v>
      </c>
      <c r="B2760" s="174" t="str">
        <f>INDEX(Orçamentária!A:B,MATCH(Composições!A2760,Orçamentária!A:A,0),2)</f>
        <v>Vidro temperado incolor com 10 mm de espessura</v>
      </c>
      <c r="C2760" s="41"/>
      <c r="D2760" s="26" t="str">
        <f>TRIM(INDEX(Orçamentária!C:C,MATCH(Composições!A2760,Orçamentária!A:A,0),1))</f>
        <v>m2</v>
      </c>
      <c r="E2760" s="27"/>
      <c r="F2760" s="42" t="s">
        <v>568</v>
      </c>
      <c r="G2760" s="28" t="str">
        <f>IF(ISNUMBER(F2760),E2760*F2760,"")</f>
        <v/>
      </c>
      <c r="H2760" s="29"/>
      <c r="I2760" s="30"/>
      <c r="J2760" s="155">
        <v>0</v>
      </c>
    </row>
    <row r="2761" spans="1:10" ht="15.75" hidden="1" thickBot="1" x14ac:dyDescent="0.3">
      <c r="A2761" s="176"/>
      <c r="B2761" s="175"/>
      <c r="C2761" s="32"/>
      <c r="D2761" s="32"/>
      <c r="E2761" s="33"/>
      <c r="F2761" s="43" t="s">
        <v>568</v>
      </c>
      <c r="G2761" s="34" t="str">
        <f>IF(ISNUMBER(F2761),E2761*F2761,"")</f>
        <v/>
      </c>
      <c r="H2761" s="35"/>
      <c r="I2761" s="31"/>
      <c r="J2761" s="155">
        <v>0</v>
      </c>
    </row>
    <row r="2762" spans="1:10" ht="15.75" hidden="1" thickBot="1" x14ac:dyDescent="0.3">
      <c r="A2762" s="176"/>
      <c r="B2762" s="175"/>
      <c r="C2762" s="36" t="s">
        <v>68</v>
      </c>
      <c r="D2762" s="36" t="s">
        <v>12</v>
      </c>
      <c r="E2762" s="37">
        <v>0.5</v>
      </c>
      <c r="F2762" s="34">
        <v>20.539000000000001</v>
      </c>
      <c r="G2762" s="34">
        <f>IF(ISNUMBER(F2762),E2762*F2762,"")</f>
        <v>10.269500000000001</v>
      </c>
      <c r="H2762" s="39">
        <f>SUM(G2762:G2765)</f>
        <v>199.46674999999999</v>
      </c>
      <c r="I2762" s="40"/>
      <c r="J2762" s="155">
        <v>0</v>
      </c>
    </row>
    <row r="2763" spans="1:10" ht="15.75" hidden="1" thickBot="1" x14ac:dyDescent="0.3">
      <c r="A2763" s="176"/>
      <c r="B2763" s="175"/>
      <c r="C2763" s="36" t="s">
        <v>23</v>
      </c>
      <c r="D2763" s="36" t="s">
        <v>12</v>
      </c>
      <c r="E2763" s="37">
        <v>0.5</v>
      </c>
      <c r="F2763" s="34">
        <v>16.311500000000002</v>
      </c>
      <c r="G2763" s="34">
        <f>IF(ISNUMBER(F2763),E2763*F2763,"")</f>
        <v>8.1557500000000012</v>
      </c>
      <c r="H2763" s="35"/>
      <c r="I2763" s="31"/>
      <c r="J2763" s="155">
        <v>0</v>
      </c>
    </row>
    <row r="2764" spans="1:10" ht="15.75" hidden="1" thickBot="1" x14ac:dyDescent="0.3">
      <c r="A2764" s="176"/>
      <c r="B2764" s="175"/>
      <c r="C2764" s="36" t="s">
        <v>307</v>
      </c>
      <c r="D2764" s="36" t="s">
        <v>848</v>
      </c>
      <c r="E2764" s="37">
        <v>1.5</v>
      </c>
      <c r="F2764" s="31">
        <v>6.5170000000000003</v>
      </c>
      <c r="G2764" s="34">
        <f>IF(ISNUMBER(F2764),E2764*F2764,"")</f>
        <v>9.775500000000001</v>
      </c>
      <c r="H2764" s="35"/>
      <c r="I2764" s="31"/>
      <c r="J2764" s="155">
        <v>0</v>
      </c>
    </row>
    <row r="2765" spans="1:10" ht="15.75" hidden="1" thickBot="1" x14ac:dyDescent="0.3">
      <c r="A2765" s="176"/>
      <c r="B2765" s="175"/>
      <c r="C2765" s="36" t="s">
        <v>854</v>
      </c>
      <c r="D2765" s="36" t="s">
        <v>95</v>
      </c>
      <c r="E2765" s="37">
        <v>1</v>
      </c>
      <c r="F2765" s="31">
        <v>171.26599999999999</v>
      </c>
      <c r="G2765" s="34">
        <f>IF(ISNUMBER(F2765),E2765*F2765,"")</f>
        <v>171.26599999999999</v>
      </c>
      <c r="H2765" s="35"/>
      <c r="I2765" s="31"/>
      <c r="J2765" s="155">
        <v>0</v>
      </c>
    </row>
    <row r="2766" spans="1:10" ht="15.75" hidden="1" thickBot="1" x14ac:dyDescent="0.3">
      <c r="A2766" s="177"/>
      <c r="B2766" s="178"/>
      <c r="C2766" s="36"/>
      <c r="D2766" s="36"/>
      <c r="E2766" s="37"/>
      <c r="F2766" s="31" t="s">
        <v>568</v>
      </c>
      <c r="G2766" s="34" t="str">
        <f>IF(ISNUMBER(F2766),E2766*F2766,"")</f>
        <v/>
      </c>
      <c r="H2766" s="35"/>
      <c r="I2766" s="31"/>
      <c r="J2766" s="155">
        <v>0</v>
      </c>
    </row>
    <row r="2767" spans="1:10" ht="15.75" hidden="1" thickBot="1" x14ac:dyDescent="0.3">
      <c r="A2767" s="172" t="s">
        <v>855</v>
      </c>
      <c r="B2767" s="174" t="str">
        <f>INDEX(Orçamentária!A:B,MATCH(Composições!A2767,Orçamentária!A:A,0),2)</f>
        <v>Bucha para pivô de dobradiça para vidro temperado</v>
      </c>
      <c r="C2767" s="41"/>
      <c r="D2767" s="26" t="str">
        <f>TRIM(INDEX(Orçamentária!C:C,MATCH(Composições!A2767,Orçamentária!A:A,0),1))</f>
        <v>un</v>
      </c>
      <c r="E2767" s="27"/>
      <c r="F2767" s="42" t="s">
        <v>568</v>
      </c>
      <c r="G2767" s="28" t="str">
        <f>IF(ISNUMBER(F2767),E2767*F2767,"")</f>
        <v/>
      </c>
      <c r="H2767" s="29"/>
      <c r="I2767" s="30"/>
      <c r="J2767" s="155">
        <v>0</v>
      </c>
    </row>
    <row r="2768" spans="1:10" ht="15.75" hidden="1" thickBot="1" x14ac:dyDescent="0.3">
      <c r="A2768" s="176"/>
      <c r="B2768" s="175"/>
      <c r="C2768" s="32"/>
      <c r="D2768" s="32"/>
      <c r="E2768" s="33"/>
      <c r="F2768" s="43" t="s">
        <v>568</v>
      </c>
      <c r="G2768" s="34" t="str">
        <f>IF(ISNUMBER(F2768),E2768*F2768,"")</f>
        <v/>
      </c>
      <c r="H2768" s="35"/>
      <c r="I2768" s="31"/>
      <c r="J2768" s="155">
        <v>0</v>
      </c>
    </row>
    <row r="2769" spans="1:10" ht="15.75" hidden="1" thickBot="1" x14ac:dyDescent="0.3">
      <c r="A2769" s="176"/>
      <c r="B2769" s="175"/>
      <c r="C2769" s="36" t="s">
        <v>68</v>
      </c>
      <c r="D2769" s="36" t="s">
        <v>12</v>
      </c>
      <c r="E2769" s="37">
        <v>0.15</v>
      </c>
      <c r="F2769" s="34">
        <v>20.539000000000001</v>
      </c>
      <c r="G2769" s="34">
        <f>IF(ISNUMBER(F2769),E2769*F2769,"")</f>
        <v>3.0808500000000003</v>
      </c>
      <c r="H2769" s="39">
        <f>SUM(G2769:G2770)</f>
        <v>4.03085</v>
      </c>
      <c r="I2769" s="40"/>
      <c r="J2769" s="155">
        <v>0</v>
      </c>
    </row>
    <row r="2770" spans="1:10" ht="26.25" hidden="1" thickBot="1" x14ac:dyDescent="0.3">
      <c r="A2770" s="176"/>
      <c r="B2770" s="175"/>
      <c r="C2770" s="36" t="s">
        <v>856</v>
      </c>
      <c r="D2770" s="36" t="s">
        <v>20</v>
      </c>
      <c r="E2770" s="37">
        <v>1</v>
      </c>
      <c r="F2770" s="31">
        <v>0.95</v>
      </c>
      <c r="G2770" s="34">
        <f>IF(ISNUMBER(F2770),E2770*F2770,"")</f>
        <v>0.95</v>
      </c>
      <c r="H2770" s="35"/>
      <c r="I2770" s="31"/>
      <c r="J2770" s="155">
        <v>0</v>
      </c>
    </row>
    <row r="2771" spans="1:10" ht="15.75" hidden="1" thickBot="1" x14ac:dyDescent="0.3">
      <c r="A2771" s="177"/>
      <c r="B2771" s="178"/>
      <c r="C2771" s="36"/>
      <c r="D2771" s="36"/>
      <c r="E2771" s="37"/>
      <c r="F2771" s="31" t="s">
        <v>568</v>
      </c>
      <c r="G2771" s="34" t="str">
        <f>IF(ISNUMBER(F2771),E2771*F2771,"")</f>
        <v/>
      </c>
      <c r="H2771" s="35"/>
      <c r="I2771" s="31"/>
      <c r="J2771" s="155">
        <v>0</v>
      </c>
    </row>
    <row r="2772" spans="1:10" ht="15.75" hidden="1" thickBot="1" x14ac:dyDescent="0.3">
      <c r="A2772" s="172" t="s">
        <v>857</v>
      </c>
      <c r="B2772" s="174" t="str">
        <f>INDEX(Orçamentária!A:B,MATCH(Composições!A2772,Orçamentária!A:A,0),2)</f>
        <v>Suporte para bandeira de vidro temperado, com ponto de giro para dobradiça</v>
      </c>
      <c r="C2772" s="41"/>
      <c r="D2772" s="26" t="str">
        <f>TRIM(INDEX(Orçamentária!C:C,MATCH(Composições!A2772,Orçamentária!A:A,0),1))</f>
        <v>un</v>
      </c>
      <c r="E2772" s="27"/>
      <c r="F2772" s="42" t="s">
        <v>568</v>
      </c>
      <c r="G2772" s="28" t="str">
        <f>IF(ISNUMBER(F2772),E2772*F2772,"")</f>
        <v/>
      </c>
      <c r="H2772" s="29"/>
      <c r="I2772" s="30"/>
      <c r="J2772" s="155">
        <v>0</v>
      </c>
    </row>
    <row r="2773" spans="1:10" ht="15.75" hidden="1" thickBot="1" x14ac:dyDescent="0.3">
      <c r="A2773" s="176"/>
      <c r="B2773" s="175"/>
      <c r="C2773" s="32"/>
      <c r="D2773" s="32"/>
      <c r="E2773" s="33"/>
      <c r="F2773" s="43" t="s">
        <v>568</v>
      </c>
      <c r="G2773" s="34" t="str">
        <f>IF(ISNUMBER(F2773),E2773*F2773,"")</f>
        <v/>
      </c>
      <c r="H2773" s="35"/>
      <c r="I2773" s="31"/>
      <c r="J2773" s="155">
        <v>0</v>
      </c>
    </row>
    <row r="2774" spans="1:10" ht="15.75" hidden="1" thickBot="1" x14ac:dyDescent="0.3">
      <c r="A2774" s="176"/>
      <c r="B2774" s="175"/>
      <c r="C2774" s="36" t="s">
        <v>68</v>
      </c>
      <c r="D2774" s="47" t="s">
        <v>12</v>
      </c>
      <c r="E2774" s="37">
        <v>0.3</v>
      </c>
      <c r="F2774" s="34">
        <v>20.539000000000001</v>
      </c>
      <c r="G2774" s="34">
        <f>IF(ISNUMBER(F2774),E2774*F2774,"")</f>
        <v>6.1617000000000006</v>
      </c>
      <c r="H2774" s="39">
        <f>SUM(G2774:G2775)</f>
        <v>6.1617000000000006</v>
      </c>
      <c r="I2774" s="40"/>
      <c r="J2774" s="155">
        <v>0</v>
      </c>
    </row>
    <row r="2775" spans="1:10" ht="26.25" hidden="1" thickBot="1" x14ac:dyDescent="0.3">
      <c r="A2775" s="176"/>
      <c r="B2775" s="175"/>
      <c r="C2775" s="36" t="s">
        <v>858</v>
      </c>
      <c r="D2775" s="47" t="s">
        <v>20</v>
      </c>
      <c r="E2775" s="37">
        <v>1</v>
      </c>
      <c r="F2775" s="31">
        <v>0</v>
      </c>
      <c r="G2775" s="34">
        <f>IF(ISNUMBER(F2775),E2775*F2775,"")</f>
        <v>0</v>
      </c>
      <c r="H2775" s="35"/>
      <c r="I2775" s="31"/>
      <c r="J2775" s="155">
        <v>0</v>
      </c>
    </row>
    <row r="2776" spans="1:10" ht="15.75" hidden="1" thickBot="1" x14ac:dyDescent="0.3">
      <c r="A2776" s="177"/>
      <c r="B2776" s="178"/>
      <c r="C2776" s="36"/>
      <c r="D2776" s="36"/>
      <c r="E2776" s="37"/>
      <c r="F2776" s="31" t="s">
        <v>568</v>
      </c>
      <c r="G2776" s="34" t="str">
        <f>IF(ISNUMBER(F2776),E2776*F2776,"")</f>
        <v/>
      </c>
      <c r="H2776" s="35"/>
      <c r="I2776" s="31"/>
      <c r="J2776" s="155">
        <v>0</v>
      </c>
    </row>
    <row r="2777" spans="1:10" ht="15.75" hidden="1" thickBot="1" x14ac:dyDescent="0.3">
      <c r="A2777" s="172" t="s">
        <v>859</v>
      </c>
      <c r="B2777" s="174" t="str">
        <f>INDEX(Orçamentária!A:B,MATCH(Composições!A2777,Orçamentária!A:A,0),2)</f>
        <v>Suporte de canto, simples, para vidro temperado</v>
      </c>
      <c r="C2777" s="41"/>
      <c r="D2777" s="26" t="str">
        <f>TRIM(INDEX(Orçamentária!C:C,MATCH(Composições!A2777,Orçamentária!A:A,0),1))</f>
        <v>un</v>
      </c>
      <c r="E2777" s="27"/>
      <c r="F2777" s="42" t="s">
        <v>568</v>
      </c>
      <c r="G2777" s="28" t="str">
        <f>IF(ISNUMBER(F2777),E2777*F2777,"")</f>
        <v/>
      </c>
      <c r="H2777" s="29"/>
      <c r="I2777" s="30"/>
      <c r="J2777" s="155">
        <v>0</v>
      </c>
    </row>
    <row r="2778" spans="1:10" ht="15.75" hidden="1" thickBot="1" x14ac:dyDescent="0.3">
      <c r="A2778" s="176"/>
      <c r="B2778" s="175"/>
      <c r="C2778" s="32"/>
      <c r="D2778" s="32"/>
      <c r="E2778" s="33"/>
      <c r="F2778" s="43" t="s">
        <v>568</v>
      </c>
      <c r="G2778" s="34" t="str">
        <f>IF(ISNUMBER(F2778),E2778*F2778,"")</f>
        <v/>
      </c>
      <c r="H2778" s="35"/>
      <c r="I2778" s="31"/>
      <c r="J2778" s="155">
        <v>0</v>
      </c>
    </row>
    <row r="2779" spans="1:10" ht="15.75" hidden="1" thickBot="1" x14ac:dyDescent="0.3">
      <c r="A2779" s="176"/>
      <c r="B2779" s="175"/>
      <c r="C2779" s="36" t="s">
        <v>68</v>
      </c>
      <c r="D2779" s="36" t="s">
        <v>12</v>
      </c>
      <c r="E2779" s="37">
        <v>0.15</v>
      </c>
      <c r="F2779" s="34">
        <v>20.539000000000001</v>
      </c>
      <c r="G2779" s="34">
        <f>IF(ISNUMBER(F2779),E2779*F2779,"")</f>
        <v>3.0808500000000003</v>
      </c>
      <c r="H2779" s="39">
        <f>SUM(G2779:G2780)</f>
        <v>3.0808500000000003</v>
      </c>
      <c r="I2779" s="40"/>
      <c r="J2779" s="155">
        <v>0</v>
      </c>
    </row>
    <row r="2780" spans="1:10" ht="26.25" hidden="1" thickBot="1" x14ac:dyDescent="0.3">
      <c r="A2780" s="176"/>
      <c r="B2780" s="175"/>
      <c r="C2780" s="36" t="s">
        <v>860</v>
      </c>
      <c r="D2780" s="36" t="s">
        <v>20</v>
      </c>
      <c r="E2780" s="37">
        <v>1</v>
      </c>
      <c r="F2780" s="31">
        <v>0</v>
      </c>
      <c r="G2780" s="34">
        <f>IF(ISNUMBER(F2780),E2780*F2780,"")</f>
        <v>0</v>
      </c>
      <c r="H2780" s="35"/>
      <c r="I2780" s="31"/>
      <c r="J2780" s="155">
        <v>0</v>
      </c>
    </row>
    <row r="2781" spans="1:10" ht="15.75" hidden="1" thickBot="1" x14ac:dyDescent="0.3">
      <c r="A2781" s="177"/>
      <c r="B2781" s="178"/>
      <c r="C2781" s="36"/>
      <c r="D2781" s="36"/>
      <c r="E2781" s="37"/>
      <c r="F2781" s="31" t="s">
        <v>568</v>
      </c>
      <c r="G2781" s="34" t="str">
        <f>IF(ISNUMBER(F2781),E2781*F2781,"")</f>
        <v/>
      </c>
      <c r="H2781" s="35"/>
      <c r="I2781" s="31"/>
      <c r="J2781" s="155">
        <v>0</v>
      </c>
    </row>
    <row r="2782" spans="1:10" ht="15.75" hidden="1" thickBot="1" x14ac:dyDescent="0.3">
      <c r="A2782" s="172" t="s">
        <v>861</v>
      </c>
      <c r="B2782" s="174" t="str">
        <f>INDEX(Orçamentária!A:B,MATCH(Composições!A2782,Orçamentária!A:A,0),2)</f>
        <v>Suporte de união, sem batedor, para dois ou três vidros temperados</v>
      </c>
      <c r="C2782" s="41"/>
      <c r="D2782" s="26" t="str">
        <f>TRIM(INDEX(Orçamentária!C:C,MATCH(Composições!A2782,Orçamentária!A:A,0),1))</f>
        <v>un</v>
      </c>
      <c r="E2782" s="27"/>
      <c r="F2782" s="42" t="s">
        <v>568</v>
      </c>
      <c r="G2782" s="28" t="str">
        <f>IF(ISNUMBER(F2782),E2782*F2782,"")</f>
        <v/>
      </c>
      <c r="H2782" s="29"/>
      <c r="I2782" s="30"/>
      <c r="J2782" s="155">
        <v>0</v>
      </c>
    </row>
    <row r="2783" spans="1:10" ht="15.75" hidden="1" thickBot="1" x14ac:dyDescent="0.3">
      <c r="A2783" s="176"/>
      <c r="B2783" s="175"/>
      <c r="C2783" s="32"/>
      <c r="D2783" s="32"/>
      <c r="E2783" s="33"/>
      <c r="F2783" s="43" t="s">
        <v>568</v>
      </c>
      <c r="G2783" s="34" t="str">
        <f>IF(ISNUMBER(F2783),E2783*F2783,"")</f>
        <v/>
      </c>
      <c r="H2783" s="35"/>
      <c r="I2783" s="31"/>
      <c r="J2783" s="155">
        <v>0</v>
      </c>
    </row>
    <row r="2784" spans="1:10" ht="15.75" hidden="1" thickBot="1" x14ac:dyDescent="0.3">
      <c r="A2784" s="176"/>
      <c r="B2784" s="175"/>
      <c r="C2784" s="36" t="s">
        <v>68</v>
      </c>
      <c r="D2784" s="36" t="s">
        <v>12</v>
      </c>
      <c r="E2784" s="37">
        <v>0.3</v>
      </c>
      <c r="F2784" s="34">
        <v>20.539000000000001</v>
      </c>
      <c r="G2784" s="34">
        <f>IF(ISNUMBER(F2784),E2784*F2784,"")</f>
        <v>6.1617000000000006</v>
      </c>
      <c r="H2784" s="39">
        <f>SUM(G2784:G2785)</f>
        <v>6.1617000000000006</v>
      </c>
      <c r="I2784" s="40"/>
      <c r="J2784" s="155">
        <v>0</v>
      </c>
    </row>
    <row r="2785" spans="1:10" ht="26.25" hidden="1" thickBot="1" x14ac:dyDescent="0.3">
      <c r="A2785" s="176"/>
      <c r="B2785" s="175"/>
      <c r="C2785" s="36" t="s">
        <v>862</v>
      </c>
      <c r="D2785" s="36" t="s">
        <v>20</v>
      </c>
      <c r="E2785" s="37">
        <v>1</v>
      </c>
      <c r="F2785" s="31">
        <v>0</v>
      </c>
      <c r="G2785" s="34">
        <f>IF(ISNUMBER(F2785),E2785*F2785,"")</f>
        <v>0</v>
      </c>
      <c r="H2785" s="35"/>
      <c r="I2785" s="31"/>
      <c r="J2785" s="155">
        <v>0</v>
      </c>
    </row>
    <row r="2786" spans="1:10" ht="15.75" hidden="1" thickBot="1" x14ac:dyDescent="0.3">
      <c r="A2786" s="176"/>
      <c r="B2786" s="175"/>
      <c r="C2786" s="36"/>
      <c r="D2786" s="36"/>
      <c r="E2786" s="37"/>
      <c r="F2786" s="31" t="s">
        <v>568</v>
      </c>
      <c r="G2786" s="34" t="str">
        <f>IF(ISNUMBER(F2786),E2786*F2786,"")</f>
        <v/>
      </c>
      <c r="H2786" s="35"/>
      <c r="I2786" s="31"/>
      <c r="J2786" s="155">
        <v>0</v>
      </c>
    </row>
    <row r="2787" spans="1:10" ht="39.75" hidden="1" thickBot="1" x14ac:dyDescent="0.3">
      <c r="A2787" s="176"/>
      <c r="B2787" s="175"/>
      <c r="C2787" s="149" t="s">
        <v>863</v>
      </c>
      <c r="D2787" s="36"/>
      <c r="E2787" s="37"/>
      <c r="F2787" s="31" t="s">
        <v>568</v>
      </c>
      <c r="G2787" s="34" t="str">
        <f>IF(ISNUMBER(F2787),E2787*F2787,"")</f>
        <v/>
      </c>
      <c r="H2787" s="35"/>
      <c r="I2787" s="31"/>
      <c r="J2787" s="155">
        <v>0</v>
      </c>
    </row>
    <row r="2788" spans="1:10" ht="15.75" hidden="1" thickBot="1" x14ac:dyDescent="0.3">
      <c r="A2788" s="177"/>
      <c r="B2788" s="178"/>
      <c r="C2788" s="36"/>
      <c r="D2788" s="36"/>
      <c r="E2788" s="37"/>
      <c r="F2788" s="31" t="s">
        <v>568</v>
      </c>
      <c r="G2788" s="34" t="str">
        <f>IF(ISNUMBER(F2788),E2788*F2788,"")</f>
        <v/>
      </c>
      <c r="H2788" s="35"/>
      <c r="I2788" s="31"/>
      <c r="J2788" s="155">
        <v>0</v>
      </c>
    </row>
    <row r="2789" spans="1:10" ht="15.75" hidden="1" thickBot="1" x14ac:dyDescent="0.3">
      <c r="A2789" s="172" t="s">
        <v>864</v>
      </c>
      <c r="B2789" s="174" t="str">
        <f>INDEX(Orçamentária!A:B,MATCH(Composições!A2789,Orçamentária!A:A,0),2)</f>
        <v>Botão de correção para vidro temperado</v>
      </c>
      <c r="C2789" s="41"/>
      <c r="D2789" s="26" t="str">
        <f>TRIM(INDEX(Orçamentária!C:C,MATCH(Composições!A2789,Orçamentária!A:A,0),1))</f>
        <v>un</v>
      </c>
      <c r="E2789" s="27"/>
      <c r="F2789" s="42" t="s">
        <v>568</v>
      </c>
      <c r="G2789" s="28" t="str">
        <f>IF(ISNUMBER(F2789),E2789*F2789,"")</f>
        <v/>
      </c>
      <c r="H2789" s="29"/>
      <c r="I2789" s="30"/>
      <c r="J2789" s="155">
        <v>0</v>
      </c>
    </row>
    <row r="2790" spans="1:10" ht="15.75" hidden="1" thickBot="1" x14ac:dyDescent="0.3">
      <c r="A2790" s="176"/>
      <c r="B2790" s="175"/>
      <c r="C2790" s="32"/>
      <c r="D2790" s="32"/>
      <c r="E2790" s="33"/>
      <c r="F2790" s="43" t="s">
        <v>568</v>
      </c>
      <c r="G2790" s="34" t="str">
        <f>IF(ISNUMBER(F2790),E2790*F2790,"")</f>
        <v/>
      </c>
      <c r="H2790" s="35"/>
      <c r="I2790" s="31"/>
      <c r="J2790" s="155">
        <v>0</v>
      </c>
    </row>
    <row r="2791" spans="1:10" ht="15.75" hidden="1" thickBot="1" x14ac:dyDescent="0.3">
      <c r="A2791" s="176"/>
      <c r="B2791" s="175"/>
      <c r="C2791" s="36" t="s">
        <v>68</v>
      </c>
      <c r="D2791" s="36" t="s">
        <v>12</v>
      </c>
      <c r="E2791" s="37">
        <v>0.15</v>
      </c>
      <c r="F2791" s="34">
        <v>20.539000000000001</v>
      </c>
      <c r="G2791" s="34">
        <f>IF(ISNUMBER(F2791),E2791*F2791,"")</f>
        <v>3.0808500000000003</v>
      </c>
      <c r="H2791" s="39">
        <f>SUM(G2791:G2792)</f>
        <v>3.0808500000000003</v>
      </c>
      <c r="I2791" s="40"/>
      <c r="J2791" s="155">
        <v>0</v>
      </c>
    </row>
    <row r="2792" spans="1:10" ht="15.75" hidden="1" thickBot="1" x14ac:dyDescent="0.3">
      <c r="A2792" s="176"/>
      <c r="B2792" s="175"/>
      <c r="C2792" s="36" t="s">
        <v>865</v>
      </c>
      <c r="D2792" s="36" t="s">
        <v>20</v>
      </c>
      <c r="E2792" s="37">
        <v>1</v>
      </c>
      <c r="F2792" s="31">
        <v>0</v>
      </c>
      <c r="G2792" s="34">
        <f>IF(ISNUMBER(F2792),E2792*F2792,"")</f>
        <v>0</v>
      </c>
      <c r="H2792" s="35"/>
      <c r="I2792" s="31"/>
      <c r="J2792" s="155">
        <v>0</v>
      </c>
    </row>
    <row r="2793" spans="1:10" ht="15.75" hidden="1" thickBot="1" x14ac:dyDescent="0.3">
      <c r="A2793" s="177"/>
      <c r="B2793" s="178"/>
      <c r="C2793" s="36"/>
      <c r="D2793" s="36"/>
      <c r="E2793" s="37"/>
      <c r="F2793" s="31" t="s">
        <v>568</v>
      </c>
      <c r="G2793" s="34" t="str">
        <f>IF(ISNUMBER(F2793),E2793*F2793,"")</f>
        <v/>
      </c>
      <c r="H2793" s="35"/>
      <c r="I2793" s="31"/>
      <c r="J2793" s="155">
        <v>0</v>
      </c>
    </row>
    <row r="2794" spans="1:10" ht="15.75" hidden="1" thickBot="1" x14ac:dyDescent="0.3">
      <c r="A2794" s="172" t="s">
        <v>866</v>
      </c>
      <c r="B2794" s="174" t="str">
        <f>INDEX(Orçamentária!A:B,MATCH(Composições!A2794,Orçamentária!A:A,0),2)</f>
        <v>Fechadura bico-de-papagaio, com furo, para vidro temperado</v>
      </c>
      <c r="C2794" s="41"/>
      <c r="D2794" s="26" t="str">
        <f>TRIM(INDEX(Orçamentária!C:C,MATCH(Composições!A2794,Orçamentária!A:A,0),1))</f>
        <v>un</v>
      </c>
      <c r="E2794" s="27"/>
      <c r="F2794" s="42" t="s">
        <v>568</v>
      </c>
      <c r="G2794" s="28" t="str">
        <f>IF(ISNUMBER(F2794),E2794*F2794,"")</f>
        <v/>
      </c>
      <c r="H2794" s="29"/>
      <c r="I2794" s="30"/>
      <c r="J2794" s="155">
        <v>0</v>
      </c>
    </row>
    <row r="2795" spans="1:10" ht="15.75" hidden="1" thickBot="1" x14ac:dyDescent="0.3">
      <c r="A2795" s="176"/>
      <c r="B2795" s="175"/>
      <c r="C2795" s="32"/>
      <c r="D2795" s="32"/>
      <c r="E2795" s="33"/>
      <c r="F2795" s="43" t="s">
        <v>568</v>
      </c>
      <c r="G2795" s="34" t="str">
        <f>IF(ISNUMBER(F2795),E2795*F2795,"")</f>
        <v/>
      </c>
      <c r="H2795" s="35"/>
      <c r="I2795" s="31"/>
      <c r="J2795" s="155">
        <v>0</v>
      </c>
    </row>
    <row r="2796" spans="1:10" ht="15.75" hidden="1" thickBot="1" x14ac:dyDescent="0.3">
      <c r="A2796" s="176"/>
      <c r="B2796" s="175"/>
      <c r="C2796" s="36" t="s">
        <v>68</v>
      </c>
      <c r="D2796" s="36" t="s">
        <v>12</v>
      </c>
      <c r="E2796" s="37">
        <v>0.4</v>
      </c>
      <c r="F2796" s="34">
        <v>20.539000000000001</v>
      </c>
      <c r="G2796" s="34">
        <f>IF(ISNUMBER(F2796),E2796*F2796,"")</f>
        <v>8.2156000000000002</v>
      </c>
      <c r="H2796" s="39">
        <f>SUM(G2796:G2797)</f>
        <v>8.2156000000000002</v>
      </c>
      <c r="I2796" s="40"/>
      <c r="J2796" s="155">
        <v>0</v>
      </c>
    </row>
    <row r="2797" spans="1:10" ht="26.25" hidden="1" thickBot="1" x14ac:dyDescent="0.3">
      <c r="A2797" s="176"/>
      <c r="B2797" s="175"/>
      <c r="C2797" s="36" t="s">
        <v>867</v>
      </c>
      <c r="D2797" s="36" t="s">
        <v>20</v>
      </c>
      <c r="E2797" s="37">
        <v>1</v>
      </c>
      <c r="F2797" s="31" t="s">
        <v>568</v>
      </c>
      <c r="G2797" s="34" t="str">
        <f>IF(ISNUMBER(F2797),E2797*F2797,"")</f>
        <v/>
      </c>
      <c r="H2797" s="35"/>
      <c r="I2797" s="31"/>
      <c r="J2797" s="155">
        <v>0</v>
      </c>
    </row>
    <row r="2798" spans="1:10" ht="15.75" hidden="1" thickBot="1" x14ac:dyDescent="0.3">
      <c r="A2798" s="177"/>
      <c r="B2798" s="178"/>
      <c r="C2798" s="36"/>
      <c r="D2798" s="36"/>
      <c r="E2798" s="37"/>
      <c r="F2798" s="31" t="s">
        <v>568</v>
      </c>
      <c r="G2798" s="34" t="str">
        <f>IF(ISNUMBER(F2798),E2798*F2798,"")</f>
        <v/>
      </c>
      <c r="H2798" s="35"/>
      <c r="I2798" s="31"/>
      <c r="J2798" s="155">
        <v>0</v>
      </c>
    </row>
    <row r="2799" spans="1:10" ht="15.75" hidden="1" thickBot="1" x14ac:dyDescent="0.3">
      <c r="A2799" s="172" t="s">
        <v>868</v>
      </c>
      <c r="B2799" s="174" t="str">
        <f>INDEX(Orçamentária!A:B,MATCH(Composições!A2799,Orçamentária!A:A,0),2)</f>
        <v>Fechadura bico-de-papagaio, com furo, para janela de vidro temperado</v>
      </c>
      <c r="C2799" s="41"/>
      <c r="D2799" s="26" t="str">
        <f>TRIM(INDEX(Orçamentária!C:C,MATCH(Composições!A2799,Orçamentária!A:A,0),1))</f>
        <v>un</v>
      </c>
      <c r="E2799" s="27"/>
      <c r="F2799" s="42" t="s">
        <v>568</v>
      </c>
      <c r="G2799" s="28" t="str">
        <f>IF(ISNUMBER(F2799),E2799*F2799,"")</f>
        <v/>
      </c>
      <c r="H2799" s="29"/>
      <c r="I2799" s="30"/>
      <c r="J2799" s="155">
        <v>0</v>
      </c>
    </row>
    <row r="2800" spans="1:10" ht="15.75" hidden="1" thickBot="1" x14ac:dyDescent="0.3">
      <c r="A2800" s="176"/>
      <c r="B2800" s="175"/>
      <c r="C2800" s="32"/>
      <c r="D2800" s="32"/>
      <c r="E2800" s="33"/>
      <c r="F2800" s="43" t="s">
        <v>568</v>
      </c>
      <c r="G2800" s="34" t="str">
        <f>IF(ISNUMBER(F2800),E2800*F2800,"")</f>
        <v/>
      </c>
      <c r="H2800" s="35"/>
      <c r="I2800" s="31"/>
      <c r="J2800" s="155">
        <v>0</v>
      </c>
    </row>
    <row r="2801" spans="1:10" ht="15.75" hidden="1" thickBot="1" x14ac:dyDescent="0.3">
      <c r="A2801" s="176"/>
      <c r="B2801" s="175"/>
      <c r="C2801" s="36" t="s">
        <v>68</v>
      </c>
      <c r="D2801" s="36" t="s">
        <v>12</v>
      </c>
      <c r="E2801" s="37">
        <v>0.4</v>
      </c>
      <c r="F2801" s="34">
        <v>20.539000000000001</v>
      </c>
      <c r="G2801" s="34">
        <f>IF(ISNUMBER(F2801),E2801*F2801,"")</f>
        <v>8.2156000000000002</v>
      </c>
      <c r="H2801" s="39">
        <f>SUM(G2801:G2802)</f>
        <v>8.2156000000000002</v>
      </c>
      <c r="I2801" s="40"/>
      <c r="J2801" s="155">
        <v>0</v>
      </c>
    </row>
    <row r="2802" spans="1:10" ht="26.25" hidden="1" thickBot="1" x14ac:dyDescent="0.3">
      <c r="A2802" s="176"/>
      <c r="B2802" s="175"/>
      <c r="C2802" s="36" t="s">
        <v>869</v>
      </c>
      <c r="D2802" s="36" t="s">
        <v>20</v>
      </c>
      <c r="E2802" s="37">
        <v>1</v>
      </c>
      <c r="F2802" s="31" t="s">
        <v>568</v>
      </c>
      <c r="G2802" s="34" t="str">
        <f>IF(ISNUMBER(F2802),E2802*F2802,"")</f>
        <v/>
      </c>
      <c r="H2802" s="35"/>
      <c r="I2802" s="31"/>
      <c r="J2802" s="155">
        <v>0</v>
      </c>
    </row>
    <row r="2803" spans="1:10" ht="15.75" hidden="1" thickBot="1" x14ac:dyDescent="0.3">
      <c r="A2803" s="177"/>
      <c r="B2803" s="178"/>
      <c r="C2803" s="36"/>
      <c r="D2803" s="36"/>
      <c r="E2803" s="37"/>
      <c r="F2803" s="31" t="s">
        <v>568</v>
      </c>
      <c r="G2803" s="34" t="str">
        <f>IF(ISNUMBER(F2803),E2803*F2803,"")</f>
        <v/>
      </c>
      <c r="H2803" s="35"/>
      <c r="I2803" s="31"/>
      <c r="J2803" s="155">
        <v>0</v>
      </c>
    </row>
    <row r="2804" spans="1:10" ht="15.75" hidden="1" thickBot="1" x14ac:dyDescent="0.3">
      <c r="A2804" s="172" t="s">
        <v>870</v>
      </c>
      <c r="B2804" s="174" t="str">
        <f>INDEX(Orçamentária!A:B,MATCH(Composições!A2804,Orçamentária!A:A,0),2)</f>
        <v>Fechadura para porta de abrir de vidro temperado</v>
      </c>
      <c r="C2804" s="41"/>
      <c r="D2804" s="26" t="str">
        <f>TRIM(INDEX(Orçamentária!C:C,MATCH(Composições!A2804,Orçamentária!A:A,0),1))</f>
        <v>un</v>
      </c>
      <c r="E2804" s="27"/>
      <c r="F2804" s="42" t="s">
        <v>568</v>
      </c>
      <c r="G2804" s="28" t="str">
        <f>IF(ISNUMBER(F2804),E2804*F2804,"")</f>
        <v/>
      </c>
      <c r="H2804" s="29"/>
      <c r="I2804" s="30"/>
      <c r="J2804" s="155">
        <v>0</v>
      </c>
    </row>
    <row r="2805" spans="1:10" ht="15.75" hidden="1" thickBot="1" x14ac:dyDescent="0.3">
      <c r="A2805" s="176"/>
      <c r="B2805" s="175"/>
      <c r="C2805" s="32"/>
      <c r="D2805" s="32"/>
      <c r="E2805" s="33"/>
      <c r="F2805" s="43" t="s">
        <v>568</v>
      </c>
      <c r="G2805" s="34" t="str">
        <f>IF(ISNUMBER(F2805),E2805*F2805,"")</f>
        <v/>
      </c>
      <c r="H2805" s="35"/>
      <c r="I2805" s="31"/>
      <c r="J2805" s="155">
        <v>0</v>
      </c>
    </row>
    <row r="2806" spans="1:10" ht="15.75" hidden="1" thickBot="1" x14ac:dyDescent="0.3">
      <c r="A2806" s="176"/>
      <c r="B2806" s="175"/>
      <c r="C2806" s="36" t="s">
        <v>68</v>
      </c>
      <c r="D2806" s="36" t="s">
        <v>12</v>
      </c>
      <c r="E2806" s="37">
        <v>0.4</v>
      </c>
      <c r="F2806" s="34">
        <v>20.539000000000001</v>
      </c>
      <c r="G2806" s="34">
        <f>IF(ISNUMBER(F2806),E2806*F2806,"")</f>
        <v>8.2156000000000002</v>
      </c>
      <c r="H2806" s="39">
        <f>SUM(G2806:G2807)</f>
        <v>8.2156000000000002</v>
      </c>
      <c r="I2806" s="40"/>
      <c r="J2806" s="155">
        <v>0</v>
      </c>
    </row>
    <row r="2807" spans="1:10" ht="26.25" hidden="1" thickBot="1" x14ac:dyDescent="0.3">
      <c r="A2807" s="176"/>
      <c r="B2807" s="175"/>
      <c r="C2807" s="36" t="s">
        <v>871</v>
      </c>
      <c r="D2807" s="36" t="s">
        <v>20</v>
      </c>
      <c r="E2807" s="37">
        <v>1</v>
      </c>
      <c r="F2807" s="31" t="s">
        <v>568</v>
      </c>
      <c r="G2807" s="34" t="str">
        <f>IF(ISNUMBER(F2807),E2807*F2807,"")</f>
        <v/>
      </c>
      <c r="H2807" s="35"/>
      <c r="I2807" s="31"/>
      <c r="J2807" s="155">
        <v>0</v>
      </c>
    </row>
    <row r="2808" spans="1:10" ht="15.75" hidden="1" thickBot="1" x14ac:dyDescent="0.3">
      <c r="A2808" s="177"/>
      <c r="B2808" s="178"/>
      <c r="C2808" s="36"/>
      <c r="D2808" s="36"/>
      <c r="E2808" s="37"/>
      <c r="F2808" s="31" t="s">
        <v>568</v>
      </c>
      <c r="G2808" s="34" t="str">
        <f>IF(ISNUMBER(F2808),E2808*F2808,"")</f>
        <v/>
      </c>
      <c r="H2808" s="35"/>
      <c r="I2808" s="31"/>
      <c r="J2808" s="155">
        <v>0</v>
      </c>
    </row>
    <row r="2809" spans="1:10" ht="15.75" hidden="1" thickBot="1" x14ac:dyDescent="0.3">
      <c r="A2809" s="172" t="s">
        <v>872</v>
      </c>
      <c r="B2809" s="174" t="str">
        <f>INDEX(Orçamentária!A:B,MATCH(Composições!A2809,Orçamentária!A:A,0),2)</f>
        <v>Contra fechadura, para alvenaria, para porta com fechadura 1520/9520</v>
      </c>
      <c r="C2809" s="41"/>
      <c r="D2809" s="26" t="str">
        <f>TRIM(INDEX(Orçamentária!C:C,MATCH(Composições!A2809,Orçamentária!A:A,0),1))</f>
        <v>un</v>
      </c>
      <c r="E2809" s="27"/>
      <c r="F2809" s="42" t="s">
        <v>568</v>
      </c>
      <c r="G2809" s="28" t="str">
        <f>IF(ISNUMBER(F2809),E2809*F2809,"")</f>
        <v/>
      </c>
      <c r="H2809" s="29"/>
      <c r="I2809" s="30"/>
      <c r="J2809" s="155">
        <v>0</v>
      </c>
    </row>
    <row r="2810" spans="1:10" ht="15.75" hidden="1" thickBot="1" x14ac:dyDescent="0.3">
      <c r="A2810" s="176"/>
      <c r="B2810" s="175"/>
      <c r="C2810" s="32"/>
      <c r="D2810" s="32"/>
      <c r="E2810" s="33"/>
      <c r="F2810" s="43" t="s">
        <v>568</v>
      </c>
      <c r="G2810" s="34" t="str">
        <f>IF(ISNUMBER(F2810),E2810*F2810,"")</f>
        <v/>
      </c>
      <c r="H2810" s="35"/>
      <c r="I2810" s="31"/>
      <c r="J2810" s="155">
        <v>0</v>
      </c>
    </row>
    <row r="2811" spans="1:10" ht="15.75" hidden="1" thickBot="1" x14ac:dyDescent="0.3">
      <c r="A2811" s="176"/>
      <c r="B2811" s="175"/>
      <c r="C2811" s="36" t="s">
        <v>68</v>
      </c>
      <c r="D2811" s="36" t="s">
        <v>12</v>
      </c>
      <c r="E2811" s="37">
        <v>0.25</v>
      </c>
      <c r="F2811" s="34">
        <v>20.539000000000001</v>
      </c>
      <c r="G2811" s="34">
        <f>IF(ISNUMBER(F2811),E2811*F2811,"")</f>
        <v>5.1347500000000004</v>
      </c>
      <c r="H2811" s="39">
        <f>SUM(G2811:G2812)</f>
        <v>5.1347500000000004</v>
      </c>
      <c r="I2811" s="40"/>
      <c r="J2811" s="155">
        <v>0</v>
      </c>
    </row>
    <row r="2812" spans="1:10" ht="39" hidden="1" thickBot="1" x14ac:dyDescent="0.3">
      <c r="A2812" s="176"/>
      <c r="B2812" s="175"/>
      <c r="C2812" s="36" t="s">
        <v>873</v>
      </c>
      <c r="D2812" s="36" t="s">
        <v>20</v>
      </c>
      <c r="E2812" s="37">
        <v>1</v>
      </c>
      <c r="F2812" s="31" t="s">
        <v>568</v>
      </c>
      <c r="G2812" s="34" t="str">
        <f>IF(ISNUMBER(F2812),E2812*F2812,"")</f>
        <v/>
      </c>
      <c r="H2812" s="35"/>
      <c r="I2812" s="31"/>
      <c r="J2812" s="155">
        <v>0</v>
      </c>
    </row>
    <row r="2813" spans="1:10" ht="15.75" hidden="1" thickBot="1" x14ac:dyDescent="0.3">
      <c r="A2813" s="177"/>
      <c r="B2813" s="178"/>
      <c r="C2813" s="36"/>
      <c r="D2813" s="36"/>
      <c r="E2813" s="37"/>
      <c r="F2813" s="31" t="s">
        <v>568</v>
      </c>
      <c r="G2813" s="34" t="str">
        <f>IF(ISNUMBER(F2813),E2813*F2813,"")</f>
        <v/>
      </c>
      <c r="H2813" s="35"/>
      <c r="I2813" s="31"/>
      <c r="J2813" s="155">
        <v>0</v>
      </c>
    </row>
    <row r="2814" spans="1:10" ht="15.75" hidden="1" thickBot="1" x14ac:dyDescent="0.3">
      <c r="A2814" s="172" t="s">
        <v>874</v>
      </c>
      <c r="B2814" s="174" t="str">
        <f>INDEX(Orçamentária!A:B,MATCH(Composições!A2814,Orçamentária!A:A,0),2)</f>
        <v>Contra fechadura de pressão para porta de vidro temperado</v>
      </c>
      <c r="C2814" s="41"/>
      <c r="D2814" s="26" t="str">
        <f>TRIM(INDEX(Orçamentária!C:C,MATCH(Composições!A2814,Orçamentária!A:A,0),1))</f>
        <v>un</v>
      </c>
      <c r="E2814" s="27"/>
      <c r="F2814" s="42" t="s">
        <v>568</v>
      </c>
      <c r="G2814" s="28" t="str">
        <f>IF(ISNUMBER(F2814),E2814*F2814,"")</f>
        <v/>
      </c>
      <c r="H2814" s="29"/>
      <c r="I2814" s="30"/>
      <c r="J2814" s="155">
        <v>0</v>
      </c>
    </row>
    <row r="2815" spans="1:10" ht="15.75" hidden="1" thickBot="1" x14ac:dyDescent="0.3">
      <c r="A2815" s="176"/>
      <c r="B2815" s="175"/>
      <c r="C2815" s="32"/>
      <c r="D2815" s="32"/>
      <c r="E2815" s="33"/>
      <c r="F2815" s="43" t="s">
        <v>568</v>
      </c>
      <c r="G2815" s="34" t="str">
        <f>IF(ISNUMBER(F2815),E2815*F2815,"")</f>
        <v/>
      </c>
      <c r="H2815" s="35"/>
      <c r="I2815" s="31"/>
      <c r="J2815" s="155">
        <v>0</v>
      </c>
    </row>
    <row r="2816" spans="1:10" ht="15.75" hidden="1" thickBot="1" x14ac:dyDescent="0.3">
      <c r="A2816" s="176"/>
      <c r="B2816" s="175"/>
      <c r="C2816" s="36" t="s">
        <v>68</v>
      </c>
      <c r="D2816" s="36" t="s">
        <v>12</v>
      </c>
      <c r="E2816" s="37">
        <v>0.25</v>
      </c>
      <c r="F2816" s="34">
        <v>20.539000000000001</v>
      </c>
      <c r="G2816" s="34">
        <f>IF(ISNUMBER(F2816),E2816*F2816,"")</f>
        <v>5.1347500000000004</v>
      </c>
      <c r="H2816" s="39">
        <f>SUM(G2816:G2817)</f>
        <v>5.1347500000000004</v>
      </c>
      <c r="I2816" s="40"/>
      <c r="J2816" s="155">
        <v>0</v>
      </c>
    </row>
    <row r="2817" spans="1:10" ht="39" hidden="1" thickBot="1" x14ac:dyDescent="0.3">
      <c r="A2817" s="176"/>
      <c r="B2817" s="175"/>
      <c r="C2817" s="36" t="s">
        <v>875</v>
      </c>
      <c r="D2817" s="36" t="s">
        <v>20</v>
      </c>
      <c r="E2817" s="37">
        <v>1</v>
      </c>
      <c r="F2817" s="31" t="s">
        <v>568</v>
      </c>
      <c r="G2817" s="34" t="str">
        <f>IF(ISNUMBER(F2817),E2817*F2817,"")</f>
        <v/>
      </c>
      <c r="H2817" s="35"/>
      <c r="I2817" s="31"/>
      <c r="J2817" s="155">
        <v>0</v>
      </c>
    </row>
    <row r="2818" spans="1:10" ht="15.75" hidden="1" thickBot="1" x14ac:dyDescent="0.3">
      <c r="A2818" s="177"/>
      <c r="B2818" s="178"/>
      <c r="C2818" s="36"/>
      <c r="D2818" s="36"/>
      <c r="E2818" s="37"/>
      <c r="F2818" s="31" t="s">
        <v>568</v>
      </c>
      <c r="G2818" s="34" t="str">
        <f>IF(ISNUMBER(F2818),E2818*F2818,"")</f>
        <v/>
      </c>
      <c r="H2818" s="35"/>
      <c r="I2818" s="31"/>
      <c r="J2818" s="155">
        <v>0</v>
      </c>
    </row>
    <row r="2819" spans="1:10" ht="15.75" hidden="1" thickBot="1" x14ac:dyDescent="0.3">
      <c r="A2819" s="172" t="s">
        <v>876</v>
      </c>
      <c r="B2819" s="174" t="str">
        <f>INDEX(Orçamentária!A:B,MATCH(Composições!A2819,Orçamentária!A:A,0),2)</f>
        <v>Contra fechadura, com furo, para porta com furo</v>
      </c>
      <c r="C2819" s="41"/>
      <c r="D2819" s="26" t="str">
        <f>TRIM(INDEX(Orçamentária!C:C,MATCH(Composições!A2819,Orçamentária!A:A,0),1))</f>
        <v>un</v>
      </c>
      <c r="E2819" s="27"/>
      <c r="F2819" s="42" t="s">
        <v>568</v>
      </c>
      <c r="G2819" s="28" t="str">
        <f>IF(ISNUMBER(F2819),E2819*F2819,"")</f>
        <v/>
      </c>
      <c r="H2819" s="29"/>
      <c r="I2819" s="30"/>
      <c r="J2819" s="155">
        <v>0</v>
      </c>
    </row>
    <row r="2820" spans="1:10" ht="15.75" hidden="1" thickBot="1" x14ac:dyDescent="0.3">
      <c r="A2820" s="176"/>
      <c r="B2820" s="175"/>
      <c r="C2820" s="32"/>
      <c r="D2820" s="32"/>
      <c r="E2820" s="33"/>
      <c r="F2820" s="43" t="s">
        <v>568</v>
      </c>
      <c r="G2820" s="34" t="str">
        <f>IF(ISNUMBER(F2820),E2820*F2820,"")</f>
        <v/>
      </c>
      <c r="H2820" s="35"/>
      <c r="I2820" s="31"/>
      <c r="J2820" s="155">
        <v>0</v>
      </c>
    </row>
    <row r="2821" spans="1:10" ht="15.75" hidden="1" thickBot="1" x14ac:dyDescent="0.3">
      <c r="A2821" s="176"/>
      <c r="B2821" s="175"/>
      <c r="C2821" s="36" t="s">
        <v>68</v>
      </c>
      <c r="D2821" s="36" t="s">
        <v>12</v>
      </c>
      <c r="E2821" s="37">
        <v>0.25</v>
      </c>
      <c r="F2821" s="34">
        <v>20.539000000000001</v>
      </c>
      <c r="G2821" s="34">
        <f>IF(ISNUMBER(F2821),E2821*F2821,"")</f>
        <v>5.1347500000000004</v>
      </c>
      <c r="H2821" s="39">
        <f>SUM(G2821:G2822)</f>
        <v>5.1347500000000004</v>
      </c>
      <c r="I2821" s="40"/>
      <c r="J2821" s="155">
        <v>0</v>
      </c>
    </row>
    <row r="2822" spans="1:10" ht="39" hidden="1" thickBot="1" x14ac:dyDescent="0.3">
      <c r="A2822" s="176"/>
      <c r="B2822" s="175"/>
      <c r="C2822" s="36" t="s">
        <v>877</v>
      </c>
      <c r="D2822" s="36" t="s">
        <v>20</v>
      </c>
      <c r="E2822" s="37">
        <v>1</v>
      </c>
      <c r="F2822" s="31" t="s">
        <v>568</v>
      </c>
      <c r="G2822" s="34" t="str">
        <f>IF(ISNUMBER(F2822),E2822*F2822,"")</f>
        <v/>
      </c>
      <c r="H2822" s="35"/>
      <c r="I2822" s="31"/>
      <c r="J2822" s="155">
        <v>0</v>
      </c>
    </row>
    <row r="2823" spans="1:10" ht="15.75" hidden="1" thickBot="1" x14ac:dyDescent="0.3">
      <c r="A2823" s="177"/>
      <c r="B2823" s="178"/>
      <c r="C2823" s="36"/>
      <c r="D2823" s="36"/>
      <c r="E2823" s="37"/>
      <c r="F2823" s="31" t="s">
        <v>568</v>
      </c>
      <c r="G2823" s="34" t="str">
        <f>IF(ISNUMBER(F2823),E2823*F2823,"")</f>
        <v/>
      </c>
      <c r="H2823" s="35"/>
      <c r="I2823" s="31"/>
      <c r="J2823" s="155">
        <v>0</v>
      </c>
    </row>
    <row r="2824" spans="1:10" ht="15.75" hidden="1" thickBot="1" x14ac:dyDescent="0.3">
      <c r="A2824" s="172" t="s">
        <v>878</v>
      </c>
      <c r="B2824" s="174" t="str">
        <f>INDEX(Orçamentária!A:B,MATCH(Composições!A2824,Orçamentária!A:A,0),2)</f>
        <v>Trinco inferior, com miolo, para porta de vidro temperado</v>
      </c>
      <c r="C2824" s="41"/>
      <c r="D2824" s="26" t="str">
        <f>TRIM(INDEX(Orçamentária!C:C,MATCH(Composições!A2824,Orçamentária!A:A,0),1))</f>
        <v>un</v>
      </c>
      <c r="E2824" s="27"/>
      <c r="F2824" s="42" t="s">
        <v>568</v>
      </c>
      <c r="G2824" s="28" t="str">
        <f>IF(ISNUMBER(F2824),E2824*F2824,"")</f>
        <v/>
      </c>
      <c r="H2824" s="29"/>
      <c r="I2824" s="30"/>
      <c r="J2824" s="155">
        <v>0</v>
      </c>
    </row>
    <row r="2825" spans="1:10" ht="15.75" hidden="1" thickBot="1" x14ac:dyDescent="0.3">
      <c r="A2825" s="176"/>
      <c r="B2825" s="175"/>
      <c r="C2825" s="32"/>
      <c r="D2825" s="32"/>
      <c r="E2825" s="33"/>
      <c r="F2825" s="43" t="s">
        <v>568</v>
      </c>
      <c r="G2825" s="34" t="str">
        <f>IF(ISNUMBER(F2825),E2825*F2825,"")</f>
        <v/>
      </c>
      <c r="H2825" s="35"/>
      <c r="I2825" s="31"/>
      <c r="J2825" s="155">
        <v>0</v>
      </c>
    </row>
    <row r="2826" spans="1:10" ht="15.75" hidden="1" thickBot="1" x14ac:dyDescent="0.3">
      <c r="A2826" s="176"/>
      <c r="B2826" s="175"/>
      <c r="C2826" s="36" t="s">
        <v>68</v>
      </c>
      <c r="D2826" s="36" t="s">
        <v>12</v>
      </c>
      <c r="E2826" s="37">
        <v>0.25</v>
      </c>
      <c r="F2826" s="34">
        <v>20.539000000000001</v>
      </c>
      <c r="G2826" s="34">
        <f>IF(ISNUMBER(F2826),E2826*F2826,"")</f>
        <v>5.1347500000000004</v>
      </c>
      <c r="H2826" s="39">
        <f>SUM(G2826:G2827)</f>
        <v>5.1347500000000004</v>
      </c>
      <c r="I2826" s="40"/>
      <c r="J2826" s="155">
        <v>0</v>
      </c>
    </row>
    <row r="2827" spans="1:10" ht="26.25" hidden="1" thickBot="1" x14ac:dyDescent="0.3">
      <c r="A2827" s="176"/>
      <c r="B2827" s="175"/>
      <c r="C2827" s="36" t="s">
        <v>879</v>
      </c>
      <c r="D2827" s="36" t="s">
        <v>20</v>
      </c>
      <c r="E2827" s="37">
        <v>1</v>
      </c>
      <c r="F2827" s="31">
        <v>0</v>
      </c>
      <c r="G2827" s="34">
        <f>IF(ISNUMBER(F2827),E2827*F2827,"")</f>
        <v>0</v>
      </c>
      <c r="H2827" s="35"/>
      <c r="I2827" s="31"/>
      <c r="J2827" s="155">
        <v>0</v>
      </c>
    </row>
    <row r="2828" spans="1:10" ht="15.75" hidden="1" thickBot="1" x14ac:dyDescent="0.3">
      <c r="A2828" s="177"/>
      <c r="B2828" s="178"/>
      <c r="C2828" s="36"/>
      <c r="D2828" s="36"/>
      <c r="E2828" s="37"/>
      <c r="F2828" s="31" t="s">
        <v>568</v>
      </c>
      <c r="G2828" s="34" t="str">
        <f>IF(ISNUMBER(F2828),E2828*F2828,"")</f>
        <v/>
      </c>
      <c r="H2828" s="35"/>
      <c r="I2828" s="31"/>
      <c r="J2828" s="155">
        <v>0</v>
      </c>
    </row>
    <row r="2829" spans="1:10" ht="15.75" hidden="1" thickBot="1" x14ac:dyDescent="0.3">
      <c r="A2829" s="172" t="s">
        <v>880</v>
      </c>
      <c r="B2829" s="174" t="str">
        <f>INDEX(Orçamentária!A:B,MATCH(Composições!A2829,Orçamentária!A:A,0),2)</f>
        <v>Mola hidráulica BTS 75R</v>
      </c>
      <c r="C2829" s="41"/>
      <c r="D2829" s="26" t="str">
        <f>TRIM(INDEX(Orçamentária!C:C,MATCH(Composições!A2829,Orçamentária!A:A,0),1))</f>
        <v>un</v>
      </c>
      <c r="E2829" s="27"/>
      <c r="F2829" s="42" t="s">
        <v>568</v>
      </c>
      <c r="G2829" s="28" t="str">
        <f>IF(ISNUMBER(F2829),E2829*F2829,"")</f>
        <v/>
      </c>
      <c r="H2829" s="29"/>
      <c r="I2829" s="30"/>
      <c r="J2829" s="155">
        <v>0</v>
      </c>
    </row>
    <row r="2830" spans="1:10" ht="15.75" hidden="1" thickBot="1" x14ac:dyDescent="0.3">
      <c r="A2830" s="176"/>
      <c r="B2830" s="175"/>
      <c r="C2830" s="32"/>
      <c r="D2830" s="32"/>
      <c r="E2830" s="33"/>
      <c r="F2830" s="43" t="s">
        <v>568</v>
      </c>
      <c r="G2830" s="34" t="str">
        <f>IF(ISNUMBER(F2830),E2830*F2830,"")</f>
        <v/>
      </c>
      <c r="H2830" s="35"/>
      <c r="I2830" s="31"/>
      <c r="J2830" s="155">
        <v>0</v>
      </c>
    </row>
    <row r="2831" spans="1:10" ht="15.75" hidden="1" thickBot="1" x14ac:dyDescent="0.3">
      <c r="A2831" s="176"/>
      <c r="B2831" s="175"/>
      <c r="C2831" s="36" t="s">
        <v>68</v>
      </c>
      <c r="D2831" s="36" t="s">
        <v>12</v>
      </c>
      <c r="E2831" s="37">
        <v>0.75</v>
      </c>
      <c r="F2831" s="34">
        <v>20.539000000000001</v>
      </c>
      <c r="G2831" s="34">
        <f>IF(ISNUMBER(F2831),E2831*F2831,"")</f>
        <v>15.404250000000001</v>
      </c>
      <c r="H2831" s="39">
        <f>SUM(G2831:G2836)</f>
        <v>43.031124000000005</v>
      </c>
      <c r="I2831" s="40"/>
      <c r="J2831" s="155">
        <v>0</v>
      </c>
    </row>
    <row r="2832" spans="1:10" ht="15.75" hidden="1" thickBot="1" x14ac:dyDescent="0.3">
      <c r="A2832" s="176"/>
      <c r="B2832" s="175"/>
      <c r="C2832" s="36" t="s">
        <v>23</v>
      </c>
      <c r="D2832" s="36" t="s">
        <v>12</v>
      </c>
      <c r="E2832" s="37">
        <v>0.3</v>
      </c>
      <c r="F2832" s="31">
        <v>16.311500000000002</v>
      </c>
      <c r="G2832" s="34">
        <f>IF(ISNUMBER(F2832),E2832*F2832,"")</f>
        <v>4.8934500000000005</v>
      </c>
      <c r="H2832" s="35"/>
      <c r="I2832" s="31"/>
      <c r="J2832" s="155">
        <v>0</v>
      </c>
    </row>
    <row r="2833" spans="1:10" ht="15.75" hidden="1" thickBot="1" x14ac:dyDescent="0.3">
      <c r="A2833" s="176"/>
      <c r="B2833" s="175"/>
      <c r="C2833" s="36" t="s">
        <v>322</v>
      </c>
      <c r="D2833" s="36" t="s">
        <v>20</v>
      </c>
      <c r="E2833" s="37">
        <v>1</v>
      </c>
      <c r="F2833" s="31" t="s">
        <v>568</v>
      </c>
      <c r="G2833" s="31" t="str">
        <f>IF(ISNUMBER(F2833),E2833*F2833,"")</f>
        <v/>
      </c>
      <c r="H2833" s="35"/>
      <c r="I2833" s="31"/>
      <c r="J2833" s="155">
        <v>0</v>
      </c>
    </row>
    <row r="2834" spans="1:10" ht="39" hidden="1" thickBot="1" x14ac:dyDescent="0.3">
      <c r="A2834" s="176"/>
      <c r="B2834" s="175"/>
      <c r="C2834" s="36" t="s">
        <v>321</v>
      </c>
      <c r="D2834" s="36" t="s">
        <v>20</v>
      </c>
      <c r="E2834" s="37">
        <v>1</v>
      </c>
      <c r="F2834" s="31" t="s">
        <v>568</v>
      </c>
      <c r="G2834" s="34" t="str">
        <f>IF(ISNUMBER(F2834),E2834*F2834,"")</f>
        <v/>
      </c>
      <c r="H2834" s="35"/>
      <c r="I2834" s="31"/>
      <c r="J2834" s="155">
        <v>0</v>
      </c>
    </row>
    <row r="2835" spans="1:10" ht="15.75" hidden="1" thickBot="1" x14ac:dyDescent="0.3">
      <c r="A2835" s="176"/>
      <c r="B2835" s="175"/>
      <c r="C2835" s="36" t="s">
        <v>68</v>
      </c>
      <c r="D2835" s="36" t="s">
        <v>12</v>
      </c>
      <c r="E2835" s="37">
        <f>0.5*2.1*0.8</f>
        <v>0.84000000000000008</v>
      </c>
      <c r="F2835" s="34">
        <v>20.539000000000001</v>
      </c>
      <c r="G2835" s="34">
        <f>IF(ISNUMBER(F2835),E2835*F2835,"")</f>
        <v>17.252760000000002</v>
      </c>
      <c r="H2835" s="35"/>
      <c r="I2835" s="31"/>
      <c r="J2835" s="155">
        <v>0</v>
      </c>
    </row>
    <row r="2836" spans="1:10" ht="15.75" hidden="1" thickBot="1" x14ac:dyDescent="0.3">
      <c r="A2836" s="176"/>
      <c r="B2836" s="175"/>
      <c r="C2836" s="36" t="s">
        <v>23</v>
      </c>
      <c r="D2836" s="36" t="s">
        <v>12</v>
      </c>
      <c r="E2836" s="37">
        <f>0.2*2.1*0.8</f>
        <v>0.33600000000000008</v>
      </c>
      <c r="F2836" s="31">
        <v>16.311500000000002</v>
      </c>
      <c r="G2836" s="34">
        <f>IF(ISNUMBER(F2836),E2836*F2836,"")</f>
        <v>5.4806640000000018</v>
      </c>
      <c r="H2836" s="35"/>
      <c r="I2836" s="31"/>
      <c r="J2836" s="155">
        <v>0</v>
      </c>
    </row>
    <row r="2837" spans="1:10" ht="15.75" hidden="1" thickBot="1" x14ac:dyDescent="0.3">
      <c r="A2837" s="176"/>
      <c r="B2837" s="175"/>
      <c r="C2837" s="36"/>
      <c r="D2837" s="36"/>
      <c r="E2837" s="37"/>
      <c r="F2837" s="31" t="s">
        <v>568</v>
      </c>
      <c r="G2837" s="34" t="str">
        <f>IF(ISNUMBER(F2837),E2837*F2837,"")</f>
        <v/>
      </c>
      <c r="H2837" s="35"/>
      <c r="I2837" s="31"/>
      <c r="J2837" s="155">
        <v>0</v>
      </c>
    </row>
    <row r="2838" spans="1:10" ht="15.75" hidden="1" thickBot="1" x14ac:dyDescent="0.3">
      <c r="A2838" s="176"/>
      <c r="B2838" s="175"/>
      <c r="C2838" s="48" t="s">
        <v>881</v>
      </c>
      <c r="D2838" s="36"/>
      <c r="E2838" s="37"/>
      <c r="F2838" s="31" t="s">
        <v>568</v>
      </c>
      <c r="G2838" s="34" t="str">
        <f>IF(ISNUMBER(F2838),E2838*F2838,"")</f>
        <v/>
      </c>
      <c r="H2838" s="35"/>
      <c r="I2838" s="31"/>
      <c r="J2838" s="155">
        <v>0</v>
      </c>
    </row>
    <row r="2839" spans="1:10" ht="15.75" hidden="1" thickBot="1" x14ac:dyDescent="0.3">
      <c r="A2839" s="177"/>
      <c r="B2839" s="178"/>
      <c r="C2839" s="36"/>
      <c r="D2839" s="36"/>
      <c r="E2839" s="37"/>
      <c r="F2839" s="31" t="s">
        <v>568</v>
      </c>
      <c r="G2839" s="34" t="str">
        <f>IF(ISNUMBER(F2839),E2839*F2839,"")</f>
        <v/>
      </c>
      <c r="H2839" s="35"/>
      <c r="I2839" s="31"/>
      <c r="J2839" s="155">
        <v>0</v>
      </c>
    </row>
    <row r="2840" spans="1:10" ht="15.75" hidden="1" thickBot="1" x14ac:dyDescent="0.3">
      <c r="A2840" s="172" t="s">
        <v>882</v>
      </c>
      <c r="B2840" s="174" t="str">
        <f>INDEX(Orçamentária!A:B,MATCH(Composições!A2840,Orçamentária!A:A,0),2)</f>
        <v>Puxador redondo, padrão em poliéster, para porta de vidro temperado</v>
      </c>
      <c r="C2840" s="41"/>
      <c r="D2840" s="26" t="str">
        <f>TRIM(INDEX(Orçamentária!C:C,MATCH(Composições!A2840,Orçamentária!A:A,0),1))</f>
        <v>un</v>
      </c>
      <c r="E2840" s="27"/>
      <c r="F2840" s="42" t="s">
        <v>568</v>
      </c>
      <c r="G2840" s="28" t="str">
        <f>IF(ISNUMBER(F2840),E2840*F2840,"")</f>
        <v/>
      </c>
      <c r="H2840" s="29"/>
      <c r="I2840" s="30"/>
      <c r="J2840" s="155">
        <v>0</v>
      </c>
    </row>
    <row r="2841" spans="1:10" ht="15.75" hidden="1" thickBot="1" x14ac:dyDescent="0.3">
      <c r="A2841" s="176"/>
      <c r="B2841" s="175"/>
      <c r="C2841" s="32"/>
      <c r="D2841" s="32"/>
      <c r="E2841" s="33"/>
      <c r="F2841" s="43" t="s">
        <v>568</v>
      </c>
      <c r="G2841" s="34" t="str">
        <f>IF(ISNUMBER(F2841),E2841*F2841,"")</f>
        <v/>
      </c>
      <c r="H2841" s="35"/>
      <c r="I2841" s="31"/>
      <c r="J2841" s="155">
        <v>0</v>
      </c>
    </row>
    <row r="2842" spans="1:10" ht="15.75" hidden="1" thickBot="1" x14ac:dyDescent="0.3">
      <c r="A2842" s="176"/>
      <c r="B2842" s="175"/>
      <c r="C2842" s="36" t="s">
        <v>68</v>
      </c>
      <c r="D2842" s="36" t="s">
        <v>12</v>
      </c>
      <c r="E2842" s="37">
        <v>0.2</v>
      </c>
      <c r="F2842" s="34">
        <v>20.539000000000001</v>
      </c>
      <c r="G2842" s="34">
        <f>IF(ISNUMBER(F2842),E2842*F2842,"")</f>
        <v>4.1078000000000001</v>
      </c>
      <c r="H2842" s="39">
        <f>SUM(G2842:G2843)</f>
        <v>4.1078000000000001</v>
      </c>
      <c r="I2842" s="40"/>
      <c r="J2842" s="155">
        <v>0</v>
      </c>
    </row>
    <row r="2843" spans="1:10" ht="39" hidden="1" thickBot="1" x14ac:dyDescent="0.3">
      <c r="A2843" s="176"/>
      <c r="B2843" s="175"/>
      <c r="C2843" s="36" t="s">
        <v>883</v>
      </c>
      <c r="D2843" s="36" t="s">
        <v>20</v>
      </c>
      <c r="E2843" s="37">
        <v>1</v>
      </c>
      <c r="F2843" s="31" t="s">
        <v>568</v>
      </c>
      <c r="G2843" s="34" t="str">
        <f>IF(ISNUMBER(F2843),E2843*F2843,"")</f>
        <v/>
      </c>
      <c r="H2843" s="35"/>
      <c r="I2843" s="31"/>
      <c r="J2843" s="155">
        <v>0</v>
      </c>
    </row>
    <row r="2844" spans="1:10" ht="15.75" hidden="1" thickBot="1" x14ac:dyDescent="0.3">
      <c r="A2844" s="177"/>
      <c r="B2844" s="178"/>
      <c r="C2844" s="36"/>
      <c r="D2844" s="36"/>
      <c r="E2844" s="37"/>
      <c r="F2844" s="31" t="s">
        <v>568</v>
      </c>
      <c r="G2844" s="34" t="str">
        <f>IF(ISNUMBER(F2844),E2844*F2844,"")</f>
        <v/>
      </c>
      <c r="H2844" s="35"/>
      <c r="I2844" s="31"/>
      <c r="J2844" s="155">
        <v>0</v>
      </c>
    </row>
    <row r="2845" spans="1:10" ht="15.75" hidden="1" thickBot="1" x14ac:dyDescent="0.3">
      <c r="A2845" s="172" t="s">
        <v>884</v>
      </c>
      <c r="B2845" s="174" t="str">
        <f>INDEX(Orçamentária!A:B,MATCH(Composições!A2845,Orçamentária!A:A,0),2)</f>
        <v>Puxador em aço inox sob medida – Tipo A</v>
      </c>
      <c r="C2845" s="41"/>
      <c r="D2845" s="26" t="str">
        <f>TRIM(INDEX(Orçamentária!C:C,MATCH(Composições!A2845,Orçamentária!A:A,0),1))</f>
        <v>un</v>
      </c>
      <c r="E2845" s="27"/>
      <c r="F2845" s="42" t="s">
        <v>568</v>
      </c>
      <c r="G2845" s="28" t="str">
        <f>IF(ISNUMBER(F2845),E2845*F2845,"")</f>
        <v/>
      </c>
      <c r="H2845" s="29"/>
      <c r="I2845" s="30"/>
      <c r="J2845" s="155">
        <v>0</v>
      </c>
    </row>
    <row r="2846" spans="1:10" ht="15.75" hidden="1" thickBot="1" x14ac:dyDescent="0.3">
      <c r="A2846" s="176"/>
      <c r="B2846" s="175"/>
      <c r="C2846" s="32"/>
      <c r="D2846" s="32"/>
      <c r="E2846" s="33"/>
      <c r="F2846" s="43" t="s">
        <v>568</v>
      </c>
      <c r="G2846" s="34" t="str">
        <f>IF(ISNUMBER(F2846),E2846*F2846,"")</f>
        <v/>
      </c>
      <c r="H2846" s="35"/>
      <c r="I2846" s="31"/>
      <c r="J2846" s="155">
        <v>0</v>
      </c>
    </row>
    <row r="2847" spans="1:10" ht="15.75" hidden="1" thickBot="1" x14ac:dyDescent="0.3">
      <c r="A2847" s="176"/>
      <c r="B2847" s="175"/>
      <c r="C2847" s="36" t="s">
        <v>68</v>
      </c>
      <c r="D2847" s="47" t="s">
        <v>12</v>
      </c>
      <c r="E2847" s="37">
        <v>0.4</v>
      </c>
      <c r="F2847" s="34">
        <v>20.539000000000001</v>
      </c>
      <c r="G2847" s="34">
        <f>IF(ISNUMBER(F2847),E2847*F2847,"")</f>
        <v>8.2156000000000002</v>
      </c>
      <c r="H2847" s="39">
        <f>SUM(G2847:G2848)</f>
        <v>8.2156000000000002</v>
      </c>
      <c r="I2847" s="40"/>
      <c r="J2847" s="155">
        <v>0</v>
      </c>
    </row>
    <row r="2848" spans="1:10" ht="15.75" hidden="1" thickBot="1" x14ac:dyDescent="0.3">
      <c r="A2848" s="176"/>
      <c r="B2848" s="175"/>
      <c r="C2848" s="36" t="s">
        <v>885</v>
      </c>
      <c r="D2848" s="47" t="s">
        <v>20</v>
      </c>
      <c r="E2848" s="37">
        <v>1</v>
      </c>
      <c r="F2848" s="31" t="s">
        <v>568</v>
      </c>
      <c r="G2848" s="34" t="str">
        <f>IF(ISNUMBER(F2848),E2848*F2848,"")</f>
        <v/>
      </c>
      <c r="H2848" s="35"/>
      <c r="I2848" s="31"/>
      <c r="J2848" s="155">
        <v>0</v>
      </c>
    </row>
    <row r="2849" spans="1:10" ht="15.75" hidden="1" thickBot="1" x14ac:dyDescent="0.3">
      <c r="A2849" s="177"/>
      <c r="B2849" s="178"/>
      <c r="C2849" s="36"/>
      <c r="D2849" s="36"/>
      <c r="E2849" s="37"/>
      <c r="F2849" s="31" t="s">
        <v>568</v>
      </c>
      <c r="G2849" s="34" t="str">
        <f>IF(ISNUMBER(F2849),E2849*F2849,"")</f>
        <v/>
      </c>
      <c r="H2849" s="35"/>
      <c r="I2849" s="31"/>
      <c r="J2849" s="155">
        <v>0</v>
      </c>
    </row>
    <row r="2850" spans="1:10" ht="15.75" hidden="1" thickBot="1" x14ac:dyDescent="0.3">
      <c r="A2850" s="172" t="s">
        <v>886</v>
      </c>
      <c r="B2850" s="174" t="str">
        <f>INDEX(Orçamentária!A:B,MATCH(Composições!A2850,Orçamentária!A:A,0),2)</f>
        <v>Dobradiça superior para porta de vidro temperado</v>
      </c>
      <c r="C2850" s="41"/>
      <c r="D2850" s="26" t="str">
        <f>TRIM(INDEX(Orçamentária!C:C,MATCH(Composições!A2850,Orçamentária!A:A,0),1))</f>
        <v>un</v>
      </c>
      <c r="E2850" s="27"/>
      <c r="F2850" s="42" t="s">
        <v>568</v>
      </c>
      <c r="G2850" s="28" t="str">
        <f>IF(ISNUMBER(F2850),E2850*F2850,"")</f>
        <v/>
      </c>
      <c r="H2850" s="29"/>
      <c r="I2850" s="30"/>
      <c r="J2850" s="155">
        <v>0</v>
      </c>
    </row>
    <row r="2851" spans="1:10" ht="15.75" hidden="1" thickBot="1" x14ac:dyDescent="0.3">
      <c r="A2851" s="176"/>
      <c r="B2851" s="175"/>
      <c r="C2851" s="32"/>
      <c r="D2851" s="32"/>
      <c r="E2851" s="33"/>
      <c r="F2851" s="43" t="s">
        <v>568</v>
      </c>
      <c r="G2851" s="34" t="str">
        <f>IF(ISNUMBER(F2851),E2851*F2851,"")</f>
        <v/>
      </c>
      <c r="H2851" s="35"/>
      <c r="I2851" s="31"/>
      <c r="J2851" s="155">
        <v>0</v>
      </c>
    </row>
    <row r="2852" spans="1:10" ht="15.75" hidden="1" thickBot="1" x14ac:dyDescent="0.3">
      <c r="A2852" s="176"/>
      <c r="B2852" s="175"/>
      <c r="C2852" s="36" t="s">
        <v>68</v>
      </c>
      <c r="D2852" s="36" t="s">
        <v>12</v>
      </c>
      <c r="E2852" s="37">
        <v>0.3</v>
      </c>
      <c r="F2852" s="34">
        <v>20.539000000000001</v>
      </c>
      <c r="G2852" s="34">
        <f>IF(ISNUMBER(F2852),E2852*F2852,"")</f>
        <v>6.1617000000000006</v>
      </c>
      <c r="H2852" s="39">
        <f>SUM(G2852:G2853)</f>
        <v>6.1617000000000006</v>
      </c>
      <c r="I2852" s="40"/>
      <c r="J2852" s="155">
        <v>0</v>
      </c>
    </row>
    <row r="2853" spans="1:10" ht="26.25" hidden="1" thickBot="1" x14ac:dyDescent="0.3">
      <c r="A2853" s="176"/>
      <c r="B2853" s="175"/>
      <c r="C2853" s="36" t="s">
        <v>887</v>
      </c>
      <c r="D2853" s="47" t="s">
        <v>20</v>
      </c>
      <c r="E2853" s="37">
        <v>1</v>
      </c>
      <c r="F2853" s="31">
        <v>0</v>
      </c>
      <c r="G2853" s="34">
        <f>IF(ISNUMBER(F2853),E2853*F2853,"")</f>
        <v>0</v>
      </c>
      <c r="H2853" s="35"/>
      <c r="I2853" s="31"/>
      <c r="J2853" s="155">
        <v>0</v>
      </c>
    </row>
    <row r="2854" spans="1:10" ht="15.75" hidden="1" thickBot="1" x14ac:dyDescent="0.3">
      <c r="A2854" s="177"/>
      <c r="B2854" s="178"/>
      <c r="C2854" s="36"/>
      <c r="D2854" s="36"/>
      <c r="E2854" s="37"/>
      <c r="F2854" s="31" t="s">
        <v>568</v>
      </c>
      <c r="G2854" s="34" t="str">
        <f>IF(ISNUMBER(F2854),E2854*F2854,"")</f>
        <v/>
      </c>
      <c r="H2854" s="35"/>
      <c r="I2854" s="31"/>
      <c r="J2854" s="155">
        <v>0</v>
      </c>
    </row>
    <row r="2855" spans="1:10" ht="15.75" hidden="1" thickBot="1" x14ac:dyDescent="0.3">
      <c r="A2855" s="172" t="s">
        <v>888</v>
      </c>
      <c r="B2855" s="174" t="str">
        <f>INDEX(Orçamentária!A:B,MATCH(Composições!A2855,Orçamentária!A:A,0),2)</f>
        <v>Perfil em alumínio, tipo U - abas iguais - PU 5/8" x 5/8" – espessura 1,58mm</v>
      </c>
      <c r="C2855" s="41"/>
      <c r="D2855" s="26" t="str">
        <f>TRIM(INDEX(Orçamentária!C:C,MATCH(Composições!A2855,Orçamentária!A:A,0),1))</f>
        <v>m</v>
      </c>
      <c r="E2855" s="27"/>
      <c r="F2855" s="42" t="s">
        <v>568</v>
      </c>
      <c r="G2855" s="28" t="str">
        <f>IF(ISNUMBER(F2855),E2855*F2855,"")</f>
        <v/>
      </c>
      <c r="H2855" s="29"/>
      <c r="I2855" s="30"/>
      <c r="J2855" s="155">
        <v>0</v>
      </c>
    </row>
    <row r="2856" spans="1:10" ht="15.75" hidden="1" thickBot="1" x14ac:dyDescent="0.3">
      <c r="A2856" s="176"/>
      <c r="B2856" s="175"/>
      <c r="C2856" s="32"/>
      <c r="D2856" s="32"/>
      <c r="E2856" s="33"/>
      <c r="F2856" s="43" t="s">
        <v>568</v>
      </c>
      <c r="G2856" s="34" t="str">
        <f>IF(ISNUMBER(F2856),E2856*F2856,"")</f>
        <v/>
      </c>
      <c r="H2856" s="35"/>
      <c r="I2856" s="31"/>
      <c r="J2856" s="155">
        <v>0</v>
      </c>
    </row>
    <row r="2857" spans="1:10" ht="15.75" hidden="1" thickBot="1" x14ac:dyDescent="0.3">
      <c r="A2857" s="176"/>
      <c r="B2857" s="175"/>
      <c r="C2857" s="36" t="s">
        <v>68</v>
      </c>
      <c r="D2857" s="36" t="s">
        <v>12</v>
      </c>
      <c r="E2857" s="37">
        <v>0.2</v>
      </c>
      <c r="F2857" s="34">
        <v>20.539000000000001</v>
      </c>
      <c r="G2857" s="34">
        <f>IF(ISNUMBER(F2857),E2857*F2857,"")</f>
        <v>4.1078000000000001</v>
      </c>
      <c r="H2857" s="39">
        <f>SUM(G2857:G2858)</f>
        <v>10.972215</v>
      </c>
      <c r="I2857" s="40"/>
      <c r="J2857" s="155">
        <v>0</v>
      </c>
    </row>
    <row r="2858" spans="1:10" ht="15.75" hidden="1" thickBot="1" x14ac:dyDescent="0.3">
      <c r="A2858" s="176"/>
      <c r="B2858" s="175"/>
      <c r="C2858" s="36" t="s">
        <v>889</v>
      </c>
      <c r="D2858" s="36" t="s">
        <v>42</v>
      </c>
      <c r="E2858" s="37">
        <v>0.19</v>
      </c>
      <c r="F2858" s="31">
        <v>36.128500000000003</v>
      </c>
      <c r="G2858" s="34">
        <f>IF(ISNUMBER(F2858),E2858*F2858,"")</f>
        <v>6.8644150000000002</v>
      </c>
      <c r="H2858" s="35"/>
      <c r="I2858" s="31"/>
      <c r="J2858" s="155">
        <v>0</v>
      </c>
    </row>
    <row r="2859" spans="1:10" ht="15.75" hidden="1" thickBot="1" x14ac:dyDescent="0.3">
      <c r="A2859" s="176"/>
      <c r="B2859" s="175"/>
      <c r="C2859" s="36"/>
      <c r="D2859" s="36"/>
      <c r="E2859" s="37"/>
      <c r="F2859" s="31" t="s">
        <v>568</v>
      </c>
      <c r="G2859" s="34" t="str">
        <f>IF(ISNUMBER(F2859),E2859*F2859,"")</f>
        <v/>
      </c>
      <c r="H2859" s="35"/>
      <c r="I2859" s="31"/>
      <c r="J2859" s="155">
        <v>0</v>
      </c>
    </row>
    <row r="2860" spans="1:10" ht="26.25" hidden="1" thickBot="1" x14ac:dyDescent="0.3">
      <c r="A2860" s="176"/>
      <c r="B2860" s="175"/>
      <c r="C2860" s="48" t="s">
        <v>890</v>
      </c>
      <c r="D2860" s="36"/>
      <c r="E2860" s="37"/>
      <c r="F2860" s="31" t="s">
        <v>568</v>
      </c>
      <c r="G2860" s="34" t="str">
        <f>IF(ISNUMBER(F2860),E2860*F2860,"")</f>
        <v/>
      </c>
      <c r="H2860" s="35"/>
      <c r="I2860" s="31"/>
      <c r="J2860" s="155">
        <v>0</v>
      </c>
    </row>
    <row r="2861" spans="1:10" ht="39" hidden="1" thickBot="1" x14ac:dyDescent="0.3">
      <c r="A2861" s="176"/>
      <c r="B2861" s="175"/>
      <c r="C2861" s="52" t="s">
        <v>891</v>
      </c>
      <c r="D2861" s="65"/>
      <c r="E2861" s="37"/>
      <c r="F2861" s="31" t="s">
        <v>568</v>
      </c>
      <c r="G2861" s="34" t="str">
        <f>IF(ISNUMBER(F2861),E2861*F2861,"")</f>
        <v/>
      </c>
      <c r="H2861" s="35"/>
      <c r="I2861" s="31"/>
      <c r="J2861" s="155">
        <v>0</v>
      </c>
    </row>
    <row r="2862" spans="1:10" ht="15.75" hidden="1" thickBot="1" x14ac:dyDescent="0.3">
      <c r="A2862" s="177"/>
      <c r="B2862" s="178"/>
      <c r="C2862" s="36"/>
      <c r="D2862" s="36"/>
      <c r="E2862" s="37"/>
      <c r="F2862" s="31" t="s">
        <v>568</v>
      </c>
      <c r="G2862" s="34" t="str">
        <f>IF(ISNUMBER(F2862),E2862*F2862,"")</f>
        <v/>
      </c>
      <c r="H2862" s="35"/>
      <c r="I2862" s="31"/>
      <c r="J2862" s="155">
        <v>0</v>
      </c>
    </row>
    <row r="2863" spans="1:10" ht="15.75" hidden="1" thickBot="1" x14ac:dyDescent="0.3">
      <c r="A2863" s="172" t="s">
        <v>892</v>
      </c>
      <c r="B2863" s="174" t="str">
        <f>INDEX(Orçamentária!A:B,MATCH(Composições!A2863,Orçamentária!A:A,0),2)</f>
        <v>Trilho superior em alumínio 60mm x 49,5mm, para vidro temperado</v>
      </c>
      <c r="C2863" s="41"/>
      <c r="D2863" s="26" t="str">
        <f>TRIM(INDEX(Orçamentária!C:C,MATCH(Composições!A2863,Orçamentária!A:A,0),1))</f>
        <v>m</v>
      </c>
      <c r="E2863" s="27"/>
      <c r="F2863" s="42" t="s">
        <v>568</v>
      </c>
      <c r="G2863" s="28" t="str">
        <f>IF(ISNUMBER(F2863),E2863*F2863,"")</f>
        <v/>
      </c>
      <c r="H2863" s="29"/>
      <c r="I2863" s="30"/>
      <c r="J2863" s="155">
        <v>0</v>
      </c>
    </row>
    <row r="2864" spans="1:10" ht="15.75" hidden="1" thickBot="1" x14ac:dyDescent="0.3">
      <c r="A2864" s="173"/>
      <c r="B2864" s="175"/>
      <c r="C2864" s="32"/>
      <c r="D2864" s="32"/>
      <c r="E2864" s="33"/>
      <c r="F2864" s="43" t="s">
        <v>568</v>
      </c>
      <c r="G2864" s="34" t="str">
        <f>IF(ISNUMBER(F2864),E2864*F2864,"")</f>
        <v/>
      </c>
      <c r="H2864" s="35"/>
      <c r="I2864" s="31"/>
      <c r="J2864" s="155">
        <v>0</v>
      </c>
    </row>
    <row r="2865" spans="1:10" ht="15.75" hidden="1" thickBot="1" x14ac:dyDescent="0.3">
      <c r="A2865" s="173"/>
      <c r="B2865" s="175"/>
      <c r="C2865" s="36" t="s">
        <v>68</v>
      </c>
      <c r="D2865" s="36" t="s">
        <v>12</v>
      </c>
      <c r="E2865" s="37">
        <v>0.3</v>
      </c>
      <c r="F2865" s="34">
        <v>20.539000000000001</v>
      </c>
      <c r="G2865" s="34">
        <f>IF(ISNUMBER(F2865),E2865*F2865,"")</f>
        <v>6.1617000000000006</v>
      </c>
      <c r="H2865" s="39">
        <f>SUM(G2865:G2866)</f>
        <v>34.089030500000007</v>
      </c>
      <c r="I2865" s="40"/>
      <c r="J2865" s="155">
        <v>0</v>
      </c>
    </row>
    <row r="2866" spans="1:10" ht="15.75" hidden="1" thickBot="1" x14ac:dyDescent="0.3">
      <c r="A2866" s="173"/>
      <c r="B2866" s="175"/>
      <c r="C2866" s="36" t="s">
        <v>889</v>
      </c>
      <c r="D2866" s="47" t="s">
        <v>42</v>
      </c>
      <c r="E2866" s="37">
        <v>0.77300000000000002</v>
      </c>
      <c r="F2866" s="31">
        <v>36.128500000000003</v>
      </c>
      <c r="G2866" s="34">
        <f>IF(ISNUMBER(F2866),E2866*F2866,"")</f>
        <v>27.927330500000004</v>
      </c>
      <c r="H2866" s="35"/>
      <c r="I2866" s="31"/>
      <c r="J2866" s="155">
        <v>0</v>
      </c>
    </row>
    <row r="2867" spans="1:10" ht="15.75" hidden="1" thickBot="1" x14ac:dyDescent="0.3">
      <c r="A2867" s="173"/>
      <c r="B2867" s="175"/>
      <c r="C2867" s="36"/>
      <c r="D2867" s="47"/>
      <c r="E2867" s="37"/>
      <c r="F2867" s="31" t="s">
        <v>568</v>
      </c>
      <c r="G2867" s="34" t="str">
        <f>IF(ISNUMBER(F2867),E2867*F2867,"")</f>
        <v/>
      </c>
      <c r="H2867" s="35"/>
      <c r="I2867" s="31"/>
      <c r="J2867" s="155">
        <v>0</v>
      </c>
    </row>
    <row r="2868" spans="1:10" ht="26.25" hidden="1" thickBot="1" x14ac:dyDescent="0.3">
      <c r="A2868" s="173"/>
      <c r="B2868" s="175"/>
      <c r="C2868" s="48" t="s">
        <v>893</v>
      </c>
      <c r="D2868" s="47"/>
      <c r="E2868" s="37"/>
      <c r="F2868" s="31" t="s">
        <v>568</v>
      </c>
      <c r="G2868" s="34" t="str">
        <f>IF(ISNUMBER(F2868),E2868*F2868,"")</f>
        <v/>
      </c>
      <c r="H2868" s="35"/>
      <c r="I2868" s="31"/>
      <c r="J2868" s="155">
        <v>0</v>
      </c>
    </row>
    <row r="2869" spans="1:10" ht="26.25" hidden="1" thickBot="1" x14ac:dyDescent="0.3">
      <c r="A2869" s="173"/>
      <c r="B2869" s="175"/>
      <c r="C2869" s="52" t="s">
        <v>894</v>
      </c>
      <c r="D2869" s="47"/>
      <c r="E2869" s="37"/>
      <c r="F2869" s="31" t="s">
        <v>568</v>
      </c>
      <c r="G2869" s="34" t="str">
        <f>IF(ISNUMBER(F2869),E2869*F2869,"")</f>
        <v/>
      </c>
      <c r="H2869" s="35"/>
      <c r="I2869" s="31"/>
      <c r="J2869" s="155">
        <v>0</v>
      </c>
    </row>
    <row r="2870" spans="1:10" ht="15.75" hidden="1" thickBot="1" x14ac:dyDescent="0.3">
      <c r="A2870" s="185"/>
      <c r="B2870" s="178"/>
      <c r="C2870" s="36"/>
      <c r="D2870" s="36"/>
      <c r="E2870" s="37"/>
      <c r="F2870" s="31" t="s">
        <v>568</v>
      </c>
      <c r="G2870" s="34" t="str">
        <f>IF(ISNUMBER(F2870),E2870*F2870,"")</f>
        <v/>
      </c>
      <c r="H2870" s="35"/>
      <c r="I2870" s="31"/>
      <c r="J2870" s="155">
        <v>0</v>
      </c>
    </row>
    <row r="2871" spans="1:10" ht="15.75" hidden="1" thickBot="1" x14ac:dyDescent="0.3">
      <c r="A2871" s="172" t="s">
        <v>895</v>
      </c>
      <c r="B2871" s="174" t="str">
        <f>INDEX(Orçamentária!A:B,MATCH(Composições!A2871,Orçamentária!A:A,0),2)</f>
        <v>Perfil em alumínio para acabamento de trilho superior</v>
      </c>
      <c r="C2871" s="41"/>
      <c r="D2871" s="26" t="str">
        <f>TRIM(INDEX(Orçamentária!C:C,MATCH(Composições!A2871,Orçamentária!A:A,0),1))</f>
        <v>m</v>
      </c>
      <c r="E2871" s="27"/>
      <c r="F2871" s="42" t="s">
        <v>568</v>
      </c>
      <c r="G2871" s="28" t="str">
        <f>IF(ISNUMBER(F2871),E2871*F2871,"")</f>
        <v/>
      </c>
      <c r="H2871" s="29"/>
      <c r="I2871" s="30"/>
      <c r="J2871" s="155">
        <v>0</v>
      </c>
    </row>
    <row r="2872" spans="1:10" ht="15.75" hidden="1" thickBot="1" x14ac:dyDescent="0.3">
      <c r="A2872" s="173"/>
      <c r="B2872" s="175"/>
      <c r="C2872" s="32"/>
      <c r="D2872" s="32"/>
      <c r="E2872" s="33"/>
      <c r="F2872" s="43" t="s">
        <v>568</v>
      </c>
      <c r="G2872" s="34" t="str">
        <f>IF(ISNUMBER(F2872),E2872*F2872,"")</f>
        <v/>
      </c>
      <c r="H2872" s="35"/>
      <c r="I2872" s="31"/>
      <c r="J2872" s="155">
        <v>0</v>
      </c>
    </row>
    <row r="2873" spans="1:10" ht="15.75" hidden="1" thickBot="1" x14ac:dyDescent="0.3">
      <c r="A2873" s="173"/>
      <c r="B2873" s="175"/>
      <c r="C2873" s="36" t="s">
        <v>68</v>
      </c>
      <c r="D2873" s="36" t="s">
        <v>12</v>
      </c>
      <c r="E2873" s="37">
        <v>0.2</v>
      </c>
      <c r="F2873" s="34">
        <v>20.539000000000001</v>
      </c>
      <c r="G2873" s="34">
        <f>IF(ISNUMBER(F2873),E2873*F2873,"")</f>
        <v>4.1078000000000001</v>
      </c>
      <c r="H2873" s="39">
        <f>SUM(G2873:G2874)</f>
        <v>14.259908500000002</v>
      </c>
      <c r="I2873" s="40"/>
      <c r="J2873" s="155">
        <v>0</v>
      </c>
    </row>
    <row r="2874" spans="1:10" ht="15.75" hidden="1" thickBot="1" x14ac:dyDescent="0.3">
      <c r="A2874" s="173"/>
      <c r="B2874" s="175"/>
      <c r="C2874" s="36" t="s">
        <v>889</v>
      </c>
      <c r="D2874" s="36" t="s">
        <v>42</v>
      </c>
      <c r="E2874" s="37">
        <v>0.28100000000000003</v>
      </c>
      <c r="F2874" s="31">
        <v>36.128500000000003</v>
      </c>
      <c r="G2874" s="34">
        <f>IF(ISNUMBER(F2874),E2874*F2874,"")</f>
        <v>10.152108500000002</v>
      </c>
      <c r="H2874" s="35"/>
      <c r="I2874" s="31"/>
      <c r="J2874" s="155">
        <v>0</v>
      </c>
    </row>
    <row r="2875" spans="1:10" ht="15.75" hidden="1" thickBot="1" x14ac:dyDescent="0.3">
      <c r="A2875" s="173"/>
      <c r="B2875" s="175"/>
      <c r="C2875" s="36"/>
      <c r="D2875" s="47"/>
      <c r="E2875" s="37"/>
      <c r="F2875" s="31" t="s">
        <v>568</v>
      </c>
      <c r="G2875" s="34" t="str">
        <f>IF(ISNUMBER(F2875),E2875*F2875,"")</f>
        <v/>
      </c>
      <c r="H2875" s="35"/>
      <c r="I2875" s="31"/>
      <c r="J2875" s="155">
        <v>0</v>
      </c>
    </row>
    <row r="2876" spans="1:10" ht="26.25" hidden="1" thickBot="1" x14ac:dyDescent="0.3">
      <c r="A2876" s="173"/>
      <c r="B2876" s="175"/>
      <c r="C2876" s="48" t="s">
        <v>896</v>
      </c>
      <c r="D2876" s="47"/>
      <c r="E2876" s="37"/>
      <c r="F2876" s="31" t="s">
        <v>568</v>
      </c>
      <c r="G2876" s="34" t="str">
        <f>IF(ISNUMBER(F2876),E2876*F2876,"")</f>
        <v/>
      </c>
      <c r="H2876" s="35"/>
      <c r="I2876" s="31"/>
      <c r="J2876" s="155">
        <v>0</v>
      </c>
    </row>
    <row r="2877" spans="1:10" ht="26.25" hidden="1" thickBot="1" x14ac:dyDescent="0.3">
      <c r="A2877" s="173"/>
      <c r="B2877" s="175"/>
      <c r="C2877" s="52" t="s">
        <v>894</v>
      </c>
      <c r="D2877" s="47"/>
      <c r="E2877" s="37"/>
      <c r="F2877" s="31" t="s">
        <v>568</v>
      </c>
      <c r="G2877" s="34" t="str">
        <f>IF(ISNUMBER(F2877),E2877*F2877,"")</f>
        <v/>
      </c>
      <c r="H2877" s="35"/>
      <c r="I2877" s="31"/>
      <c r="J2877" s="155">
        <v>0</v>
      </c>
    </row>
    <row r="2878" spans="1:10" ht="15.75" hidden="1" thickBot="1" x14ac:dyDescent="0.3">
      <c r="A2878" s="185"/>
      <c r="B2878" s="178"/>
      <c r="C2878" s="36"/>
      <c r="D2878" s="36"/>
      <c r="E2878" s="37"/>
      <c r="F2878" s="31" t="s">
        <v>568</v>
      </c>
      <c r="G2878" s="34" t="str">
        <f>IF(ISNUMBER(F2878),E2878*F2878,"")</f>
        <v/>
      </c>
      <c r="H2878" s="35"/>
      <c r="I2878" s="31"/>
      <c r="J2878" s="155">
        <v>0</v>
      </c>
    </row>
    <row r="2879" spans="1:10" ht="15.75" hidden="1" thickBot="1" x14ac:dyDescent="0.3">
      <c r="A2879" s="172" t="s">
        <v>897</v>
      </c>
      <c r="B2879" s="174" t="str">
        <f>INDEX(Orçamentária!A:B,MATCH(Composições!A2879,Orçamentária!A:A,0),2)</f>
        <v>Perfil guia inferior de alumínio 39,3 mm x 24 mm para vidro temperado 10mm</v>
      </c>
      <c r="C2879" s="41"/>
      <c r="D2879" s="26" t="str">
        <f>TRIM(INDEX(Orçamentária!C:C,MATCH(Composições!A2879,Orçamentária!A:A,0),1))</f>
        <v>m</v>
      </c>
      <c r="E2879" s="27"/>
      <c r="F2879" s="42" t="s">
        <v>568</v>
      </c>
      <c r="G2879" s="28" t="str">
        <f>IF(ISNUMBER(F2879),E2879*F2879,"")</f>
        <v/>
      </c>
      <c r="H2879" s="29"/>
      <c r="I2879" s="30"/>
      <c r="J2879" s="155">
        <v>0</v>
      </c>
    </row>
    <row r="2880" spans="1:10" ht="15.75" hidden="1" thickBot="1" x14ac:dyDescent="0.3">
      <c r="A2880" s="173"/>
      <c r="B2880" s="175"/>
      <c r="C2880" s="32"/>
      <c r="D2880" s="32"/>
      <c r="E2880" s="33"/>
      <c r="F2880" s="43" t="s">
        <v>568</v>
      </c>
      <c r="G2880" s="34" t="str">
        <f>IF(ISNUMBER(F2880),E2880*F2880,"")</f>
        <v/>
      </c>
      <c r="H2880" s="35"/>
      <c r="I2880" s="31"/>
      <c r="J2880" s="155">
        <v>0</v>
      </c>
    </row>
    <row r="2881" spans="1:10" ht="15.75" hidden="1" thickBot="1" x14ac:dyDescent="0.3">
      <c r="A2881" s="173"/>
      <c r="B2881" s="175"/>
      <c r="C2881" s="36" t="s">
        <v>68</v>
      </c>
      <c r="D2881" s="47" t="s">
        <v>12</v>
      </c>
      <c r="E2881" s="37">
        <v>0.3</v>
      </c>
      <c r="F2881" s="34">
        <v>20.539000000000001</v>
      </c>
      <c r="G2881" s="34">
        <f>IF(ISNUMBER(F2881),E2881*F2881,"")</f>
        <v>6.1617000000000006</v>
      </c>
      <c r="H2881" s="39">
        <f>SUM(G2881:G2882)</f>
        <v>22.4556535</v>
      </c>
      <c r="I2881" s="40"/>
      <c r="J2881" s="155">
        <v>0</v>
      </c>
    </row>
    <row r="2882" spans="1:10" ht="15.75" hidden="1" thickBot="1" x14ac:dyDescent="0.3">
      <c r="A2882" s="173"/>
      <c r="B2882" s="175"/>
      <c r="C2882" s="36" t="s">
        <v>889</v>
      </c>
      <c r="D2882" s="36" t="s">
        <v>42</v>
      </c>
      <c r="E2882" s="37">
        <v>0.45100000000000001</v>
      </c>
      <c r="F2882" s="31">
        <v>36.128500000000003</v>
      </c>
      <c r="G2882" s="34">
        <f>IF(ISNUMBER(F2882),E2882*F2882,"")</f>
        <v>16.293953500000001</v>
      </c>
      <c r="H2882" s="35"/>
      <c r="I2882" s="31"/>
      <c r="J2882" s="155">
        <v>0</v>
      </c>
    </row>
    <row r="2883" spans="1:10" ht="15.75" hidden="1" thickBot="1" x14ac:dyDescent="0.3">
      <c r="A2883" s="173"/>
      <c r="B2883" s="175"/>
      <c r="C2883" s="36"/>
      <c r="D2883" s="47"/>
      <c r="E2883" s="37"/>
      <c r="F2883" s="31" t="s">
        <v>568</v>
      </c>
      <c r="G2883" s="34" t="str">
        <f>IF(ISNUMBER(F2883),E2883*F2883,"")</f>
        <v/>
      </c>
      <c r="H2883" s="35"/>
      <c r="I2883" s="31"/>
      <c r="J2883" s="155">
        <v>0</v>
      </c>
    </row>
    <row r="2884" spans="1:10" ht="26.25" hidden="1" thickBot="1" x14ac:dyDescent="0.3">
      <c r="A2884" s="173"/>
      <c r="B2884" s="175"/>
      <c r="C2884" s="48" t="s">
        <v>896</v>
      </c>
      <c r="D2884" s="47"/>
      <c r="E2884" s="37"/>
      <c r="F2884" s="31" t="s">
        <v>568</v>
      </c>
      <c r="G2884" s="34" t="str">
        <f>IF(ISNUMBER(F2884),E2884*F2884,"")</f>
        <v/>
      </c>
      <c r="H2884" s="35"/>
      <c r="I2884" s="31"/>
      <c r="J2884" s="155">
        <v>0</v>
      </c>
    </row>
    <row r="2885" spans="1:10" ht="26.25" hidden="1" thickBot="1" x14ac:dyDescent="0.3">
      <c r="A2885" s="173"/>
      <c r="B2885" s="175"/>
      <c r="C2885" s="52" t="s">
        <v>894</v>
      </c>
      <c r="D2885" s="47"/>
      <c r="E2885" s="37"/>
      <c r="F2885" s="31" t="s">
        <v>568</v>
      </c>
      <c r="G2885" s="34" t="str">
        <f>IF(ISNUMBER(F2885),E2885*F2885,"")</f>
        <v/>
      </c>
      <c r="H2885" s="35"/>
      <c r="I2885" s="31"/>
      <c r="J2885" s="155">
        <v>0</v>
      </c>
    </row>
    <row r="2886" spans="1:10" ht="15.75" hidden="1" thickBot="1" x14ac:dyDescent="0.3">
      <c r="A2886" s="185"/>
      <c r="B2886" s="178"/>
      <c r="C2886" s="36"/>
      <c r="D2886" s="36"/>
      <c r="E2886" s="37"/>
      <c r="F2886" s="31" t="s">
        <v>568</v>
      </c>
      <c r="G2886" s="34" t="str">
        <f>IF(ISNUMBER(F2886),E2886*F2886,"")</f>
        <v/>
      </c>
      <c r="H2886" s="35"/>
      <c r="I2886" s="31"/>
      <c r="J2886" s="155">
        <v>0</v>
      </c>
    </row>
    <row r="2887" spans="1:10" ht="15.75" hidden="1" thickBot="1" x14ac:dyDescent="0.3">
      <c r="A2887" s="172" t="s">
        <v>898</v>
      </c>
      <c r="B2887" s="174" t="str">
        <f>INDEX(Orçamentária!A:B,MATCH(Composições!A2887,Orçamentária!A:A,0),2)</f>
        <v>Capa do Perfil Guia Inferior “Click”</v>
      </c>
      <c r="C2887" s="41"/>
      <c r="D2887" s="26" t="str">
        <f>TRIM(INDEX(Orçamentária!C:C,MATCH(Composições!A2887,Orçamentária!A:A,0),1))</f>
        <v>m</v>
      </c>
      <c r="E2887" s="27"/>
      <c r="F2887" s="42" t="s">
        <v>568</v>
      </c>
      <c r="G2887" s="28" t="str">
        <f>IF(ISNUMBER(F2887),E2887*F2887,"")</f>
        <v/>
      </c>
      <c r="H2887" s="29"/>
      <c r="I2887" s="30"/>
      <c r="J2887" s="155">
        <v>0</v>
      </c>
    </row>
    <row r="2888" spans="1:10" ht="15.75" hidden="1" thickBot="1" x14ac:dyDescent="0.3">
      <c r="A2888" s="173"/>
      <c r="B2888" s="175"/>
      <c r="C2888" s="32"/>
      <c r="D2888" s="32"/>
      <c r="E2888" s="33"/>
      <c r="F2888" s="43" t="s">
        <v>568</v>
      </c>
      <c r="G2888" s="34" t="str">
        <f>IF(ISNUMBER(F2888),E2888*F2888,"")</f>
        <v/>
      </c>
      <c r="H2888" s="35"/>
      <c r="I2888" s="31"/>
      <c r="J2888" s="155">
        <v>0</v>
      </c>
    </row>
    <row r="2889" spans="1:10" ht="15.75" hidden="1" thickBot="1" x14ac:dyDescent="0.3">
      <c r="A2889" s="173"/>
      <c r="B2889" s="175"/>
      <c r="C2889" s="36" t="s">
        <v>68</v>
      </c>
      <c r="D2889" s="47" t="s">
        <v>12</v>
      </c>
      <c r="E2889" s="37">
        <v>0.15</v>
      </c>
      <c r="F2889" s="34">
        <v>20.539000000000001</v>
      </c>
      <c r="G2889" s="34">
        <f>IF(ISNUMBER(F2889),E2889*F2889,"")</f>
        <v>3.0808500000000003</v>
      </c>
      <c r="H2889" s="39">
        <f>SUM(G2889:G2890)</f>
        <v>7.0549850000000003</v>
      </c>
      <c r="I2889" s="40"/>
      <c r="J2889" s="155">
        <v>0</v>
      </c>
    </row>
    <row r="2890" spans="1:10" ht="15.75" hidden="1" thickBot="1" x14ac:dyDescent="0.3">
      <c r="A2890" s="173"/>
      <c r="B2890" s="175"/>
      <c r="C2890" s="36" t="s">
        <v>889</v>
      </c>
      <c r="D2890" s="47" t="s">
        <v>42</v>
      </c>
      <c r="E2890" s="37">
        <v>0.11</v>
      </c>
      <c r="F2890" s="31">
        <v>36.128500000000003</v>
      </c>
      <c r="G2890" s="34">
        <f>IF(ISNUMBER(F2890),E2890*F2890,"")</f>
        <v>3.9741350000000004</v>
      </c>
      <c r="H2890" s="35"/>
      <c r="I2890" s="31"/>
      <c r="J2890" s="155">
        <v>0</v>
      </c>
    </row>
    <row r="2891" spans="1:10" ht="15.75" hidden="1" thickBot="1" x14ac:dyDescent="0.3">
      <c r="A2891" s="173"/>
      <c r="B2891" s="175"/>
      <c r="C2891" s="36"/>
      <c r="D2891" s="47"/>
      <c r="E2891" s="37"/>
      <c r="F2891" s="31" t="s">
        <v>568</v>
      </c>
      <c r="G2891" s="34" t="str">
        <f>IF(ISNUMBER(F2891),E2891*F2891,"")</f>
        <v/>
      </c>
      <c r="H2891" s="35"/>
      <c r="I2891" s="31"/>
      <c r="J2891" s="155">
        <v>0</v>
      </c>
    </row>
    <row r="2892" spans="1:10" ht="26.25" hidden="1" thickBot="1" x14ac:dyDescent="0.3">
      <c r="A2892" s="173"/>
      <c r="B2892" s="175"/>
      <c r="C2892" s="48" t="s">
        <v>899</v>
      </c>
      <c r="D2892" s="47"/>
      <c r="E2892" s="37"/>
      <c r="F2892" s="31" t="s">
        <v>568</v>
      </c>
      <c r="G2892" s="34" t="str">
        <f>IF(ISNUMBER(F2892),E2892*F2892,"")</f>
        <v/>
      </c>
      <c r="H2892" s="35"/>
      <c r="I2892" s="31"/>
      <c r="J2892" s="155">
        <v>0</v>
      </c>
    </row>
    <row r="2893" spans="1:10" ht="26.25" hidden="1" thickBot="1" x14ac:dyDescent="0.3">
      <c r="A2893" s="173"/>
      <c r="B2893" s="175"/>
      <c r="C2893" s="52" t="s">
        <v>894</v>
      </c>
      <c r="D2893" s="47"/>
      <c r="E2893" s="37"/>
      <c r="F2893" s="31" t="s">
        <v>568</v>
      </c>
      <c r="G2893" s="34" t="str">
        <f>IF(ISNUMBER(F2893),E2893*F2893,"")</f>
        <v/>
      </c>
      <c r="H2893" s="35"/>
      <c r="I2893" s="31"/>
      <c r="J2893" s="155">
        <v>0</v>
      </c>
    </row>
    <row r="2894" spans="1:10" ht="15.75" hidden="1" thickBot="1" x14ac:dyDescent="0.3">
      <c r="A2894" s="185"/>
      <c r="B2894" s="178"/>
      <c r="C2894" s="36"/>
      <c r="D2894" s="36"/>
      <c r="E2894" s="37"/>
      <c r="F2894" s="31" t="s">
        <v>568</v>
      </c>
      <c r="G2894" s="34" t="str">
        <f>IF(ISNUMBER(F2894),E2894*F2894,"")</f>
        <v/>
      </c>
      <c r="H2894" s="35"/>
      <c r="I2894" s="31"/>
      <c r="J2894" s="155">
        <v>0</v>
      </c>
    </row>
    <row r="2895" spans="1:10" ht="15.75" hidden="1" thickBot="1" x14ac:dyDescent="0.3">
      <c r="A2895" s="172" t="s">
        <v>900</v>
      </c>
      <c r="B2895" s="174" t="str">
        <f>INDEX(Orçamentária!A:B,MATCH(Composições!A2895,Orçamentária!A:A,0),2)</f>
        <v>Dobradiça inferior para porta de vidro temperado</v>
      </c>
      <c r="C2895" s="41"/>
      <c r="D2895" s="26" t="str">
        <f>TRIM(INDEX(Orçamentária!C:C,MATCH(Composições!A2895,Orçamentária!A:A,0),1))</f>
        <v>un</v>
      </c>
      <c r="E2895" s="27"/>
      <c r="F2895" s="42" t="s">
        <v>568</v>
      </c>
      <c r="G2895" s="28" t="str">
        <f>IF(ISNUMBER(F2895),E2895*F2895,"")</f>
        <v/>
      </c>
      <c r="H2895" s="29"/>
      <c r="I2895" s="30"/>
      <c r="J2895" s="155">
        <v>0</v>
      </c>
    </row>
    <row r="2896" spans="1:10" ht="15.75" hidden="1" thickBot="1" x14ac:dyDescent="0.3">
      <c r="A2896" s="176"/>
      <c r="B2896" s="175"/>
      <c r="C2896" s="32"/>
      <c r="D2896" s="32"/>
      <c r="E2896" s="33"/>
      <c r="F2896" s="43" t="s">
        <v>568</v>
      </c>
      <c r="G2896" s="34" t="str">
        <f>IF(ISNUMBER(F2896),E2896*F2896,"")</f>
        <v/>
      </c>
      <c r="H2896" s="35"/>
      <c r="I2896" s="31"/>
      <c r="J2896" s="155">
        <v>0</v>
      </c>
    </row>
    <row r="2897" spans="1:10" ht="15.75" hidden="1" thickBot="1" x14ac:dyDescent="0.3">
      <c r="A2897" s="176"/>
      <c r="B2897" s="175"/>
      <c r="C2897" s="36" t="s">
        <v>68</v>
      </c>
      <c r="D2897" s="47" t="s">
        <v>12</v>
      </c>
      <c r="E2897" s="37">
        <v>0.3</v>
      </c>
      <c r="F2897" s="34">
        <v>20.539000000000001</v>
      </c>
      <c r="G2897" s="34">
        <f>IF(ISNUMBER(F2897),E2897*F2897,"")</f>
        <v>6.1617000000000006</v>
      </c>
      <c r="H2897" s="39">
        <f>SUM(G2897:G2898)</f>
        <v>6.1617000000000006</v>
      </c>
      <c r="I2897" s="40"/>
      <c r="J2897" s="155">
        <v>0</v>
      </c>
    </row>
    <row r="2898" spans="1:10" ht="26.25" hidden="1" thickBot="1" x14ac:dyDescent="0.3">
      <c r="A2898" s="176"/>
      <c r="B2898" s="175"/>
      <c r="C2898" s="36" t="s">
        <v>901</v>
      </c>
      <c r="D2898" s="36" t="s">
        <v>20</v>
      </c>
      <c r="E2898" s="37">
        <v>1</v>
      </c>
      <c r="F2898" s="31">
        <v>0</v>
      </c>
      <c r="G2898" s="34">
        <f>IF(ISNUMBER(F2898),E2898*F2898,"")</f>
        <v>0</v>
      </c>
      <c r="H2898" s="35"/>
      <c r="I2898" s="31"/>
      <c r="J2898" s="155">
        <v>0</v>
      </c>
    </row>
    <row r="2899" spans="1:10" ht="15.75" hidden="1" thickBot="1" x14ac:dyDescent="0.3">
      <c r="A2899" s="177"/>
      <c r="B2899" s="178"/>
      <c r="C2899" s="36"/>
      <c r="D2899" s="36"/>
      <c r="E2899" s="37"/>
      <c r="F2899" s="31" t="s">
        <v>568</v>
      </c>
      <c r="G2899" s="34" t="str">
        <f>IF(ISNUMBER(F2899),E2899*F2899,"")</f>
        <v/>
      </c>
      <c r="H2899" s="35"/>
      <c r="I2899" s="31"/>
      <c r="J2899" s="155">
        <v>0</v>
      </c>
    </row>
    <row r="2900" spans="1:10" ht="15.75" hidden="1" thickBot="1" x14ac:dyDescent="0.3">
      <c r="A2900" s="172" t="s">
        <v>902</v>
      </c>
      <c r="B2900" s="174" t="str">
        <f>INDEX(Orçamentária!A:B,MATCH(Composições!A2900,Orçamentária!A:A,0),2)</f>
        <v>Escova de vedação para vidro temperado</v>
      </c>
      <c r="C2900" s="41"/>
      <c r="D2900" s="26" t="str">
        <f>TRIM(INDEX(Orçamentária!C:C,MATCH(Composições!A2900,Orçamentária!A:A,0),1))</f>
        <v>m</v>
      </c>
      <c r="E2900" s="27"/>
      <c r="F2900" s="42" t="s">
        <v>568</v>
      </c>
      <c r="G2900" s="28" t="str">
        <f>IF(ISNUMBER(F2900),E2900*F2900,"")</f>
        <v/>
      </c>
      <c r="H2900" s="29"/>
      <c r="I2900" s="30"/>
      <c r="J2900" s="155">
        <v>0</v>
      </c>
    </row>
    <row r="2901" spans="1:10" ht="15.75" hidden="1" thickBot="1" x14ac:dyDescent="0.3">
      <c r="A2901" s="176"/>
      <c r="B2901" s="175"/>
      <c r="C2901" s="32"/>
      <c r="D2901" s="32"/>
      <c r="E2901" s="33"/>
      <c r="F2901" s="43" t="s">
        <v>568</v>
      </c>
      <c r="G2901" s="34" t="str">
        <f>IF(ISNUMBER(F2901),E2901*F2901,"")</f>
        <v/>
      </c>
      <c r="H2901" s="35"/>
      <c r="I2901" s="31"/>
      <c r="J2901" s="155">
        <v>0</v>
      </c>
    </row>
    <row r="2902" spans="1:10" ht="15.75" hidden="1" thickBot="1" x14ac:dyDescent="0.3">
      <c r="A2902" s="176"/>
      <c r="B2902" s="175"/>
      <c r="C2902" s="36" t="s">
        <v>68</v>
      </c>
      <c r="D2902" s="47" t="s">
        <v>12</v>
      </c>
      <c r="E2902" s="37">
        <v>0.3</v>
      </c>
      <c r="F2902" s="34">
        <v>20.539000000000001</v>
      </c>
      <c r="G2902" s="34">
        <f>IF(ISNUMBER(F2902),E2902*F2902,"")</f>
        <v>6.1617000000000006</v>
      </c>
      <c r="H2902" s="39">
        <f>SUM(G2902:G2903)</f>
        <v>6.1617000000000006</v>
      </c>
      <c r="I2902" s="40"/>
      <c r="J2902" s="155">
        <v>0</v>
      </c>
    </row>
    <row r="2903" spans="1:10" ht="51.75" hidden="1" thickBot="1" x14ac:dyDescent="0.3">
      <c r="A2903" s="176"/>
      <c r="B2903" s="175"/>
      <c r="C2903" s="36" t="s">
        <v>903</v>
      </c>
      <c r="D2903" s="36" t="s">
        <v>20</v>
      </c>
      <c r="E2903" s="37">
        <v>1</v>
      </c>
      <c r="F2903" s="31" t="s">
        <v>568</v>
      </c>
      <c r="G2903" s="34" t="str">
        <f>IF(ISNUMBER(F2903),E2903*F2903,"")</f>
        <v/>
      </c>
      <c r="H2903" s="35"/>
      <c r="I2903" s="31"/>
      <c r="J2903" s="155">
        <v>0</v>
      </c>
    </row>
    <row r="2904" spans="1:10" ht="15.75" hidden="1" thickBot="1" x14ac:dyDescent="0.3">
      <c r="A2904" s="177"/>
      <c r="B2904" s="178"/>
      <c r="C2904" s="36"/>
      <c r="D2904" s="36"/>
      <c r="E2904" s="37"/>
      <c r="F2904" s="31" t="s">
        <v>568</v>
      </c>
      <c r="G2904" s="34" t="str">
        <f>IF(ISNUMBER(F2904),E2904*F2904,"")</f>
        <v/>
      </c>
      <c r="H2904" s="35"/>
      <c r="I2904" s="31"/>
      <c r="J2904" s="155">
        <v>0</v>
      </c>
    </row>
    <row r="2905" spans="1:10" ht="15.75" hidden="1" thickBot="1" x14ac:dyDescent="0.3">
      <c r="A2905" s="172" t="s">
        <v>904</v>
      </c>
      <c r="B2905" s="174" t="str">
        <f>INDEX(Orçamentária!A:B,MATCH(Composições!A2905,Orçamentária!A:A,0),2)</f>
        <v>Roldana simples para porta de correr em vidro temperado</v>
      </c>
      <c r="C2905" s="41"/>
      <c r="D2905" s="26" t="str">
        <f>TRIM(INDEX(Orçamentária!C:C,MATCH(Composições!A2905,Orçamentária!A:A,0),1))</f>
        <v>un</v>
      </c>
      <c r="E2905" s="27"/>
      <c r="F2905" s="42" t="s">
        <v>568</v>
      </c>
      <c r="G2905" s="28" t="str">
        <f>IF(ISNUMBER(F2905),E2905*F2905,"")</f>
        <v/>
      </c>
      <c r="H2905" s="29"/>
      <c r="I2905" s="30"/>
      <c r="J2905" s="155">
        <v>0</v>
      </c>
    </row>
    <row r="2906" spans="1:10" ht="15.75" hidden="1" thickBot="1" x14ac:dyDescent="0.3">
      <c r="A2906" s="176"/>
      <c r="B2906" s="175"/>
      <c r="C2906" s="32"/>
      <c r="D2906" s="32"/>
      <c r="E2906" s="33"/>
      <c r="F2906" s="43" t="s">
        <v>568</v>
      </c>
      <c r="G2906" s="34" t="str">
        <f>IF(ISNUMBER(F2906),E2906*F2906,"")</f>
        <v/>
      </c>
      <c r="H2906" s="35"/>
      <c r="I2906" s="31"/>
      <c r="J2906" s="155">
        <v>0</v>
      </c>
    </row>
    <row r="2907" spans="1:10" ht="15.75" hidden="1" thickBot="1" x14ac:dyDescent="0.3">
      <c r="A2907" s="176"/>
      <c r="B2907" s="175"/>
      <c r="C2907" s="36" t="s">
        <v>68</v>
      </c>
      <c r="D2907" s="36" t="s">
        <v>12</v>
      </c>
      <c r="E2907" s="37">
        <v>0.15</v>
      </c>
      <c r="F2907" s="34">
        <v>20.539000000000001</v>
      </c>
      <c r="G2907" s="34">
        <f>IF(ISNUMBER(F2907),E2907*F2907,"")</f>
        <v>3.0808500000000003</v>
      </c>
      <c r="H2907" s="39">
        <f>SUM(G2907:G2908)</f>
        <v>3.0808500000000003</v>
      </c>
      <c r="I2907" s="40"/>
      <c r="J2907" s="155">
        <v>0</v>
      </c>
    </row>
    <row r="2908" spans="1:10" ht="26.25" hidden="1" thickBot="1" x14ac:dyDescent="0.3">
      <c r="A2908" s="176"/>
      <c r="B2908" s="175"/>
      <c r="C2908" s="36" t="s">
        <v>905</v>
      </c>
      <c r="D2908" s="36" t="s">
        <v>20</v>
      </c>
      <c r="E2908" s="37">
        <v>1</v>
      </c>
      <c r="F2908" s="31" t="s">
        <v>568</v>
      </c>
      <c r="G2908" s="34" t="str">
        <f>IF(ISNUMBER(F2908),E2908*F2908,"")</f>
        <v/>
      </c>
      <c r="H2908" s="35"/>
      <c r="I2908" s="31"/>
      <c r="J2908" s="155">
        <v>0</v>
      </c>
    </row>
    <row r="2909" spans="1:10" ht="15.75" hidden="1" thickBot="1" x14ac:dyDescent="0.3">
      <c r="A2909" s="177"/>
      <c r="B2909" s="178"/>
      <c r="C2909" s="36"/>
      <c r="D2909" s="36"/>
      <c r="E2909" s="37"/>
      <c r="F2909" s="31" t="s">
        <v>568</v>
      </c>
      <c r="G2909" s="34" t="str">
        <f>IF(ISNUMBER(F2909),E2909*F2909,"")</f>
        <v/>
      </c>
      <c r="H2909" s="35"/>
      <c r="I2909" s="31"/>
      <c r="J2909" s="155">
        <v>0</v>
      </c>
    </row>
    <row r="2910" spans="1:10" ht="15.75" hidden="1" thickBot="1" x14ac:dyDescent="0.3">
      <c r="A2910" s="172" t="s">
        <v>906</v>
      </c>
      <c r="B2910" s="174" t="str">
        <f>INDEX(Orçamentária!A:B,MATCH(Composições!A2910,Orçamentária!A:A,0),2)</f>
        <v>Roldana dupla para porta de correr em vidro temperado</v>
      </c>
      <c r="C2910" s="41"/>
      <c r="D2910" s="26" t="str">
        <f>TRIM(INDEX(Orçamentária!C:C,MATCH(Composições!A2910,Orçamentária!A:A,0),1))</f>
        <v>un</v>
      </c>
      <c r="E2910" s="27"/>
      <c r="F2910" s="42" t="s">
        <v>568</v>
      </c>
      <c r="G2910" s="28" t="str">
        <f>IF(ISNUMBER(F2910),E2910*F2910,"")</f>
        <v/>
      </c>
      <c r="H2910" s="29"/>
      <c r="I2910" s="30"/>
      <c r="J2910" s="155">
        <v>0</v>
      </c>
    </row>
    <row r="2911" spans="1:10" ht="15.75" hidden="1" thickBot="1" x14ac:dyDescent="0.3">
      <c r="A2911" s="176"/>
      <c r="B2911" s="175"/>
      <c r="C2911" s="32"/>
      <c r="D2911" s="32"/>
      <c r="E2911" s="33"/>
      <c r="F2911" s="43" t="s">
        <v>568</v>
      </c>
      <c r="G2911" s="34" t="str">
        <f>IF(ISNUMBER(F2911),E2911*F2911,"")</f>
        <v/>
      </c>
      <c r="H2911" s="35"/>
      <c r="I2911" s="31"/>
      <c r="J2911" s="155">
        <v>0</v>
      </c>
    </row>
    <row r="2912" spans="1:10" ht="15.75" hidden="1" thickBot="1" x14ac:dyDescent="0.3">
      <c r="A2912" s="176"/>
      <c r="B2912" s="175"/>
      <c r="C2912" s="36" t="s">
        <v>68</v>
      </c>
      <c r="D2912" s="36" t="s">
        <v>12</v>
      </c>
      <c r="E2912" s="37">
        <v>0.15</v>
      </c>
      <c r="F2912" s="34">
        <v>20.539000000000001</v>
      </c>
      <c r="G2912" s="34">
        <f>IF(ISNUMBER(F2912),E2912*F2912,"")</f>
        <v>3.0808500000000003</v>
      </c>
      <c r="H2912" s="39">
        <f>SUM(G2912:G2913)</f>
        <v>3.0808500000000003</v>
      </c>
      <c r="I2912" s="40"/>
      <c r="J2912" s="155">
        <v>0</v>
      </c>
    </row>
    <row r="2913" spans="1:10" ht="26.25" hidden="1" thickBot="1" x14ac:dyDescent="0.3">
      <c r="A2913" s="176"/>
      <c r="B2913" s="175"/>
      <c r="C2913" s="36" t="s">
        <v>907</v>
      </c>
      <c r="D2913" s="36" t="s">
        <v>20</v>
      </c>
      <c r="E2913" s="37">
        <v>1</v>
      </c>
      <c r="F2913" s="31" t="s">
        <v>568</v>
      </c>
      <c r="G2913" s="34" t="str">
        <f>IF(ISNUMBER(F2913),E2913*F2913,"")</f>
        <v/>
      </c>
      <c r="H2913" s="35"/>
      <c r="I2913" s="31"/>
      <c r="J2913" s="155">
        <v>0</v>
      </c>
    </row>
    <row r="2914" spans="1:10" ht="15.75" hidden="1" thickBot="1" x14ac:dyDescent="0.3">
      <c r="A2914" s="177"/>
      <c r="B2914" s="178"/>
      <c r="C2914" s="36"/>
      <c r="D2914" s="36"/>
      <c r="E2914" s="37"/>
      <c r="F2914" s="31" t="s">
        <v>568</v>
      </c>
      <c r="G2914" s="34" t="str">
        <f>IF(ISNUMBER(F2914),E2914*F2914,"")</f>
        <v/>
      </c>
      <c r="H2914" s="35"/>
      <c r="I2914" s="31"/>
      <c r="J2914" s="155">
        <v>0</v>
      </c>
    </row>
    <row r="2915" spans="1:10" ht="15.75" hidden="1" thickBot="1" x14ac:dyDescent="0.3">
      <c r="A2915" s="172" t="s">
        <v>908</v>
      </c>
      <c r="B2915" s="174" t="str">
        <f>INDEX(Orçamentária!A:B,MATCH(Composições!A2915,Orçamentária!A:A,0),2)</f>
        <v>Capuchinho para trinco para vidro temperado</v>
      </c>
      <c r="C2915" s="41"/>
      <c r="D2915" s="26" t="str">
        <f>TRIM(INDEX(Orçamentária!C:C,MATCH(Composições!A2915,Orçamentária!A:A,0),1))</f>
        <v>un</v>
      </c>
      <c r="E2915" s="27"/>
      <c r="F2915" s="42" t="s">
        <v>568</v>
      </c>
      <c r="G2915" s="28" t="str">
        <f>IF(ISNUMBER(F2915),E2915*F2915,"")</f>
        <v/>
      </c>
      <c r="H2915" s="29"/>
      <c r="I2915" s="30"/>
      <c r="J2915" s="155">
        <v>0</v>
      </c>
    </row>
    <row r="2916" spans="1:10" ht="15.75" hidden="1" thickBot="1" x14ac:dyDescent="0.3">
      <c r="A2916" s="176"/>
      <c r="B2916" s="175"/>
      <c r="C2916" s="32"/>
      <c r="D2916" s="32"/>
      <c r="E2916" s="33"/>
      <c r="F2916" s="43" t="s">
        <v>568</v>
      </c>
      <c r="G2916" s="34" t="str">
        <f>IF(ISNUMBER(F2916),E2916*F2916,"")</f>
        <v/>
      </c>
      <c r="H2916" s="35"/>
      <c r="I2916" s="31"/>
      <c r="J2916" s="155">
        <v>0</v>
      </c>
    </row>
    <row r="2917" spans="1:10" ht="15.75" hidden="1" thickBot="1" x14ac:dyDescent="0.3">
      <c r="A2917" s="176"/>
      <c r="B2917" s="175"/>
      <c r="C2917" s="36" t="s">
        <v>68</v>
      </c>
      <c r="D2917" s="36" t="s">
        <v>12</v>
      </c>
      <c r="E2917" s="37">
        <v>0.1</v>
      </c>
      <c r="F2917" s="34">
        <v>20.539000000000001</v>
      </c>
      <c r="G2917" s="34">
        <f>IF(ISNUMBER(F2917),E2917*F2917,"")</f>
        <v>2.0539000000000001</v>
      </c>
      <c r="H2917" s="39">
        <f>SUM(G2917:G2918)</f>
        <v>2.0539000000000001</v>
      </c>
      <c r="I2917" s="40"/>
      <c r="J2917" s="155">
        <v>0</v>
      </c>
    </row>
    <row r="2918" spans="1:10" ht="39" hidden="1" thickBot="1" x14ac:dyDescent="0.3">
      <c r="A2918" s="176"/>
      <c r="B2918" s="175"/>
      <c r="C2918" s="36" t="s">
        <v>909</v>
      </c>
      <c r="D2918" s="36" t="s">
        <v>20</v>
      </c>
      <c r="E2918" s="37">
        <v>1</v>
      </c>
      <c r="F2918" s="31">
        <v>0</v>
      </c>
      <c r="G2918" s="34">
        <f>IF(ISNUMBER(F2918),E2918*F2918,"")</f>
        <v>0</v>
      </c>
      <c r="H2918" s="35"/>
      <c r="I2918" s="31"/>
      <c r="J2918" s="155">
        <v>0</v>
      </c>
    </row>
    <row r="2919" spans="1:10" ht="15.75" hidden="1" thickBot="1" x14ac:dyDescent="0.3">
      <c r="A2919" s="177"/>
      <c r="B2919" s="178"/>
      <c r="C2919" s="36"/>
      <c r="D2919" s="36"/>
      <c r="E2919" s="37"/>
      <c r="F2919" s="31" t="s">
        <v>568</v>
      </c>
      <c r="G2919" s="34" t="str">
        <f>IF(ISNUMBER(F2919),E2919*F2919,"")</f>
        <v/>
      </c>
      <c r="H2919" s="35"/>
      <c r="I2919" s="31"/>
      <c r="J2919" s="155">
        <v>0</v>
      </c>
    </row>
    <row r="2920" spans="1:10" ht="15.75" hidden="1" thickBot="1" x14ac:dyDescent="0.3">
      <c r="A2920" s="172" t="s">
        <v>910</v>
      </c>
      <c r="B2920" s="174" t="str">
        <f>INDEX(Orçamentária!A:B,MATCH(Composições!A2920,Orçamentária!A:A,0),2)</f>
        <v>Facão simples para lateral e bandeira de vidro temperado</v>
      </c>
      <c r="C2920" s="41"/>
      <c r="D2920" s="26" t="str">
        <f>TRIM(INDEX(Orçamentária!C:C,MATCH(Composições!A2920,Orçamentária!A:A,0),1))</f>
        <v>un</v>
      </c>
      <c r="E2920" s="27"/>
      <c r="F2920" s="42" t="s">
        <v>568</v>
      </c>
      <c r="G2920" s="28" t="str">
        <f>IF(ISNUMBER(F2920),E2920*F2920,"")</f>
        <v/>
      </c>
      <c r="H2920" s="29"/>
      <c r="I2920" s="30"/>
      <c r="J2920" s="155">
        <v>0</v>
      </c>
    </row>
    <row r="2921" spans="1:10" ht="15.75" hidden="1" thickBot="1" x14ac:dyDescent="0.3">
      <c r="A2921" s="176"/>
      <c r="B2921" s="175"/>
      <c r="C2921" s="32"/>
      <c r="D2921" s="32"/>
      <c r="E2921" s="33"/>
      <c r="F2921" s="43" t="s">
        <v>568</v>
      </c>
      <c r="G2921" s="34" t="str">
        <f>IF(ISNUMBER(F2921),E2921*F2921,"")</f>
        <v/>
      </c>
      <c r="H2921" s="35"/>
      <c r="I2921" s="31"/>
      <c r="J2921" s="155">
        <v>0</v>
      </c>
    </row>
    <row r="2922" spans="1:10" ht="15.75" hidden="1" thickBot="1" x14ac:dyDescent="0.3">
      <c r="A2922" s="176"/>
      <c r="B2922" s="175"/>
      <c r="C2922" s="36" t="s">
        <v>68</v>
      </c>
      <c r="D2922" s="36" t="s">
        <v>12</v>
      </c>
      <c r="E2922" s="37">
        <v>0.4</v>
      </c>
      <c r="F2922" s="34">
        <v>20.539000000000001</v>
      </c>
      <c r="G2922" s="34">
        <f>IF(ISNUMBER(F2922),E2922*F2922,"")</f>
        <v>8.2156000000000002</v>
      </c>
      <c r="H2922" s="39">
        <f>SUM(G2922:G2923)</f>
        <v>8.2156000000000002</v>
      </c>
      <c r="I2922" s="40"/>
      <c r="J2922" s="155">
        <v>0</v>
      </c>
    </row>
    <row r="2923" spans="1:10" ht="39" hidden="1" thickBot="1" x14ac:dyDescent="0.3">
      <c r="A2923" s="176"/>
      <c r="B2923" s="175"/>
      <c r="C2923" s="36" t="s">
        <v>911</v>
      </c>
      <c r="D2923" s="36" t="s">
        <v>20</v>
      </c>
      <c r="E2923" s="37">
        <v>1</v>
      </c>
      <c r="F2923" s="31">
        <v>0</v>
      </c>
      <c r="G2923" s="34">
        <f>IF(ISNUMBER(F2923),E2923*F2923,"")</f>
        <v>0</v>
      </c>
      <c r="H2923" s="35"/>
      <c r="I2923" s="31"/>
      <c r="J2923" s="155">
        <v>0</v>
      </c>
    </row>
    <row r="2924" spans="1:10" ht="15.75" hidden="1" thickBot="1" x14ac:dyDescent="0.3">
      <c r="A2924" s="177"/>
      <c r="B2924" s="178"/>
      <c r="C2924" s="36"/>
      <c r="D2924" s="36"/>
      <c r="E2924" s="37"/>
      <c r="F2924" s="31" t="s">
        <v>568</v>
      </c>
      <c r="G2924" s="34" t="str">
        <f>IF(ISNUMBER(F2924),E2924*F2924,"")</f>
        <v/>
      </c>
      <c r="H2924" s="35"/>
      <c r="I2924" s="31"/>
      <c r="J2924" s="155">
        <v>0</v>
      </c>
    </row>
    <row r="2925" spans="1:10" ht="15.75" hidden="1" thickBot="1" x14ac:dyDescent="0.3">
      <c r="A2925" s="172" t="s">
        <v>912</v>
      </c>
      <c r="B2925" s="174" t="str">
        <f>INDEX(Orçamentária!A:B,MATCH(Composições!A2925,Orçamentária!A:A,0),2)</f>
        <v>Fechadura de pressão para porta de abrir em vidro temperado</v>
      </c>
      <c r="C2925" s="41"/>
      <c r="D2925" s="26" t="str">
        <f>TRIM(INDEX(Orçamentária!C:C,MATCH(Composições!A2925,Orçamentária!A:A,0),1))</f>
        <v>un</v>
      </c>
      <c r="E2925" s="27"/>
      <c r="F2925" s="42" t="s">
        <v>568</v>
      </c>
      <c r="G2925" s="28" t="str">
        <f>IF(ISNUMBER(F2925),E2925*F2925,"")</f>
        <v/>
      </c>
      <c r="H2925" s="29"/>
      <c r="I2925" s="30"/>
      <c r="J2925" s="155">
        <v>0</v>
      </c>
    </row>
    <row r="2926" spans="1:10" ht="15.75" hidden="1" thickBot="1" x14ac:dyDescent="0.3">
      <c r="A2926" s="176"/>
      <c r="B2926" s="175"/>
      <c r="C2926" s="32"/>
      <c r="D2926" s="32"/>
      <c r="E2926" s="33"/>
      <c r="F2926" s="43" t="s">
        <v>568</v>
      </c>
      <c r="G2926" s="34" t="str">
        <f>IF(ISNUMBER(F2926),E2926*F2926,"")</f>
        <v/>
      </c>
      <c r="H2926" s="35"/>
      <c r="I2926" s="31"/>
      <c r="J2926" s="155">
        <v>0</v>
      </c>
    </row>
    <row r="2927" spans="1:10" ht="15.75" hidden="1" thickBot="1" x14ac:dyDescent="0.3">
      <c r="A2927" s="176"/>
      <c r="B2927" s="175"/>
      <c r="C2927" s="36" t="s">
        <v>68</v>
      </c>
      <c r="D2927" s="36" t="s">
        <v>12</v>
      </c>
      <c r="E2927" s="37">
        <v>0.4</v>
      </c>
      <c r="F2927" s="34">
        <v>20.539000000000001</v>
      </c>
      <c r="G2927" s="34">
        <f>IF(ISNUMBER(F2927),E2927*F2927,"")</f>
        <v>8.2156000000000002</v>
      </c>
      <c r="H2927" s="39">
        <f>SUM(G2927:G2928)</f>
        <v>8.2156000000000002</v>
      </c>
      <c r="I2927" s="40"/>
      <c r="J2927" s="155">
        <v>0</v>
      </c>
    </row>
    <row r="2928" spans="1:10" ht="39" hidden="1" thickBot="1" x14ac:dyDescent="0.3">
      <c r="A2928" s="176"/>
      <c r="B2928" s="175"/>
      <c r="C2928" s="36" t="s">
        <v>913</v>
      </c>
      <c r="D2928" s="36" t="s">
        <v>20</v>
      </c>
      <c r="E2928" s="37">
        <v>1</v>
      </c>
      <c r="F2928" s="31" t="s">
        <v>568</v>
      </c>
      <c r="G2928" s="34" t="str">
        <f>IF(ISNUMBER(F2928),E2928*F2928,"")</f>
        <v/>
      </c>
      <c r="H2928" s="35"/>
      <c r="I2928" s="31"/>
      <c r="J2928" s="155">
        <v>0</v>
      </c>
    </row>
    <row r="2929" spans="1:10" ht="15.75" hidden="1" thickBot="1" x14ac:dyDescent="0.3">
      <c r="A2929" s="177"/>
      <c r="B2929" s="178"/>
      <c r="C2929" s="36"/>
      <c r="D2929" s="36"/>
      <c r="E2929" s="37"/>
      <c r="F2929" s="31" t="s">
        <v>568</v>
      </c>
      <c r="G2929" s="34" t="str">
        <f>IF(ISNUMBER(F2929),E2929*F2929,"")</f>
        <v/>
      </c>
      <c r="H2929" s="35"/>
      <c r="I2929" s="31"/>
      <c r="J2929" s="155">
        <v>0</v>
      </c>
    </row>
    <row r="2930" spans="1:10" ht="15.75" hidden="1" thickBot="1" x14ac:dyDescent="0.3">
      <c r="A2930" s="172" t="s">
        <v>914</v>
      </c>
      <c r="B2930" s="174" t="str">
        <f>INDEX(Orçamentária!A:B,MATCH(Composições!A2930,Orçamentária!A:A,0),2)</f>
        <v>Suporte de união, com miolo, para vidro temperado</v>
      </c>
      <c r="C2930" s="41"/>
      <c r="D2930" s="26" t="str">
        <f>TRIM(INDEX(Orçamentária!C:C,MATCH(Composições!A2930,Orçamentária!A:A,0),1))</f>
        <v>un</v>
      </c>
      <c r="E2930" s="27"/>
      <c r="F2930" s="42" t="s">
        <v>568</v>
      </c>
      <c r="G2930" s="28" t="str">
        <f>IF(ISNUMBER(F2930),E2930*F2930,"")</f>
        <v/>
      </c>
      <c r="H2930" s="29"/>
      <c r="I2930" s="30"/>
      <c r="J2930" s="155">
        <v>0</v>
      </c>
    </row>
    <row r="2931" spans="1:10" ht="15.75" hidden="1" thickBot="1" x14ac:dyDescent="0.3">
      <c r="A2931" s="176"/>
      <c r="B2931" s="175"/>
      <c r="C2931" s="32"/>
      <c r="D2931" s="32"/>
      <c r="E2931" s="33"/>
      <c r="F2931" s="43" t="s">
        <v>568</v>
      </c>
      <c r="G2931" s="34" t="str">
        <f>IF(ISNUMBER(F2931),E2931*F2931,"")</f>
        <v/>
      </c>
      <c r="H2931" s="35"/>
      <c r="I2931" s="31"/>
      <c r="J2931" s="155">
        <v>0</v>
      </c>
    </row>
    <row r="2932" spans="1:10" ht="15.75" hidden="1" thickBot="1" x14ac:dyDescent="0.3">
      <c r="A2932" s="176"/>
      <c r="B2932" s="175"/>
      <c r="C2932" s="36" t="s">
        <v>68</v>
      </c>
      <c r="D2932" s="36" t="s">
        <v>12</v>
      </c>
      <c r="E2932" s="37">
        <v>0.3</v>
      </c>
      <c r="F2932" s="34">
        <v>20.539000000000001</v>
      </c>
      <c r="G2932" s="34">
        <f>IF(ISNUMBER(F2932),E2932*F2932,"")</f>
        <v>6.1617000000000006</v>
      </c>
      <c r="H2932" s="39">
        <f>SUM(G2932:G2933)</f>
        <v>6.1617000000000006</v>
      </c>
      <c r="I2932" s="40"/>
      <c r="J2932" s="155">
        <v>0</v>
      </c>
    </row>
    <row r="2933" spans="1:10" ht="26.25" hidden="1" thickBot="1" x14ac:dyDescent="0.3">
      <c r="A2933" s="176"/>
      <c r="B2933" s="175"/>
      <c r="C2933" s="36" t="s">
        <v>915</v>
      </c>
      <c r="D2933" s="36" t="s">
        <v>20</v>
      </c>
      <c r="E2933" s="37">
        <v>1</v>
      </c>
      <c r="F2933" s="31">
        <v>0</v>
      </c>
      <c r="G2933" s="34">
        <f>IF(ISNUMBER(F2933),E2933*F2933,"")</f>
        <v>0</v>
      </c>
      <c r="H2933" s="35"/>
      <c r="I2933" s="31"/>
      <c r="J2933" s="155">
        <v>0</v>
      </c>
    </row>
    <row r="2934" spans="1:10" ht="15.75" hidden="1" thickBot="1" x14ac:dyDescent="0.3">
      <c r="A2934" s="177"/>
      <c r="B2934" s="178"/>
      <c r="C2934" s="36"/>
      <c r="D2934" s="36"/>
      <c r="E2934" s="37"/>
      <c r="F2934" s="31" t="s">
        <v>568</v>
      </c>
      <c r="G2934" s="34" t="str">
        <f>IF(ISNUMBER(F2934),E2934*F2934,"")</f>
        <v/>
      </c>
      <c r="H2934" s="35"/>
      <c r="I2934" s="31"/>
      <c r="J2934" s="155">
        <v>0</v>
      </c>
    </row>
    <row r="2935" spans="1:10" ht="15.75" hidden="1" thickBot="1" x14ac:dyDescent="0.3">
      <c r="A2935" s="172" t="s">
        <v>916</v>
      </c>
      <c r="B2935" s="174" t="str">
        <f>INDEX(Orçamentária!A:B,MATCH(Composições!A2935,Orçamentária!A:A,0),2)</f>
        <v>Suporte para basculante e pivotante de vidro temperado</v>
      </c>
      <c r="C2935" s="41"/>
      <c r="D2935" s="26" t="str">
        <f>TRIM(INDEX(Orçamentária!C:C,MATCH(Composições!A2935,Orçamentária!A:A,0),1))</f>
        <v>un</v>
      </c>
      <c r="E2935" s="27"/>
      <c r="F2935" s="42" t="s">
        <v>568</v>
      </c>
      <c r="G2935" s="28" t="str">
        <f>IF(ISNUMBER(F2935),E2935*F2935,"")</f>
        <v/>
      </c>
      <c r="H2935" s="29"/>
      <c r="I2935" s="30"/>
      <c r="J2935" s="155">
        <v>0</v>
      </c>
    </row>
    <row r="2936" spans="1:10" ht="15.75" hidden="1" thickBot="1" x14ac:dyDescent="0.3">
      <c r="A2936" s="176"/>
      <c r="B2936" s="175"/>
      <c r="C2936" s="32"/>
      <c r="D2936" s="32"/>
      <c r="E2936" s="33"/>
      <c r="F2936" s="43" t="s">
        <v>568</v>
      </c>
      <c r="G2936" s="34" t="str">
        <f>IF(ISNUMBER(F2936),E2936*F2936,"")</f>
        <v/>
      </c>
      <c r="H2936" s="35"/>
      <c r="I2936" s="31"/>
      <c r="J2936" s="155">
        <v>0</v>
      </c>
    </row>
    <row r="2937" spans="1:10" ht="15.75" hidden="1" thickBot="1" x14ac:dyDescent="0.3">
      <c r="A2937" s="176"/>
      <c r="B2937" s="175"/>
      <c r="C2937" s="36" t="s">
        <v>68</v>
      </c>
      <c r="D2937" s="36" t="s">
        <v>12</v>
      </c>
      <c r="E2937" s="37">
        <v>0.2</v>
      </c>
      <c r="F2937" s="34">
        <v>20.539000000000001</v>
      </c>
      <c r="G2937" s="34">
        <f>IF(ISNUMBER(F2937),E2937*F2937,"")</f>
        <v>4.1078000000000001</v>
      </c>
      <c r="H2937" s="39">
        <f>SUM(G2937:G2938)</f>
        <v>4.1078000000000001</v>
      </c>
      <c r="I2937" s="40"/>
      <c r="J2937" s="155">
        <v>0</v>
      </c>
    </row>
    <row r="2938" spans="1:10" ht="26.25" hidden="1" thickBot="1" x14ac:dyDescent="0.3">
      <c r="A2938" s="176"/>
      <c r="B2938" s="175"/>
      <c r="C2938" s="36" t="s">
        <v>917</v>
      </c>
      <c r="D2938" s="36" t="s">
        <v>20</v>
      </c>
      <c r="E2938" s="37">
        <v>1</v>
      </c>
      <c r="F2938" s="31">
        <v>0</v>
      </c>
      <c r="G2938" s="34">
        <f>IF(ISNUMBER(F2938),E2938*F2938,"")</f>
        <v>0</v>
      </c>
      <c r="H2938" s="35"/>
      <c r="I2938" s="31"/>
      <c r="J2938" s="155">
        <v>0</v>
      </c>
    </row>
    <row r="2939" spans="1:10" ht="15.75" hidden="1" thickBot="1" x14ac:dyDescent="0.3">
      <c r="A2939" s="177"/>
      <c r="B2939" s="178"/>
      <c r="C2939" s="36"/>
      <c r="D2939" s="36"/>
      <c r="E2939" s="37"/>
      <c r="F2939" s="31" t="s">
        <v>568</v>
      </c>
      <c r="G2939" s="34" t="str">
        <f>IF(ISNUMBER(F2939),E2939*F2939,"")</f>
        <v/>
      </c>
      <c r="H2939" s="35"/>
      <c r="I2939" s="31"/>
      <c r="J2939" s="155">
        <v>0</v>
      </c>
    </row>
    <row r="2940" spans="1:10" ht="15.75" hidden="1" thickBot="1" x14ac:dyDescent="0.3">
      <c r="A2940" s="172" t="s">
        <v>918</v>
      </c>
      <c r="B2940" s="174" t="str">
        <f>INDEX(Orçamentária!A:B,MATCH(Composições!A2940,Orçamentária!A:A,0),2)</f>
        <v>Trinco central para basculante em vidro temperado</v>
      </c>
      <c r="C2940" s="41"/>
      <c r="D2940" s="26" t="str">
        <f>TRIM(INDEX(Orçamentária!C:C,MATCH(Composições!A2940,Orçamentária!A:A,0),1))</f>
        <v>un</v>
      </c>
      <c r="E2940" s="27"/>
      <c r="F2940" s="42" t="s">
        <v>568</v>
      </c>
      <c r="G2940" s="28" t="str">
        <f>IF(ISNUMBER(F2940),E2940*F2940,"")</f>
        <v/>
      </c>
      <c r="H2940" s="29"/>
      <c r="I2940" s="30"/>
      <c r="J2940" s="155">
        <v>0</v>
      </c>
    </row>
    <row r="2941" spans="1:10" ht="15.75" hidden="1" thickBot="1" x14ac:dyDescent="0.3">
      <c r="A2941" s="176"/>
      <c r="B2941" s="175"/>
      <c r="C2941" s="32"/>
      <c r="D2941" s="32"/>
      <c r="E2941" s="33"/>
      <c r="F2941" s="43" t="s">
        <v>568</v>
      </c>
      <c r="G2941" s="34" t="str">
        <f>IF(ISNUMBER(F2941),E2941*F2941,"")</f>
        <v/>
      </c>
      <c r="H2941" s="35"/>
      <c r="I2941" s="31"/>
      <c r="J2941" s="155">
        <v>0</v>
      </c>
    </row>
    <row r="2942" spans="1:10" ht="15.75" hidden="1" thickBot="1" x14ac:dyDescent="0.3">
      <c r="A2942" s="176"/>
      <c r="B2942" s="175"/>
      <c r="C2942" s="36" t="s">
        <v>68</v>
      </c>
      <c r="D2942" s="36" t="s">
        <v>12</v>
      </c>
      <c r="E2942" s="37">
        <v>0.2</v>
      </c>
      <c r="F2942" s="34">
        <v>20.539000000000001</v>
      </c>
      <c r="G2942" s="34">
        <f>IF(ISNUMBER(F2942),E2942*F2942,"")</f>
        <v>4.1078000000000001</v>
      </c>
      <c r="H2942" s="39">
        <f>SUM(G2942:G2943)</f>
        <v>4.1078000000000001</v>
      </c>
      <c r="I2942" s="40"/>
      <c r="J2942" s="155">
        <v>0</v>
      </c>
    </row>
    <row r="2943" spans="1:10" ht="26.25" hidden="1" thickBot="1" x14ac:dyDescent="0.3">
      <c r="A2943" s="176"/>
      <c r="B2943" s="175"/>
      <c r="C2943" s="36" t="s">
        <v>919</v>
      </c>
      <c r="D2943" s="47" t="s">
        <v>20</v>
      </c>
      <c r="E2943" s="37">
        <v>1</v>
      </c>
      <c r="F2943" s="31">
        <v>0</v>
      </c>
      <c r="G2943" s="34">
        <f>IF(ISNUMBER(F2943),E2943*F2943,"")</f>
        <v>0</v>
      </c>
      <c r="H2943" s="35"/>
      <c r="I2943" s="31"/>
      <c r="J2943" s="155">
        <v>0</v>
      </c>
    </row>
    <row r="2944" spans="1:10" ht="15.75" hidden="1" thickBot="1" x14ac:dyDescent="0.3">
      <c r="A2944" s="177"/>
      <c r="B2944" s="178"/>
      <c r="C2944" s="36"/>
      <c r="D2944" s="36"/>
      <c r="E2944" s="37"/>
      <c r="F2944" s="31" t="s">
        <v>568</v>
      </c>
      <c r="G2944" s="34" t="str">
        <f>IF(ISNUMBER(F2944),E2944*F2944,"")</f>
        <v/>
      </c>
      <c r="H2944" s="35"/>
      <c r="I2944" s="31"/>
      <c r="J2944" s="155">
        <v>0</v>
      </c>
    </row>
    <row r="2945" spans="1:10" ht="15.75" hidden="1" thickBot="1" x14ac:dyDescent="0.3">
      <c r="A2945" s="172" t="s">
        <v>920</v>
      </c>
      <c r="B2945" s="174" t="str">
        <f>INDEX(Orçamentária!A:B,MATCH(Composições!A2945,Orçamentária!A:A,0),2)</f>
        <v>Vidro laminado incolor de 8mm de espessura</v>
      </c>
      <c r="C2945" s="41"/>
      <c r="D2945" s="26" t="str">
        <f>TRIM(INDEX(Orçamentária!C:C,MATCH(Composições!A2945,Orçamentária!A:A,0),1))</f>
        <v>m2</v>
      </c>
      <c r="E2945" s="27"/>
      <c r="F2945" s="42" t="s">
        <v>568</v>
      </c>
      <c r="G2945" s="28" t="str">
        <f>IF(ISNUMBER(F2945),E2945*F2945,"")</f>
        <v/>
      </c>
      <c r="H2945" s="29"/>
      <c r="I2945" s="30"/>
      <c r="J2945" s="155">
        <v>0</v>
      </c>
    </row>
    <row r="2946" spans="1:10" ht="15.75" hidden="1" thickBot="1" x14ac:dyDescent="0.3">
      <c r="A2946" s="176"/>
      <c r="B2946" s="175"/>
      <c r="C2946" s="32"/>
      <c r="D2946" s="32"/>
      <c r="E2946" s="33"/>
      <c r="F2946" s="43" t="s">
        <v>568</v>
      </c>
      <c r="G2946" s="34" t="str">
        <f>IF(ISNUMBER(F2946),E2946*F2946,"")</f>
        <v/>
      </c>
      <c r="H2946" s="35"/>
      <c r="I2946" s="31"/>
      <c r="J2946" s="155">
        <v>0</v>
      </c>
    </row>
    <row r="2947" spans="1:10" ht="15.75" hidden="1" thickBot="1" x14ac:dyDescent="0.3">
      <c r="A2947" s="176"/>
      <c r="B2947" s="175"/>
      <c r="C2947" s="36" t="s">
        <v>921</v>
      </c>
      <c r="D2947" s="47" t="s">
        <v>95</v>
      </c>
      <c r="E2947" s="37">
        <v>1</v>
      </c>
      <c r="F2947" s="34">
        <v>0</v>
      </c>
      <c r="G2947" s="34">
        <f>IF(ISNUMBER(F2947),E2947*F2947,"")</f>
        <v>0</v>
      </c>
      <c r="H2947" s="39">
        <f>SUM(G2947:G2950)</f>
        <v>28.200750000000003</v>
      </c>
      <c r="I2947" s="40"/>
      <c r="J2947" s="155">
        <v>0</v>
      </c>
    </row>
    <row r="2948" spans="1:10" ht="15.75" hidden="1" thickBot="1" x14ac:dyDescent="0.3">
      <c r="A2948" s="176"/>
      <c r="B2948" s="175"/>
      <c r="C2948" s="36" t="s">
        <v>68</v>
      </c>
      <c r="D2948" s="47" t="s">
        <v>12</v>
      </c>
      <c r="E2948" s="37">
        <v>0.5</v>
      </c>
      <c r="F2948" s="34">
        <v>20.539000000000001</v>
      </c>
      <c r="G2948" s="34">
        <f>IF(ISNUMBER(F2948),E2948*F2948,"")</f>
        <v>10.269500000000001</v>
      </c>
      <c r="H2948" s="35"/>
      <c r="I2948" s="31"/>
      <c r="J2948" s="155">
        <v>0</v>
      </c>
    </row>
    <row r="2949" spans="1:10" ht="15.75" hidden="1" thickBot="1" x14ac:dyDescent="0.3">
      <c r="A2949" s="176"/>
      <c r="B2949" s="175"/>
      <c r="C2949" s="36" t="s">
        <v>23</v>
      </c>
      <c r="D2949" s="47" t="s">
        <v>12</v>
      </c>
      <c r="E2949" s="37">
        <v>0.5</v>
      </c>
      <c r="F2949" s="31">
        <v>16.311500000000002</v>
      </c>
      <c r="G2949" s="34">
        <f>IF(ISNUMBER(F2949),E2949*F2949,"")</f>
        <v>8.1557500000000012</v>
      </c>
      <c r="H2949" s="35"/>
      <c r="I2949" s="31"/>
      <c r="J2949" s="155">
        <v>0</v>
      </c>
    </row>
    <row r="2950" spans="1:10" ht="15.75" hidden="1" thickBot="1" x14ac:dyDescent="0.3">
      <c r="A2950" s="176"/>
      <c r="B2950" s="175"/>
      <c r="C2950" s="36" t="s">
        <v>307</v>
      </c>
      <c r="D2950" s="47" t="s">
        <v>848</v>
      </c>
      <c r="E2950" s="37">
        <v>1.5</v>
      </c>
      <c r="F2950" s="31">
        <v>6.5170000000000003</v>
      </c>
      <c r="G2950" s="34">
        <f>IF(ISNUMBER(F2950),E2950*F2950,"")</f>
        <v>9.775500000000001</v>
      </c>
      <c r="H2950" s="35"/>
      <c r="I2950" s="31"/>
      <c r="J2950" s="155">
        <v>0</v>
      </c>
    </row>
    <row r="2951" spans="1:10" ht="15.75" hidden="1" thickBot="1" x14ac:dyDescent="0.3">
      <c r="A2951" s="177"/>
      <c r="B2951" s="178"/>
      <c r="C2951" s="36"/>
      <c r="D2951" s="36"/>
      <c r="E2951" s="37"/>
      <c r="F2951" s="31" t="s">
        <v>568</v>
      </c>
      <c r="G2951" s="34" t="str">
        <f>IF(ISNUMBER(F2951),E2951*F2951,"")</f>
        <v/>
      </c>
      <c r="H2951" s="35"/>
      <c r="I2951" s="31"/>
      <c r="J2951" s="155">
        <v>0</v>
      </c>
    </row>
    <row r="2952" spans="1:10" ht="15.75" hidden="1" thickBot="1" x14ac:dyDescent="0.3">
      <c r="A2952" s="172" t="s">
        <v>922</v>
      </c>
      <c r="B2952" s="174" t="str">
        <f>INDEX(Orçamentária!A:B,MATCH(Composições!A2952,Orçamentária!A:A,0),2)</f>
        <v>Dobradiça automática para box de vidro temperado</v>
      </c>
      <c r="C2952" s="41"/>
      <c r="D2952" s="26" t="str">
        <f>TRIM(INDEX(Orçamentária!C:C,MATCH(Composições!A2952,Orçamentária!A:A,0),1))</f>
        <v>un</v>
      </c>
      <c r="E2952" s="27"/>
      <c r="F2952" s="42" t="s">
        <v>568</v>
      </c>
      <c r="G2952" s="28" t="str">
        <f>IF(ISNUMBER(F2952),E2952*F2952,"")</f>
        <v/>
      </c>
      <c r="H2952" s="29"/>
      <c r="I2952" s="30"/>
      <c r="J2952" s="155">
        <v>0</v>
      </c>
    </row>
    <row r="2953" spans="1:10" ht="15.75" hidden="1" thickBot="1" x14ac:dyDescent="0.3">
      <c r="A2953" s="176"/>
      <c r="B2953" s="175"/>
      <c r="C2953" s="32"/>
      <c r="D2953" s="32"/>
      <c r="E2953" s="33"/>
      <c r="F2953" s="43" t="s">
        <v>568</v>
      </c>
      <c r="G2953" s="34" t="str">
        <f>IF(ISNUMBER(F2953),E2953*F2953,"")</f>
        <v/>
      </c>
      <c r="H2953" s="35"/>
      <c r="I2953" s="31"/>
      <c r="J2953" s="155">
        <v>0</v>
      </c>
    </row>
    <row r="2954" spans="1:10" ht="15.75" hidden="1" thickBot="1" x14ac:dyDescent="0.3">
      <c r="A2954" s="176"/>
      <c r="B2954" s="175"/>
      <c r="C2954" s="36" t="s">
        <v>68</v>
      </c>
      <c r="D2954" s="36" t="s">
        <v>12</v>
      </c>
      <c r="E2954" s="37">
        <v>0.2</v>
      </c>
      <c r="F2954" s="34">
        <v>20.539000000000001</v>
      </c>
      <c r="G2954" s="34">
        <f>IF(ISNUMBER(F2954),E2954*F2954,"")</f>
        <v>4.1078000000000001</v>
      </c>
      <c r="H2954" s="39">
        <f>SUM(G2954:G2955)</f>
        <v>4.1078000000000001</v>
      </c>
      <c r="I2954" s="40"/>
      <c r="J2954" s="155">
        <v>0</v>
      </c>
    </row>
    <row r="2955" spans="1:10" ht="26.25" hidden="1" thickBot="1" x14ac:dyDescent="0.3">
      <c r="A2955" s="176"/>
      <c r="B2955" s="175"/>
      <c r="C2955" s="36" t="s">
        <v>923</v>
      </c>
      <c r="D2955" s="36" t="s">
        <v>20</v>
      </c>
      <c r="E2955" s="37">
        <v>1</v>
      </c>
      <c r="F2955" s="31" t="s">
        <v>568</v>
      </c>
      <c r="G2955" s="34" t="str">
        <f>IF(ISNUMBER(F2955),E2955*F2955,"")</f>
        <v/>
      </c>
      <c r="H2955" s="35"/>
      <c r="I2955" s="31"/>
      <c r="J2955" s="155">
        <v>0</v>
      </c>
    </row>
    <row r="2956" spans="1:10" ht="15.75" hidden="1" thickBot="1" x14ac:dyDescent="0.3">
      <c r="A2956" s="177"/>
      <c r="B2956" s="178"/>
      <c r="C2956" s="36"/>
      <c r="D2956" s="36"/>
      <c r="E2956" s="37"/>
      <c r="F2956" s="31" t="s">
        <v>568</v>
      </c>
      <c r="G2956" s="34" t="str">
        <f>IF(ISNUMBER(F2956),E2956*F2956,"")</f>
        <v/>
      </c>
      <c r="H2956" s="35"/>
      <c r="I2956" s="31"/>
      <c r="J2956" s="155">
        <v>0</v>
      </c>
    </row>
    <row r="2957" spans="1:10" ht="15.75" hidden="1" thickBot="1" x14ac:dyDescent="0.3">
      <c r="A2957" s="172" t="s">
        <v>924</v>
      </c>
      <c r="B2957" s="174" t="str">
        <f>INDEX(Orçamentária!A:B,MATCH(Composições!A2957,Orçamentária!A:A,0),2)</f>
        <v>Dobradiça horizontal para vidro basculante com trinco</v>
      </c>
      <c r="C2957" s="41"/>
      <c r="D2957" s="26" t="str">
        <f>TRIM(INDEX(Orçamentária!C:C,MATCH(Composições!A2957,Orçamentária!A:A,0),1))</f>
        <v>un</v>
      </c>
      <c r="E2957" s="27"/>
      <c r="F2957" s="42" t="s">
        <v>568</v>
      </c>
      <c r="G2957" s="28" t="str">
        <f>IF(ISNUMBER(F2957),E2957*F2957,"")</f>
        <v/>
      </c>
      <c r="H2957" s="29"/>
      <c r="I2957" s="30"/>
      <c r="J2957" s="155">
        <v>0</v>
      </c>
    </row>
    <row r="2958" spans="1:10" ht="15.75" hidden="1" thickBot="1" x14ac:dyDescent="0.3">
      <c r="A2958" s="176"/>
      <c r="B2958" s="175"/>
      <c r="C2958" s="32"/>
      <c r="D2958" s="32"/>
      <c r="E2958" s="33"/>
      <c r="F2958" s="43" t="s">
        <v>568</v>
      </c>
      <c r="G2958" s="34" t="str">
        <f>IF(ISNUMBER(F2958),E2958*F2958,"")</f>
        <v/>
      </c>
      <c r="H2958" s="35"/>
      <c r="I2958" s="31"/>
      <c r="J2958" s="155">
        <v>0</v>
      </c>
    </row>
    <row r="2959" spans="1:10" ht="15.75" hidden="1" thickBot="1" x14ac:dyDescent="0.3">
      <c r="A2959" s="176"/>
      <c r="B2959" s="175"/>
      <c r="C2959" s="36" t="s">
        <v>68</v>
      </c>
      <c r="D2959" s="36" t="s">
        <v>12</v>
      </c>
      <c r="E2959" s="37">
        <v>0.2</v>
      </c>
      <c r="F2959" s="34">
        <v>20.539000000000001</v>
      </c>
      <c r="G2959" s="34">
        <f>IF(ISNUMBER(F2959),E2959*F2959,"")</f>
        <v>4.1078000000000001</v>
      </c>
      <c r="H2959" s="39">
        <f>SUM(G2959:G2960)</f>
        <v>4.1078000000000001</v>
      </c>
      <c r="I2959" s="40"/>
      <c r="J2959" s="155">
        <v>0</v>
      </c>
    </row>
    <row r="2960" spans="1:10" ht="39" hidden="1" thickBot="1" x14ac:dyDescent="0.3">
      <c r="A2960" s="176"/>
      <c r="B2960" s="175"/>
      <c r="C2960" s="36" t="s">
        <v>925</v>
      </c>
      <c r="D2960" s="36" t="s">
        <v>20</v>
      </c>
      <c r="E2960" s="37">
        <v>1</v>
      </c>
      <c r="F2960" s="31" t="s">
        <v>568</v>
      </c>
      <c r="G2960" s="34" t="str">
        <f>IF(ISNUMBER(F2960),E2960*F2960,"")</f>
        <v/>
      </c>
      <c r="H2960" s="35"/>
      <c r="I2960" s="31"/>
      <c r="J2960" s="155">
        <v>0</v>
      </c>
    </row>
    <row r="2961" spans="1:10" ht="15.75" hidden="1" thickBot="1" x14ac:dyDescent="0.3">
      <c r="A2961" s="177"/>
      <c r="B2961" s="178"/>
      <c r="C2961" s="36"/>
      <c r="D2961" s="36"/>
      <c r="E2961" s="37"/>
      <c r="F2961" s="31" t="s">
        <v>568</v>
      </c>
      <c r="G2961" s="34" t="str">
        <f>IF(ISNUMBER(F2961),E2961*F2961,"")</f>
        <v/>
      </c>
      <c r="H2961" s="35"/>
      <c r="I2961" s="31"/>
      <c r="J2961" s="155">
        <v>0</v>
      </c>
    </row>
    <row r="2962" spans="1:10" ht="15.75" hidden="1" thickBot="1" x14ac:dyDescent="0.3">
      <c r="A2962" s="172" t="s">
        <v>926</v>
      </c>
      <c r="B2962" s="174" t="str">
        <f>INDEX(Orçamentária!A:B,MATCH(Composições!A2962,Orçamentária!A:A,0),2)</f>
        <v>Dobradiça horizontal para vidro basculante</v>
      </c>
      <c r="C2962" s="41"/>
      <c r="D2962" s="26" t="str">
        <f>TRIM(INDEX(Orçamentária!C:C,MATCH(Composições!A2962,Orçamentária!A:A,0),1))</f>
        <v>un</v>
      </c>
      <c r="E2962" s="27"/>
      <c r="F2962" s="42" t="s">
        <v>568</v>
      </c>
      <c r="G2962" s="28" t="str">
        <f>IF(ISNUMBER(F2962),E2962*F2962,"")</f>
        <v/>
      </c>
      <c r="H2962" s="29"/>
      <c r="I2962" s="30"/>
      <c r="J2962" s="155">
        <v>0</v>
      </c>
    </row>
    <row r="2963" spans="1:10" ht="15.75" hidden="1" thickBot="1" x14ac:dyDescent="0.3">
      <c r="A2963" s="176"/>
      <c r="B2963" s="175"/>
      <c r="C2963" s="32"/>
      <c r="D2963" s="32"/>
      <c r="E2963" s="33"/>
      <c r="F2963" s="43" t="s">
        <v>568</v>
      </c>
      <c r="G2963" s="34" t="str">
        <f>IF(ISNUMBER(F2963),E2963*F2963,"")</f>
        <v/>
      </c>
      <c r="H2963" s="35"/>
      <c r="I2963" s="31"/>
      <c r="J2963" s="155">
        <v>0</v>
      </c>
    </row>
    <row r="2964" spans="1:10" ht="15.75" hidden="1" thickBot="1" x14ac:dyDescent="0.3">
      <c r="A2964" s="176"/>
      <c r="B2964" s="175"/>
      <c r="C2964" s="36" t="s">
        <v>68</v>
      </c>
      <c r="D2964" s="36" t="s">
        <v>12</v>
      </c>
      <c r="E2964" s="37">
        <v>0.2</v>
      </c>
      <c r="F2964" s="34">
        <v>20.539000000000001</v>
      </c>
      <c r="G2964" s="34">
        <f>IF(ISNUMBER(F2964),E2964*F2964,"")</f>
        <v>4.1078000000000001</v>
      </c>
      <c r="H2964" s="39">
        <f>SUM(G2964:G2965)</f>
        <v>4.1078000000000001</v>
      </c>
      <c r="I2964" s="40"/>
      <c r="J2964" s="155">
        <v>0</v>
      </c>
    </row>
    <row r="2965" spans="1:10" ht="26.25" hidden="1" thickBot="1" x14ac:dyDescent="0.3">
      <c r="A2965" s="176"/>
      <c r="B2965" s="175"/>
      <c r="C2965" s="36" t="s">
        <v>927</v>
      </c>
      <c r="D2965" s="36" t="s">
        <v>20</v>
      </c>
      <c r="E2965" s="37">
        <v>1</v>
      </c>
      <c r="F2965" s="31" t="s">
        <v>568</v>
      </c>
      <c r="G2965" s="34" t="str">
        <f>IF(ISNUMBER(F2965),E2965*F2965,"")</f>
        <v/>
      </c>
      <c r="H2965" s="35"/>
      <c r="I2965" s="31"/>
      <c r="J2965" s="155">
        <v>0</v>
      </c>
    </row>
    <row r="2966" spans="1:10" ht="15.75" hidden="1" thickBot="1" x14ac:dyDescent="0.3">
      <c r="A2966" s="177"/>
      <c r="B2966" s="178"/>
      <c r="C2966" s="36"/>
      <c r="D2966" s="36"/>
      <c r="E2966" s="37"/>
      <c r="F2966" s="31" t="s">
        <v>568</v>
      </c>
      <c r="G2966" s="34" t="str">
        <f>IF(ISNUMBER(F2966),E2966*F2966,"")</f>
        <v/>
      </c>
      <c r="H2966" s="35"/>
      <c r="I2966" s="31"/>
      <c r="J2966" s="155">
        <v>0</v>
      </c>
    </row>
    <row r="2967" spans="1:10" ht="15.75" hidden="1" thickBot="1" x14ac:dyDescent="0.3">
      <c r="A2967" s="172" t="s">
        <v>928</v>
      </c>
      <c r="B2967" s="174" t="str">
        <f>INDEX(Orçamentária!A:B,MATCH(Composições!A2967,Orçamentária!A:A,0),2)</f>
        <v>Fechadura elétrica para porta de vidro temperado</v>
      </c>
      <c r="C2967" s="41"/>
      <c r="D2967" s="26" t="str">
        <f>TRIM(INDEX(Orçamentária!C:C,MATCH(Composições!A2967,Orçamentária!A:A,0),1))</f>
        <v>un</v>
      </c>
      <c r="E2967" s="27"/>
      <c r="F2967" s="42" t="s">
        <v>568</v>
      </c>
      <c r="G2967" s="28" t="str">
        <f>IF(ISNUMBER(F2967),E2967*F2967,"")</f>
        <v/>
      </c>
      <c r="H2967" s="29"/>
      <c r="I2967" s="30"/>
      <c r="J2967" s="155">
        <v>0</v>
      </c>
    </row>
    <row r="2968" spans="1:10" ht="15.75" hidden="1" thickBot="1" x14ac:dyDescent="0.3">
      <c r="A2968" s="176"/>
      <c r="B2968" s="175"/>
      <c r="C2968" s="32"/>
      <c r="D2968" s="32"/>
      <c r="E2968" s="33"/>
      <c r="F2968" s="43" t="s">
        <v>568</v>
      </c>
      <c r="G2968" s="34" t="str">
        <f>IF(ISNUMBER(F2968),E2968*F2968,"")</f>
        <v/>
      </c>
      <c r="H2968" s="35"/>
      <c r="I2968" s="31"/>
      <c r="J2968" s="155">
        <v>0</v>
      </c>
    </row>
    <row r="2969" spans="1:10" ht="15.75" hidden="1" thickBot="1" x14ac:dyDescent="0.3">
      <c r="A2969" s="176"/>
      <c r="B2969" s="175"/>
      <c r="C2969" s="36" t="s">
        <v>68</v>
      </c>
      <c r="D2969" s="36" t="s">
        <v>12</v>
      </c>
      <c r="E2969" s="37">
        <v>1.5</v>
      </c>
      <c r="F2969" s="34">
        <v>20.539000000000001</v>
      </c>
      <c r="G2969" s="34">
        <f>IF(ISNUMBER(F2969),E2969*F2969,"")</f>
        <v>30.808500000000002</v>
      </c>
      <c r="H2969" s="39">
        <f>SUM(G2969:G2970)</f>
        <v>30.808500000000002</v>
      </c>
      <c r="I2969" s="40"/>
      <c r="J2969" s="155">
        <v>0</v>
      </c>
    </row>
    <row r="2970" spans="1:10" ht="51.75" hidden="1" thickBot="1" x14ac:dyDescent="0.3">
      <c r="A2970" s="176"/>
      <c r="B2970" s="175"/>
      <c r="C2970" s="150" t="s">
        <v>929</v>
      </c>
      <c r="D2970" s="36" t="s">
        <v>20</v>
      </c>
      <c r="E2970" s="37">
        <v>1</v>
      </c>
      <c r="F2970" s="31" t="s">
        <v>568</v>
      </c>
      <c r="G2970" s="34" t="str">
        <f>IF(ISNUMBER(F2970),E2970*F2970,"")</f>
        <v/>
      </c>
      <c r="H2970" s="35"/>
      <c r="I2970" s="31"/>
      <c r="J2970" s="155">
        <v>0</v>
      </c>
    </row>
    <row r="2971" spans="1:10" ht="15.75" hidden="1" thickBot="1" x14ac:dyDescent="0.3">
      <c r="A2971" s="177"/>
      <c r="B2971" s="178"/>
      <c r="C2971" s="36"/>
      <c r="D2971" s="36"/>
      <c r="E2971" s="37"/>
      <c r="F2971" s="31" t="s">
        <v>568</v>
      </c>
      <c r="G2971" s="34" t="str">
        <f>IF(ISNUMBER(F2971),E2971*F2971,"")</f>
        <v/>
      </c>
      <c r="H2971" s="35"/>
      <c r="I2971" s="31"/>
      <c r="J2971" s="155">
        <v>0</v>
      </c>
    </row>
    <row r="2972" spans="1:10" ht="15.75" hidden="1" thickBot="1" x14ac:dyDescent="0.3">
      <c r="A2972" s="172" t="s">
        <v>930</v>
      </c>
      <c r="B2972" s="174" t="str">
        <f>INDEX(Orçamentária!A:B,MATCH(Composições!A2972,Orçamentária!A:A,0),2)</f>
        <v>Porteiro eletrônico</v>
      </c>
      <c r="C2972" s="41"/>
      <c r="D2972" s="26" t="str">
        <f>TRIM(INDEX(Orçamentária!C:C,MATCH(Composições!A2972,Orçamentária!A:A,0),1))</f>
        <v>un</v>
      </c>
      <c r="E2972" s="27"/>
      <c r="F2972" s="42" t="s">
        <v>568</v>
      </c>
      <c r="G2972" s="28" t="str">
        <f>IF(ISNUMBER(F2972),E2972*F2972,"")</f>
        <v/>
      </c>
      <c r="H2972" s="29"/>
      <c r="I2972" s="30"/>
      <c r="J2972" s="155">
        <v>0</v>
      </c>
    </row>
    <row r="2973" spans="1:10" ht="15.75" hidden="1" thickBot="1" x14ac:dyDescent="0.3">
      <c r="A2973" s="176"/>
      <c r="B2973" s="175"/>
      <c r="C2973" s="32"/>
      <c r="D2973" s="32"/>
      <c r="E2973" s="33"/>
      <c r="F2973" s="43" t="s">
        <v>568</v>
      </c>
      <c r="G2973" s="34" t="str">
        <f>IF(ISNUMBER(F2973),E2973*F2973,"")</f>
        <v/>
      </c>
      <c r="H2973" s="35"/>
      <c r="I2973" s="31"/>
      <c r="J2973" s="155">
        <v>0</v>
      </c>
    </row>
    <row r="2974" spans="1:10" ht="15.75" hidden="1" thickBot="1" x14ac:dyDescent="0.3">
      <c r="A2974" s="176"/>
      <c r="B2974" s="175"/>
      <c r="C2974" s="36" t="s">
        <v>68</v>
      </c>
      <c r="D2974" s="36" t="s">
        <v>12</v>
      </c>
      <c r="E2974" s="37">
        <v>1.5</v>
      </c>
      <c r="F2974" s="34">
        <v>20.539000000000001</v>
      </c>
      <c r="G2974" s="34">
        <f>IF(ISNUMBER(F2974),E2974*F2974,"")</f>
        <v>30.808500000000002</v>
      </c>
      <c r="H2974" s="39">
        <f>SUM(G2974:G2975)</f>
        <v>30.808500000000002</v>
      </c>
      <c r="I2974" s="40"/>
      <c r="J2974" s="155">
        <v>0</v>
      </c>
    </row>
    <row r="2975" spans="1:10" ht="15.75" hidden="1" thickBot="1" x14ac:dyDescent="0.3">
      <c r="A2975" s="176"/>
      <c r="B2975" s="175"/>
      <c r="C2975" s="36" t="s">
        <v>931</v>
      </c>
      <c r="D2975" s="36" t="s">
        <v>20</v>
      </c>
      <c r="E2975" s="37">
        <v>1</v>
      </c>
      <c r="F2975" s="31" t="s">
        <v>568</v>
      </c>
      <c r="G2975" s="34" t="str">
        <f>IF(ISNUMBER(F2975),E2975*F2975,"")</f>
        <v/>
      </c>
      <c r="H2975" s="35"/>
      <c r="I2975" s="31"/>
      <c r="J2975" s="155">
        <v>0</v>
      </c>
    </row>
    <row r="2976" spans="1:10" ht="15.75" hidden="1" thickBot="1" x14ac:dyDescent="0.3">
      <c r="A2976" s="177"/>
      <c r="B2976" s="178"/>
      <c r="C2976" s="36"/>
      <c r="D2976" s="36"/>
      <c r="E2976" s="37"/>
      <c r="F2976" s="31" t="s">
        <v>568</v>
      </c>
      <c r="G2976" s="34" t="str">
        <f>IF(ISNUMBER(F2976),E2976*F2976,"")</f>
        <v/>
      </c>
      <c r="H2976" s="35"/>
      <c r="I2976" s="31"/>
      <c r="J2976" s="155">
        <v>0</v>
      </c>
    </row>
    <row r="2977" spans="1:10" ht="15.75" hidden="1" thickBot="1" x14ac:dyDescent="0.3">
      <c r="A2977" s="172" t="s">
        <v>932</v>
      </c>
      <c r="B2977" s="174" t="str">
        <f>INDEX(Orçamentária!A:B,MATCH(Composições!A2977,Orçamentária!A:A,0),2)</f>
        <v>Acionador fixo</v>
      </c>
      <c r="C2977" s="41"/>
      <c r="D2977" s="26" t="str">
        <f>TRIM(INDEX(Orçamentária!C:C,MATCH(Composições!A2977,Orçamentária!A:A,0),1))</f>
        <v>un</v>
      </c>
      <c r="E2977" s="27"/>
      <c r="F2977" s="42" t="s">
        <v>568</v>
      </c>
      <c r="G2977" s="28" t="str">
        <f>IF(ISNUMBER(F2977),E2977*F2977,"")</f>
        <v/>
      </c>
      <c r="H2977" s="29"/>
      <c r="I2977" s="30"/>
      <c r="J2977" s="155">
        <v>0</v>
      </c>
    </row>
    <row r="2978" spans="1:10" ht="15.75" hidden="1" thickBot="1" x14ac:dyDescent="0.3">
      <c r="A2978" s="176"/>
      <c r="B2978" s="175"/>
      <c r="C2978" s="32"/>
      <c r="D2978" s="32"/>
      <c r="E2978" s="33"/>
      <c r="F2978" s="43" t="s">
        <v>568</v>
      </c>
      <c r="G2978" s="34" t="str">
        <f>IF(ISNUMBER(F2978),E2978*F2978,"")</f>
        <v/>
      </c>
      <c r="H2978" s="35"/>
      <c r="I2978" s="31"/>
      <c r="J2978" s="155">
        <v>0</v>
      </c>
    </row>
    <row r="2979" spans="1:10" ht="15.75" hidden="1" thickBot="1" x14ac:dyDescent="0.3">
      <c r="A2979" s="176"/>
      <c r="B2979" s="175"/>
      <c r="C2979" s="36" t="s">
        <v>68</v>
      </c>
      <c r="D2979" s="36" t="s">
        <v>12</v>
      </c>
      <c r="E2979" s="37">
        <v>1</v>
      </c>
      <c r="F2979" s="34">
        <v>20.539000000000001</v>
      </c>
      <c r="G2979" s="34">
        <f>IF(ISNUMBER(F2979),E2979*F2979,"")</f>
        <v>20.539000000000001</v>
      </c>
      <c r="H2979" s="39">
        <f>SUM(G2979:G2980)</f>
        <v>20.539000000000001</v>
      </c>
      <c r="I2979" s="40"/>
      <c r="J2979" s="155">
        <v>0</v>
      </c>
    </row>
    <row r="2980" spans="1:10" ht="26.25" hidden="1" thickBot="1" x14ac:dyDescent="0.3">
      <c r="A2980" s="176"/>
      <c r="B2980" s="175"/>
      <c r="C2980" s="36" t="s">
        <v>933</v>
      </c>
      <c r="D2980" s="36" t="s">
        <v>20</v>
      </c>
      <c r="E2980" s="37">
        <v>1</v>
      </c>
      <c r="F2980" s="31" t="s">
        <v>568</v>
      </c>
      <c r="G2980" s="34" t="str">
        <f>IF(ISNUMBER(F2980),E2980*F2980,"")</f>
        <v/>
      </c>
      <c r="H2980" s="35"/>
      <c r="I2980" s="31"/>
      <c r="J2980" s="155">
        <v>0</v>
      </c>
    </row>
    <row r="2981" spans="1:10" ht="15.75" hidden="1" thickBot="1" x14ac:dyDescent="0.3">
      <c r="A2981" s="177"/>
      <c r="B2981" s="178"/>
      <c r="C2981" s="36"/>
      <c r="D2981" s="36"/>
      <c r="E2981" s="37"/>
      <c r="F2981" s="31" t="s">
        <v>568</v>
      </c>
      <c r="G2981" s="34" t="str">
        <f>IF(ISNUMBER(F2981),E2981*F2981,"")</f>
        <v/>
      </c>
      <c r="H2981" s="35"/>
      <c r="I2981" s="31"/>
      <c r="J2981" s="155">
        <v>0</v>
      </c>
    </row>
    <row r="2982" spans="1:10" ht="15.75" hidden="1" thickBot="1" x14ac:dyDescent="0.3">
      <c r="A2982" s="172" t="s">
        <v>934</v>
      </c>
      <c r="B2982" s="174" t="str">
        <f>INDEX(Orçamentária!A:B,MATCH(Composições!A2982,Orçamentária!A:A,0),2)</f>
        <v>Mini chapinha para trinco basculante</v>
      </c>
      <c r="C2982" s="41"/>
      <c r="D2982" s="26" t="str">
        <f>TRIM(INDEX(Orçamentária!C:C,MATCH(Composições!A2982,Orçamentária!A:A,0),1))</f>
        <v>un</v>
      </c>
      <c r="E2982" s="27"/>
      <c r="F2982" s="42" t="s">
        <v>568</v>
      </c>
      <c r="G2982" s="28" t="str">
        <f>IF(ISNUMBER(F2982),E2982*F2982,"")</f>
        <v/>
      </c>
      <c r="H2982" s="29"/>
      <c r="I2982" s="30"/>
      <c r="J2982" s="155">
        <v>0</v>
      </c>
    </row>
    <row r="2983" spans="1:10" ht="15.75" hidden="1" thickBot="1" x14ac:dyDescent="0.3">
      <c r="A2983" s="176"/>
      <c r="B2983" s="175"/>
      <c r="C2983" s="32"/>
      <c r="D2983" s="32"/>
      <c r="E2983" s="33"/>
      <c r="F2983" s="43" t="s">
        <v>568</v>
      </c>
      <c r="G2983" s="34" t="str">
        <f>IF(ISNUMBER(F2983),E2983*F2983,"")</f>
        <v/>
      </c>
      <c r="H2983" s="35"/>
      <c r="I2983" s="31"/>
      <c r="J2983" s="155">
        <v>0</v>
      </c>
    </row>
    <row r="2984" spans="1:10" ht="15.75" hidden="1" thickBot="1" x14ac:dyDescent="0.3">
      <c r="A2984" s="176"/>
      <c r="B2984" s="175"/>
      <c r="C2984" s="36" t="s">
        <v>68</v>
      </c>
      <c r="D2984" s="36" t="s">
        <v>12</v>
      </c>
      <c r="E2984" s="37">
        <v>0.1</v>
      </c>
      <c r="F2984" s="34">
        <v>20.539000000000001</v>
      </c>
      <c r="G2984" s="34">
        <f>IF(ISNUMBER(F2984),E2984*F2984,"")</f>
        <v>2.0539000000000001</v>
      </c>
      <c r="H2984" s="39">
        <f>SUM(G2984:G2985)</f>
        <v>2.0539000000000001</v>
      </c>
      <c r="I2984" s="40"/>
      <c r="J2984" s="155">
        <v>0</v>
      </c>
    </row>
    <row r="2985" spans="1:10" ht="26.25" hidden="1" thickBot="1" x14ac:dyDescent="0.3">
      <c r="A2985" s="176"/>
      <c r="B2985" s="175"/>
      <c r="C2985" s="36" t="s">
        <v>935</v>
      </c>
      <c r="D2985" s="36" t="s">
        <v>20</v>
      </c>
      <c r="E2985" s="37">
        <v>1</v>
      </c>
      <c r="F2985" s="31" t="s">
        <v>568</v>
      </c>
      <c r="G2985" s="34" t="str">
        <f>IF(ISNUMBER(F2985),E2985*F2985,"")</f>
        <v/>
      </c>
      <c r="H2985" s="35"/>
      <c r="I2985" s="31"/>
      <c r="J2985" s="155">
        <v>0</v>
      </c>
    </row>
    <row r="2986" spans="1:10" ht="15.75" hidden="1" thickBot="1" x14ac:dyDescent="0.3">
      <c r="A2986" s="177"/>
      <c r="B2986" s="178"/>
      <c r="C2986" s="36"/>
      <c r="D2986" s="36"/>
      <c r="E2986" s="37"/>
      <c r="F2986" s="31" t="s">
        <v>568</v>
      </c>
      <c r="G2986" s="34" t="str">
        <f>IF(ISNUMBER(F2986),E2986*F2986,"")</f>
        <v/>
      </c>
      <c r="H2986" s="35"/>
      <c r="I2986" s="31"/>
      <c r="J2986" s="155">
        <v>0</v>
      </c>
    </row>
    <row r="2987" spans="1:10" ht="15.75" hidden="1" thickBot="1" x14ac:dyDescent="0.3">
      <c r="A2987" s="172" t="s">
        <v>936</v>
      </c>
      <c r="B2987" s="174" t="str">
        <f>INDEX(Orçamentária!A:B,MATCH(Composições!A2987,Orçamentária!A:A,0),2)</f>
        <v>Puxador de latão - diâmetro 25mm</v>
      </c>
      <c r="C2987" s="41"/>
      <c r="D2987" s="26" t="str">
        <f>TRIM(INDEX(Orçamentária!C:C,MATCH(Composições!A2987,Orçamentária!A:A,0),1))</f>
        <v>un</v>
      </c>
      <c r="E2987" s="27"/>
      <c r="F2987" s="42" t="s">
        <v>568</v>
      </c>
      <c r="G2987" s="28" t="str">
        <f>IF(ISNUMBER(F2987),E2987*F2987,"")</f>
        <v/>
      </c>
      <c r="H2987" s="29"/>
      <c r="I2987" s="30"/>
      <c r="J2987" s="155">
        <v>0</v>
      </c>
    </row>
    <row r="2988" spans="1:10" ht="15.75" hidden="1" thickBot="1" x14ac:dyDescent="0.3">
      <c r="A2988" s="176"/>
      <c r="B2988" s="175"/>
      <c r="C2988" s="32"/>
      <c r="D2988" s="32"/>
      <c r="E2988" s="33"/>
      <c r="F2988" s="43" t="s">
        <v>568</v>
      </c>
      <c r="G2988" s="34" t="str">
        <f>IF(ISNUMBER(F2988),E2988*F2988,"")</f>
        <v/>
      </c>
      <c r="H2988" s="35"/>
      <c r="I2988" s="31"/>
      <c r="J2988" s="155">
        <v>0</v>
      </c>
    </row>
    <row r="2989" spans="1:10" ht="15.75" hidden="1" thickBot="1" x14ac:dyDescent="0.3">
      <c r="A2989" s="176"/>
      <c r="B2989" s="175"/>
      <c r="C2989" s="36" t="s">
        <v>68</v>
      </c>
      <c r="D2989" s="36" t="s">
        <v>12</v>
      </c>
      <c r="E2989" s="37">
        <v>0.2</v>
      </c>
      <c r="F2989" s="34">
        <v>20.539000000000001</v>
      </c>
      <c r="G2989" s="34">
        <f>IF(ISNUMBER(F2989),E2989*F2989,"")</f>
        <v>4.1078000000000001</v>
      </c>
      <c r="H2989" s="39">
        <f>SUM(G2989:G2990)</f>
        <v>4.1078000000000001</v>
      </c>
      <c r="I2989" s="40"/>
      <c r="J2989" s="155">
        <v>0</v>
      </c>
    </row>
    <row r="2990" spans="1:10" ht="26.25" hidden="1" thickBot="1" x14ac:dyDescent="0.3">
      <c r="A2990" s="176"/>
      <c r="B2990" s="175"/>
      <c r="C2990" s="36" t="s">
        <v>937</v>
      </c>
      <c r="D2990" s="36" t="s">
        <v>20</v>
      </c>
      <c r="E2990" s="37">
        <v>1</v>
      </c>
      <c r="F2990" s="31" t="s">
        <v>568</v>
      </c>
      <c r="G2990" s="34" t="str">
        <f>IF(ISNUMBER(F2990),E2990*F2990,"")</f>
        <v/>
      </c>
      <c r="H2990" s="35"/>
      <c r="I2990" s="31"/>
      <c r="J2990" s="155">
        <v>0</v>
      </c>
    </row>
    <row r="2991" spans="1:10" ht="15.75" hidden="1" thickBot="1" x14ac:dyDescent="0.3">
      <c r="A2991" s="177"/>
      <c r="B2991" s="178"/>
      <c r="C2991" s="36"/>
      <c r="D2991" s="36"/>
      <c r="E2991" s="37"/>
      <c r="F2991" s="31" t="s">
        <v>568</v>
      </c>
      <c r="G2991" s="34" t="str">
        <f>IF(ISNUMBER(F2991),E2991*F2991,"")</f>
        <v/>
      </c>
      <c r="H2991" s="35"/>
      <c r="I2991" s="31"/>
      <c r="J2991" s="155">
        <v>0</v>
      </c>
    </row>
    <row r="2992" spans="1:10" ht="15.75" hidden="1" thickBot="1" x14ac:dyDescent="0.3">
      <c r="A2992" s="172" t="s">
        <v>938</v>
      </c>
      <c r="B2992" s="174" t="str">
        <f>INDEX(Orçamentária!A:B,MATCH(Composições!A2992,Orçamentária!A:A,0),2)</f>
        <v>Trinco sem miolo para vidro temperado</v>
      </c>
      <c r="C2992" s="41"/>
      <c r="D2992" s="26" t="str">
        <f>TRIM(INDEX(Orçamentária!C:C,MATCH(Composições!A2992,Orçamentária!A:A,0),1))</f>
        <v>un</v>
      </c>
      <c r="E2992" s="27"/>
      <c r="F2992" s="42" t="s">
        <v>568</v>
      </c>
      <c r="G2992" s="28" t="str">
        <f>IF(ISNUMBER(F2992),E2992*F2992,"")</f>
        <v/>
      </c>
      <c r="H2992" s="29"/>
      <c r="I2992" s="30"/>
      <c r="J2992" s="155">
        <v>0</v>
      </c>
    </row>
    <row r="2993" spans="1:10" ht="15.75" hidden="1" thickBot="1" x14ac:dyDescent="0.3">
      <c r="A2993" s="176"/>
      <c r="B2993" s="175"/>
      <c r="C2993" s="32"/>
      <c r="D2993" s="32"/>
      <c r="E2993" s="33"/>
      <c r="F2993" s="43" t="s">
        <v>568</v>
      </c>
      <c r="G2993" s="34" t="str">
        <f>IF(ISNUMBER(F2993),E2993*F2993,"")</f>
        <v/>
      </c>
      <c r="H2993" s="35"/>
      <c r="I2993" s="31"/>
      <c r="J2993" s="155">
        <v>0</v>
      </c>
    </row>
    <row r="2994" spans="1:10" ht="15.75" hidden="1" thickBot="1" x14ac:dyDescent="0.3">
      <c r="A2994" s="176"/>
      <c r="B2994" s="175"/>
      <c r="C2994" s="36" t="s">
        <v>68</v>
      </c>
      <c r="D2994" s="36" t="s">
        <v>12</v>
      </c>
      <c r="E2994" s="37">
        <v>0.2</v>
      </c>
      <c r="F2994" s="34">
        <v>20.539000000000001</v>
      </c>
      <c r="G2994" s="34">
        <f>IF(ISNUMBER(F2994),E2994*F2994,"")</f>
        <v>4.1078000000000001</v>
      </c>
      <c r="H2994" s="39">
        <f>SUM(G2994:G2995)</f>
        <v>4.1078000000000001</v>
      </c>
      <c r="I2994" s="40"/>
      <c r="J2994" s="155">
        <v>0</v>
      </c>
    </row>
    <row r="2995" spans="1:10" ht="39" hidden="1" thickBot="1" x14ac:dyDescent="0.3">
      <c r="A2995" s="176"/>
      <c r="B2995" s="175"/>
      <c r="C2995" s="36" t="s">
        <v>939</v>
      </c>
      <c r="D2995" s="36" t="s">
        <v>20</v>
      </c>
      <c r="E2995" s="37">
        <v>1</v>
      </c>
      <c r="F2995" s="31" t="s">
        <v>568</v>
      </c>
      <c r="G2995" s="34" t="str">
        <f>IF(ISNUMBER(F2995),E2995*F2995,"")</f>
        <v/>
      </c>
      <c r="H2995" s="35"/>
      <c r="I2995" s="31"/>
      <c r="J2995" s="155">
        <v>0</v>
      </c>
    </row>
    <row r="2996" spans="1:10" ht="15.75" hidden="1" thickBot="1" x14ac:dyDescent="0.3">
      <c r="A2996" s="177"/>
      <c r="B2996" s="178"/>
      <c r="C2996" s="36"/>
      <c r="D2996" s="36"/>
      <c r="E2996" s="37"/>
      <c r="F2996" s="31" t="s">
        <v>568</v>
      </c>
      <c r="G2996" s="34" t="str">
        <f>IF(ISNUMBER(F2996),E2996*F2996,"")</f>
        <v/>
      </c>
      <c r="H2996" s="35"/>
      <c r="I2996" s="31"/>
      <c r="J2996" s="155">
        <v>0</v>
      </c>
    </row>
    <row r="2997" spans="1:10" ht="15.75" hidden="1" thickBot="1" x14ac:dyDescent="0.3">
      <c r="A2997" s="172" t="s">
        <v>940</v>
      </c>
      <c r="B2997" s="174" t="str">
        <f>INDEX(Orçamentária!A:B,MATCH(Composições!A2997,Orçamentária!A:A,0),2)</f>
        <v>Tubo de alumínio quadrado 50x50</v>
      </c>
      <c r="C2997" s="41"/>
      <c r="D2997" s="26" t="str">
        <f>TRIM(INDEX(Orçamentária!C:C,MATCH(Composições!A2997,Orçamentária!A:A,0),1))</f>
        <v>m</v>
      </c>
      <c r="E2997" s="27"/>
      <c r="F2997" s="42" t="s">
        <v>568</v>
      </c>
      <c r="G2997" s="28" t="str">
        <f>IF(ISNUMBER(F2997),E2997*F2997,"")</f>
        <v/>
      </c>
      <c r="H2997" s="29"/>
      <c r="I2997" s="30"/>
      <c r="J2997" s="155">
        <v>0</v>
      </c>
    </row>
    <row r="2998" spans="1:10" ht="15.75" hidden="1" thickBot="1" x14ac:dyDescent="0.3">
      <c r="A2998" s="173"/>
      <c r="B2998" s="175"/>
      <c r="C2998" s="32"/>
      <c r="D2998" s="32"/>
      <c r="E2998" s="33"/>
      <c r="F2998" s="43" t="s">
        <v>568</v>
      </c>
      <c r="G2998" s="34" t="str">
        <f>IF(ISNUMBER(F2998),E2998*F2998,"")</f>
        <v/>
      </c>
      <c r="H2998" s="35"/>
      <c r="I2998" s="31"/>
      <c r="J2998" s="155">
        <v>0</v>
      </c>
    </row>
    <row r="2999" spans="1:10" ht="15.75" hidden="1" thickBot="1" x14ac:dyDescent="0.3">
      <c r="A2999" s="173"/>
      <c r="B2999" s="175"/>
      <c r="C2999" s="36" t="s">
        <v>68</v>
      </c>
      <c r="D2999" s="36" t="s">
        <v>12</v>
      </c>
      <c r="E2999" s="37">
        <v>0.25</v>
      </c>
      <c r="F2999" s="34">
        <v>20.539000000000001</v>
      </c>
      <c r="G2999" s="34">
        <f>IF(ISNUMBER(F2999),E2999*F2999,"")</f>
        <v>5.1347500000000004</v>
      </c>
      <c r="H2999" s="39">
        <f>SUM(G2999:G3000)</f>
        <v>35.952360499999998</v>
      </c>
      <c r="I2999" s="40"/>
      <c r="J2999" s="155">
        <v>0</v>
      </c>
    </row>
    <row r="3000" spans="1:10" ht="15.75" hidden="1" thickBot="1" x14ac:dyDescent="0.3">
      <c r="A3000" s="173"/>
      <c r="B3000" s="175"/>
      <c r="C3000" s="36" t="s">
        <v>889</v>
      </c>
      <c r="D3000" s="36" t="s">
        <v>42</v>
      </c>
      <c r="E3000" s="37">
        <v>0.85299999999999998</v>
      </c>
      <c r="F3000" s="31">
        <v>36.128500000000003</v>
      </c>
      <c r="G3000" s="34">
        <f>IF(ISNUMBER(F3000),E3000*F3000,"")</f>
        <v>30.817610500000001</v>
      </c>
      <c r="H3000" s="35"/>
      <c r="I3000" s="31"/>
      <c r="J3000" s="155">
        <v>0</v>
      </c>
    </row>
    <row r="3001" spans="1:10" ht="15.75" hidden="1" thickBot="1" x14ac:dyDescent="0.3">
      <c r="A3001" s="173"/>
      <c r="B3001" s="175"/>
      <c r="C3001" s="36"/>
      <c r="D3001" s="47"/>
      <c r="E3001" s="37"/>
      <c r="F3001" s="31" t="s">
        <v>568</v>
      </c>
      <c r="G3001" s="34" t="str">
        <f>IF(ISNUMBER(F3001),E3001*F3001,"")</f>
        <v/>
      </c>
      <c r="H3001" s="35"/>
      <c r="I3001" s="31"/>
      <c r="J3001" s="155">
        <v>0</v>
      </c>
    </row>
    <row r="3002" spans="1:10" ht="26.25" hidden="1" thickBot="1" x14ac:dyDescent="0.3">
      <c r="A3002" s="173"/>
      <c r="B3002" s="175"/>
      <c r="C3002" s="48" t="s">
        <v>941</v>
      </c>
      <c r="D3002" s="47"/>
      <c r="E3002" s="37"/>
      <c r="F3002" s="31" t="s">
        <v>568</v>
      </c>
      <c r="G3002" s="34" t="str">
        <f>IF(ISNUMBER(F3002),E3002*F3002,"")</f>
        <v/>
      </c>
      <c r="H3002" s="35"/>
      <c r="I3002" s="31"/>
      <c r="J3002" s="155">
        <v>0</v>
      </c>
    </row>
    <row r="3003" spans="1:10" ht="26.25" hidden="1" thickBot="1" x14ac:dyDescent="0.3">
      <c r="A3003" s="173"/>
      <c r="B3003" s="175"/>
      <c r="C3003" s="52" t="s">
        <v>894</v>
      </c>
      <c r="D3003" s="47"/>
      <c r="E3003" s="37"/>
      <c r="F3003" s="31" t="s">
        <v>568</v>
      </c>
      <c r="G3003" s="34" t="str">
        <f>IF(ISNUMBER(F3003),E3003*F3003,"")</f>
        <v/>
      </c>
      <c r="H3003" s="35"/>
      <c r="I3003" s="31"/>
      <c r="J3003" s="155">
        <v>0</v>
      </c>
    </row>
    <row r="3004" spans="1:10" ht="15.75" hidden="1" thickBot="1" x14ac:dyDescent="0.3">
      <c r="A3004" s="185"/>
      <c r="B3004" s="178"/>
      <c r="C3004" s="36"/>
      <c r="D3004" s="36"/>
      <c r="E3004" s="37"/>
      <c r="F3004" s="31" t="s">
        <v>568</v>
      </c>
      <c r="G3004" s="34" t="str">
        <f>IF(ISNUMBER(F3004),E3004*F3004,"")</f>
        <v/>
      </c>
      <c r="H3004" s="35"/>
      <c r="I3004" s="31"/>
      <c r="J3004" s="155">
        <v>0</v>
      </c>
    </row>
    <row r="3005" spans="1:10" ht="15.75" hidden="1" thickBot="1" x14ac:dyDescent="0.3">
      <c r="A3005" s="172" t="s">
        <v>942</v>
      </c>
      <c r="B3005" s="174" t="str">
        <f>INDEX(Orçamentária!A:B,MATCH(Composições!A3005,Orçamentária!A:A,0),2)</f>
        <v>Veda fresta adesivo “E” branco</v>
      </c>
      <c r="C3005" s="41"/>
      <c r="D3005" s="26" t="str">
        <f>TRIM(INDEX(Orçamentária!C:C,MATCH(Composições!A3005,Orçamentária!A:A,0),1))</f>
        <v>m</v>
      </c>
      <c r="E3005" s="27"/>
      <c r="F3005" s="42" t="s">
        <v>568</v>
      </c>
      <c r="G3005" s="28" t="str">
        <f>IF(ISNUMBER(F3005),E3005*F3005,"")</f>
        <v/>
      </c>
      <c r="H3005" s="29"/>
      <c r="I3005" s="30"/>
      <c r="J3005" s="155">
        <v>0</v>
      </c>
    </row>
    <row r="3006" spans="1:10" ht="15.75" hidden="1" thickBot="1" x14ac:dyDescent="0.3">
      <c r="A3006" s="176"/>
      <c r="B3006" s="175"/>
      <c r="C3006" s="32"/>
      <c r="D3006" s="32"/>
      <c r="E3006" s="33"/>
      <c r="F3006" s="43" t="s">
        <v>568</v>
      </c>
      <c r="G3006" s="34" t="str">
        <f>IF(ISNUMBER(F3006),E3006*F3006,"")</f>
        <v/>
      </c>
      <c r="H3006" s="35"/>
      <c r="I3006" s="31"/>
      <c r="J3006" s="155">
        <v>0</v>
      </c>
    </row>
    <row r="3007" spans="1:10" ht="15.75" hidden="1" thickBot="1" x14ac:dyDescent="0.3">
      <c r="A3007" s="176"/>
      <c r="B3007" s="175"/>
      <c r="C3007" s="36" t="s">
        <v>68</v>
      </c>
      <c r="D3007" s="36" t="s">
        <v>12</v>
      </c>
      <c r="E3007" s="37">
        <v>0.2</v>
      </c>
      <c r="F3007" s="34">
        <v>20.539000000000001</v>
      </c>
      <c r="G3007" s="34">
        <f>IF(ISNUMBER(F3007),E3007*F3007,"")</f>
        <v>4.1078000000000001</v>
      </c>
      <c r="H3007" s="39">
        <f>SUM(G3007:G3008)</f>
        <v>4.1078000000000001</v>
      </c>
      <c r="I3007" s="40"/>
      <c r="J3007" s="155">
        <v>0</v>
      </c>
    </row>
    <row r="3008" spans="1:10" ht="26.25" hidden="1" thickBot="1" x14ac:dyDescent="0.3">
      <c r="A3008" s="176"/>
      <c r="B3008" s="175"/>
      <c r="C3008" s="36" t="s">
        <v>943</v>
      </c>
      <c r="D3008" s="36" t="s">
        <v>93</v>
      </c>
      <c r="E3008" s="37">
        <v>0.11899999999999999</v>
      </c>
      <c r="F3008" s="31" t="s">
        <v>568</v>
      </c>
      <c r="G3008" s="34" t="str">
        <f>IF(ISNUMBER(F3008),E3008*F3008,"")</f>
        <v/>
      </c>
      <c r="H3008" s="35"/>
      <c r="I3008" s="31"/>
      <c r="J3008" s="155">
        <v>0</v>
      </c>
    </row>
    <row r="3009" spans="1:10" ht="15.75" hidden="1" thickBot="1" x14ac:dyDescent="0.3">
      <c r="A3009" s="177"/>
      <c r="B3009" s="178"/>
      <c r="C3009" s="36"/>
      <c r="D3009" s="36"/>
      <c r="E3009" s="37"/>
      <c r="F3009" s="31" t="s">
        <v>568</v>
      </c>
      <c r="G3009" s="34" t="str">
        <f>IF(ISNUMBER(F3009),E3009*F3009,"")</f>
        <v/>
      </c>
      <c r="H3009" s="35"/>
      <c r="I3009" s="31"/>
      <c r="J3009" s="155">
        <v>0</v>
      </c>
    </row>
    <row r="3010" spans="1:10" ht="15.75" hidden="1" thickBot="1" x14ac:dyDescent="0.3">
      <c r="A3010" s="172" t="s">
        <v>944</v>
      </c>
      <c r="B3010" s="174" t="str">
        <f>INDEX(Orçamentária!A:B,MATCH(Composições!A3010,Orçamentária!A:A,0),2)</f>
        <v>Vedapress 10mm</v>
      </c>
      <c r="C3010" s="41"/>
      <c r="D3010" s="26" t="str">
        <f>TRIM(INDEX(Orçamentária!C:C,MATCH(Composições!A3010,Orçamentária!A:A,0),1))</f>
        <v>m</v>
      </c>
      <c r="E3010" s="27"/>
      <c r="F3010" s="42" t="s">
        <v>568</v>
      </c>
      <c r="G3010" s="28" t="str">
        <f>IF(ISNUMBER(F3010),E3010*F3010,"")</f>
        <v/>
      </c>
      <c r="H3010" s="29"/>
      <c r="I3010" s="30"/>
      <c r="J3010" s="155">
        <v>0</v>
      </c>
    </row>
    <row r="3011" spans="1:10" ht="15.75" hidden="1" thickBot="1" x14ac:dyDescent="0.3">
      <c r="A3011" s="173"/>
      <c r="B3011" s="175"/>
      <c r="C3011" s="32"/>
      <c r="D3011" s="32"/>
      <c r="E3011" s="33"/>
      <c r="F3011" s="43" t="s">
        <v>568</v>
      </c>
      <c r="G3011" s="34" t="str">
        <f>IF(ISNUMBER(F3011),E3011*F3011,"")</f>
        <v/>
      </c>
      <c r="H3011" s="35"/>
      <c r="I3011" s="31"/>
      <c r="J3011" s="155">
        <v>0</v>
      </c>
    </row>
    <row r="3012" spans="1:10" ht="15.75" hidden="1" thickBot="1" x14ac:dyDescent="0.3">
      <c r="A3012" s="173"/>
      <c r="B3012" s="175"/>
      <c r="C3012" s="36" t="s">
        <v>68</v>
      </c>
      <c r="D3012" s="36" t="s">
        <v>12</v>
      </c>
      <c r="E3012" s="37">
        <v>0.3</v>
      </c>
      <c r="F3012" s="34">
        <v>20.539000000000001</v>
      </c>
      <c r="G3012" s="34">
        <f>IF(ISNUMBER(F3012),E3012*F3012,"")</f>
        <v>6.1617000000000006</v>
      </c>
      <c r="H3012" s="39">
        <f>SUM(G3012:G3013)</f>
        <v>10.4609915</v>
      </c>
      <c r="I3012" s="40"/>
      <c r="J3012" s="155">
        <v>0</v>
      </c>
    </row>
    <row r="3013" spans="1:10" ht="15.75" hidden="1" thickBot="1" x14ac:dyDescent="0.3">
      <c r="A3013" s="173"/>
      <c r="B3013" s="175"/>
      <c r="C3013" s="36" t="s">
        <v>889</v>
      </c>
      <c r="D3013" s="36" t="s">
        <v>42</v>
      </c>
      <c r="E3013" s="37">
        <v>0.11899999999999999</v>
      </c>
      <c r="F3013" s="31">
        <v>36.128500000000003</v>
      </c>
      <c r="G3013" s="34">
        <f>IF(ISNUMBER(F3013),E3013*F3013,"")</f>
        <v>4.2992914999999998</v>
      </c>
      <c r="H3013" s="35"/>
      <c r="I3013" s="31"/>
      <c r="J3013" s="155">
        <v>0</v>
      </c>
    </row>
    <row r="3014" spans="1:10" ht="15.75" hidden="1" thickBot="1" x14ac:dyDescent="0.3">
      <c r="A3014" s="173"/>
      <c r="B3014" s="175"/>
      <c r="C3014" s="36"/>
      <c r="D3014" s="36"/>
      <c r="E3014" s="37"/>
      <c r="F3014" s="31" t="s">
        <v>568</v>
      </c>
      <c r="G3014" s="34" t="str">
        <f>IF(ISNUMBER(F3014),E3014*F3014,"")</f>
        <v/>
      </c>
      <c r="H3014" s="35"/>
      <c r="I3014" s="31"/>
      <c r="J3014" s="155">
        <v>0</v>
      </c>
    </row>
    <row r="3015" spans="1:10" ht="39" hidden="1" thickBot="1" x14ac:dyDescent="0.3">
      <c r="A3015" s="173"/>
      <c r="B3015" s="175"/>
      <c r="C3015" s="48" t="s">
        <v>945</v>
      </c>
      <c r="D3015" s="36"/>
      <c r="E3015" s="37"/>
      <c r="F3015" s="31" t="s">
        <v>568</v>
      </c>
      <c r="G3015" s="34" t="str">
        <f>IF(ISNUMBER(F3015),E3015*F3015,"")</f>
        <v/>
      </c>
      <c r="H3015" s="35"/>
      <c r="I3015" s="31"/>
      <c r="J3015" s="155">
        <v>0</v>
      </c>
    </row>
    <row r="3016" spans="1:10" ht="15.75" hidden="1" thickBot="1" x14ac:dyDescent="0.3">
      <c r="A3016" s="173"/>
      <c r="B3016" s="175"/>
      <c r="C3016" s="52" t="s">
        <v>946</v>
      </c>
      <c r="D3016" s="36"/>
      <c r="E3016" s="37"/>
      <c r="F3016" s="31" t="s">
        <v>568</v>
      </c>
      <c r="G3016" s="34" t="str">
        <f>IF(ISNUMBER(F3016),E3016*F3016,"")</f>
        <v/>
      </c>
      <c r="H3016" s="35"/>
      <c r="I3016" s="31"/>
      <c r="J3016" s="155">
        <v>0</v>
      </c>
    </row>
    <row r="3017" spans="1:10" ht="15.75" hidden="1" thickBot="1" x14ac:dyDescent="0.3">
      <c r="A3017" s="185"/>
      <c r="B3017" s="178"/>
      <c r="C3017" s="36"/>
      <c r="D3017" s="36"/>
      <c r="E3017" s="37"/>
      <c r="F3017" s="31" t="s">
        <v>568</v>
      </c>
      <c r="G3017" s="34" t="str">
        <f>IF(ISNUMBER(F3017),E3017*F3017,"")</f>
        <v/>
      </c>
      <c r="H3017" s="35"/>
      <c r="I3017" s="31"/>
      <c r="J3017" s="155">
        <v>0</v>
      </c>
    </row>
    <row r="3018" spans="1:10" ht="15.75" hidden="1" thickBot="1" x14ac:dyDescent="0.3">
      <c r="A3018" s="172" t="s">
        <v>947</v>
      </c>
      <c r="B3018" s="174" t="str">
        <f>INDEX(Orçamentária!A:B,MATCH(Composições!A3018,Orçamentária!A:A,0),2)</f>
        <v>Regulagem de ferragens</v>
      </c>
      <c r="C3018" s="41"/>
      <c r="D3018" s="26" t="str">
        <f>TRIM(INDEX(Orçamentária!C:C,MATCH(Composições!A3018,Orçamentária!A:A,0),1))</f>
        <v>un</v>
      </c>
      <c r="E3018" s="27"/>
      <c r="F3018" s="42" t="s">
        <v>568</v>
      </c>
      <c r="G3018" s="28" t="str">
        <f>IF(ISNUMBER(F3018),E3018*F3018,"")</f>
        <v/>
      </c>
      <c r="H3018" s="29"/>
      <c r="I3018" s="30"/>
      <c r="J3018" s="155">
        <v>0</v>
      </c>
    </row>
    <row r="3019" spans="1:10" ht="15.75" hidden="1" thickBot="1" x14ac:dyDescent="0.3">
      <c r="A3019" s="176"/>
      <c r="B3019" s="175"/>
      <c r="C3019" s="32"/>
      <c r="D3019" s="32"/>
      <c r="E3019" s="33"/>
      <c r="F3019" s="43" t="s">
        <v>568</v>
      </c>
      <c r="G3019" s="34" t="str">
        <f>IF(ISNUMBER(F3019),E3019*F3019,"")</f>
        <v/>
      </c>
      <c r="H3019" s="35"/>
      <c r="I3019" s="31"/>
      <c r="J3019" s="155">
        <v>0</v>
      </c>
    </row>
    <row r="3020" spans="1:10" ht="15.75" hidden="1" thickBot="1" x14ac:dyDescent="0.3">
      <c r="A3020" s="176"/>
      <c r="B3020" s="175"/>
      <c r="C3020" s="36" t="s">
        <v>68</v>
      </c>
      <c r="D3020" s="47" t="s">
        <v>12</v>
      </c>
      <c r="E3020" s="37">
        <v>1.5</v>
      </c>
      <c r="F3020" s="34">
        <v>20.539000000000001</v>
      </c>
      <c r="G3020" s="34">
        <f>IF(ISNUMBER(F3020),E3020*F3020,"")</f>
        <v>30.808500000000002</v>
      </c>
      <c r="H3020" s="39">
        <f>SUM(G3020:G3020)</f>
        <v>30.808500000000002</v>
      </c>
      <c r="I3020" s="40"/>
      <c r="J3020" s="155">
        <v>0</v>
      </c>
    </row>
    <row r="3021" spans="1:10" ht="15.75" hidden="1" thickBot="1" x14ac:dyDescent="0.3">
      <c r="A3021" s="177"/>
      <c r="B3021" s="178"/>
      <c r="C3021" s="36"/>
      <c r="D3021" s="36"/>
      <c r="E3021" s="37"/>
      <c r="F3021" s="31" t="s">
        <v>568</v>
      </c>
      <c r="G3021" s="34" t="str">
        <f>IF(ISNUMBER(F3021),E3021*F3021,"")</f>
        <v/>
      </c>
      <c r="H3021" s="35"/>
      <c r="I3021" s="31"/>
      <c r="J3021" s="155">
        <v>0</v>
      </c>
    </row>
    <row r="3022" spans="1:10" ht="15.75" hidden="1" thickBot="1" x14ac:dyDescent="0.3">
      <c r="A3022" s="172" t="s">
        <v>948</v>
      </c>
      <c r="B3022" s="174" t="str">
        <f>INDEX(Orçamentária!A:B,MATCH(Composições!A3022,Orçamentária!A:A,0),2)</f>
        <v>Vidro fumê / bronze temperado 10mm</v>
      </c>
      <c r="C3022" s="41"/>
      <c r="D3022" s="26" t="str">
        <f>TRIM(INDEX(Orçamentária!C:C,MATCH(Composições!A3022,Orçamentária!A:A,0),1))</f>
        <v>m2</v>
      </c>
      <c r="E3022" s="27"/>
      <c r="F3022" s="42" t="s">
        <v>568</v>
      </c>
      <c r="G3022" s="28" t="str">
        <f>IF(ISNUMBER(F3022),E3022*F3022,"")</f>
        <v/>
      </c>
      <c r="H3022" s="29"/>
      <c r="I3022" s="30"/>
      <c r="J3022" s="155">
        <v>0</v>
      </c>
    </row>
    <row r="3023" spans="1:10" ht="15.75" hidden="1" thickBot="1" x14ac:dyDescent="0.3">
      <c r="A3023" s="176"/>
      <c r="B3023" s="175"/>
      <c r="C3023" s="32"/>
      <c r="D3023" s="32"/>
      <c r="E3023" s="33"/>
      <c r="F3023" s="43" t="s">
        <v>568</v>
      </c>
      <c r="G3023" s="34" t="str">
        <f>IF(ISNUMBER(F3023),E3023*F3023,"")</f>
        <v/>
      </c>
      <c r="H3023" s="35"/>
      <c r="I3023" s="31"/>
      <c r="J3023" s="155">
        <v>0</v>
      </c>
    </row>
    <row r="3024" spans="1:10" ht="15.75" hidden="1" thickBot="1" x14ac:dyDescent="0.3">
      <c r="A3024" s="176"/>
      <c r="B3024" s="175"/>
      <c r="C3024" s="36" t="s">
        <v>68</v>
      </c>
      <c r="D3024" s="36" t="s">
        <v>12</v>
      </c>
      <c r="E3024" s="37">
        <v>0.5</v>
      </c>
      <c r="F3024" s="34">
        <v>20.539000000000001</v>
      </c>
      <c r="G3024" s="34">
        <f>IF(ISNUMBER(F3024),E3024*F3024,"")</f>
        <v>10.269500000000001</v>
      </c>
      <c r="H3024" s="39">
        <f>SUM(G3024:G3027)</f>
        <v>28.200750000000003</v>
      </c>
      <c r="I3024" s="40"/>
      <c r="J3024" s="155">
        <v>0</v>
      </c>
    </row>
    <row r="3025" spans="1:10" ht="15.75" hidden="1" thickBot="1" x14ac:dyDescent="0.3">
      <c r="A3025" s="176"/>
      <c r="B3025" s="175"/>
      <c r="C3025" s="36" t="s">
        <v>23</v>
      </c>
      <c r="D3025" s="36" t="s">
        <v>12</v>
      </c>
      <c r="E3025" s="37">
        <v>0.5</v>
      </c>
      <c r="F3025" s="34">
        <v>16.311500000000002</v>
      </c>
      <c r="G3025" s="34">
        <f>IF(ISNUMBER(F3025),E3025*F3025,"")</f>
        <v>8.1557500000000012</v>
      </c>
      <c r="H3025" s="35"/>
      <c r="I3025" s="31"/>
      <c r="J3025" s="155">
        <v>0</v>
      </c>
    </row>
    <row r="3026" spans="1:10" ht="15.75" hidden="1" thickBot="1" x14ac:dyDescent="0.3">
      <c r="A3026" s="176"/>
      <c r="B3026" s="175"/>
      <c r="C3026" s="36" t="s">
        <v>307</v>
      </c>
      <c r="D3026" s="36" t="s">
        <v>848</v>
      </c>
      <c r="E3026" s="37">
        <v>1.5</v>
      </c>
      <c r="F3026" s="31">
        <v>6.5170000000000003</v>
      </c>
      <c r="G3026" s="34">
        <f>IF(ISNUMBER(F3026),E3026*F3026,"")</f>
        <v>9.775500000000001</v>
      </c>
      <c r="H3026" s="35"/>
      <c r="I3026" s="31"/>
      <c r="J3026" s="155">
        <v>0</v>
      </c>
    </row>
    <row r="3027" spans="1:10" ht="15.75" hidden="1" thickBot="1" x14ac:dyDescent="0.3">
      <c r="A3027" s="176"/>
      <c r="B3027" s="175"/>
      <c r="C3027" s="36" t="s">
        <v>949</v>
      </c>
      <c r="D3027" s="36" t="s">
        <v>95</v>
      </c>
      <c r="E3027" s="37">
        <v>1</v>
      </c>
      <c r="F3027" s="31" t="s">
        <v>568</v>
      </c>
      <c r="G3027" s="34" t="str">
        <f>IF(ISNUMBER(F3027),E3027*F3027,"")</f>
        <v/>
      </c>
      <c r="H3027" s="35"/>
      <c r="I3027" s="31"/>
      <c r="J3027" s="155">
        <v>0</v>
      </c>
    </row>
    <row r="3028" spans="1:10" ht="15.75" hidden="1" thickBot="1" x14ac:dyDescent="0.3">
      <c r="A3028" s="177"/>
      <c r="B3028" s="178"/>
      <c r="C3028" s="36"/>
      <c r="D3028" s="36"/>
      <c r="E3028" s="37"/>
      <c r="F3028" s="31" t="s">
        <v>568</v>
      </c>
      <c r="G3028" s="34" t="str">
        <f>IF(ISNUMBER(F3028),E3028*F3028,"")</f>
        <v/>
      </c>
      <c r="H3028" s="35"/>
      <c r="I3028" s="31"/>
      <c r="J3028" s="155">
        <v>0</v>
      </c>
    </row>
    <row r="3029" spans="1:10" ht="15.75" hidden="1" thickBot="1" x14ac:dyDescent="0.3">
      <c r="A3029" s="172" t="s">
        <v>950</v>
      </c>
      <c r="B3029" s="174" t="str">
        <f>INDEX(Orçamentária!A:B,MATCH(Composições!A3029,Orçamentária!A:A,0),2)</f>
        <v>Puxador em aço inox sob medida – Tipo B</v>
      </c>
      <c r="C3029" s="41"/>
      <c r="D3029" s="26" t="str">
        <f>TRIM(INDEX(Orçamentária!C:C,MATCH(Composições!A3029,Orçamentária!A:A,0),1))</f>
        <v>un</v>
      </c>
      <c r="E3029" s="27"/>
      <c r="F3029" s="42" t="s">
        <v>568</v>
      </c>
      <c r="G3029" s="28" t="str">
        <f>IF(ISNUMBER(F3029),E3029*F3029,"")</f>
        <v/>
      </c>
      <c r="H3029" s="29"/>
      <c r="I3029" s="30"/>
      <c r="J3029" s="155">
        <v>0</v>
      </c>
    </row>
    <row r="3030" spans="1:10" ht="15.75" hidden="1" thickBot="1" x14ac:dyDescent="0.3">
      <c r="A3030" s="176"/>
      <c r="B3030" s="175"/>
      <c r="C3030" s="32"/>
      <c r="D3030" s="32"/>
      <c r="E3030" s="33"/>
      <c r="F3030" s="43" t="s">
        <v>568</v>
      </c>
      <c r="G3030" s="34" t="str">
        <f>IF(ISNUMBER(F3030),E3030*F3030,"")</f>
        <v/>
      </c>
      <c r="H3030" s="35"/>
      <c r="I3030" s="31"/>
      <c r="J3030" s="155">
        <v>0</v>
      </c>
    </row>
    <row r="3031" spans="1:10" ht="15.75" hidden="1" thickBot="1" x14ac:dyDescent="0.3">
      <c r="A3031" s="176"/>
      <c r="B3031" s="175"/>
      <c r="C3031" s="36" t="s">
        <v>68</v>
      </c>
      <c r="D3031" s="47" t="s">
        <v>12</v>
      </c>
      <c r="E3031" s="37">
        <v>0.4</v>
      </c>
      <c r="F3031" s="34">
        <v>20.539000000000001</v>
      </c>
      <c r="G3031" s="34">
        <f>IF(ISNUMBER(F3031),E3031*F3031,"")</f>
        <v>8.2156000000000002</v>
      </c>
      <c r="H3031" s="39">
        <f>SUM(G3031:G3032)</f>
        <v>8.2156000000000002</v>
      </c>
      <c r="I3031" s="40"/>
      <c r="J3031" s="155">
        <v>0</v>
      </c>
    </row>
    <row r="3032" spans="1:10" ht="15.75" hidden="1" thickBot="1" x14ac:dyDescent="0.3">
      <c r="A3032" s="176"/>
      <c r="B3032" s="175"/>
      <c r="C3032" s="36" t="s">
        <v>951</v>
      </c>
      <c r="D3032" s="47" t="s">
        <v>20</v>
      </c>
      <c r="E3032" s="37">
        <v>1</v>
      </c>
      <c r="F3032" s="31" t="s">
        <v>568</v>
      </c>
      <c r="G3032" s="34" t="str">
        <f>IF(ISNUMBER(F3032),E3032*F3032,"")</f>
        <v/>
      </c>
      <c r="H3032" s="35"/>
      <c r="I3032" s="31"/>
      <c r="J3032" s="155">
        <v>0</v>
      </c>
    </row>
    <row r="3033" spans="1:10" ht="15.75" hidden="1" thickBot="1" x14ac:dyDescent="0.3">
      <c r="A3033" s="177"/>
      <c r="B3033" s="178"/>
      <c r="C3033" s="36"/>
      <c r="D3033" s="36"/>
      <c r="E3033" s="37"/>
      <c r="F3033" s="31" t="s">
        <v>568</v>
      </c>
      <c r="G3033" s="34" t="str">
        <f>IF(ISNUMBER(F3033),E3033*F3033,"")</f>
        <v/>
      </c>
      <c r="H3033" s="35"/>
      <c r="I3033" s="31"/>
      <c r="J3033" s="155">
        <v>0</v>
      </c>
    </row>
    <row r="3034" spans="1:10" ht="15.75" thickBot="1" x14ac:dyDescent="0.3">
      <c r="A3034" s="172" t="s">
        <v>952</v>
      </c>
      <c r="B3034" s="174" t="str">
        <f>INDEX(Orçamentária!A:B,MATCH(Composições!A3034,Orçamentária!A:A,0),2)</f>
        <v>Armação de aço CA-50 bitolas de 5,0mm a 8,00mm</v>
      </c>
      <c r="C3034" s="41"/>
      <c r="D3034" s="26" t="str">
        <f>TRIM(INDEX(Orçamentária!C:C,MATCH(Composições!A3034,Orçamentária!A:A,0),1))</f>
        <v>kg</v>
      </c>
      <c r="E3034" s="27"/>
      <c r="F3034" s="42" t="s">
        <v>568</v>
      </c>
      <c r="G3034" s="28" t="str">
        <f>IF(ISNUMBER(F3034),E3034*F3034,"")</f>
        <v/>
      </c>
      <c r="H3034" s="29"/>
      <c r="I3034" s="30"/>
      <c r="J3034" s="155">
        <v>3.92</v>
      </c>
    </row>
    <row r="3035" spans="1:10" x14ac:dyDescent="0.25">
      <c r="A3035" s="176"/>
      <c r="B3035" s="175"/>
      <c r="C3035" s="32"/>
      <c r="D3035" s="32"/>
      <c r="E3035" s="33"/>
      <c r="F3035" s="43" t="s">
        <v>568</v>
      </c>
      <c r="G3035" s="34" t="str">
        <f>IF(ISNUMBER(F3035),E3035*F3035,"")</f>
        <v/>
      </c>
      <c r="H3035" s="35"/>
      <c r="I3035" s="31"/>
      <c r="J3035" s="155">
        <v>3.92</v>
      </c>
    </row>
    <row r="3036" spans="1:10" ht="25.5" x14ac:dyDescent="0.25">
      <c r="A3036" s="176"/>
      <c r="B3036" s="175"/>
      <c r="C3036" s="36" t="s">
        <v>3599</v>
      </c>
      <c r="D3036" s="47" t="s">
        <v>953</v>
      </c>
      <c r="E3036" s="37">
        <v>2.5000000000000001E-2</v>
      </c>
      <c r="F3036" s="31">
        <v>18.838499999999996</v>
      </c>
      <c r="G3036" s="34">
        <f>IF(ISNUMBER(F3036),E3036*F3036,"")</f>
        <v>0.47096249999999995</v>
      </c>
      <c r="H3036" s="39">
        <f>SUM(G3036:G3040)</f>
        <v>14.960537300000002</v>
      </c>
      <c r="I3036" s="40"/>
      <c r="J3036" s="155">
        <v>3.92</v>
      </c>
    </row>
    <row r="3037" spans="1:10" ht="38.25" x14ac:dyDescent="0.25">
      <c r="A3037" s="176"/>
      <c r="B3037" s="175"/>
      <c r="C3037" s="36" t="s">
        <v>954</v>
      </c>
      <c r="D3037" s="47" t="s">
        <v>297</v>
      </c>
      <c r="E3037" s="37">
        <v>0.74299999999999999</v>
      </c>
      <c r="F3037" s="31">
        <v>0.17099999999999999</v>
      </c>
      <c r="G3037" s="34">
        <f>IF(ISNUMBER(F3037),E3037*F3037,"")</f>
        <v>0.127053</v>
      </c>
      <c r="H3037" s="35"/>
      <c r="I3037" s="31"/>
      <c r="J3037" s="155">
        <v>3.92</v>
      </c>
    </row>
    <row r="3038" spans="1:10" x14ac:dyDescent="0.25">
      <c r="A3038" s="176"/>
      <c r="B3038" s="175"/>
      <c r="C3038" s="36" t="s">
        <v>955</v>
      </c>
      <c r="D3038" s="47" t="s">
        <v>755</v>
      </c>
      <c r="E3038" s="37">
        <v>2.0899999999999998E-2</v>
      </c>
      <c r="F3038" s="31">
        <v>17.081</v>
      </c>
      <c r="G3038" s="34">
        <f>IF(ISNUMBER(F3038),E3038*F3038,"")</f>
        <v>0.35699289999999995</v>
      </c>
      <c r="H3038" s="35"/>
      <c r="I3038" s="31"/>
      <c r="J3038" s="155">
        <v>3.92</v>
      </c>
    </row>
    <row r="3039" spans="1:10" x14ac:dyDescent="0.25">
      <c r="A3039" s="176"/>
      <c r="B3039" s="175"/>
      <c r="C3039" s="36" t="s">
        <v>956</v>
      </c>
      <c r="D3039" s="36" t="s">
        <v>755</v>
      </c>
      <c r="E3039" s="37">
        <v>0.1278</v>
      </c>
      <c r="F3039" s="31">
        <v>21.973499999999998</v>
      </c>
      <c r="G3039" s="34">
        <f>IF(ISNUMBER(F3039),E3039*F3039,"")</f>
        <v>2.8082132999999998</v>
      </c>
      <c r="H3039" s="35"/>
      <c r="I3039" s="31"/>
      <c r="J3039" s="155">
        <v>3.92</v>
      </c>
    </row>
    <row r="3040" spans="1:10" ht="25.5" x14ac:dyDescent="0.25">
      <c r="A3040" s="176"/>
      <c r="B3040" s="175"/>
      <c r="C3040" s="36" t="s">
        <v>957</v>
      </c>
      <c r="D3040" s="36" t="s">
        <v>953</v>
      </c>
      <c r="E3040" s="37">
        <v>1</v>
      </c>
      <c r="F3040" s="31">
        <v>11.197315600000001</v>
      </c>
      <c r="G3040" s="34">
        <f>IF(ISNUMBER(F3040),E3040*F3040,"")</f>
        <v>11.197315600000001</v>
      </c>
      <c r="H3040" s="35"/>
      <c r="I3040" s="31"/>
      <c r="J3040" s="155">
        <v>3.92</v>
      </c>
    </row>
    <row r="3041" spans="1:10" ht="15.75" thickBot="1" x14ac:dyDescent="0.3">
      <c r="A3041" s="177"/>
      <c r="B3041" s="178"/>
      <c r="C3041" s="36"/>
      <c r="D3041" s="36"/>
      <c r="E3041" s="37"/>
      <c r="F3041" s="31" t="s">
        <v>568</v>
      </c>
      <c r="G3041" s="34" t="str">
        <f>IF(ISNUMBER(F3041),E3041*F3041,"")</f>
        <v/>
      </c>
      <c r="H3041" s="35"/>
      <c r="I3041" s="31"/>
      <c r="J3041" s="155">
        <v>3.92</v>
      </c>
    </row>
    <row r="3042" spans="1:10" ht="15.75" hidden="1" thickBot="1" x14ac:dyDescent="0.3">
      <c r="A3042" s="172" t="s">
        <v>958</v>
      </c>
      <c r="B3042" s="174" t="str">
        <f>INDEX(Orçamentária!A:B,MATCH(Composições!A3042,Orçamentária!A:A,0),2)</f>
        <v>Pivô para dobradiça inferior (Montagem com a 1103-TQ)</v>
      </c>
      <c r="C3042" s="41"/>
      <c r="D3042" s="26" t="str">
        <f>TRIM(INDEX(Orçamentária!C:C,MATCH(Composições!A3042,Orçamentária!A:A,0),1))</f>
        <v>un</v>
      </c>
      <c r="E3042" s="27"/>
      <c r="F3042" s="42" t="s">
        <v>568</v>
      </c>
      <c r="G3042" s="28" t="str">
        <f>IF(ISNUMBER(F3042),E3042*F3042,"")</f>
        <v/>
      </c>
      <c r="H3042" s="29"/>
      <c r="I3042" s="30"/>
      <c r="J3042" s="155">
        <v>0</v>
      </c>
    </row>
    <row r="3043" spans="1:10" ht="15.75" hidden="1" thickBot="1" x14ac:dyDescent="0.3">
      <c r="A3043" s="176"/>
      <c r="B3043" s="175"/>
      <c r="C3043" s="32"/>
      <c r="D3043" s="32"/>
      <c r="E3043" s="33"/>
      <c r="F3043" s="43" t="s">
        <v>568</v>
      </c>
      <c r="G3043" s="34" t="str">
        <f>IF(ISNUMBER(F3043),E3043*F3043,"")</f>
        <v/>
      </c>
      <c r="H3043" s="35"/>
      <c r="I3043" s="31"/>
      <c r="J3043" s="155">
        <v>0</v>
      </c>
    </row>
    <row r="3044" spans="1:10" ht="15.75" hidden="1" thickBot="1" x14ac:dyDescent="0.3">
      <c r="A3044" s="176"/>
      <c r="B3044" s="175"/>
      <c r="C3044" s="36" t="s">
        <v>68</v>
      </c>
      <c r="D3044" s="36" t="s">
        <v>12</v>
      </c>
      <c r="E3044" s="37">
        <v>0.2</v>
      </c>
      <c r="F3044" s="34">
        <v>20.539000000000001</v>
      </c>
      <c r="G3044" s="34">
        <f>IF(ISNUMBER(F3044),E3044*F3044,"")</f>
        <v>4.1078000000000001</v>
      </c>
      <c r="H3044" s="39">
        <f>SUM(G3044:G3045)</f>
        <v>4.1078000000000001</v>
      </c>
      <c r="I3044" s="40"/>
      <c r="J3044" s="155">
        <v>0</v>
      </c>
    </row>
    <row r="3045" spans="1:10" ht="26.25" hidden="1" thickBot="1" x14ac:dyDescent="0.3">
      <c r="A3045" s="176"/>
      <c r="B3045" s="175"/>
      <c r="C3045" s="36" t="s">
        <v>959</v>
      </c>
      <c r="D3045" s="36" t="s">
        <v>20</v>
      </c>
      <c r="E3045" s="37">
        <v>1</v>
      </c>
      <c r="F3045" s="31" t="s">
        <v>568</v>
      </c>
      <c r="G3045" s="34" t="str">
        <f>IF(ISNUMBER(F3045),E3045*F3045,"")</f>
        <v/>
      </c>
      <c r="H3045" s="35"/>
      <c r="I3045" s="31"/>
      <c r="J3045" s="155">
        <v>0</v>
      </c>
    </row>
    <row r="3046" spans="1:10" ht="15.75" hidden="1" thickBot="1" x14ac:dyDescent="0.3">
      <c r="A3046" s="177"/>
      <c r="B3046" s="178"/>
      <c r="C3046" s="36"/>
      <c r="D3046" s="36"/>
      <c r="E3046" s="37"/>
      <c r="F3046" s="31" t="s">
        <v>568</v>
      </c>
      <c r="G3046" s="34" t="str">
        <f>IF(ISNUMBER(F3046),E3046*F3046,"")</f>
        <v/>
      </c>
      <c r="H3046" s="35"/>
      <c r="I3046" s="31"/>
      <c r="J3046" s="155">
        <v>0</v>
      </c>
    </row>
    <row r="3047" spans="1:10" ht="15.75" hidden="1" thickBot="1" x14ac:dyDescent="0.3">
      <c r="A3047" s="172" t="s">
        <v>960</v>
      </c>
      <c r="B3047" s="174" t="str">
        <f>INDEX(Orçamentária!A:B,MATCH(Composições!A3047,Orçamentária!A:A,0),2)</f>
        <v>Dobradiça direita inferior excêntrica</v>
      </c>
      <c r="C3047" s="41"/>
      <c r="D3047" s="26" t="str">
        <f>TRIM(INDEX(Orçamentária!C:C,MATCH(Composições!A3047,Orçamentária!A:A,0),1))</f>
        <v>un</v>
      </c>
      <c r="E3047" s="27"/>
      <c r="F3047" s="42" t="s">
        <v>568</v>
      </c>
      <c r="G3047" s="28" t="str">
        <f>IF(ISNUMBER(F3047),E3047*F3047,"")</f>
        <v/>
      </c>
      <c r="H3047" s="29"/>
      <c r="I3047" s="30"/>
      <c r="J3047" s="155">
        <v>0</v>
      </c>
    </row>
    <row r="3048" spans="1:10" ht="15.75" hidden="1" thickBot="1" x14ac:dyDescent="0.3">
      <c r="A3048" s="176"/>
      <c r="B3048" s="175"/>
      <c r="C3048" s="32"/>
      <c r="D3048" s="32"/>
      <c r="E3048" s="33"/>
      <c r="F3048" s="43" t="s">
        <v>568</v>
      </c>
      <c r="G3048" s="34" t="str">
        <f>IF(ISNUMBER(F3048),E3048*F3048,"")</f>
        <v/>
      </c>
      <c r="H3048" s="35"/>
      <c r="I3048" s="31"/>
      <c r="J3048" s="155">
        <v>0</v>
      </c>
    </row>
    <row r="3049" spans="1:10" ht="15.75" hidden="1" thickBot="1" x14ac:dyDescent="0.3">
      <c r="A3049" s="176"/>
      <c r="B3049" s="175"/>
      <c r="C3049" s="36" t="s">
        <v>68</v>
      </c>
      <c r="D3049" s="36" t="s">
        <v>12</v>
      </c>
      <c r="E3049" s="37">
        <v>0.3</v>
      </c>
      <c r="F3049" s="34">
        <v>20.539000000000001</v>
      </c>
      <c r="G3049" s="34">
        <f>IF(ISNUMBER(F3049),E3049*F3049,"")</f>
        <v>6.1617000000000006</v>
      </c>
      <c r="H3049" s="39">
        <f>SUM(G3049:G3050)</f>
        <v>6.1617000000000006</v>
      </c>
      <c r="I3049" s="40"/>
      <c r="J3049" s="155">
        <v>0</v>
      </c>
    </row>
    <row r="3050" spans="1:10" ht="39" hidden="1" thickBot="1" x14ac:dyDescent="0.3">
      <c r="A3050" s="176"/>
      <c r="B3050" s="175"/>
      <c r="C3050" s="36" t="s">
        <v>961</v>
      </c>
      <c r="D3050" s="36" t="s">
        <v>20</v>
      </c>
      <c r="E3050" s="37">
        <v>1</v>
      </c>
      <c r="F3050" s="31" t="s">
        <v>568</v>
      </c>
      <c r="G3050" s="34" t="str">
        <f>IF(ISNUMBER(F3050),E3050*F3050,"")</f>
        <v/>
      </c>
      <c r="H3050" s="35"/>
      <c r="I3050" s="31"/>
      <c r="J3050" s="155">
        <v>0</v>
      </c>
    </row>
    <row r="3051" spans="1:10" ht="15.75" hidden="1" thickBot="1" x14ac:dyDescent="0.3">
      <c r="A3051" s="177"/>
      <c r="B3051" s="178"/>
      <c r="C3051" s="36"/>
      <c r="D3051" s="36"/>
      <c r="E3051" s="37"/>
      <c r="F3051" s="31" t="s">
        <v>568</v>
      </c>
      <c r="G3051" s="34" t="str">
        <f>IF(ISNUMBER(F3051),E3051*F3051,"")</f>
        <v/>
      </c>
      <c r="H3051" s="35"/>
      <c r="I3051" s="31"/>
      <c r="J3051" s="155">
        <v>0</v>
      </c>
    </row>
    <row r="3052" spans="1:10" ht="15.75" hidden="1" thickBot="1" x14ac:dyDescent="0.3">
      <c r="A3052" s="172" t="s">
        <v>962</v>
      </c>
      <c r="B3052" s="174" t="str">
        <f>INDEX(Orçamentária!A:B,MATCH(Composições!A3052,Orçamentária!A:A,0),2)</f>
        <v>Dobradiça esquerda inferior excêntrica</v>
      </c>
      <c r="C3052" s="41"/>
      <c r="D3052" s="26" t="str">
        <f>TRIM(INDEX(Orçamentária!C:C,MATCH(Composições!A3052,Orçamentária!A:A,0),1))</f>
        <v>un</v>
      </c>
      <c r="E3052" s="27"/>
      <c r="F3052" s="42" t="s">
        <v>568</v>
      </c>
      <c r="G3052" s="28" t="str">
        <f>IF(ISNUMBER(F3052),E3052*F3052,"")</f>
        <v/>
      </c>
      <c r="H3052" s="29"/>
      <c r="I3052" s="30"/>
      <c r="J3052" s="155">
        <v>0</v>
      </c>
    </row>
    <row r="3053" spans="1:10" ht="15.75" hidden="1" thickBot="1" x14ac:dyDescent="0.3">
      <c r="A3053" s="176"/>
      <c r="B3053" s="175"/>
      <c r="C3053" s="32"/>
      <c r="D3053" s="32"/>
      <c r="E3053" s="33"/>
      <c r="F3053" s="43" t="s">
        <v>568</v>
      </c>
      <c r="G3053" s="34" t="str">
        <f>IF(ISNUMBER(F3053),E3053*F3053,"")</f>
        <v/>
      </c>
      <c r="H3053" s="35"/>
      <c r="I3053" s="31"/>
      <c r="J3053" s="155">
        <v>0</v>
      </c>
    </row>
    <row r="3054" spans="1:10" ht="15.75" hidden="1" thickBot="1" x14ac:dyDescent="0.3">
      <c r="A3054" s="176"/>
      <c r="B3054" s="175"/>
      <c r="C3054" s="36" t="s">
        <v>68</v>
      </c>
      <c r="D3054" s="36" t="s">
        <v>12</v>
      </c>
      <c r="E3054" s="37">
        <v>0.3</v>
      </c>
      <c r="F3054" s="34">
        <v>20.539000000000001</v>
      </c>
      <c r="G3054" s="34">
        <f>IF(ISNUMBER(F3054),E3054*F3054,"")</f>
        <v>6.1617000000000006</v>
      </c>
      <c r="H3054" s="39">
        <f>SUM(G3054:G3055)</f>
        <v>6.1617000000000006</v>
      </c>
      <c r="I3054" s="40"/>
      <c r="J3054" s="155">
        <v>0</v>
      </c>
    </row>
    <row r="3055" spans="1:10" ht="39" hidden="1" thickBot="1" x14ac:dyDescent="0.3">
      <c r="A3055" s="176"/>
      <c r="B3055" s="175"/>
      <c r="C3055" s="36" t="s">
        <v>963</v>
      </c>
      <c r="D3055" s="36" t="s">
        <v>20</v>
      </c>
      <c r="E3055" s="37">
        <v>1</v>
      </c>
      <c r="F3055" s="31" t="s">
        <v>568</v>
      </c>
      <c r="G3055" s="34" t="str">
        <f>IF(ISNUMBER(F3055),E3055*F3055,"")</f>
        <v/>
      </c>
      <c r="H3055" s="35"/>
      <c r="I3055" s="31"/>
      <c r="J3055" s="155">
        <v>0</v>
      </c>
    </row>
    <row r="3056" spans="1:10" ht="15.75" hidden="1" thickBot="1" x14ac:dyDescent="0.3">
      <c r="A3056" s="177"/>
      <c r="B3056" s="178"/>
      <c r="C3056" s="36"/>
      <c r="D3056" s="36"/>
      <c r="E3056" s="37"/>
      <c r="F3056" s="31" t="s">
        <v>568</v>
      </c>
      <c r="G3056" s="34" t="str">
        <f>IF(ISNUMBER(F3056),E3056*F3056,"")</f>
        <v/>
      </c>
      <c r="H3056" s="35"/>
      <c r="I3056" s="31"/>
      <c r="J3056" s="155">
        <v>0</v>
      </c>
    </row>
    <row r="3057" spans="1:10" ht="15.75" hidden="1" thickBot="1" x14ac:dyDescent="0.3">
      <c r="A3057" s="172" t="s">
        <v>964</v>
      </c>
      <c r="B3057" s="174" t="str">
        <f>INDEX(Orçamentária!A:B,MATCH(Composições!A3057,Orçamentária!A:A,0),2)</f>
        <v>Dobradiça pivotante inferior com trinco</v>
      </c>
      <c r="C3057" s="41"/>
      <c r="D3057" s="26" t="str">
        <f>TRIM(INDEX(Orçamentária!C:C,MATCH(Composições!A3057,Orçamentária!A:A,0),1))</f>
        <v>un</v>
      </c>
      <c r="E3057" s="27"/>
      <c r="F3057" s="42" t="s">
        <v>568</v>
      </c>
      <c r="G3057" s="28" t="str">
        <f>IF(ISNUMBER(F3057),E3057*F3057,"")</f>
        <v/>
      </c>
      <c r="H3057" s="29"/>
      <c r="I3057" s="30"/>
      <c r="J3057" s="155">
        <v>0</v>
      </c>
    </row>
    <row r="3058" spans="1:10" ht="15.75" hidden="1" thickBot="1" x14ac:dyDescent="0.3">
      <c r="A3058" s="176"/>
      <c r="B3058" s="175"/>
      <c r="C3058" s="32"/>
      <c r="D3058" s="32"/>
      <c r="E3058" s="33"/>
      <c r="F3058" s="43" t="s">
        <v>568</v>
      </c>
      <c r="G3058" s="34" t="str">
        <f>IF(ISNUMBER(F3058),E3058*F3058,"")</f>
        <v/>
      </c>
      <c r="H3058" s="35"/>
      <c r="I3058" s="31"/>
      <c r="J3058" s="155">
        <v>0</v>
      </c>
    </row>
    <row r="3059" spans="1:10" ht="15.75" hidden="1" thickBot="1" x14ac:dyDescent="0.3">
      <c r="A3059" s="176"/>
      <c r="B3059" s="175"/>
      <c r="C3059" s="36" t="s">
        <v>68</v>
      </c>
      <c r="D3059" s="36" t="s">
        <v>12</v>
      </c>
      <c r="E3059" s="37">
        <v>0.3</v>
      </c>
      <c r="F3059" s="34">
        <v>20.539000000000001</v>
      </c>
      <c r="G3059" s="34">
        <f>IF(ISNUMBER(F3059),E3059*F3059,"")</f>
        <v>6.1617000000000006</v>
      </c>
      <c r="H3059" s="39">
        <f>SUM(G3059:G3060)</f>
        <v>6.1617000000000006</v>
      </c>
      <c r="I3059" s="40"/>
      <c r="J3059" s="155">
        <v>0</v>
      </c>
    </row>
    <row r="3060" spans="1:10" ht="26.25" hidden="1" thickBot="1" x14ac:dyDescent="0.3">
      <c r="A3060" s="176"/>
      <c r="B3060" s="175"/>
      <c r="C3060" s="36" t="s">
        <v>965</v>
      </c>
      <c r="D3060" s="36" t="s">
        <v>20</v>
      </c>
      <c r="E3060" s="37">
        <v>1</v>
      </c>
      <c r="F3060" s="31" t="s">
        <v>568</v>
      </c>
      <c r="G3060" s="34" t="str">
        <f>IF(ISNUMBER(F3060),E3060*F3060,"")</f>
        <v/>
      </c>
      <c r="H3060" s="35"/>
      <c r="I3060" s="31"/>
      <c r="J3060" s="155">
        <v>0</v>
      </c>
    </row>
    <row r="3061" spans="1:10" ht="15.75" hidden="1" thickBot="1" x14ac:dyDescent="0.3">
      <c r="A3061" s="177"/>
      <c r="B3061" s="178"/>
      <c r="C3061" s="36"/>
      <c r="D3061" s="36"/>
      <c r="E3061" s="37"/>
      <c r="F3061" s="31" t="s">
        <v>568</v>
      </c>
      <c r="G3061" s="34" t="str">
        <f>IF(ISNUMBER(F3061),E3061*F3061,"")</f>
        <v/>
      </c>
      <c r="H3061" s="35"/>
      <c r="I3061" s="31"/>
      <c r="J3061" s="155">
        <v>0</v>
      </c>
    </row>
    <row r="3062" spans="1:10" ht="15.75" hidden="1" thickBot="1" x14ac:dyDescent="0.3">
      <c r="A3062" s="172" t="s">
        <v>966</v>
      </c>
      <c r="B3062" s="174" t="str">
        <f>INDEX(Orçamentária!A:B,MATCH(Composições!A3062,Orçamentária!A:A,0),2)</f>
        <v>Carrinho para porta de correr 1 roldana e 2 furos</v>
      </c>
      <c r="C3062" s="41"/>
      <c r="D3062" s="26" t="str">
        <f>TRIM(INDEX(Orçamentária!C:C,MATCH(Composições!A3062,Orçamentária!A:A,0),1))</f>
        <v>un</v>
      </c>
      <c r="E3062" s="27"/>
      <c r="F3062" s="42" t="s">
        <v>568</v>
      </c>
      <c r="G3062" s="28" t="str">
        <f>IF(ISNUMBER(F3062),E3062*F3062,"")</f>
        <v/>
      </c>
      <c r="H3062" s="29"/>
      <c r="I3062" s="30"/>
      <c r="J3062" s="155">
        <v>0</v>
      </c>
    </row>
    <row r="3063" spans="1:10" ht="15.75" hidden="1" thickBot="1" x14ac:dyDescent="0.3">
      <c r="A3063" s="176"/>
      <c r="B3063" s="175"/>
      <c r="C3063" s="32"/>
      <c r="D3063" s="32"/>
      <c r="E3063" s="33"/>
      <c r="F3063" s="43" t="s">
        <v>568</v>
      </c>
      <c r="G3063" s="34" t="str">
        <f>IF(ISNUMBER(F3063),E3063*F3063,"")</f>
        <v/>
      </c>
      <c r="H3063" s="35"/>
      <c r="I3063" s="31"/>
      <c r="J3063" s="155">
        <v>0</v>
      </c>
    </row>
    <row r="3064" spans="1:10" ht="15.75" hidden="1" thickBot="1" x14ac:dyDescent="0.3">
      <c r="A3064" s="176"/>
      <c r="B3064" s="175"/>
      <c r="C3064" s="36" t="s">
        <v>68</v>
      </c>
      <c r="D3064" s="36" t="s">
        <v>12</v>
      </c>
      <c r="E3064" s="37">
        <v>0.15</v>
      </c>
      <c r="F3064" s="34">
        <v>20.539000000000001</v>
      </c>
      <c r="G3064" s="34">
        <f>IF(ISNUMBER(F3064),E3064*F3064,"")</f>
        <v>3.0808500000000003</v>
      </c>
      <c r="H3064" s="39">
        <f>SUM(G3064:G3065)</f>
        <v>3.0808500000000003</v>
      </c>
      <c r="I3064" s="40"/>
      <c r="J3064" s="155">
        <v>0</v>
      </c>
    </row>
    <row r="3065" spans="1:10" ht="26.25" hidden="1" thickBot="1" x14ac:dyDescent="0.3">
      <c r="A3065" s="176"/>
      <c r="B3065" s="175"/>
      <c r="C3065" s="36" t="s">
        <v>967</v>
      </c>
      <c r="D3065" s="36" t="s">
        <v>20</v>
      </c>
      <c r="E3065" s="37">
        <v>1</v>
      </c>
      <c r="F3065" s="31" t="s">
        <v>568</v>
      </c>
      <c r="G3065" s="34" t="str">
        <f>IF(ISNUMBER(F3065),E3065*F3065,"")</f>
        <v/>
      </c>
      <c r="H3065" s="35"/>
      <c r="I3065" s="31"/>
      <c r="J3065" s="155">
        <v>0</v>
      </c>
    </row>
    <row r="3066" spans="1:10" ht="15.75" hidden="1" thickBot="1" x14ac:dyDescent="0.3">
      <c r="A3066" s="177"/>
      <c r="B3066" s="178"/>
      <c r="C3066" s="36"/>
      <c r="D3066" s="36"/>
      <c r="E3066" s="37"/>
      <c r="F3066" s="31" t="s">
        <v>568</v>
      </c>
      <c r="G3066" s="34" t="str">
        <f>IF(ISNUMBER(F3066),E3066*F3066,"")</f>
        <v/>
      </c>
      <c r="H3066" s="35"/>
      <c r="I3066" s="31"/>
      <c r="J3066" s="155">
        <v>0</v>
      </c>
    </row>
    <row r="3067" spans="1:10" ht="15.75" hidden="1" thickBot="1" x14ac:dyDescent="0.3">
      <c r="A3067" s="172" t="s">
        <v>968</v>
      </c>
      <c r="B3067" s="174" t="str">
        <f>INDEX(Orçamentária!A:B,MATCH(Composições!A3067,Orçamentária!A:A,0),2)</f>
        <v>Carrinho para porta de correr 2 roldanas e 2 furos</v>
      </c>
      <c r="C3067" s="41"/>
      <c r="D3067" s="26" t="str">
        <f>TRIM(INDEX(Orçamentária!C:C,MATCH(Composições!A3067,Orçamentária!A:A,0),1))</f>
        <v>un</v>
      </c>
      <c r="E3067" s="27"/>
      <c r="F3067" s="42" t="s">
        <v>568</v>
      </c>
      <c r="G3067" s="28" t="str">
        <f>IF(ISNUMBER(F3067),E3067*F3067,"")</f>
        <v/>
      </c>
      <c r="H3067" s="29"/>
      <c r="I3067" s="30"/>
      <c r="J3067" s="155">
        <v>0</v>
      </c>
    </row>
    <row r="3068" spans="1:10" ht="15.75" hidden="1" thickBot="1" x14ac:dyDescent="0.3">
      <c r="A3068" s="176"/>
      <c r="B3068" s="175"/>
      <c r="C3068" s="32"/>
      <c r="D3068" s="32"/>
      <c r="E3068" s="33"/>
      <c r="F3068" s="43" t="s">
        <v>568</v>
      </c>
      <c r="G3068" s="34" t="str">
        <f>IF(ISNUMBER(F3068),E3068*F3068,"")</f>
        <v/>
      </c>
      <c r="H3068" s="35"/>
      <c r="I3068" s="31"/>
      <c r="J3068" s="155">
        <v>0</v>
      </c>
    </row>
    <row r="3069" spans="1:10" ht="15.75" hidden="1" thickBot="1" x14ac:dyDescent="0.3">
      <c r="A3069" s="176"/>
      <c r="B3069" s="175"/>
      <c r="C3069" s="36" t="s">
        <v>68</v>
      </c>
      <c r="D3069" s="36" t="s">
        <v>12</v>
      </c>
      <c r="E3069" s="37">
        <v>0.15</v>
      </c>
      <c r="F3069" s="34">
        <v>20.539000000000001</v>
      </c>
      <c r="G3069" s="34">
        <f>IF(ISNUMBER(F3069),E3069*F3069,"")</f>
        <v>3.0808500000000003</v>
      </c>
      <c r="H3069" s="39">
        <f>SUM(G3069:G3070)</f>
        <v>3.0808500000000003</v>
      </c>
      <c r="I3069" s="40"/>
      <c r="J3069" s="155">
        <v>0</v>
      </c>
    </row>
    <row r="3070" spans="1:10" ht="26.25" hidden="1" thickBot="1" x14ac:dyDescent="0.3">
      <c r="A3070" s="176"/>
      <c r="B3070" s="175"/>
      <c r="C3070" s="36" t="s">
        <v>969</v>
      </c>
      <c r="D3070" s="36" t="s">
        <v>20</v>
      </c>
      <c r="E3070" s="37">
        <v>1</v>
      </c>
      <c r="F3070" s="31" t="s">
        <v>568</v>
      </c>
      <c r="G3070" s="34" t="str">
        <f>IF(ISNUMBER(F3070),E3070*F3070,"")</f>
        <v/>
      </c>
      <c r="H3070" s="35"/>
      <c r="I3070" s="31"/>
      <c r="J3070" s="155">
        <v>0</v>
      </c>
    </row>
    <row r="3071" spans="1:10" ht="15.75" hidden="1" thickBot="1" x14ac:dyDescent="0.3">
      <c r="A3071" s="177"/>
      <c r="B3071" s="178"/>
      <c r="C3071" s="36"/>
      <c r="D3071" s="36"/>
      <c r="E3071" s="37"/>
      <c r="F3071" s="31" t="s">
        <v>568</v>
      </c>
      <c r="G3071" s="34" t="str">
        <f>IF(ISNUMBER(F3071),E3071*F3071,"")</f>
        <v/>
      </c>
      <c r="H3071" s="35"/>
      <c r="I3071" s="31"/>
      <c r="J3071" s="155">
        <v>0</v>
      </c>
    </row>
    <row r="3072" spans="1:10" ht="15.75" hidden="1" thickBot="1" x14ac:dyDescent="0.3">
      <c r="A3072" s="172" t="s">
        <v>970</v>
      </c>
      <c r="B3072" s="174" t="str">
        <f>INDEX(Orçamentária!A:B,MATCH(Composições!A3072,Orçamentária!A:A,0),2)</f>
        <v>Carrinho para porta de correr com roldana côncava</v>
      </c>
      <c r="C3072" s="41"/>
      <c r="D3072" s="26" t="str">
        <f>TRIM(INDEX(Orçamentária!C:C,MATCH(Composições!A3072,Orçamentária!A:A,0),1))</f>
        <v>un</v>
      </c>
      <c r="E3072" s="27"/>
      <c r="F3072" s="42" t="s">
        <v>568</v>
      </c>
      <c r="G3072" s="28" t="str">
        <f>IF(ISNUMBER(F3072),E3072*F3072,"")</f>
        <v/>
      </c>
      <c r="H3072" s="29"/>
      <c r="I3072" s="30"/>
      <c r="J3072" s="155">
        <v>0</v>
      </c>
    </row>
    <row r="3073" spans="1:10" ht="15.75" hidden="1" thickBot="1" x14ac:dyDescent="0.3">
      <c r="A3073" s="176"/>
      <c r="B3073" s="175"/>
      <c r="C3073" s="32"/>
      <c r="D3073" s="32"/>
      <c r="E3073" s="33"/>
      <c r="F3073" s="43" t="s">
        <v>568</v>
      </c>
      <c r="G3073" s="34" t="str">
        <f>IF(ISNUMBER(F3073),E3073*F3073,"")</f>
        <v/>
      </c>
      <c r="H3073" s="35"/>
      <c r="I3073" s="31"/>
      <c r="J3073" s="155">
        <v>0</v>
      </c>
    </row>
    <row r="3074" spans="1:10" ht="15.75" hidden="1" thickBot="1" x14ac:dyDescent="0.3">
      <c r="A3074" s="176"/>
      <c r="B3074" s="175"/>
      <c r="C3074" s="36" t="s">
        <v>68</v>
      </c>
      <c r="D3074" s="36" t="s">
        <v>12</v>
      </c>
      <c r="E3074" s="37">
        <v>0.15</v>
      </c>
      <c r="F3074" s="34">
        <v>20.539000000000001</v>
      </c>
      <c r="G3074" s="34">
        <f>IF(ISNUMBER(F3074),E3074*F3074,"")</f>
        <v>3.0808500000000003</v>
      </c>
      <c r="H3074" s="39">
        <f>SUM(G3074:G3075)</f>
        <v>3.0808500000000003</v>
      </c>
      <c r="I3074" s="40"/>
      <c r="J3074" s="155">
        <v>0</v>
      </c>
    </row>
    <row r="3075" spans="1:10" ht="26.25" hidden="1" thickBot="1" x14ac:dyDescent="0.3">
      <c r="A3075" s="176"/>
      <c r="B3075" s="175"/>
      <c r="C3075" s="36" t="s">
        <v>971</v>
      </c>
      <c r="D3075" s="36" t="s">
        <v>20</v>
      </c>
      <c r="E3075" s="37">
        <v>1</v>
      </c>
      <c r="F3075" s="31" t="s">
        <v>568</v>
      </c>
      <c r="G3075" s="34" t="str">
        <f>IF(ISNUMBER(F3075),E3075*F3075,"")</f>
        <v/>
      </c>
      <c r="H3075" s="35"/>
      <c r="I3075" s="31"/>
      <c r="J3075" s="155">
        <v>0</v>
      </c>
    </row>
    <row r="3076" spans="1:10" ht="15.75" hidden="1" thickBot="1" x14ac:dyDescent="0.3">
      <c r="A3076" s="177"/>
      <c r="B3076" s="178"/>
      <c r="C3076" s="36"/>
      <c r="D3076" s="36"/>
      <c r="E3076" s="37"/>
      <c r="F3076" s="31" t="s">
        <v>568</v>
      </c>
      <c r="G3076" s="34" t="str">
        <f>IF(ISNUMBER(F3076),E3076*F3076,"")</f>
        <v/>
      </c>
      <c r="H3076" s="35"/>
      <c r="I3076" s="31"/>
      <c r="J3076" s="155">
        <v>0</v>
      </c>
    </row>
    <row r="3077" spans="1:10" ht="15.75" hidden="1" thickBot="1" x14ac:dyDescent="0.3">
      <c r="A3077" s="172" t="s">
        <v>972</v>
      </c>
      <c r="B3077" s="174" t="str">
        <f>INDEX(Orçamentária!A:B,MATCH(Composições!A3077,Orçamentária!A:A,0),2)</f>
        <v>Guia de nylon para porta de correr</v>
      </c>
      <c r="C3077" s="41"/>
      <c r="D3077" s="26" t="str">
        <f>TRIM(INDEX(Orçamentária!C:C,MATCH(Composições!A3077,Orçamentária!A:A,0),1))</f>
        <v>un</v>
      </c>
      <c r="E3077" s="27"/>
      <c r="F3077" s="42" t="s">
        <v>568</v>
      </c>
      <c r="G3077" s="28" t="str">
        <f>IF(ISNUMBER(F3077),E3077*F3077,"")</f>
        <v/>
      </c>
      <c r="H3077" s="29"/>
      <c r="I3077" s="30"/>
      <c r="J3077" s="155">
        <v>0</v>
      </c>
    </row>
    <row r="3078" spans="1:10" ht="15.75" hidden="1" thickBot="1" x14ac:dyDescent="0.3">
      <c r="A3078" s="176"/>
      <c r="B3078" s="175"/>
      <c r="C3078" s="32"/>
      <c r="D3078" s="32"/>
      <c r="E3078" s="33"/>
      <c r="F3078" s="43" t="s">
        <v>568</v>
      </c>
      <c r="G3078" s="34" t="str">
        <f>IF(ISNUMBER(F3078),E3078*F3078,"")</f>
        <v/>
      </c>
      <c r="H3078" s="35"/>
      <c r="I3078" s="31"/>
      <c r="J3078" s="155">
        <v>0</v>
      </c>
    </row>
    <row r="3079" spans="1:10" ht="15.75" hidden="1" thickBot="1" x14ac:dyDescent="0.3">
      <c r="A3079" s="176"/>
      <c r="B3079" s="175"/>
      <c r="C3079" s="36" t="s">
        <v>68</v>
      </c>
      <c r="D3079" s="36" t="s">
        <v>12</v>
      </c>
      <c r="E3079" s="37">
        <v>0.15</v>
      </c>
      <c r="F3079" s="34">
        <v>20.539000000000001</v>
      </c>
      <c r="G3079" s="34">
        <f>IF(ISNUMBER(F3079),E3079*F3079,"")</f>
        <v>3.0808500000000003</v>
      </c>
      <c r="H3079" s="39">
        <f>SUM(G3079:G3080)</f>
        <v>3.0808500000000003</v>
      </c>
      <c r="I3079" s="40"/>
      <c r="J3079" s="155">
        <v>0</v>
      </c>
    </row>
    <row r="3080" spans="1:10" ht="15.75" hidden="1" thickBot="1" x14ac:dyDescent="0.3">
      <c r="A3080" s="176"/>
      <c r="B3080" s="175"/>
      <c r="C3080" s="36" t="s">
        <v>973</v>
      </c>
      <c r="D3080" s="36" t="s">
        <v>20</v>
      </c>
      <c r="E3080" s="37">
        <v>1</v>
      </c>
      <c r="F3080" s="31" t="s">
        <v>568</v>
      </c>
      <c r="G3080" s="34" t="str">
        <f>IF(ISNUMBER(F3080),E3080*F3080,"")</f>
        <v/>
      </c>
      <c r="H3080" s="35"/>
      <c r="I3080" s="31"/>
      <c r="J3080" s="155">
        <v>0</v>
      </c>
    </row>
    <row r="3081" spans="1:10" ht="15.75" hidden="1" thickBot="1" x14ac:dyDescent="0.3">
      <c r="A3081" s="177"/>
      <c r="B3081" s="178"/>
      <c r="C3081" s="36"/>
      <c r="D3081" s="36"/>
      <c r="E3081" s="37"/>
      <c r="F3081" s="31" t="s">
        <v>568</v>
      </c>
      <c r="G3081" s="34" t="str">
        <f>IF(ISNUMBER(F3081),E3081*F3081,"")</f>
        <v/>
      </c>
      <c r="H3081" s="35"/>
      <c r="I3081" s="31"/>
      <c r="J3081" s="155">
        <v>0</v>
      </c>
    </row>
    <row r="3082" spans="1:10" ht="15.75" hidden="1" thickBot="1" x14ac:dyDescent="0.3">
      <c r="A3082" s="172" t="s">
        <v>974</v>
      </c>
      <c r="B3082" s="174" t="str">
        <f>INDEX(Orçamentária!A:B,MATCH(Composições!A3082,Orçamentária!A:A,0),2)</f>
        <v>Puxador H tubular em aço inox, comprimento 45cm, para portas de vidro temperado</v>
      </c>
      <c r="C3082" s="41"/>
      <c r="D3082" s="26" t="str">
        <f>TRIM(INDEX(Orçamentária!C:C,MATCH(Composições!A3082,Orçamentária!A:A,0),1))</f>
        <v>un</v>
      </c>
      <c r="E3082" s="27"/>
      <c r="F3082" s="42" t="s">
        <v>568</v>
      </c>
      <c r="G3082" s="28" t="str">
        <f>IF(ISNUMBER(F3082),E3082*F3082,"")</f>
        <v/>
      </c>
      <c r="H3082" s="29"/>
      <c r="I3082" s="30"/>
      <c r="J3082" s="155">
        <v>0</v>
      </c>
    </row>
    <row r="3083" spans="1:10" ht="15.75" hidden="1" thickBot="1" x14ac:dyDescent="0.3">
      <c r="A3083" s="176"/>
      <c r="B3083" s="175"/>
      <c r="C3083" s="32"/>
      <c r="D3083" s="32"/>
      <c r="E3083" s="33"/>
      <c r="F3083" s="43" t="s">
        <v>568</v>
      </c>
      <c r="G3083" s="34" t="str">
        <f>IF(ISNUMBER(F3083),E3083*F3083,"")</f>
        <v/>
      </c>
      <c r="H3083" s="35"/>
      <c r="I3083" s="31"/>
      <c r="J3083" s="155">
        <v>0</v>
      </c>
    </row>
    <row r="3084" spans="1:10" ht="15.75" hidden="1" thickBot="1" x14ac:dyDescent="0.3">
      <c r="A3084" s="176"/>
      <c r="B3084" s="175"/>
      <c r="C3084" s="36" t="s">
        <v>68</v>
      </c>
      <c r="D3084" s="36" t="s">
        <v>12</v>
      </c>
      <c r="E3084" s="37">
        <v>0.4</v>
      </c>
      <c r="F3084" s="34">
        <v>20.539000000000001</v>
      </c>
      <c r="G3084" s="34">
        <f>IF(ISNUMBER(F3084),E3084*F3084,"")</f>
        <v>8.2156000000000002</v>
      </c>
      <c r="H3084" s="39">
        <f>SUM(G3084:G3085)</f>
        <v>8.2156000000000002</v>
      </c>
      <c r="I3084" s="40"/>
      <c r="J3084" s="155">
        <v>0</v>
      </c>
    </row>
    <row r="3085" spans="1:10" ht="39" hidden="1" thickBot="1" x14ac:dyDescent="0.3">
      <c r="A3085" s="176"/>
      <c r="B3085" s="175"/>
      <c r="C3085" s="36" t="s">
        <v>975</v>
      </c>
      <c r="D3085" s="36" t="s">
        <v>20</v>
      </c>
      <c r="E3085" s="37">
        <v>1</v>
      </c>
      <c r="F3085" s="31" t="s">
        <v>568</v>
      </c>
      <c r="G3085" s="34" t="str">
        <f>IF(ISNUMBER(F3085),E3085*F3085,"")</f>
        <v/>
      </c>
      <c r="H3085" s="35"/>
      <c r="I3085" s="31"/>
      <c r="J3085" s="155">
        <v>0</v>
      </c>
    </row>
    <row r="3086" spans="1:10" ht="15.75" hidden="1" thickBot="1" x14ac:dyDescent="0.3">
      <c r="A3086" s="177"/>
      <c r="B3086" s="178"/>
      <c r="C3086" s="36"/>
      <c r="D3086" s="36"/>
      <c r="E3086" s="37"/>
      <c r="F3086" s="31" t="s">
        <v>568</v>
      </c>
      <c r="G3086" s="34" t="str">
        <f>IF(ISNUMBER(F3086),E3086*F3086,"")</f>
        <v/>
      </c>
      <c r="H3086" s="35"/>
      <c r="I3086" s="31"/>
      <c r="J3086" s="155">
        <v>0</v>
      </c>
    </row>
    <row r="3087" spans="1:10" ht="15.75" hidden="1" thickBot="1" x14ac:dyDescent="0.3">
      <c r="A3087" s="172" t="s">
        <v>976</v>
      </c>
      <c r="B3087" s="174" t="str">
        <f>INDEX(Orçamentária!A:B,MATCH(Composições!A3087,Orçamentária!A:A,0),2)</f>
        <v>Transporte de vidros</v>
      </c>
      <c r="C3087" s="41"/>
      <c r="D3087" s="26" t="str">
        <f>TRIM(INDEX(Orçamentária!C:C,MATCH(Composições!A3087,Orçamentária!A:A,0),1))</f>
        <v>m2 x km</v>
      </c>
      <c r="E3087" s="27"/>
      <c r="F3087" s="42" t="s">
        <v>568</v>
      </c>
      <c r="G3087" s="28" t="str">
        <f>IF(ISNUMBER(F3087),E3087*F3087,"")</f>
        <v/>
      </c>
      <c r="H3087" s="29"/>
      <c r="I3087" s="30"/>
      <c r="J3087" s="155">
        <v>0</v>
      </c>
    </row>
    <row r="3088" spans="1:10" ht="15.75" hidden="1" thickBot="1" x14ac:dyDescent="0.3">
      <c r="A3088" s="173"/>
      <c r="B3088" s="175"/>
      <c r="C3088" s="32"/>
      <c r="D3088" s="32"/>
      <c r="E3088" s="33"/>
      <c r="F3088" s="43" t="s">
        <v>568</v>
      </c>
      <c r="G3088" s="34" t="str">
        <f>IF(ISNUMBER(F3088),E3088*F3088,"")</f>
        <v/>
      </c>
      <c r="H3088" s="35"/>
      <c r="I3088" s="31"/>
      <c r="J3088" s="155">
        <v>0</v>
      </c>
    </row>
    <row r="3089" spans="1:10" ht="15.75" hidden="1" thickBot="1" x14ac:dyDescent="0.3">
      <c r="A3089" s="173"/>
      <c r="B3089" s="175"/>
      <c r="C3089" s="36" t="s">
        <v>23</v>
      </c>
      <c r="D3089" s="36" t="s">
        <v>12</v>
      </c>
      <c r="E3089" s="37">
        <v>2.9209999999999998</v>
      </c>
      <c r="F3089" s="34">
        <v>16.311500000000002</v>
      </c>
      <c r="G3089" s="34">
        <f>IF(ISNUMBER(F3089),E3089*F3089,"")</f>
        <v>47.645891500000005</v>
      </c>
      <c r="H3089" s="39">
        <f>SUM(G3089:G3089)</f>
        <v>47.645891500000005</v>
      </c>
      <c r="I3089" s="40"/>
      <c r="J3089" s="155">
        <v>0</v>
      </c>
    </row>
    <row r="3090" spans="1:10" ht="15.75" hidden="1" thickBot="1" x14ac:dyDescent="0.3">
      <c r="A3090" s="173"/>
      <c r="B3090" s="175"/>
      <c r="C3090" s="36"/>
      <c r="D3090" s="36"/>
      <c r="E3090" s="37"/>
      <c r="F3090" s="31" t="s">
        <v>568</v>
      </c>
      <c r="G3090" s="34" t="str">
        <f>IF(ISNUMBER(F3090),E3090*F3090,"")</f>
        <v/>
      </c>
      <c r="H3090" s="35"/>
      <c r="I3090" s="31"/>
      <c r="J3090" s="155">
        <v>0</v>
      </c>
    </row>
    <row r="3091" spans="1:10" ht="15.75" hidden="1" thickBot="1" x14ac:dyDescent="0.3">
      <c r="A3091" s="173"/>
      <c r="B3091" s="175"/>
      <c r="C3091" s="52" t="s">
        <v>946</v>
      </c>
      <c r="D3091" s="36"/>
      <c r="E3091" s="37"/>
      <c r="F3091" s="31" t="s">
        <v>568</v>
      </c>
      <c r="G3091" s="34" t="str">
        <f>IF(ISNUMBER(F3091),E3091*F3091,"")</f>
        <v/>
      </c>
      <c r="H3091" s="35"/>
      <c r="I3091" s="31"/>
      <c r="J3091" s="155">
        <v>0</v>
      </c>
    </row>
    <row r="3092" spans="1:10" ht="15.75" hidden="1" thickBot="1" x14ac:dyDescent="0.3">
      <c r="A3092" s="185"/>
      <c r="B3092" s="178"/>
      <c r="C3092" s="36"/>
      <c r="D3092" s="36"/>
      <c r="E3092" s="37"/>
      <c r="F3092" s="31" t="s">
        <v>568</v>
      </c>
      <c r="G3092" s="34" t="str">
        <f>IF(ISNUMBER(F3092),E3092*F3092,"")</f>
        <v/>
      </c>
      <c r="H3092" s="35"/>
      <c r="I3092" s="31"/>
      <c r="J3092" s="155">
        <v>0</v>
      </c>
    </row>
    <row r="3093" spans="1:10" ht="15.75" hidden="1" thickBot="1" x14ac:dyDescent="0.3">
      <c r="A3093" s="172" t="s">
        <v>977</v>
      </c>
      <c r="B3093" s="174" t="str">
        <f>INDEX(Orçamentária!A:B,MATCH(Composições!A3093,Orçamentária!A:A,0),2)</f>
        <v>Vidro fantasia 4mm (canelado, martelado, pontilhado e mini-boreal)</v>
      </c>
      <c r="C3093" s="41"/>
      <c r="D3093" s="26" t="str">
        <f>TRIM(INDEX(Orçamentária!C:C,MATCH(Composições!A3093,Orçamentária!A:A,0),1))</f>
        <v>m2</v>
      </c>
      <c r="E3093" s="27"/>
      <c r="F3093" s="42" t="s">
        <v>568</v>
      </c>
      <c r="G3093" s="28" t="str">
        <f>IF(ISNUMBER(F3093),E3093*F3093,"")</f>
        <v/>
      </c>
      <c r="H3093" s="29"/>
      <c r="I3093" s="30"/>
      <c r="J3093" s="155">
        <v>0</v>
      </c>
    </row>
    <row r="3094" spans="1:10" ht="15.75" hidden="1" thickBot="1" x14ac:dyDescent="0.3">
      <c r="A3094" s="176"/>
      <c r="B3094" s="175"/>
      <c r="C3094" s="32"/>
      <c r="D3094" s="32"/>
      <c r="E3094" s="33"/>
      <c r="F3094" s="43" t="s">
        <v>568</v>
      </c>
      <c r="G3094" s="34" t="str">
        <f>IF(ISNUMBER(F3094),E3094*F3094,"")</f>
        <v/>
      </c>
      <c r="H3094" s="35"/>
      <c r="I3094" s="31"/>
      <c r="J3094" s="155">
        <v>0</v>
      </c>
    </row>
    <row r="3095" spans="1:10" ht="15.75" hidden="1" thickBot="1" x14ac:dyDescent="0.3">
      <c r="A3095" s="176"/>
      <c r="B3095" s="175"/>
      <c r="C3095" s="36" t="s">
        <v>68</v>
      </c>
      <c r="D3095" s="36" t="s">
        <v>12</v>
      </c>
      <c r="E3095" s="37">
        <v>0.45</v>
      </c>
      <c r="F3095" s="34">
        <v>20.539000000000001</v>
      </c>
      <c r="G3095" s="34">
        <f>IF(ISNUMBER(F3095),E3095*F3095,"")</f>
        <v>9.2425500000000014</v>
      </c>
      <c r="H3095" s="39">
        <f>SUM(G3095:G3098)</f>
        <v>111.848725</v>
      </c>
      <c r="I3095" s="40"/>
      <c r="J3095" s="155">
        <v>0</v>
      </c>
    </row>
    <row r="3096" spans="1:10" ht="15.75" hidden="1" thickBot="1" x14ac:dyDescent="0.3">
      <c r="A3096" s="176"/>
      <c r="B3096" s="175"/>
      <c r="C3096" s="36" t="s">
        <v>23</v>
      </c>
      <c r="D3096" s="36" t="s">
        <v>12</v>
      </c>
      <c r="E3096" s="37">
        <v>0.45</v>
      </c>
      <c r="F3096" s="34">
        <v>16.311500000000002</v>
      </c>
      <c r="G3096" s="34">
        <f>IF(ISNUMBER(F3096),E3096*F3096,"")</f>
        <v>7.3401750000000012</v>
      </c>
      <c r="H3096" s="35"/>
      <c r="I3096" s="31"/>
      <c r="J3096" s="155">
        <v>0</v>
      </c>
    </row>
    <row r="3097" spans="1:10" ht="15.75" hidden="1" thickBot="1" x14ac:dyDescent="0.3">
      <c r="A3097" s="176"/>
      <c r="B3097" s="175"/>
      <c r="C3097" s="36" t="s">
        <v>307</v>
      </c>
      <c r="D3097" s="36" t="s">
        <v>848</v>
      </c>
      <c r="E3097" s="37">
        <v>1.5</v>
      </c>
      <c r="F3097" s="31">
        <v>6.5170000000000003</v>
      </c>
      <c r="G3097" s="34">
        <f>IF(ISNUMBER(F3097),E3097*F3097,"")</f>
        <v>9.775500000000001</v>
      </c>
      <c r="H3097" s="35"/>
      <c r="I3097" s="31"/>
      <c r="J3097" s="155">
        <v>0</v>
      </c>
    </row>
    <row r="3098" spans="1:10" ht="15.75" hidden="1" thickBot="1" x14ac:dyDescent="0.3">
      <c r="A3098" s="176"/>
      <c r="B3098" s="175"/>
      <c r="C3098" s="36" t="s">
        <v>978</v>
      </c>
      <c r="D3098" s="36" t="s">
        <v>95</v>
      </c>
      <c r="E3098" s="37">
        <v>1</v>
      </c>
      <c r="F3098" s="31">
        <v>85.490499999999997</v>
      </c>
      <c r="G3098" s="34">
        <f>IF(ISNUMBER(F3098),E3098*F3098,"")</f>
        <v>85.490499999999997</v>
      </c>
      <c r="H3098" s="35"/>
      <c r="I3098" s="31"/>
      <c r="J3098" s="155">
        <v>0</v>
      </c>
    </row>
    <row r="3099" spans="1:10" ht="15.75" hidden="1" thickBot="1" x14ac:dyDescent="0.3">
      <c r="A3099" s="177"/>
      <c r="B3099" s="178"/>
      <c r="C3099" s="36"/>
      <c r="D3099" s="36"/>
      <c r="E3099" s="37"/>
      <c r="F3099" s="31" t="s">
        <v>568</v>
      </c>
      <c r="G3099" s="34" t="str">
        <f>IF(ISNUMBER(F3099),E3099*F3099,"")</f>
        <v/>
      </c>
      <c r="H3099" s="35"/>
      <c r="I3099" s="31"/>
      <c r="J3099" s="155">
        <v>0</v>
      </c>
    </row>
    <row r="3100" spans="1:10" ht="15.75" hidden="1" thickBot="1" x14ac:dyDescent="0.3">
      <c r="A3100" s="172" t="s">
        <v>979</v>
      </c>
      <c r="B3100" s="174" t="str">
        <f>INDEX(Orçamentária!A:B,MATCH(Composições!A3100,Orçamentária!A:A,0),2)</f>
        <v>Vidro fumê/bronze 5mm</v>
      </c>
      <c r="C3100" s="41"/>
      <c r="D3100" s="26" t="str">
        <f>TRIM(INDEX(Orçamentária!C:C,MATCH(Composições!A3100,Orçamentária!A:A,0),1))</f>
        <v>m2</v>
      </c>
      <c r="E3100" s="27"/>
      <c r="F3100" s="42" t="s">
        <v>568</v>
      </c>
      <c r="G3100" s="28" t="str">
        <f>IF(ISNUMBER(F3100),E3100*F3100,"")</f>
        <v/>
      </c>
      <c r="H3100" s="29"/>
      <c r="I3100" s="30"/>
      <c r="J3100" s="155">
        <v>0</v>
      </c>
    </row>
    <row r="3101" spans="1:10" ht="15.75" hidden="1" thickBot="1" x14ac:dyDescent="0.3">
      <c r="A3101" s="176"/>
      <c r="B3101" s="175"/>
      <c r="C3101" s="32"/>
      <c r="D3101" s="32"/>
      <c r="E3101" s="33"/>
      <c r="F3101" s="43" t="s">
        <v>568</v>
      </c>
      <c r="G3101" s="34" t="str">
        <f>IF(ISNUMBER(F3101),E3101*F3101,"")</f>
        <v/>
      </c>
      <c r="H3101" s="35"/>
      <c r="I3101" s="31"/>
      <c r="J3101" s="155">
        <v>0</v>
      </c>
    </row>
    <row r="3102" spans="1:10" ht="15.75" hidden="1" thickBot="1" x14ac:dyDescent="0.3">
      <c r="A3102" s="176"/>
      <c r="B3102" s="175"/>
      <c r="C3102" s="36" t="s">
        <v>68</v>
      </c>
      <c r="D3102" s="36" t="s">
        <v>12</v>
      </c>
      <c r="E3102" s="37">
        <v>1</v>
      </c>
      <c r="F3102" s="34">
        <v>20.539000000000001</v>
      </c>
      <c r="G3102" s="34">
        <f>IF(ISNUMBER(F3102),E3102*F3102,"")</f>
        <v>20.539000000000001</v>
      </c>
      <c r="H3102" s="39">
        <f>SUM(G3102:G3105)</f>
        <v>184.49380000000002</v>
      </c>
      <c r="I3102" s="40"/>
      <c r="J3102" s="155">
        <v>0</v>
      </c>
    </row>
    <row r="3103" spans="1:10" ht="15.75" hidden="1" thickBot="1" x14ac:dyDescent="0.3">
      <c r="A3103" s="176"/>
      <c r="B3103" s="175"/>
      <c r="C3103" s="36" t="s">
        <v>23</v>
      </c>
      <c r="D3103" s="36" t="s">
        <v>12</v>
      </c>
      <c r="E3103" s="37">
        <v>0.2</v>
      </c>
      <c r="F3103" s="34">
        <v>16.311500000000002</v>
      </c>
      <c r="G3103" s="34">
        <f>IF(ISNUMBER(F3103),E3103*F3103,"")</f>
        <v>3.2623000000000006</v>
      </c>
      <c r="H3103" s="35"/>
      <c r="I3103" s="31"/>
      <c r="J3103" s="155">
        <v>0</v>
      </c>
    </row>
    <row r="3104" spans="1:10" ht="15.75" hidden="1" thickBot="1" x14ac:dyDescent="0.3">
      <c r="A3104" s="176"/>
      <c r="B3104" s="175"/>
      <c r="C3104" s="36" t="s">
        <v>307</v>
      </c>
      <c r="D3104" s="36" t="s">
        <v>848</v>
      </c>
      <c r="E3104" s="37">
        <v>2</v>
      </c>
      <c r="F3104" s="31">
        <v>6.5170000000000003</v>
      </c>
      <c r="G3104" s="34">
        <f>IF(ISNUMBER(F3104),E3104*F3104,"")</f>
        <v>13.034000000000001</v>
      </c>
      <c r="H3104" s="35"/>
      <c r="I3104" s="31"/>
      <c r="J3104" s="155">
        <v>0</v>
      </c>
    </row>
    <row r="3105" spans="1:10" ht="15.75" hidden="1" thickBot="1" x14ac:dyDescent="0.3">
      <c r="A3105" s="176"/>
      <c r="B3105" s="175"/>
      <c r="C3105" s="36" t="s">
        <v>980</v>
      </c>
      <c r="D3105" s="36" t="s">
        <v>95</v>
      </c>
      <c r="E3105" s="37">
        <v>1</v>
      </c>
      <c r="F3105" s="31">
        <v>147.6585</v>
      </c>
      <c r="G3105" s="34">
        <f>IF(ISNUMBER(F3105),E3105*F3105,"")</f>
        <v>147.6585</v>
      </c>
      <c r="H3105" s="35"/>
      <c r="I3105" s="31"/>
      <c r="J3105" s="155">
        <v>0</v>
      </c>
    </row>
    <row r="3106" spans="1:10" ht="15.75" hidden="1" thickBot="1" x14ac:dyDescent="0.3">
      <c r="A3106" s="177"/>
      <c r="B3106" s="178"/>
      <c r="C3106" s="36"/>
      <c r="D3106" s="36"/>
      <c r="E3106" s="37"/>
      <c r="F3106" s="31" t="s">
        <v>568</v>
      </c>
      <c r="G3106" s="34" t="str">
        <f>IF(ISNUMBER(F3106),E3106*F3106,"")</f>
        <v/>
      </c>
      <c r="H3106" s="35"/>
      <c r="I3106" s="31"/>
      <c r="J3106" s="155">
        <v>0</v>
      </c>
    </row>
    <row r="3107" spans="1:10" ht="15.75" hidden="1" thickBot="1" x14ac:dyDescent="0.3">
      <c r="A3107" s="172" t="s">
        <v>981</v>
      </c>
      <c r="B3107" s="174" t="str">
        <f>INDEX(Orçamentária!A:B,MATCH(Composições!A3107,Orçamentária!A:A,0),2)</f>
        <v>Recuperação de massa em esquadria metálica</v>
      </c>
      <c r="C3107" s="41"/>
      <c r="D3107" s="26" t="str">
        <f>TRIM(INDEX(Orçamentária!C:C,MATCH(Composições!A3107,Orçamentária!A:A,0),1))</f>
        <v>m</v>
      </c>
      <c r="E3107" s="27"/>
      <c r="F3107" s="42" t="s">
        <v>568</v>
      </c>
      <c r="G3107" s="28" t="str">
        <f>IF(ISNUMBER(F3107),E3107*F3107,"")</f>
        <v/>
      </c>
      <c r="H3107" s="29"/>
      <c r="I3107" s="30"/>
      <c r="J3107" s="155">
        <v>0</v>
      </c>
    </row>
    <row r="3108" spans="1:10" ht="15.75" hidden="1" thickBot="1" x14ac:dyDescent="0.3">
      <c r="A3108" s="176"/>
      <c r="B3108" s="175"/>
      <c r="C3108" s="32"/>
      <c r="D3108" s="32"/>
      <c r="E3108" s="33"/>
      <c r="F3108" s="43" t="s">
        <v>568</v>
      </c>
      <c r="G3108" s="34" t="str">
        <f>IF(ISNUMBER(F3108),E3108*F3108,"")</f>
        <v/>
      </c>
      <c r="H3108" s="35"/>
      <c r="I3108" s="31"/>
      <c r="J3108" s="155">
        <v>0</v>
      </c>
    </row>
    <row r="3109" spans="1:10" ht="15.75" hidden="1" thickBot="1" x14ac:dyDescent="0.3">
      <c r="A3109" s="176"/>
      <c r="B3109" s="175"/>
      <c r="C3109" s="36" t="s">
        <v>68</v>
      </c>
      <c r="D3109" s="50" t="s">
        <v>12</v>
      </c>
      <c r="E3109" s="37">
        <f>ROUND(1/3,4)</f>
        <v>0.33329999999999999</v>
      </c>
      <c r="F3109" s="34">
        <v>20.539000000000001</v>
      </c>
      <c r="G3109" s="34">
        <f>IF(ISNUMBER(F3109),E3109*F3109,"")</f>
        <v>6.8456486999999999</v>
      </c>
      <c r="H3109" s="39">
        <f>SUM(G3109:G3111)</f>
        <v>23.1419487</v>
      </c>
      <c r="I3109" s="40"/>
      <c r="J3109" s="155">
        <v>0</v>
      </c>
    </row>
    <row r="3110" spans="1:10" ht="15.75" hidden="1" thickBot="1" x14ac:dyDescent="0.3">
      <c r="A3110" s="176"/>
      <c r="B3110" s="175"/>
      <c r="C3110" s="36" t="s">
        <v>23</v>
      </c>
      <c r="D3110" s="36" t="s">
        <v>12</v>
      </c>
      <c r="E3110" s="37">
        <v>0.2</v>
      </c>
      <c r="F3110" s="34">
        <v>16.311500000000002</v>
      </c>
      <c r="G3110" s="34">
        <f>IF(ISNUMBER(F3110),E3110*F3110,"")</f>
        <v>3.2623000000000006</v>
      </c>
      <c r="H3110" s="35"/>
      <c r="I3110" s="31"/>
      <c r="J3110" s="155">
        <v>0</v>
      </c>
    </row>
    <row r="3111" spans="1:10" ht="15.75" hidden="1" thickBot="1" x14ac:dyDescent="0.3">
      <c r="A3111" s="176"/>
      <c r="B3111" s="175"/>
      <c r="C3111" s="36" t="s">
        <v>307</v>
      </c>
      <c r="D3111" s="36" t="s">
        <v>848</v>
      </c>
      <c r="E3111" s="37">
        <v>2</v>
      </c>
      <c r="F3111" s="31">
        <v>6.5170000000000003</v>
      </c>
      <c r="G3111" s="34">
        <f>IF(ISNUMBER(F3111),E3111*F3111,"")</f>
        <v>13.034000000000001</v>
      </c>
      <c r="H3111" s="35"/>
      <c r="I3111" s="31"/>
      <c r="J3111" s="155">
        <v>0</v>
      </c>
    </row>
    <row r="3112" spans="1:10" ht="15.75" hidden="1" thickBot="1" x14ac:dyDescent="0.3">
      <c r="A3112" s="177"/>
      <c r="B3112" s="178"/>
      <c r="C3112" s="36"/>
      <c r="D3112" s="36"/>
      <c r="E3112" s="37"/>
      <c r="F3112" s="31" t="s">
        <v>568</v>
      </c>
      <c r="G3112" s="34" t="str">
        <f>IF(ISNUMBER(F3112),E3112*F3112,"")</f>
        <v/>
      </c>
      <c r="H3112" s="35"/>
      <c r="I3112" s="31"/>
      <c r="J3112" s="155">
        <v>0</v>
      </c>
    </row>
    <row r="3113" spans="1:10" ht="15.75" hidden="1" thickBot="1" x14ac:dyDescent="0.3">
      <c r="A3113" s="172" t="s">
        <v>982</v>
      </c>
      <c r="B3113" s="174" t="str">
        <f>INDEX(Orçamentária!A:B,MATCH(Composições!A3113,Orçamentária!A:A,0),2)</f>
        <v>Instalação de espelho reaproveitado</v>
      </c>
      <c r="C3113" s="41"/>
      <c r="D3113" s="26" t="str">
        <f>TRIM(INDEX(Orçamentária!C:C,MATCH(Composições!A3113,Orçamentária!A:A,0),1))</f>
        <v>m2</v>
      </c>
      <c r="E3113" s="27"/>
      <c r="F3113" s="42" t="s">
        <v>568</v>
      </c>
      <c r="G3113" s="28" t="str">
        <f>IF(ISNUMBER(F3113),E3113*F3113,"")</f>
        <v/>
      </c>
      <c r="H3113" s="29"/>
      <c r="I3113" s="30"/>
      <c r="J3113" s="155">
        <v>0</v>
      </c>
    </row>
    <row r="3114" spans="1:10" ht="15.75" hidden="1" thickBot="1" x14ac:dyDescent="0.3">
      <c r="A3114" s="176"/>
      <c r="B3114" s="175"/>
      <c r="C3114" s="32"/>
      <c r="D3114" s="32"/>
      <c r="E3114" s="33"/>
      <c r="F3114" s="43" t="s">
        <v>568</v>
      </c>
      <c r="G3114" s="34" t="str">
        <f>IF(ISNUMBER(F3114),E3114*F3114,"")</f>
        <v/>
      </c>
      <c r="H3114" s="35"/>
      <c r="I3114" s="31"/>
      <c r="J3114" s="155">
        <v>0</v>
      </c>
    </row>
    <row r="3115" spans="1:10" ht="15.75" hidden="1" thickBot="1" x14ac:dyDescent="0.3">
      <c r="A3115" s="176"/>
      <c r="B3115" s="175"/>
      <c r="C3115" s="36" t="s">
        <v>23</v>
      </c>
      <c r="D3115" s="36" t="s">
        <v>12</v>
      </c>
      <c r="E3115" s="37">
        <v>0.4</v>
      </c>
      <c r="F3115" s="34">
        <v>16.311500000000002</v>
      </c>
      <c r="G3115" s="34">
        <f>IF(ISNUMBER(F3115),E3115*F3115,"")</f>
        <v>6.5246000000000013</v>
      </c>
      <c r="H3115" s="39">
        <f>SUM(G3115:G3117)</f>
        <v>64.778599999999997</v>
      </c>
      <c r="I3115" s="40"/>
      <c r="J3115" s="155">
        <v>0</v>
      </c>
    </row>
    <row r="3116" spans="1:10" ht="15.75" hidden="1" thickBot="1" x14ac:dyDescent="0.3">
      <c r="A3116" s="176"/>
      <c r="B3116" s="175"/>
      <c r="C3116" s="36" t="s">
        <v>68</v>
      </c>
      <c r="D3116" s="36" t="s">
        <v>12</v>
      </c>
      <c r="E3116" s="37">
        <v>2</v>
      </c>
      <c r="F3116" s="34">
        <v>20.539000000000001</v>
      </c>
      <c r="G3116" s="34">
        <f>IF(ISNUMBER(F3116),E3116*F3116,"")</f>
        <v>41.078000000000003</v>
      </c>
      <c r="H3116" s="35"/>
      <c r="I3116" s="31"/>
      <c r="J3116" s="155">
        <v>0</v>
      </c>
    </row>
    <row r="3117" spans="1:10" ht="26.25" hidden="1" thickBot="1" x14ac:dyDescent="0.3">
      <c r="A3117" s="176"/>
      <c r="B3117" s="175"/>
      <c r="C3117" s="36" t="s">
        <v>983</v>
      </c>
      <c r="D3117" s="36" t="s">
        <v>297</v>
      </c>
      <c r="E3117" s="37">
        <v>4</v>
      </c>
      <c r="F3117" s="31">
        <v>4.2939999999999996</v>
      </c>
      <c r="G3117" s="34">
        <f>IF(ISNUMBER(F3117),E3117*F3117,"")</f>
        <v>17.175999999999998</v>
      </c>
      <c r="H3117" s="35"/>
      <c r="I3117" s="31"/>
      <c r="J3117" s="155">
        <v>0</v>
      </c>
    </row>
    <row r="3118" spans="1:10" ht="15.75" hidden="1" thickBot="1" x14ac:dyDescent="0.3">
      <c r="A3118" s="177"/>
      <c r="B3118" s="178"/>
      <c r="C3118" s="36"/>
      <c r="D3118" s="36"/>
      <c r="E3118" s="37"/>
      <c r="F3118" s="31" t="s">
        <v>568</v>
      </c>
      <c r="G3118" s="34" t="str">
        <f>IF(ISNUMBER(F3118),E3118*F3118,"")</f>
        <v/>
      </c>
      <c r="H3118" s="35"/>
      <c r="I3118" s="31"/>
      <c r="J3118" s="155">
        <v>0</v>
      </c>
    </row>
    <row r="3119" spans="1:10" ht="15.75" hidden="1" thickBot="1" x14ac:dyDescent="0.3">
      <c r="A3119" s="172" t="s">
        <v>984</v>
      </c>
      <c r="B3119" s="174" t="str">
        <f>INDEX(Orçamentária!A:B,MATCH(Composições!A3119,Orçamentária!A:A,0),2)</f>
        <v>Espelho fumê/bronze 4mm lapidado</v>
      </c>
      <c r="C3119" s="41"/>
      <c r="D3119" s="26" t="str">
        <f>TRIM(INDEX(Orçamentária!C:C,MATCH(Composições!A3119,Orçamentária!A:A,0),1))</f>
        <v>m2</v>
      </c>
      <c r="E3119" s="27"/>
      <c r="F3119" s="42" t="s">
        <v>568</v>
      </c>
      <c r="G3119" s="28" t="str">
        <f>IF(ISNUMBER(F3119),E3119*F3119,"")</f>
        <v/>
      </c>
      <c r="H3119" s="29"/>
      <c r="I3119" s="30"/>
      <c r="J3119" s="155">
        <v>0</v>
      </c>
    </row>
    <row r="3120" spans="1:10" ht="15.75" hidden="1" thickBot="1" x14ac:dyDescent="0.3">
      <c r="A3120" s="176"/>
      <c r="B3120" s="175"/>
      <c r="C3120" s="32"/>
      <c r="D3120" s="32"/>
      <c r="E3120" s="33"/>
      <c r="F3120" s="43" t="s">
        <v>568</v>
      </c>
      <c r="G3120" s="34" t="str">
        <f>IF(ISNUMBER(F3120),E3120*F3120,"")</f>
        <v/>
      </c>
      <c r="H3120" s="35"/>
      <c r="I3120" s="31"/>
      <c r="J3120" s="155">
        <v>0</v>
      </c>
    </row>
    <row r="3121" spans="1:10" ht="26.25" hidden="1" thickBot="1" x14ac:dyDescent="0.3">
      <c r="A3121" s="176"/>
      <c r="B3121" s="175"/>
      <c r="C3121" s="36" t="s">
        <v>983</v>
      </c>
      <c r="D3121" s="47" t="s">
        <v>20</v>
      </c>
      <c r="E3121" s="37">
        <v>4</v>
      </c>
      <c r="F3121" s="34">
        <v>4.2939999999999996</v>
      </c>
      <c r="G3121" s="34">
        <f>IF(ISNUMBER(F3121),E3121*F3121,"")</f>
        <v>17.175999999999998</v>
      </c>
      <c r="H3121" s="39">
        <f>SUM(G3121:G3124)</f>
        <v>64.778600000000012</v>
      </c>
      <c r="I3121" s="40"/>
      <c r="J3121" s="155">
        <v>0</v>
      </c>
    </row>
    <row r="3122" spans="1:10" ht="15.75" hidden="1" thickBot="1" x14ac:dyDescent="0.3">
      <c r="A3122" s="176"/>
      <c r="B3122" s="175"/>
      <c r="C3122" s="36" t="s">
        <v>985</v>
      </c>
      <c r="D3122" s="47" t="s">
        <v>95</v>
      </c>
      <c r="E3122" s="37">
        <v>1</v>
      </c>
      <c r="F3122" s="34" t="s">
        <v>568</v>
      </c>
      <c r="G3122" s="34" t="str">
        <f>IF(ISNUMBER(F3122),E3122*F3122,"")</f>
        <v/>
      </c>
      <c r="H3122" s="35"/>
      <c r="I3122" s="31"/>
      <c r="J3122" s="155">
        <v>0</v>
      </c>
    </row>
    <row r="3123" spans="1:10" ht="15.75" hidden="1" thickBot="1" x14ac:dyDescent="0.3">
      <c r="A3123" s="176"/>
      <c r="B3123" s="175"/>
      <c r="C3123" s="36" t="s">
        <v>23</v>
      </c>
      <c r="D3123" s="47" t="s">
        <v>12</v>
      </c>
      <c r="E3123" s="37">
        <v>0.4</v>
      </c>
      <c r="F3123" s="31">
        <v>16.311500000000002</v>
      </c>
      <c r="G3123" s="34">
        <f>IF(ISNUMBER(F3123),E3123*F3123,"")</f>
        <v>6.5246000000000013</v>
      </c>
      <c r="H3123" s="35"/>
      <c r="I3123" s="31"/>
      <c r="J3123" s="155">
        <v>0</v>
      </c>
    </row>
    <row r="3124" spans="1:10" ht="15.75" hidden="1" thickBot="1" x14ac:dyDescent="0.3">
      <c r="A3124" s="176"/>
      <c r="B3124" s="175"/>
      <c r="C3124" s="36" t="s">
        <v>68</v>
      </c>
      <c r="D3124" s="47" t="s">
        <v>12</v>
      </c>
      <c r="E3124" s="37">
        <v>2</v>
      </c>
      <c r="F3124" s="31">
        <v>20.539000000000001</v>
      </c>
      <c r="G3124" s="34">
        <f>IF(ISNUMBER(F3124),E3124*F3124,"")</f>
        <v>41.078000000000003</v>
      </c>
      <c r="H3124" s="35"/>
      <c r="I3124" s="31"/>
      <c r="J3124" s="155">
        <v>0</v>
      </c>
    </row>
    <row r="3125" spans="1:10" ht="15.75" hidden="1" thickBot="1" x14ac:dyDescent="0.3">
      <c r="A3125" s="177"/>
      <c r="B3125" s="178"/>
      <c r="C3125" s="36"/>
      <c r="D3125" s="36"/>
      <c r="E3125" s="37"/>
      <c r="F3125" s="31" t="s">
        <v>568</v>
      </c>
      <c r="G3125" s="34" t="str">
        <f>IF(ISNUMBER(F3125),E3125*F3125,"")</f>
        <v/>
      </c>
      <c r="H3125" s="35"/>
      <c r="I3125" s="31"/>
      <c r="J3125" s="155">
        <v>0</v>
      </c>
    </row>
    <row r="3126" spans="1:10" ht="15.75" hidden="1" thickBot="1" x14ac:dyDescent="0.3">
      <c r="A3126" s="172" t="s">
        <v>986</v>
      </c>
      <c r="B3126" s="174" t="str">
        <f>INDEX(Orçamentária!A:B,MATCH(Composições!A3126,Orçamentária!A:A,0),2)</f>
        <v>Finesson (parafuso de fixação francês)</v>
      </c>
      <c r="C3126" s="41"/>
      <c r="D3126" s="26" t="str">
        <f>TRIM(INDEX(Orçamentária!C:C,MATCH(Composições!A3126,Orçamentária!A:A,0),1))</f>
        <v>un</v>
      </c>
      <c r="E3126" s="27"/>
      <c r="F3126" s="42" t="s">
        <v>568</v>
      </c>
      <c r="G3126" s="28" t="str">
        <f>IF(ISNUMBER(F3126),E3126*F3126,"")</f>
        <v/>
      </c>
      <c r="H3126" s="29"/>
      <c r="I3126" s="30"/>
      <c r="J3126" s="155">
        <v>0</v>
      </c>
    </row>
    <row r="3127" spans="1:10" ht="15.75" hidden="1" thickBot="1" x14ac:dyDescent="0.3">
      <c r="A3127" s="176"/>
      <c r="B3127" s="175"/>
      <c r="C3127" s="32"/>
      <c r="D3127" s="32"/>
      <c r="E3127" s="33"/>
      <c r="F3127" s="43" t="s">
        <v>568</v>
      </c>
      <c r="G3127" s="34" t="str">
        <f>IF(ISNUMBER(F3127),E3127*F3127,"")</f>
        <v/>
      </c>
      <c r="H3127" s="35"/>
      <c r="I3127" s="31"/>
      <c r="J3127" s="155">
        <v>0</v>
      </c>
    </row>
    <row r="3128" spans="1:10" ht="15.75" hidden="1" thickBot="1" x14ac:dyDescent="0.3">
      <c r="A3128" s="176"/>
      <c r="B3128" s="175"/>
      <c r="C3128" s="36" t="s">
        <v>68</v>
      </c>
      <c r="D3128" s="36" t="s">
        <v>12</v>
      </c>
      <c r="E3128" s="37">
        <v>0.1</v>
      </c>
      <c r="F3128" s="34">
        <v>20.539000000000001</v>
      </c>
      <c r="G3128" s="34">
        <f>IF(ISNUMBER(F3128),E3128*F3128,"")</f>
        <v>2.0539000000000001</v>
      </c>
      <c r="H3128" s="39">
        <f>SUM(G3128:G3129)</f>
        <v>6.3478999999999992</v>
      </c>
      <c r="I3128" s="40"/>
      <c r="J3128" s="155">
        <v>0</v>
      </c>
    </row>
    <row r="3129" spans="1:10" ht="26.25" hidden="1" thickBot="1" x14ac:dyDescent="0.3">
      <c r="A3129" s="176"/>
      <c r="B3129" s="175"/>
      <c r="C3129" s="36" t="s">
        <v>983</v>
      </c>
      <c r="D3129" s="36" t="s">
        <v>20</v>
      </c>
      <c r="E3129" s="37">
        <v>1</v>
      </c>
      <c r="F3129" s="31">
        <v>4.2939999999999996</v>
      </c>
      <c r="G3129" s="34">
        <f>IF(ISNUMBER(F3129),E3129*F3129,"")</f>
        <v>4.2939999999999996</v>
      </c>
      <c r="H3129" s="35"/>
      <c r="I3129" s="31"/>
      <c r="J3129" s="155">
        <v>0</v>
      </c>
    </row>
    <row r="3130" spans="1:10" ht="15.75" hidden="1" thickBot="1" x14ac:dyDescent="0.3">
      <c r="A3130" s="177"/>
      <c r="B3130" s="178"/>
      <c r="C3130" s="36"/>
      <c r="D3130" s="36"/>
      <c r="E3130" s="37"/>
      <c r="F3130" s="31" t="s">
        <v>568</v>
      </c>
      <c r="G3130" s="34" t="str">
        <f>IF(ISNUMBER(F3130),E3130*F3130,"")</f>
        <v/>
      </c>
      <c r="H3130" s="35"/>
      <c r="I3130" s="31"/>
      <c r="J3130" s="155">
        <v>0</v>
      </c>
    </row>
    <row r="3131" spans="1:10" ht="15.75" hidden="1" thickBot="1" x14ac:dyDescent="0.3">
      <c r="A3131" s="172" t="s">
        <v>987</v>
      </c>
      <c r="B3131" s="174" t="str">
        <f>INDEX(Orçamentária!A:B,MATCH(Composições!A3131,Orçamentária!A:A,0),2)</f>
        <v>Graute industrializado, fck ≥ 25MPa</v>
      </c>
      <c r="C3131" s="41"/>
      <c r="D3131" s="26" t="str">
        <f>TRIM(INDEX(Orçamentária!C:C,MATCH(Composições!A3131,Orçamentária!A:A,0),1))</f>
        <v>m3</v>
      </c>
      <c r="E3131" s="27"/>
      <c r="F3131" s="42" t="s">
        <v>568</v>
      </c>
      <c r="G3131" s="28" t="str">
        <f>IF(ISNUMBER(F3131),E3131*F3131,"")</f>
        <v/>
      </c>
      <c r="H3131" s="29"/>
      <c r="I3131" s="30"/>
      <c r="J3131" s="155">
        <v>0</v>
      </c>
    </row>
    <row r="3132" spans="1:10" ht="15.75" hidden="1" thickBot="1" x14ac:dyDescent="0.3">
      <c r="A3132" s="176"/>
      <c r="B3132" s="175"/>
      <c r="C3132" s="32"/>
      <c r="D3132" s="32"/>
      <c r="E3132" s="33"/>
      <c r="F3132" s="43" t="s">
        <v>568</v>
      </c>
      <c r="G3132" s="34" t="str">
        <f>IF(ISNUMBER(F3132),E3132*F3132,"")</f>
        <v/>
      </c>
      <c r="H3132" s="35"/>
      <c r="I3132" s="31"/>
      <c r="J3132" s="155">
        <v>0</v>
      </c>
    </row>
    <row r="3133" spans="1:10" ht="15.75" hidden="1" thickBot="1" x14ac:dyDescent="0.3">
      <c r="A3133" s="176"/>
      <c r="B3133" s="175"/>
      <c r="C3133" s="36" t="s">
        <v>764</v>
      </c>
      <c r="D3133" s="47" t="s">
        <v>755</v>
      </c>
      <c r="E3133" s="37">
        <v>4.7313999999999998</v>
      </c>
      <c r="F3133" s="31">
        <v>22.087499999999999</v>
      </c>
      <c r="G3133" s="34">
        <f>IF(ISNUMBER(F3133),E3133*F3133,"")</f>
        <v>104.5047975</v>
      </c>
      <c r="H3133" s="39">
        <f>SUM(G3133:G3135)</f>
        <v>2741.9053634000002</v>
      </c>
      <c r="I3133" s="40"/>
      <c r="J3133" s="155">
        <v>0</v>
      </c>
    </row>
    <row r="3134" spans="1:10" ht="15.75" hidden="1" thickBot="1" x14ac:dyDescent="0.3">
      <c r="A3134" s="176"/>
      <c r="B3134" s="175"/>
      <c r="C3134" s="36" t="s">
        <v>756</v>
      </c>
      <c r="D3134" s="47" t="s">
        <v>755</v>
      </c>
      <c r="E3134" s="37">
        <v>3.3466</v>
      </c>
      <c r="F3134" s="31">
        <v>16.311500000000002</v>
      </c>
      <c r="G3134" s="34">
        <f>IF(ISNUMBER(F3134),E3134*F3134,"")</f>
        <v>54.588065900000011</v>
      </c>
      <c r="H3134" s="35"/>
      <c r="I3134" s="31"/>
      <c r="J3134" s="155">
        <v>0</v>
      </c>
    </row>
    <row r="3135" spans="1:10" ht="15.75" hidden="1" thickBot="1" x14ac:dyDescent="0.3">
      <c r="A3135" s="176"/>
      <c r="B3135" s="175"/>
      <c r="C3135" s="36" t="s">
        <v>988</v>
      </c>
      <c r="D3135" s="47" t="s">
        <v>953</v>
      </c>
      <c r="E3135" s="37">
        <v>1875</v>
      </c>
      <c r="F3135" s="31">
        <v>1.3774999999999999</v>
      </c>
      <c r="G3135" s="34">
        <f>IF(ISNUMBER(F3135),E3135*F3135,"")</f>
        <v>2582.8125</v>
      </c>
      <c r="H3135" s="35"/>
      <c r="I3135" s="31"/>
      <c r="J3135" s="155">
        <v>0</v>
      </c>
    </row>
    <row r="3136" spans="1:10" ht="15.75" hidden="1" thickBot="1" x14ac:dyDescent="0.3">
      <c r="A3136" s="177"/>
      <c r="B3136" s="178"/>
      <c r="C3136" s="36"/>
      <c r="D3136" s="36"/>
      <c r="E3136" s="37"/>
      <c r="F3136" s="31" t="s">
        <v>568</v>
      </c>
      <c r="G3136" s="34" t="str">
        <f>IF(ISNUMBER(F3136),E3136*F3136,"")</f>
        <v/>
      </c>
      <c r="H3136" s="35"/>
      <c r="I3136" s="31"/>
      <c r="J3136" s="155">
        <v>0</v>
      </c>
    </row>
    <row r="3137" spans="1:10" ht="15.75" hidden="1" thickBot="1" x14ac:dyDescent="0.3">
      <c r="A3137" s="172" t="s">
        <v>989</v>
      </c>
      <c r="B3137" s="174" t="str">
        <f>INDEX(Orçamentária!A:B,MATCH(Composições!A3137,Orçamentária!A:A,0),2)</f>
        <v>Armação de aço CA-50 bitolas de 10,0mm a 12,50mm</v>
      </c>
      <c r="C3137" s="41"/>
      <c r="D3137" s="26" t="str">
        <f>TRIM(INDEX(Orçamentária!C:C,MATCH(Composições!A3137,Orçamentária!A:A,0),1))</f>
        <v>kg</v>
      </c>
      <c r="E3137" s="27"/>
      <c r="F3137" s="42" t="s">
        <v>568</v>
      </c>
      <c r="G3137" s="28" t="str">
        <f>IF(ISNUMBER(F3137),E3137*F3137,"")</f>
        <v/>
      </c>
      <c r="H3137" s="29"/>
      <c r="I3137" s="30"/>
      <c r="J3137" s="155">
        <v>0</v>
      </c>
    </row>
    <row r="3138" spans="1:10" ht="15.75" hidden="1" thickBot="1" x14ac:dyDescent="0.3">
      <c r="A3138" s="176"/>
      <c r="B3138" s="175"/>
      <c r="C3138" s="32"/>
      <c r="D3138" s="32"/>
      <c r="E3138" s="33"/>
      <c r="F3138" s="43" t="s">
        <v>568</v>
      </c>
      <c r="G3138" s="34" t="str">
        <f>IF(ISNUMBER(F3138),E3138*F3138,"")</f>
        <v/>
      </c>
      <c r="H3138" s="35"/>
      <c r="I3138" s="31"/>
      <c r="J3138" s="155">
        <v>0</v>
      </c>
    </row>
    <row r="3139" spans="1:10" ht="26.25" hidden="1" thickBot="1" x14ac:dyDescent="0.3">
      <c r="A3139" s="176"/>
      <c r="B3139" s="175"/>
      <c r="C3139" s="36" t="s">
        <v>3599</v>
      </c>
      <c r="D3139" s="47" t="s">
        <v>953</v>
      </c>
      <c r="E3139" s="37">
        <v>2.5000000000000001E-2</v>
      </c>
      <c r="F3139" s="31">
        <v>18.838499999999996</v>
      </c>
      <c r="G3139" s="34">
        <f>IF(ISNUMBER(F3139),E3139*F3139,"")</f>
        <v>0.47096249999999995</v>
      </c>
      <c r="H3139" s="39">
        <f>SUM(G3139:G3143)</f>
        <v>11.1327137</v>
      </c>
      <c r="I3139" s="40"/>
      <c r="J3139" s="155">
        <v>0</v>
      </c>
    </row>
    <row r="3140" spans="1:10" ht="39" hidden="1" thickBot="1" x14ac:dyDescent="0.3">
      <c r="A3140" s="176"/>
      <c r="B3140" s="175"/>
      <c r="C3140" s="36" t="s">
        <v>954</v>
      </c>
      <c r="D3140" s="47" t="s">
        <v>297</v>
      </c>
      <c r="E3140" s="37">
        <v>0.36699999999999999</v>
      </c>
      <c r="F3140" s="31">
        <v>0.17099999999999999</v>
      </c>
      <c r="G3140" s="34">
        <f>IF(ISNUMBER(F3140),E3140*F3140,"")</f>
        <v>6.2756999999999993E-2</v>
      </c>
      <c r="H3140" s="35"/>
      <c r="I3140" s="31"/>
      <c r="J3140" s="155">
        <v>0</v>
      </c>
    </row>
    <row r="3141" spans="1:10" ht="15.75" hidden="1" thickBot="1" x14ac:dyDescent="0.3">
      <c r="A3141" s="176"/>
      <c r="B3141" s="175"/>
      <c r="C3141" s="36" t="s">
        <v>955</v>
      </c>
      <c r="D3141" s="47" t="s">
        <v>755</v>
      </c>
      <c r="E3141" s="37">
        <v>1.14E-2</v>
      </c>
      <c r="F3141" s="31">
        <v>17.081</v>
      </c>
      <c r="G3141" s="34">
        <f>IF(ISNUMBER(F3141),E3141*F3141,"")</f>
        <v>0.19472339999999999</v>
      </c>
      <c r="H3141" s="35"/>
      <c r="I3141" s="31"/>
      <c r="J3141" s="155">
        <v>0</v>
      </c>
    </row>
    <row r="3142" spans="1:10" ht="15.75" hidden="1" thickBot="1" x14ac:dyDescent="0.3">
      <c r="A3142" s="176"/>
      <c r="B3142" s="175"/>
      <c r="C3142" s="36" t="s">
        <v>956</v>
      </c>
      <c r="D3142" s="47" t="s">
        <v>755</v>
      </c>
      <c r="E3142" s="37">
        <v>6.9800000000000001E-2</v>
      </c>
      <c r="F3142" s="31">
        <v>21.973499999999998</v>
      </c>
      <c r="G3142" s="34">
        <f>IF(ISNUMBER(F3142),E3142*F3142,"")</f>
        <v>1.5337502999999999</v>
      </c>
      <c r="H3142" s="35"/>
      <c r="I3142" s="31"/>
      <c r="J3142" s="155">
        <v>0</v>
      </c>
    </row>
    <row r="3143" spans="1:10" ht="26.25" hidden="1" thickBot="1" x14ac:dyDescent="0.3">
      <c r="A3143" s="176"/>
      <c r="B3143" s="175"/>
      <c r="C3143" s="36" t="s">
        <v>990</v>
      </c>
      <c r="D3143" s="47" t="s">
        <v>953</v>
      </c>
      <c r="E3143" s="37">
        <v>1</v>
      </c>
      <c r="F3143" s="31">
        <v>8.8705205000000014</v>
      </c>
      <c r="G3143" s="34">
        <f>IF(ISNUMBER(F3143),E3143*F3143,"")</f>
        <v>8.8705205000000014</v>
      </c>
      <c r="H3143" s="35"/>
      <c r="I3143" s="31"/>
      <c r="J3143" s="155">
        <v>0</v>
      </c>
    </row>
    <row r="3144" spans="1:10" ht="15.75" hidden="1" thickBot="1" x14ac:dyDescent="0.3">
      <c r="A3144" s="177"/>
      <c r="B3144" s="178"/>
      <c r="C3144" s="36"/>
      <c r="D3144" s="36"/>
      <c r="E3144" s="37"/>
      <c r="F3144" s="31" t="s">
        <v>568</v>
      </c>
      <c r="G3144" s="34" t="str">
        <f>IF(ISNUMBER(F3144),E3144*F3144,"")</f>
        <v/>
      </c>
      <c r="H3144" s="35"/>
      <c r="I3144" s="31"/>
      <c r="J3144" s="155">
        <v>0</v>
      </c>
    </row>
    <row r="3145" spans="1:10" ht="15.75" hidden="1" thickBot="1" x14ac:dyDescent="0.3">
      <c r="A3145" s="172" t="s">
        <v>991</v>
      </c>
      <c r="B3145" s="174" t="str">
        <f>INDEX(Orçamentária!A:B,MATCH(Composições!A3145,Orçamentária!A:A,0),2)</f>
        <v>Armação de aço CA-50 bitolas de 16,0mm a 25,0mm</v>
      </c>
      <c r="C3145" s="41"/>
      <c r="D3145" s="26" t="str">
        <f>TRIM(INDEX(Orçamentária!C:C,MATCH(Composições!A3145,Orçamentária!A:A,0),1))</f>
        <v>kg</v>
      </c>
      <c r="E3145" s="27"/>
      <c r="F3145" s="42" t="s">
        <v>568</v>
      </c>
      <c r="G3145" s="28" t="str">
        <f>IF(ISNUMBER(F3145),E3145*F3145,"")</f>
        <v/>
      </c>
      <c r="H3145" s="29"/>
      <c r="I3145" s="30"/>
      <c r="J3145" s="155">
        <v>0</v>
      </c>
    </row>
    <row r="3146" spans="1:10" ht="15.75" hidden="1" thickBot="1" x14ac:dyDescent="0.3">
      <c r="A3146" s="176"/>
      <c r="B3146" s="175"/>
      <c r="C3146" s="32"/>
      <c r="D3146" s="32"/>
      <c r="E3146" s="33"/>
      <c r="F3146" s="43" t="s">
        <v>568</v>
      </c>
      <c r="G3146" s="34" t="str">
        <f>IF(ISNUMBER(F3146),E3146*F3146,"")</f>
        <v/>
      </c>
      <c r="H3146" s="35"/>
      <c r="I3146" s="31"/>
      <c r="J3146" s="155">
        <v>0</v>
      </c>
    </row>
    <row r="3147" spans="1:10" ht="26.25" hidden="1" thickBot="1" x14ac:dyDescent="0.3">
      <c r="A3147" s="176"/>
      <c r="B3147" s="175"/>
      <c r="C3147" s="36" t="s">
        <v>3599</v>
      </c>
      <c r="D3147" s="47" t="s">
        <v>953</v>
      </c>
      <c r="E3147" s="37">
        <v>2.5000000000000001E-2</v>
      </c>
      <c r="F3147" s="31">
        <v>18.838499999999996</v>
      </c>
      <c r="G3147" s="34">
        <f>IF(ISNUMBER(F3147),E3147*F3147,"")</f>
        <v>0.47096249999999995</v>
      </c>
      <c r="H3147" s="39">
        <f>SUM(G3147:G3151)</f>
        <v>11.606248799999999</v>
      </c>
      <c r="I3147" s="40"/>
      <c r="J3147" s="155">
        <v>0</v>
      </c>
    </row>
    <row r="3148" spans="1:10" ht="39" hidden="1" thickBot="1" x14ac:dyDescent="0.3">
      <c r="A3148" s="176"/>
      <c r="B3148" s="175"/>
      <c r="C3148" s="36" t="s">
        <v>954</v>
      </c>
      <c r="D3148" s="47" t="s">
        <v>297</v>
      </c>
      <c r="E3148" s="37">
        <v>0.113</v>
      </c>
      <c r="F3148" s="31">
        <v>0.17099999999999999</v>
      </c>
      <c r="G3148" s="34">
        <f>IF(ISNUMBER(F3148),E3148*F3148,"")</f>
        <v>1.9323E-2</v>
      </c>
      <c r="H3148" s="35"/>
      <c r="I3148" s="31"/>
      <c r="J3148" s="155">
        <v>0</v>
      </c>
    </row>
    <row r="3149" spans="1:10" ht="15.75" hidden="1" thickBot="1" x14ac:dyDescent="0.3">
      <c r="A3149" s="176"/>
      <c r="B3149" s="175"/>
      <c r="C3149" s="36" t="s">
        <v>955</v>
      </c>
      <c r="D3149" s="47" t="s">
        <v>755</v>
      </c>
      <c r="E3149" s="37">
        <v>5.1000000000000004E-3</v>
      </c>
      <c r="F3149" s="31">
        <v>17.081</v>
      </c>
      <c r="G3149" s="34">
        <f>IF(ISNUMBER(F3149),E3149*F3149,"")</f>
        <v>8.7113099999999999E-2</v>
      </c>
      <c r="H3149" s="35"/>
      <c r="I3149" s="31"/>
      <c r="J3149" s="155">
        <v>0</v>
      </c>
    </row>
    <row r="3150" spans="1:10" ht="15.75" hidden="1" thickBot="1" x14ac:dyDescent="0.3">
      <c r="A3150" s="176"/>
      <c r="B3150" s="175"/>
      <c r="C3150" s="36" t="s">
        <v>956</v>
      </c>
      <c r="D3150" s="47" t="s">
        <v>755</v>
      </c>
      <c r="E3150" s="37">
        <v>3.1199999999999999E-2</v>
      </c>
      <c r="F3150" s="31">
        <v>21.973499999999998</v>
      </c>
      <c r="G3150" s="34">
        <f>IF(ISNUMBER(F3150),E3150*F3150,"")</f>
        <v>0.68557319999999988</v>
      </c>
      <c r="H3150" s="35"/>
      <c r="I3150" s="31"/>
      <c r="J3150" s="155">
        <v>0</v>
      </c>
    </row>
    <row r="3151" spans="1:10" ht="26.25" hidden="1" thickBot="1" x14ac:dyDescent="0.3">
      <c r="A3151" s="176"/>
      <c r="B3151" s="175"/>
      <c r="C3151" s="36" t="s">
        <v>992</v>
      </c>
      <c r="D3151" s="47" t="s">
        <v>953</v>
      </c>
      <c r="E3151" s="37">
        <v>1</v>
      </c>
      <c r="F3151" s="31">
        <v>10.343276999999999</v>
      </c>
      <c r="G3151" s="34">
        <f>IF(ISNUMBER(F3151),E3151*F3151,"")</f>
        <v>10.343276999999999</v>
      </c>
      <c r="H3151" s="35"/>
      <c r="I3151" s="31"/>
      <c r="J3151" s="155">
        <v>0</v>
      </c>
    </row>
    <row r="3152" spans="1:10" ht="15.75" hidden="1" thickBot="1" x14ac:dyDescent="0.3">
      <c r="A3152" s="177"/>
      <c r="B3152" s="178"/>
      <c r="C3152" s="36"/>
      <c r="D3152" s="36"/>
      <c r="E3152" s="37"/>
      <c r="F3152" s="31" t="s">
        <v>568</v>
      </c>
      <c r="G3152" s="34" t="str">
        <f>IF(ISNUMBER(F3152),E3152*F3152,"")</f>
        <v/>
      </c>
      <c r="H3152" s="35"/>
      <c r="I3152" s="31"/>
      <c r="J3152" s="155">
        <v>0</v>
      </c>
    </row>
    <row r="3153" spans="1:10" ht="15.75" hidden="1" thickBot="1" x14ac:dyDescent="0.3">
      <c r="A3153" s="172" t="s">
        <v>993</v>
      </c>
      <c r="B3153" s="174" t="str">
        <f>INDEX(Orçamentária!A:B,MATCH(Composições!A3153,Orçamentária!A:A,0),2)</f>
        <v>Remoção de mola hidráulica de piso</v>
      </c>
      <c r="C3153" s="41"/>
      <c r="D3153" s="26" t="str">
        <f>TRIM(INDEX(Orçamentária!C:C,MATCH(Composições!A3153,Orçamentária!A:A,0),1))</f>
        <v>un</v>
      </c>
      <c r="E3153" s="27"/>
      <c r="F3153" s="42" t="s">
        <v>568</v>
      </c>
      <c r="G3153" s="28" t="str">
        <f>IF(ISNUMBER(F3153),E3153*F3153,"")</f>
        <v/>
      </c>
      <c r="H3153" s="29"/>
      <c r="I3153" s="30"/>
      <c r="J3153" s="155">
        <v>0</v>
      </c>
    </row>
    <row r="3154" spans="1:10" ht="15.75" hidden="1" thickBot="1" x14ac:dyDescent="0.3">
      <c r="A3154" s="176"/>
      <c r="B3154" s="175"/>
      <c r="C3154" s="151"/>
      <c r="D3154" s="32"/>
      <c r="E3154" s="33"/>
      <c r="F3154" s="43" t="s">
        <v>568</v>
      </c>
      <c r="G3154" s="34" t="str">
        <f>IF(ISNUMBER(F3154),E3154*F3154,"")</f>
        <v/>
      </c>
      <c r="H3154" s="35"/>
      <c r="I3154" s="31"/>
      <c r="J3154" s="155">
        <v>0</v>
      </c>
    </row>
    <row r="3155" spans="1:10" ht="15.75" hidden="1" thickBot="1" x14ac:dyDescent="0.3">
      <c r="A3155" s="176"/>
      <c r="B3155" s="175"/>
      <c r="C3155" s="36" t="s">
        <v>23</v>
      </c>
      <c r="D3155" s="47" t="s">
        <v>12</v>
      </c>
      <c r="E3155" s="37">
        <v>0.55000000000000004</v>
      </c>
      <c r="F3155" s="31">
        <v>16.311500000000002</v>
      </c>
      <c r="G3155" s="34">
        <f>IF(ISNUMBER(F3155),E3155*F3155,"")</f>
        <v>8.971325000000002</v>
      </c>
      <c r="H3155" s="39">
        <f>SUM(G3155:G3156)</f>
        <v>20.267775000000004</v>
      </c>
      <c r="I3155" s="40"/>
      <c r="J3155" s="155">
        <v>0</v>
      </c>
    </row>
    <row r="3156" spans="1:10" ht="15.75" hidden="1" thickBot="1" x14ac:dyDescent="0.3">
      <c r="A3156" s="176"/>
      <c r="B3156" s="175"/>
      <c r="C3156" s="36" t="s">
        <v>68</v>
      </c>
      <c r="D3156" s="47" t="s">
        <v>12</v>
      </c>
      <c r="E3156" s="37">
        <v>0.55000000000000004</v>
      </c>
      <c r="F3156" s="31">
        <v>20.539000000000001</v>
      </c>
      <c r="G3156" s="34">
        <f>IF(ISNUMBER(F3156),E3156*F3156,"")</f>
        <v>11.296450000000002</v>
      </c>
      <c r="H3156" s="35"/>
      <c r="I3156" s="31"/>
      <c r="J3156" s="155">
        <v>0</v>
      </c>
    </row>
    <row r="3157" spans="1:10" ht="15.75" hidden="1" thickBot="1" x14ac:dyDescent="0.3">
      <c r="A3157" s="177"/>
      <c r="B3157" s="178"/>
      <c r="C3157" s="36"/>
      <c r="D3157" s="36"/>
      <c r="E3157" s="37"/>
      <c r="F3157" s="31" t="s">
        <v>568</v>
      </c>
      <c r="G3157" s="34" t="str">
        <f>IF(ISNUMBER(F3157),E3157*F3157,"")</f>
        <v/>
      </c>
      <c r="H3157" s="35"/>
      <c r="I3157" s="31"/>
      <c r="J3157" s="155">
        <v>0</v>
      </c>
    </row>
    <row r="3158" spans="1:10" ht="15.75" thickBot="1" x14ac:dyDescent="0.3">
      <c r="A3158" s="172" t="s">
        <v>994</v>
      </c>
      <c r="B3158" s="174" t="str">
        <f>INDEX(Orçamentária!A:B,MATCH(Composições!A3158,Orçamentária!A:A,0),2)</f>
        <v>Escavação manual de valas</v>
      </c>
      <c r="C3158" s="41"/>
      <c r="D3158" s="26" t="str">
        <f>TRIM(INDEX(Orçamentária!C:C,MATCH(Composições!A3158,Orçamentária!A:A,0),1))</f>
        <v>m3</v>
      </c>
      <c r="E3158" s="27"/>
      <c r="F3158" s="42" t="s">
        <v>568</v>
      </c>
      <c r="G3158" s="28" t="str">
        <f>IF(ISNUMBER(F3158),E3158*F3158,"")</f>
        <v/>
      </c>
      <c r="H3158" s="29"/>
      <c r="I3158" s="30"/>
      <c r="J3158" s="155">
        <v>1.7</v>
      </c>
    </row>
    <row r="3159" spans="1:10" x14ac:dyDescent="0.25">
      <c r="A3159" s="176"/>
      <c r="B3159" s="175"/>
      <c r="C3159" s="32"/>
      <c r="D3159" s="32"/>
      <c r="E3159" s="33"/>
      <c r="F3159" s="43" t="s">
        <v>568</v>
      </c>
      <c r="G3159" s="34" t="str">
        <f>IF(ISNUMBER(F3159),E3159*F3159,"")</f>
        <v/>
      </c>
      <c r="H3159" s="35"/>
      <c r="I3159" s="31"/>
      <c r="J3159" s="155">
        <v>1.7</v>
      </c>
    </row>
    <row r="3160" spans="1:10" x14ac:dyDescent="0.25">
      <c r="A3160" s="176"/>
      <c r="B3160" s="175"/>
      <c r="C3160" s="36" t="s">
        <v>23</v>
      </c>
      <c r="D3160" s="47" t="s">
        <v>12</v>
      </c>
      <c r="E3160" s="37">
        <v>3.956</v>
      </c>
      <c r="F3160" s="31">
        <v>16.311500000000002</v>
      </c>
      <c r="G3160" s="34">
        <f>IF(ISNUMBER(F3160),E3160*F3160,"")</f>
        <v>64.528294000000002</v>
      </c>
      <c r="H3160" s="39">
        <f>SUM(G3160:G3160)</f>
        <v>64.528294000000002</v>
      </c>
      <c r="I3160" s="40"/>
      <c r="J3160" s="155">
        <v>1.7</v>
      </c>
    </row>
    <row r="3161" spans="1:10" ht="15.75" thickBot="1" x14ac:dyDescent="0.3">
      <c r="A3161" s="177"/>
      <c r="B3161" s="178"/>
      <c r="C3161" s="36"/>
      <c r="D3161" s="36"/>
      <c r="E3161" s="37"/>
      <c r="F3161" s="31" t="s">
        <v>568</v>
      </c>
      <c r="G3161" s="34" t="str">
        <f>IF(ISNUMBER(F3161),E3161*F3161,"")</f>
        <v/>
      </c>
      <c r="H3161" s="35"/>
      <c r="I3161" s="31"/>
      <c r="J3161" s="155">
        <v>1.7</v>
      </c>
    </row>
    <row r="3162" spans="1:10" ht="15.75" hidden="1" thickBot="1" x14ac:dyDescent="0.3">
      <c r="A3162" s="172" t="s">
        <v>995</v>
      </c>
      <c r="B3162" s="174" t="str">
        <f>INDEX(Orçamentária!A:B,MATCH(Composições!A3162,Orçamentária!A:A,0),2)</f>
        <v>Reaterro de vala com compactação mecanizada</v>
      </c>
      <c r="C3162" s="41"/>
      <c r="D3162" s="26" t="str">
        <f>TRIM(INDEX(Orçamentária!C:C,MATCH(Composições!A3162,Orçamentária!A:A,0),1))</f>
        <v>m3</v>
      </c>
      <c r="E3162" s="27"/>
      <c r="F3162" s="42" t="s">
        <v>568</v>
      </c>
      <c r="G3162" s="28" t="str">
        <f>IF(ISNUMBER(F3162),E3162*F3162,"")</f>
        <v/>
      </c>
      <c r="H3162" s="29"/>
      <c r="I3162" s="30"/>
      <c r="J3162" s="155">
        <v>0</v>
      </c>
    </row>
    <row r="3163" spans="1:10" ht="15.75" hidden="1" thickBot="1" x14ac:dyDescent="0.3">
      <c r="A3163" s="176"/>
      <c r="B3163" s="175"/>
      <c r="C3163" s="32"/>
      <c r="D3163" s="32"/>
      <c r="E3163" s="33"/>
      <c r="F3163" s="43" t="s">
        <v>568</v>
      </c>
      <c r="G3163" s="34" t="str">
        <f>IF(ISNUMBER(F3163),E3163*F3163,"")</f>
        <v/>
      </c>
      <c r="H3163" s="35"/>
      <c r="I3163" s="31"/>
      <c r="J3163" s="155">
        <v>0</v>
      </c>
    </row>
    <row r="3164" spans="1:10" ht="15.75" hidden="1" thickBot="1" x14ac:dyDescent="0.3">
      <c r="A3164" s="176"/>
      <c r="B3164" s="175"/>
      <c r="C3164" s="36" t="s">
        <v>756</v>
      </c>
      <c r="D3164" s="47" t="s">
        <v>755</v>
      </c>
      <c r="E3164" s="37">
        <v>0.65</v>
      </c>
      <c r="F3164" s="31">
        <v>16.311500000000002</v>
      </c>
      <c r="G3164" s="34">
        <f>IF(ISNUMBER(F3164),E3164*F3164,"")</f>
        <v>10.602475000000002</v>
      </c>
      <c r="H3164" s="39">
        <f>SUM(G3164:G3167)</f>
        <v>23.257406000000003</v>
      </c>
      <c r="I3164" s="40"/>
      <c r="J3164" s="155">
        <v>0</v>
      </c>
    </row>
    <row r="3165" spans="1:10" ht="26.25" hidden="1" thickBot="1" x14ac:dyDescent="0.3">
      <c r="A3165" s="176"/>
      <c r="B3165" s="175"/>
      <c r="C3165" s="36" t="s">
        <v>996</v>
      </c>
      <c r="D3165" s="47" t="s">
        <v>997</v>
      </c>
      <c r="E3165" s="37">
        <v>0.27400000000000002</v>
      </c>
      <c r="F3165" s="31">
        <v>24.291499999999999</v>
      </c>
      <c r="G3165" s="34">
        <f>IF(ISNUMBER(F3165),E3165*F3165,"")</f>
        <v>6.6558710000000003</v>
      </c>
      <c r="H3165" s="35"/>
      <c r="I3165" s="31"/>
      <c r="J3165" s="155">
        <v>0</v>
      </c>
    </row>
    <row r="3166" spans="1:10" ht="26.25" hidden="1" thickBot="1" x14ac:dyDescent="0.3">
      <c r="A3166" s="176"/>
      <c r="B3166" s="175"/>
      <c r="C3166" s="36" t="s">
        <v>998</v>
      </c>
      <c r="D3166" s="47" t="s">
        <v>999</v>
      </c>
      <c r="E3166" s="37">
        <v>0.254</v>
      </c>
      <c r="F3166" s="31">
        <v>17.974</v>
      </c>
      <c r="G3166" s="34">
        <f>IF(ISNUMBER(F3166),E3166*F3166,"")</f>
        <v>4.5653959999999998</v>
      </c>
      <c r="H3166" s="35"/>
      <c r="I3166" s="31"/>
      <c r="J3166" s="155">
        <v>0</v>
      </c>
    </row>
    <row r="3167" spans="1:10" ht="26.25" hidden="1" thickBot="1" x14ac:dyDescent="0.3">
      <c r="A3167" s="176"/>
      <c r="B3167" s="175"/>
      <c r="C3167" s="36" t="s">
        <v>1000</v>
      </c>
      <c r="D3167" s="36" t="s">
        <v>123</v>
      </c>
      <c r="E3167" s="37">
        <v>1</v>
      </c>
      <c r="F3167" s="31">
        <v>1.433664</v>
      </c>
      <c r="G3167" s="34">
        <f>IF(ISNUMBER(F3167),E3167*F3167,"")</f>
        <v>1.433664</v>
      </c>
      <c r="H3167" s="35"/>
      <c r="I3167" s="31"/>
      <c r="J3167" s="155">
        <v>0</v>
      </c>
    </row>
    <row r="3168" spans="1:10" ht="15.75" hidden="1" thickBot="1" x14ac:dyDescent="0.3">
      <c r="A3168" s="177"/>
      <c r="B3168" s="178"/>
      <c r="C3168" s="36"/>
      <c r="D3168" s="36"/>
      <c r="E3168" s="37"/>
      <c r="F3168" s="31" t="s">
        <v>568</v>
      </c>
      <c r="G3168" s="34" t="str">
        <f>IF(ISNUMBER(F3168),E3168*F3168,"")</f>
        <v/>
      </c>
      <c r="H3168" s="35"/>
      <c r="I3168" s="31"/>
      <c r="J3168" s="155">
        <v>0</v>
      </c>
    </row>
    <row r="3169" spans="1:10" ht="15.75" thickBot="1" x14ac:dyDescent="0.3">
      <c r="A3169" s="172" t="s">
        <v>1001</v>
      </c>
      <c r="B3169" s="174" t="str">
        <f>INDEX(Orçamentária!A:B,MATCH(Composições!A3169,Orçamentária!A:A,0),2)</f>
        <v>Aterro de vala com compactação mecanizada</v>
      </c>
      <c r="C3169" s="41"/>
      <c r="D3169" s="26" t="str">
        <f>TRIM(INDEX(Orçamentária!C:C,MATCH(Composições!A3169,Orçamentária!A:A,0),1))</f>
        <v>m3</v>
      </c>
      <c r="E3169" s="27"/>
      <c r="F3169" s="42" t="s">
        <v>568</v>
      </c>
      <c r="G3169" s="28" t="str">
        <f>IF(ISNUMBER(F3169),E3169*F3169,"")</f>
        <v/>
      </c>
      <c r="H3169" s="29"/>
      <c r="I3169" s="30"/>
      <c r="J3169" s="155">
        <v>1.6</v>
      </c>
    </row>
    <row r="3170" spans="1:10" x14ac:dyDescent="0.25">
      <c r="A3170" s="176"/>
      <c r="B3170" s="175"/>
      <c r="C3170" s="32"/>
      <c r="D3170" s="32"/>
      <c r="E3170" s="33"/>
      <c r="F3170" s="43" t="s">
        <v>568</v>
      </c>
      <c r="G3170" s="34" t="str">
        <f>IF(ISNUMBER(F3170),E3170*F3170,"")</f>
        <v/>
      </c>
      <c r="H3170" s="35"/>
      <c r="I3170" s="31"/>
      <c r="J3170" s="155">
        <v>1.6</v>
      </c>
    </row>
    <row r="3171" spans="1:10" ht="51" x14ac:dyDescent="0.25">
      <c r="A3171" s="176"/>
      <c r="B3171" s="175"/>
      <c r="C3171" s="36" t="s">
        <v>1002</v>
      </c>
      <c r="D3171" s="47" t="s">
        <v>997</v>
      </c>
      <c r="E3171" s="37">
        <v>6.0000000000000001E-3</v>
      </c>
      <c r="F3171" s="31">
        <v>195.83299999999997</v>
      </c>
      <c r="G3171" s="34">
        <f>IF(ISNUMBER(F3171),E3171*F3171,"")</f>
        <v>1.1749979999999998</v>
      </c>
      <c r="H3171" s="39">
        <f>SUM(G3171:G3178)</f>
        <v>87.478461687500001</v>
      </c>
      <c r="I3171" s="40"/>
      <c r="J3171" s="155">
        <v>1.6</v>
      </c>
    </row>
    <row r="3172" spans="1:10" ht="51" x14ac:dyDescent="0.25">
      <c r="A3172" s="176"/>
      <c r="B3172" s="175"/>
      <c r="C3172" s="36" t="s">
        <v>1003</v>
      </c>
      <c r="D3172" s="47" t="s">
        <v>999</v>
      </c>
      <c r="E3172" s="37">
        <v>3.0000000000000001E-3</v>
      </c>
      <c r="F3172" s="31">
        <v>37.287500000000001</v>
      </c>
      <c r="G3172" s="34">
        <f>IF(ISNUMBER(F3172),E3172*F3172,"")</f>
        <v>0.1118625</v>
      </c>
      <c r="H3172" s="35"/>
      <c r="I3172" s="31"/>
      <c r="J3172" s="155">
        <v>1.6</v>
      </c>
    </row>
    <row r="3173" spans="1:10" ht="25.5" x14ac:dyDescent="0.25">
      <c r="A3173" s="176"/>
      <c r="B3173" s="175"/>
      <c r="C3173" s="36" t="s">
        <v>1004</v>
      </c>
      <c r="D3173" s="47" t="s">
        <v>123</v>
      </c>
      <c r="E3173" s="37">
        <v>1.25</v>
      </c>
      <c r="F3173" s="31">
        <v>8.9205000000000005</v>
      </c>
      <c r="G3173" s="34">
        <f>IF(ISNUMBER(F3173),E3173*F3173,"")</f>
        <v>11.150625000000002</v>
      </c>
      <c r="H3173" s="35"/>
      <c r="I3173" s="31"/>
      <c r="J3173" s="155">
        <v>1.6</v>
      </c>
    </row>
    <row r="3174" spans="1:10" x14ac:dyDescent="0.25">
      <c r="A3174" s="176"/>
      <c r="B3174" s="175"/>
      <c r="C3174" s="36" t="s">
        <v>756</v>
      </c>
      <c r="D3174" s="36" t="s">
        <v>755</v>
      </c>
      <c r="E3174" s="37">
        <v>0.65900000000000003</v>
      </c>
      <c r="F3174" s="31">
        <v>16.311500000000002</v>
      </c>
      <c r="G3174" s="34">
        <f>IF(ISNUMBER(F3174),E3174*F3174,"")</f>
        <v>10.749278500000003</v>
      </c>
      <c r="H3174" s="35"/>
      <c r="I3174" s="31"/>
      <c r="J3174" s="155">
        <v>1.6</v>
      </c>
    </row>
    <row r="3175" spans="1:10" ht="25.5" x14ac:dyDescent="0.25">
      <c r="A3175" s="176"/>
      <c r="B3175" s="175"/>
      <c r="C3175" s="36" t="s">
        <v>996</v>
      </c>
      <c r="D3175" s="36" t="s">
        <v>997</v>
      </c>
      <c r="E3175" s="37">
        <v>0.27400000000000002</v>
      </c>
      <c r="F3175" s="31">
        <v>24.291499999999999</v>
      </c>
      <c r="G3175" s="34">
        <f>IF(ISNUMBER(F3175),E3175*F3175,"")</f>
        <v>6.6558710000000003</v>
      </c>
      <c r="H3175" s="35"/>
      <c r="I3175" s="31"/>
      <c r="J3175" s="155">
        <v>1.6</v>
      </c>
    </row>
    <row r="3176" spans="1:10" ht="25.5" x14ac:dyDescent="0.25">
      <c r="A3176" s="176"/>
      <c r="B3176" s="175"/>
      <c r="C3176" s="36" t="s">
        <v>998</v>
      </c>
      <c r="D3176" s="36" t="s">
        <v>999</v>
      </c>
      <c r="E3176" s="37">
        <v>0.254</v>
      </c>
      <c r="F3176" s="31">
        <v>17.974</v>
      </c>
      <c r="G3176" s="34">
        <f>IF(ISNUMBER(F3176),E3176*F3176,"")</f>
        <v>4.5653959999999998</v>
      </c>
      <c r="H3176" s="35"/>
      <c r="I3176" s="31"/>
      <c r="J3176" s="155">
        <v>1.6</v>
      </c>
    </row>
    <row r="3177" spans="1:10" ht="51" x14ac:dyDescent="0.25">
      <c r="A3177" s="176"/>
      <c r="B3177" s="175"/>
      <c r="C3177" s="36" t="s">
        <v>3611</v>
      </c>
      <c r="D3177" s="36" t="s">
        <v>111</v>
      </c>
      <c r="E3177" s="37">
        <f>E3173*1</f>
        <v>1.25</v>
      </c>
      <c r="F3177" s="34">
        <v>5.5686425499999999</v>
      </c>
      <c r="G3177" s="34">
        <f>IF(ISNUMBER(F3177),E3177*F3177,"")</f>
        <v>6.9608031874999998</v>
      </c>
      <c r="H3177" s="35"/>
      <c r="I3177" s="31"/>
      <c r="J3177" s="155">
        <v>1.6</v>
      </c>
    </row>
    <row r="3178" spans="1:10" ht="38.25" x14ac:dyDescent="0.25">
      <c r="A3178" s="176"/>
      <c r="B3178" s="175"/>
      <c r="C3178" s="36" t="s">
        <v>124</v>
      </c>
      <c r="D3178" s="47" t="s">
        <v>125</v>
      </c>
      <c r="E3178" s="37">
        <f>E3173*20</f>
        <v>25</v>
      </c>
      <c r="F3178" s="34">
        <v>1.8443850999999998</v>
      </c>
      <c r="G3178" s="34">
        <f>IF(ISNUMBER(F3178),E3178*F3178,"")</f>
        <v>46.109627499999995</v>
      </c>
      <c r="H3178" s="35"/>
      <c r="I3178" s="31"/>
      <c r="J3178" s="155">
        <v>1.6</v>
      </c>
    </row>
    <row r="3179" spans="1:10" x14ac:dyDescent="0.25">
      <c r="A3179" s="176"/>
      <c r="B3179" s="175"/>
      <c r="C3179" s="51"/>
      <c r="D3179" s="47"/>
      <c r="E3179" s="37"/>
      <c r="F3179" s="34" t="s">
        <v>568</v>
      </c>
      <c r="G3179" s="34" t="str">
        <f>IF(ISNUMBER(F3179),E3179*F3179,"")</f>
        <v/>
      </c>
      <c r="H3179" s="35"/>
      <c r="I3179" s="31"/>
      <c r="J3179" s="155">
        <v>1.6</v>
      </c>
    </row>
    <row r="3180" spans="1:10" ht="25.5" x14ac:dyDescent="0.25">
      <c r="A3180" s="176"/>
      <c r="B3180" s="175"/>
      <c r="C3180" s="48" t="s">
        <v>1005</v>
      </c>
      <c r="D3180" s="47"/>
      <c r="E3180" s="37"/>
      <c r="F3180" s="34" t="s">
        <v>568</v>
      </c>
      <c r="G3180" s="34" t="str">
        <f>IF(ISNUMBER(F3180),E3180*F3180,"")</f>
        <v/>
      </c>
      <c r="H3180" s="35"/>
      <c r="I3180" s="31"/>
      <c r="J3180" s="155">
        <v>1.6</v>
      </c>
    </row>
    <row r="3181" spans="1:10" ht="15.75" thickBot="1" x14ac:dyDescent="0.3">
      <c r="A3181" s="177"/>
      <c r="B3181" s="178"/>
      <c r="C3181" s="36"/>
      <c r="D3181" s="36"/>
      <c r="E3181" s="37"/>
      <c r="F3181" s="31" t="s">
        <v>568</v>
      </c>
      <c r="G3181" s="31" t="str">
        <f>IF(ISNUMBER(F3181),E3181*F3181,"")</f>
        <v/>
      </c>
      <c r="H3181" s="35"/>
      <c r="I3181" s="31"/>
      <c r="J3181" s="155">
        <v>1.6</v>
      </c>
    </row>
    <row r="3182" spans="1:10" ht="15.75" hidden="1" thickBot="1" x14ac:dyDescent="0.3">
      <c r="A3182" s="172" t="s">
        <v>1006</v>
      </c>
      <c r="B3182" s="174" t="str">
        <f>INDEX(Orçamentária!A:B,MATCH(Composições!A3182,Orçamentária!A:A,0),2)</f>
        <v>Tubo de cobre classe "E" 22mm</v>
      </c>
      <c r="C3182" s="41"/>
      <c r="D3182" s="26" t="str">
        <f>TRIM(INDEX(Orçamentária!C:C,MATCH(Composições!A3182,Orçamentária!A:A,0),1))</f>
        <v>m</v>
      </c>
      <c r="E3182" s="27"/>
      <c r="F3182" s="42" t="s">
        <v>568</v>
      </c>
      <c r="G3182" s="28" t="str">
        <f>IF(ISNUMBER(F3182),E3182*F3182,"")</f>
        <v/>
      </c>
      <c r="H3182" s="29"/>
      <c r="I3182" s="30"/>
      <c r="J3182" s="155">
        <v>0</v>
      </c>
    </row>
    <row r="3183" spans="1:10" ht="15.75" hidden="1" thickBot="1" x14ac:dyDescent="0.3">
      <c r="A3183" s="176"/>
      <c r="B3183" s="175"/>
      <c r="C3183" s="32"/>
      <c r="D3183" s="32"/>
      <c r="E3183" s="33"/>
      <c r="F3183" s="43" t="s">
        <v>568</v>
      </c>
      <c r="G3183" s="34" t="str">
        <f>IF(ISNUMBER(F3183),E3183*F3183,"")</f>
        <v/>
      </c>
      <c r="H3183" s="35"/>
      <c r="I3183" s="31"/>
      <c r="J3183" s="155">
        <v>0</v>
      </c>
    </row>
    <row r="3184" spans="1:10" ht="26.25" hidden="1" thickBot="1" x14ac:dyDescent="0.3">
      <c r="A3184" s="176"/>
      <c r="B3184" s="175"/>
      <c r="C3184" s="36" t="s">
        <v>1007</v>
      </c>
      <c r="D3184" s="36" t="s">
        <v>523</v>
      </c>
      <c r="E3184" s="37">
        <v>1.0210999999999999</v>
      </c>
      <c r="F3184" s="31">
        <v>44.612000000000002</v>
      </c>
      <c r="G3184" s="34">
        <f>IF(ISNUMBER(F3184),E3184*F3184,"")</f>
        <v>45.553313199999998</v>
      </c>
      <c r="H3184" s="39">
        <f>SUM(G3184:G3186)</f>
        <v>51.099185200000001</v>
      </c>
      <c r="I3184" s="40"/>
      <c r="J3184" s="155">
        <v>0</v>
      </c>
    </row>
    <row r="3185" spans="1:10" ht="26.25" hidden="1" thickBot="1" x14ac:dyDescent="0.3">
      <c r="A3185" s="176"/>
      <c r="B3185" s="175"/>
      <c r="C3185" s="36" t="s">
        <v>1008</v>
      </c>
      <c r="D3185" s="47" t="s">
        <v>755</v>
      </c>
      <c r="E3185" s="37">
        <v>0.14399999999999999</v>
      </c>
      <c r="F3185" s="31">
        <v>16.891000000000002</v>
      </c>
      <c r="G3185" s="34">
        <f>IF(ISNUMBER(F3185),E3185*F3185,"")</f>
        <v>2.4323040000000002</v>
      </c>
      <c r="H3185" s="35"/>
      <c r="I3185" s="31"/>
      <c r="J3185" s="155">
        <v>0</v>
      </c>
    </row>
    <row r="3186" spans="1:10" ht="26.25" hidden="1" thickBot="1" x14ac:dyDescent="0.3">
      <c r="A3186" s="176"/>
      <c r="B3186" s="175"/>
      <c r="C3186" s="36" t="s">
        <v>1009</v>
      </c>
      <c r="D3186" s="47" t="s">
        <v>755</v>
      </c>
      <c r="E3186" s="37">
        <v>0.14399999999999999</v>
      </c>
      <c r="F3186" s="31">
        <v>21.622</v>
      </c>
      <c r="G3186" s="34">
        <f>IF(ISNUMBER(F3186),E3186*F3186,"")</f>
        <v>3.1135679999999999</v>
      </c>
      <c r="H3186" s="35"/>
      <c r="I3186" s="31"/>
      <c r="J3186" s="155">
        <v>0</v>
      </c>
    </row>
    <row r="3187" spans="1:10" ht="15.75" hidden="1" thickBot="1" x14ac:dyDescent="0.3">
      <c r="A3187" s="177"/>
      <c r="B3187" s="178"/>
      <c r="C3187" s="36"/>
      <c r="D3187" s="36"/>
      <c r="E3187" s="37"/>
      <c r="F3187" s="31" t="s">
        <v>568</v>
      </c>
      <c r="G3187" s="34" t="str">
        <f>IF(ISNUMBER(F3187),E3187*F3187,"")</f>
        <v/>
      </c>
      <c r="H3187" s="35"/>
      <c r="I3187" s="31"/>
      <c r="J3187" s="155">
        <v>0</v>
      </c>
    </row>
    <row r="3188" spans="1:10" ht="15.75" hidden="1" thickBot="1" x14ac:dyDescent="0.3">
      <c r="A3188" s="172" t="s">
        <v>1010</v>
      </c>
      <c r="B3188" s="174" t="str">
        <f>INDEX(Orçamentária!A:B,MATCH(Composições!A3188,Orçamentária!A:A,0),2)</f>
        <v>Tubo de cobre classe "E" 28 mm</v>
      </c>
      <c r="C3188" s="41"/>
      <c r="D3188" s="26" t="str">
        <f>TRIM(INDEX(Orçamentária!C:C,MATCH(Composições!A3188,Orçamentária!A:A,0),1))</f>
        <v>m</v>
      </c>
      <c r="E3188" s="27"/>
      <c r="F3188" s="42" t="s">
        <v>568</v>
      </c>
      <c r="G3188" s="28" t="str">
        <f>IF(ISNUMBER(F3188),E3188*F3188,"")</f>
        <v/>
      </c>
      <c r="H3188" s="29"/>
      <c r="I3188" s="30"/>
      <c r="J3188" s="155">
        <v>0</v>
      </c>
    </row>
    <row r="3189" spans="1:10" ht="15.75" hidden="1" thickBot="1" x14ac:dyDescent="0.3">
      <c r="A3189" s="176"/>
      <c r="B3189" s="175"/>
      <c r="C3189" s="32"/>
      <c r="D3189" s="32"/>
      <c r="E3189" s="33"/>
      <c r="F3189" s="43" t="s">
        <v>568</v>
      </c>
      <c r="G3189" s="34" t="str">
        <f>IF(ISNUMBER(F3189),E3189*F3189,"")</f>
        <v/>
      </c>
      <c r="H3189" s="35"/>
      <c r="I3189" s="31"/>
      <c r="J3189" s="155">
        <v>0</v>
      </c>
    </row>
    <row r="3190" spans="1:10" ht="26.25" hidden="1" thickBot="1" x14ac:dyDescent="0.3">
      <c r="A3190" s="176"/>
      <c r="B3190" s="175"/>
      <c r="C3190" s="36" t="s">
        <v>1011</v>
      </c>
      <c r="D3190" s="36" t="s">
        <v>523</v>
      </c>
      <c r="E3190" s="37">
        <v>1.0210999999999999</v>
      </c>
      <c r="F3190" s="31">
        <v>56.62</v>
      </c>
      <c r="G3190" s="34">
        <f>IF(ISNUMBER(F3190),E3190*F3190,"")</f>
        <v>57.814681999999991</v>
      </c>
      <c r="H3190" s="39">
        <f>SUM(G3190:G3192)</f>
        <v>63.976761999999987</v>
      </c>
      <c r="I3190" s="40"/>
      <c r="J3190" s="155">
        <v>0</v>
      </c>
    </row>
    <row r="3191" spans="1:10" ht="26.25" hidden="1" thickBot="1" x14ac:dyDescent="0.3">
      <c r="A3191" s="176"/>
      <c r="B3191" s="175"/>
      <c r="C3191" s="36" t="s">
        <v>1008</v>
      </c>
      <c r="D3191" s="47" t="s">
        <v>755</v>
      </c>
      <c r="E3191" s="37">
        <v>0.16</v>
      </c>
      <c r="F3191" s="31">
        <v>16.891000000000002</v>
      </c>
      <c r="G3191" s="34">
        <f>IF(ISNUMBER(F3191),E3191*F3191,"")</f>
        <v>2.7025600000000005</v>
      </c>
      <c r="H3191" s="35"/>
      <c r="I3191" s="31"/>
      <c r="J3191" s="155">
        <v>0</v>
      </c>
    </row>
    <row r="3192" spans="1:10" ht="26.25" hidden="1" thickBot="1" x14ac:dyDescent="0.3">
      <c r="A3192" s="176"/>
      <c r="B3192" s="175"/>
      <c r="C3192" s="36" t="s">
        <v>1009</v>
      </c>
      <c r="D3192" s="47" t="s">
        <v>755</v>
      </c>
      <c r="E3192" s="37">
        <v>0.16</v>
      </c>
      <c r="F3192" s="31">
        <v>21.622</v>
      </c>
      <c r="G3192" s="34">
        <f>IF(ISNUMBER(F3192),E3192*F3192,"")</f>
        <v>3.4595199999999999</v>
      </c>
      <c r="H3192" s="35"/>
      <c r="I3192" s="31"/>
      <c r="J3192" s="155">
        <v>0</v>
      </c>
    </row>
    <row r="3193" spans="1:10" ht="15.75" hidden="1" thickBot="1" x14ac:dyDescent="0.3">
      <c r="A3193" s="177"/>
      <c r="B3193" s="178"/>
      <c r="C3193" s="36"/>
      <c r="D3193" s="36"/>
      <c r="E3193" s="37"/>
      <c r="F3193" s="31" t="s">
        <v>568</v>
      </c>
      <c r="G3193" s="34" t="str">
        <f>IF(ISNUMBER(F3193),E3193*F3193,"")</f>
        <v/>
      </c>
      <c r="H3193" s="35"/>
      <c r="I3193" s="31"/>
      <c r="J3193" s="155">
        <v>0</v>
      </c>
    </row>
    <row r="3194" spans="1:10" ht="15.75" hidden="1" thickBot="1" x14ac:dyDescent="0.3">
      <c r="A3194" s="172" t="s">
        <v>1012</v>
      </c>
      <c r="B3194" s="174" t="str">
        <f>INDEX(Orçamentária!A:B,MATCH(Composições!A3194,Orçamentária!A:A,0),2)</f>
        <v>Tubo de cobre classe "E" 42mm</v>
      </c>
      <c r="C3194" s="41"/>
      <c r="D3194" s="26" t="str">
        <f>TRIM(INDEX(Orçamentária!C:C,MATCH(Composições!A3194,Orçamentária!A:A,0),1))</f>
        <v>m</v>
      </c>
      <c r="E3194" s="27"/>
      <c r="F3194" s="42" t="s">
        <v>568</v>
      </c>
      <c r="G3194" s="28" t="str">
        <f>IF(ISNUMBER(F3194),E3194*F3194,"")</f>
        <v/>
      </c>
      <c r="H3194" s="29"/>
      <c r="I3194" s="30"/>
      <c r="J3194" s="155">
        <v>0</v>
      </c>
    </row>
    <row r="3195" spans="1:10" ht="15.75" hidden="1" thickBot="1" x14ac:dyDescent="0.3">
      <c r="A3195" s="176"/>
      <c r="B3195" s="175"/>
      <c r="C3195" s="32"/>
      <c r="D3195" s="32"/>
      <c r="E3195" s="33"/>
      <c r="F3195" s="43" t="s">
        <v>568</v>
      </c>
      <c r="G3195" s="34" t="str">
        <f>IF(ISNUMBER(F3195),E3195*F3195,"")</f>
        <v/>
      </c>
      <c r="H3195" s="35"/>
      <c r="I3195" s="31"/>
      <c r="J3195" s="155">
        <v>0</v>
      </c>
    </row>
    <row r="3196" spans="1:10" ht="26.25" hidden="1" thickBot="1" x14ac:dyDescent="0.3">
      <c r="A3196" s="176"/>
      <c r="B3196" s="175"/>
      <c r="C3196" s="36" t="s">
        <v>1013</v>
      </c>
      <c r="D3196" s="47" t="s">
        <v>523</v>
      </c>
      <c r="E3196" s="37">
        <v>1.0210999999999999</v>
      </c>
      <c r="F3196" s="31">
        <v>111.03599999999999</v>
      </c>
      <c r="G3196" s="34">
        <f>IF(ISNUMBER(F3196),E3196*F3196,"")</f>
        <v>113.37885959999997</v>
      </c>
      <c r="H3196" s="39">
        <f>SUM(G3196:G3198)</f>
        <v>116.30584759999996</v>
      </c>
      <c r="I3196" s="40"/>
      <c r="J3196" s="155">
        <v>0</v>
      </c>
    </row>
    <row r="3197" spans="1:10" ht="26.25" hidden="1" thickBot="1" x14ac:dyDescent="0.3">
      <c r="A3197" s="176"/>
      <c r="B3197" s="175"/>
      <c r="C3197" s="36" t="s">
        <v>1008</v>
      </c>
      <c r="D3197" s="47" t="s">
        <v>755</v>
      </c>
      <c r="E3197" s="37">
        <v>7.5999999999999998E-2</v>
      </c>
      <c r="F3197" s="31">
        <v>16.891000000000002</v>
      </c>
      <c r="G3197" s="34">
        <f>IF(ISNUMBER(F3197),E3197*F3197,"")</f>
        <v>1.2837160000000001</v>
      </c>
      <c r="H3197" s="35"/>
      <c r="I3197" s="31"/>
      <c r="J3197" s="155">
        <v>0</v>
      </c>
    </row>
    <row r="3198" spans="1:10" ht="26.25" hidden="1" thickBot="1" x14ac:dyDescent="0.3">
      <c r="A3198" s="176"/>
      <c r="B3198" s="175"/>
      <c r="C3198" s="36" t="s">
        <v>1009</v>
      </c>
      <c r="D3198" s="47" t="s">
        <v>755</v>
      </c>
      <c r="E3198" s="37">
        <v>7.5999999999999998E-2</v>
      </c>
      <c r="F3198" s="31">
        <v>21.622</v>
      </c>
      <c r="G3198" s="34">
        <f>IF(ISNUMBER(F3198),E3198*F3198,"")</f>
        <v>1.6432719999999998</v>
      </c>
      <c r="H3198" s="35"/>
      <c r="I3198" s="31"/>
      <c r="J3198" s="155">
        <v>0</v>
      </c>
    </row>
    <row r="3199" spans="1:10" ht="15.75" hidden="1" thickBot="1" x14ac:dyDescent="0.3">
      <c r="A3199" s="177"/>
      <c r="B3199" s="178"/>
      <c r="C3199" s="36"/>
      <c r="D3199" s="36"/>
      <c r="E3199" s="37"/>
      <c r="F3199" s="31" t="s">
        <v>568</v>
      </c>
      <c r="G3199" s="34" t="str">
        <f>IF(ISNUMBER(F3199),E3199*F3199,"")</f>
        <v/>
      </c>
      <c r="H3199" s="35"/>
      <c r="I3199" s="31"/>
      <c r="J3199" s="155">
        <v>0</v>
      </c>
    </row>
    <row r="3200" spans="1:10" ht="15.75" hidden="1" thickBot="1" x14ac:dyDescent="0.3">
      <c r="A3200" s="172" t="s">
        <v>1014</v>
      </c>
      <c r="B3200" s="174" t="str">
        <f>INDEX(Orçamentária!A:B,MATCH(Composições!A3200,Orçamentária!A:A,0),2)</f>
        <v>Bacia convencional - Linha Acessibilidade</v>
      </c>
      <c r="C3200" s="41"/>
      <c r="D3200" s="26" t="str">
        <f>TRIM(INDEX(Orçamentária!C:C,MATCH(Composições!A3200,Orçamentária!A:A,0),1))</f>
        <v>un</v>
      </c>
      <c r="E3200" s="27"/>
      <c r="F3200" s="42" t="s">
        <v>568</v>
      </c>
      <c r="G3200" s="28" t="str">
        <f>IF(ISNUMBER(F3200),E3200*F3200,"")</f>
        <v/>
      </c>
      <c r="H3200" s="29"/>
      <c r="I3200" s="30"/>
      <c r="J3200" s="155">
        <v>0</v>
      </c>
    </row>
    <row r="3201" spans="1:10" ht="15.75" hidden="1" thickBot="1" x14ac:dyDescent="0.3">
      <c r="A3201" s="176"/>
      <c r="B3201" s="175"/>
      <c r="C3201" s="32"/>
      <c r="D3201" s="32"/>
      <c r="E3201" s="33"/>
      <c r="F3201" s="43" t="s">
        <v>568</v>
      </c>
      <c r="G3201" s="34" t="str">
        <f>IF(ISNUMBER(F3201),E3201*F3201,"")</f>
        <v/>
      </c>
      <c r="H3201" s="35"/>
      <c r="I3201" s="31"/>
      <c r="J3201" s="155">
        <v>0</v>
      </c>
    </row>
    <row r="3202" spans="1:10" ht="39" hidden="1" thickBot="1" x14ac:dyDescent="0.3">
      <c r="A3202" s="176"/>
      <c r="B3202" s="175"/>
      <c r="C3202" s="36" t="s">
        <v>1015</v>
      </c>
      <c r="D3202" s="47" t="s">
        <v>297</v>
      </c>
      <c r="E3202" s="37">
        <v>2</v>
      </c>
      <c r="F3202" s="31">
        <v>10.953499999999998</v>
      </c>
      <c r="G3202" s="34">
        <f>IF(ISNUMBER(F3202),E3202*F3202,"")</f>
        <v>21.906999999999996</v>
      </c>
      <c r="H3202" s="39">
        <f>SUM(G3202:G3208)</f>
        <v>708.14030559999992</v>
      </c>
      <c r="I3202" s="40"/>
      <c r="J3202" s="155">
        <v>0</v>
      </c>
    </row>
    <row r="3203" spans="1:10" ht="15.75" hidden="1" thickBot="1" x14ac:dyDescent="0.3">
      <c r="A3203" s="176"/>
      <c r="B3203" s="175"/>
      <c r="C3203" s="36" t="s">
        <v>1016</v>
      </c>
      <c r="D3203" s="47" t="s">
        <v>297</v>
      </c>
      <c r="E3203" s="37">
        <v>1</v>
      </c>
      <c r="F3203" s="31">
        <v>2.7454999999999998</v>
      </c>
      <c r="G3203" s="34">
        <f>IF(ISNUMBER(F3203),E3203*F3203,"")</f>
        <v>2.7454999999999998</v>
      </c>
      <c r="H3203" s="35"/>
      <c r="I3203" s="31"/>
      <c r="J3203" s="155">
        <v>0</v>
      </c>
    </row>
    <row r="3204" spans="1:10" ht="26.25" hidden="1" thickBot="1" x14ac:dyDescent="0.3">
      <c r="A3204" s="176"/>
      <c r="B3204" s="175"/>
      <c r="C3204" s="36" t="s">
        <v>1017</v>
      </c>
      <c r="D3204" s="47" t="s">
        <v>297</v>
      </c>
      <c r="E3204" s="37">
        <v>1</v>
      </c>
      <c r="F3204" s="31">
        <v>662.38749999999993</v>
      </c>
      <c r="G3204" s="34">
        <f>IF(ISNUMBER(F3204),E3204*F3204,"")</f>
        <v>662.38749999999993</v>
      </c>
      <c r="H3204" s="35"/>
      <c r="I3204" s="31"/>
      <c r="J3204" s="155">
        <v>0</v>
      </c>
    </row>
    <row r="3205" spans="1:10" ht="15.75" hidden="1" thickBot="1" x14ac:dyDescent="0.3">
      <c r="A3205" s="176"/>
      <c r="B3205" s="175"/>
      <c r="C3205" s="36" t="s">
        <v>3615</v>
      </c>
      <c r="D3205" s="47" t="s">
        <v>953</v>
      </c>
      <c r="E3205" s="37">
        <v>8.8099999999999998E-2</v>
      </c>
      <c r="F3205" s="31">
        <v>52.8675</v>
      </c>
      <c r="G3205" s="34">
        <f>IF(ISNUMBER(F3205),E3205*F3205,"")</f>
        <v>4.6576267499999995</v>
      </c>
      <c r="H3205" s="35"/>
      <c r="I3205" s="31"/>
      <c r="J3205" s="155">
        <v>0</v>
      </c>
    </row>
    <row r="3206" spans="1:10" ht="26.25" hidden="1" thickBot="1" x14ac:dyDescent="0.3">
      <c r="A3206" s="176"/>
      <c r="B3206" s="175"/>
      <c r="C3206" s="36" t="s">
        <v>1009</v>
      </c>
      <c r="D3206" s="47" t="s">
        <v>755</v>
      </c>
      <c r="E3206" s="37">
        <v>0.49680000000000002</v>
      </c>
      <c r="F3206" s="31">
        <v>21.622</v>
      </c>
      <c r="G3206" s="34">
        <f>IF(ISNUMBER(F3206),E3206*F3206,"")</f>
        <v>10.7418096</v>
      </c>
      <c r="H3206" s="35"/>
      <c r="I3206" s="31"/>
      <c r="J3206" s="155">
        <v>0</v>
      </c>
    </row>
    <row r="3207" spans="1:10" ht="15.75" hidden="1" thickBot="1" x14ac:dyDescent="0.3">
      <c r="A3207" s="176"/>
      <c r="B3207" s="175"/>
      <c r="C3207" s="36" t="s">
        <v>756</v>
      </c>
      <c r="D3207" s="47" t="s">
        <v>755</v>
      </c>
      <c r="E3207" s="37">
        <v>0.34949999999999998</v>
      </c>
      <c r="F3207" s="31">
        <v>16.311500000000002</v>
      </c>
      <c r="G3207" s="34">
        <f>IF(ISNUMBER(F3207),E3207*F3207,"")</f>
        <v>5.7008692500000002</v>
      </c>
      <c r="H3207" s="35"/>
      <c r="I3207" s="31"/>
      <c r="J3207" s="155">
        <v>0</v>
      </c>
    </row>
    <row r="3208" spans="1:10" ht="26.25" hidden="1" thickBot="1" x14ac:dyDescent="0.3">
      <c r="A3208" s="176"/>
      <c r="B3208" s="175"/>
      <c r="C3208" s="36" t="s">
        <v>326</v>
      </c>
      <c r="D3208" s="36" t="s">
        <v>20</v>
      </c>
      <c r="E3208" s="37">
        <v>1</v>
      </c>
      <c r="F3208" s="34" t="s">
        <v>568</v>
      </c>
      <c r="G3208" s="34" t="str">
        <f>IF(ISNUMBER(F3208),E3208*F3208,"")</f>
        <v/>
      </c>
      <c r="H3208" s="35"/>
      <c r="I3208" s="31"/>
      <c r="J3208" s="155">
        <v>0</v>
      </c>
    </row>
    <row r="3209" spans="1:10" ht="15.75" hidden="1" thickBot="1" x14ac:dyDescent="0.3">
      <c r="A3209" s="177"/>
      <c r="B3209" s="178"/>
      <c r="C3209" s="36"/>
      <c r="D3209" s="36"/>
      <c r="E3209" s="37"/>
      <c r="F3209" s="31" t="s">
        <v>568</v>
      </c>
      <c r="G3209" s="34" t="str">
        <f>IF(ISNUMBER(F3209),E3209*F3209,"")</f>
        <v/>
      </c>
      <c r="H3209" s="35"/>
      <c r="I3209" s="31"/>
      <c r="J3209" s="155">
        <v>0</v>
      </c>
    </row>
    <row r="3210" spans="1:10" ht="15.75" hidden="1" thickBot="1" x14ac:dyDescent="0.3">
      <c r="A3210" s="172" t="s">
        <v>1018</v>
      </c>
      <c r="B3210" s="174" t="str">
        <f>INDEX(Orçamentária!A:B,MATCH(Composições!A3210,Orçamentária!A:A,0),2)</f>
        <v>Assento para bacia convencional - Linha Acessibilidade</v>
      </c>
      <c r="C3210" s="41"/>
      <c r="D3210" s="26" t="str">
        <f>TRIM(INDEX(Orçamentária!C:C,MATCH(Composições!A3210,Orçamentária!A:A,0),1))</f>
        <v>un</v>
      </c>
      <c r="E3210" s="27"/>
      <c r="F3210" s="42" t="s">
        <v>568</v>
      </c>
      <c r="G3210" s="28" t="str">
        <f>IF(ISNUMBER(F3210),E3210*F3210,"")</f>
        <v/>
      </c>
      <c r="H3210" s="29"/>
      <c r="I3210" s="30"/>
      <c r="J3210" s="155">
        <v>0</v>
      </c>
    </row>
    <row r="3211" spans="1:10" ht="15.75" hidden="1" thickBot="1" x14ac:dyDescent="0.3">
      <c r="A3211" s="176"/>
      <c r="B3211" s="175"/>
      <c r="C3211" s="32"/>
      <c r="D3211" s="32"/>
      <c r="E3211" s="33"/>
      <c r="F3211" s="43" t="s">
        <v>568</v>
      </c>
      <c r="G3211" s="34" t="str">
        <f>IF(ISNUMBER(F3211),E3211*F3211,"")</f>
        <v/>
      </c>
      <c r="H3211" s="35"/>
      <c r="I3211" s="31"/>
      <c r="J3211" s="155">
        <v>0</v>
      </c>
    </row>
    <row r="3212" spans="1:10" ht="26.25" hidden="1" thickBot="1" x14ac:dyDescent="0.3">
      <c r="A3212" s="176"/>
      <c r="B3212" s="175"/>
      <c r="C3212" s="36" t="s">
        <v>1019</v>
      </c>
      <c r="D3212" s="47" t="s">
        <v>149</v>
      </c>
      <c r="E3212" s="37">
        <v>1</v>
      </c>
      <c r="F3212" s="31" t="s">
        <v>568</v>
      </c>
      <c r="G3212" s="34" t="str">
        <f>IF(ISNUMBER(F3212),E3212*F3212,"")</f>
        <v/>
      </c>
      <c r="H3212" s="39">
        <f>SUM(G3212:G3213)</f>
        <v>1.6311500000000003</v>
      </c>
      <c r="I3212" s="40"/>
      <c r="J3212" s="155">
        <v>0</v>
      </c>
    </row>
    <row r="3213" spans="1:10" ht="15.75" hidden="1" thickBot="1" x14ac:dyDescent="0.3">
      <c r="A3213" s="176"/>
      <c r="B3213" s="175"/>
      <c r="C3213" s="36" t="s">
        <v>1020</v>
      </c>
      <c r="D3213" s="47" t="s">
        <v>12</v>
      </c>
      <c r="E3213" s="37">
        <v>0.1</v>
      </c>
      <c r="F3213" s="31">
        <v>16.311500000000002</v>
      </c>
      <c r="G3213" s="34">
        <f>IF(ISNUMBER(F3213),E3213*F3213,"")</f>
        <v>1.6311500000000003</v>
      </c>
      <c r="H3213" s="35"/>
      <c r="I3213" s="31"/>
      <c r="J3213" s="155">
        <v>0</v>
      </c>
    </row>
    <row r="3214" spans="1:10" ht="15.75" hidden="1" thickBot="1" x14ac:dyDescent="0.3">
      <c r="A3214" s="177"/>
      <c r="B3214" s="178"/>
      <c r="C3214" s="36"/>
      <c r="D3214" s="36"/>
      <c r="E3214" s="37"/>
      <c r="F3214" s="31" t="s">
        <v>568</v>
      </c>
      <c r="G3214" s="34" t="str">
        <f>IF(ISNUMBER(F3214),E3214*F3214,"")</f>
        <v/>
      </c>
      <c r="H3214" s="35"/>
      <c r="I3214" s="31"/>
      <c r="J3214" s="155">
        <v>0</v>
      </c>
    </row>
    <row r="3215" spans="1:10" ht="15.75" hidden="1" thickBot="1" x14ac:dyDescent="0.3">
      <c r="A3215" s="172" t="s">
        <v>1021</v>
      </c>
      <c r="B3215" s="174" t="str">
        <f>INDEX(Orçamentária!A:B,MATCH(Composições!A3215,Orçamentária!A:A,0),2)</f>
        <v>Base registro de gaveta 1 1/2”</v>
      </c>
      <c r="C3215" s="41"/>
      <c r="D3215" s="26" t="str">
        <f>TRIM(INDEX(Orçamentária!C:C,MATCH(Composições!A3215,Orçamentária!A:A,0),1))</f>
        <v>un</v>
      </c>
      <c r="E3215" s="27"/>
      <c r="F3215" s="42" t="s">
        <v>568</v>
      </c>
      <c r="G3215" s="28" t="str">
        <f>IF(ISNUMBER(F3215),E3215*F3215,"")</f>
        <v/>
      </c>
      <c r="H3215" s="29"/>
      <c r="I3215" s="30"/>
      <c r="J3215" s="155">
        <v>0</v>
      </c>
    </row>
    <row r="3216" spans="1:10" ht="15.75" hidden="1" thickBot="1" x14ac:dyDescent="0.3">
      <c r="A3216" s="176"/>
      <c r="B3216" s="175"/>
      <c r="C3216" s="32"/>
      <c r="D3216" s="32"/>
      <c r="E3216" s="33"/>
      <c r="F3216" s="43" t="s">
        <v>568</v>
      </c>
      <c r="G3216" s="34" t="str">
        <f>IF(ISNUMBER(F3216),E3216*F3216,"")</f>
        <v/>
      </c>
      <c r="H3216" s="35"/>
      <c r="I3216" s="31"/>
      <c r="J3216" s="155">
        <v>0</v>
      </c>
    </row>
    <row r="3217" spans="1:10" ht="26.25" hidden="1" thickBot="1" x14ac:dyDescent="0.3">
      <c r="A3217" s="176"/>
      <c r="B3217" s="175"/>
      <c r="C3217" s="36" t="s">
        <v>1022</v>
      </c>
      <c r="D3217" s="47" t="s">
        <v>149</v>
      </c>
      <c r="E3217" s="37">
        <v>1</v>
      </c>
      <c r="F3217" s="31" t="s">
        <v>568</v>
      </c>
      <c r="G3217" s="34" t="str">
        <f>IF(ISNUMBER(F3217),E3217*F3217,"")</f>
        <v/>
      </c>
      <c r="H3217" s="39">
        <f>SUM(G3217:G3220)</f>
        <v>30.646316000000006</v>
      </c>
      <c r="I3217" s="40"/>
      <c r="J3217" s="155">
        <v>0</v>
      </c>
    </row>
    <row r="3218" spans="1:10" ht="15.75" hidden="1" thickBot="1" x14ac:dyDescent="0.3">
      <c r="A3218" s="176"/>
      <c r="B3218" s="175"/>
      <c r="C3218" s="36" t="s">
        <v>346</v>
      </c>
      <c r="D3218" s="47" t="s">
        <v>297</v>
      </c>
      <c r="E3218" s="37">
        <v>1.9E-2</v>
      </c>
      <c r="F3218" s="31">
        <v>13.661</v>
      </c>
      <c r="G3218" s="34">
        <f>IF(ISNUMBER(F3218),E3218*F3218,"")</f>
        <v>0.25955899999999998</v>
      </c>
      <c r="H3218" s="35"/>
      <c r="I3218" s="31"/>
      <c r="J3218" s="155">
        <v>0</v>
      </c>
    </row>
    <row r="3219" spans="1:10" ht="15.75" hidden="1" thickBot="1" x14ac:dyDescent="0.3">
      <c r="A3219" s="176"/>
      <c r="B3219" s="175"/>
      <c r="C3219" s="36" t="s">
        <v>39</v>
      </c>
      <c r="D3219" s="47" t="s">
        <v>12</v>
      </c>
      <c r="E3219" s="37">
        <v>0.78900000000000003</v>
      </c>
      <c r="F3219" s="31">
        <v>21.622</v>
      </c>
      <c r="G3219" s="34">
        <f>IF(ISNUMBER(F3219),E3219*F3219,"")</f>
        <v>17.059758000000002</v>
      </c>
      <c r="H3219" s="35"/>
      <c r="I3219" s="31"/>
      <c r="J3219" s="155">
        <v>0</v>
      </c>
    </row>
    <row r="3220" spans="1:10" ht="26.25" hidden="1" thickBot="1" x14ac:dyDescent="0.3">
      <c r="A3220" s="176"/>
      <c r="B3220" s="175"/>
      <c r="C3220" s="36" t="s">
        <v>1008</v>
      </c>
      <c r="D3220" s="36" t="s">
        <v>12</v>
      </c>
      <c r="E3220" s="37">
        <v>0.78900000000000003</v>
      </c>
      <c r="F3220" s="31">
        <v>16.891000000000002</v>
      </c>
      <c r="G3220" s="34">
        <f>IF(ISNUMBER(F3220),E3220*F3220,"")</f>
        <v>13.326999000000002</v>
      </c>
      <c r="H3220" s="35"/>
      <c r="I3220" s="31"/>
      <c r="J3220" s="155">
        <v>0</v>
      </c>
    </row>
    <row r="3221" spans="1:10" ht="15.75" hidden="1" thickBot="1" x14ac:dyDescent="0.3">
      <c r="A3221" s="177"/>
      <c r="B3221" s="178"/>
      <c r="C3221" s="36"/>
      <c r="D3221" s="36"/>
      <c r="E3221" s="37"/>
      <c r="F3221" s="31" t="s">
        <v>568</v>
      </c>
      <c r="G3221" s="34" t="str">
        <f>IF(ISNUMBER(F3221),E3221*F3221,"")</f>
        <v/>
      </c>
      <c r="H3221" s="35"/>
      <c r="I3221" s="31"/>
      <c r="J3221" s="155">
        <v>0</v>
      </c>
    </row>
    <row r="3222" spans="1:10" ht="15.75" thickBot="1" x14ac:dyDescent="0.3">
      <c r="A3222" s="172" t="s">
        <v>1023</v>
      </c>
      <c r="B3222" s="174" t="str">
        <f>INDEX(Orçamentária!A:B,MATCH(Composições!A3222,Orçamentária!A:A,0),2)</f>
        <v>Condutor 25mm²</v>
      </c>
      <c r="C3222" s="41"/>
      <c r="D3222" s="26" t="str">
        <f>TRIM(INDEX(Orçamentária!C:C,MATCH(Composições!A3222,Orçamentária!A:A,0),1))</f>
        <v>m</v>
      </c>
      <c r="E3222" s="27"/>
      <c r="F3222" s="42" t="s">
        <v>568</v>
      </c>
      <c r="G3222" s="28" t="str">
        <f>IF(ISNUMBER(F3222),E3222*F3222,"")</f>
        <v/>
      </c>
      <c r="H3222" s="29"/>
      <c r="I3222" s="30"/>
      <c r="J3222" s="155">
        <v>235</v>
      </c>
    </row>
    <row r="3223" spans="1:10" x14ac:dyDescent="0.25">
      <c r="A3223" s="176"/>
      <c r="B3223" s="175"/>
      <c r="C3223" s="32"/>
      <c r="D3223" s="32"/>
      <c r="E3223" s="33"/>
      <c r="F3223" s="43" t="s">
        <v>568</v>
      </c>
      <c r="G3223" s="34" t="str">
        <f>IF(ISNUMBER(F3223),E3223*F3223,"")</f>
        <v/>
      </c>
      <c r="H3223" s="35"/>
      <c r="I3223" s="31"/>
      <c r="J3223" s="155">
        <v>235</v>
      </c>
    </row>
    <row r="3224" spans="1:10" x14ac:dyDescent="0.25">
      <c r="A3224" s="176"/>
      <c r="B3224" s="175"/>
      <c r="C3224" s="36" t="s">
        <v>1024</v>
      </c>
      <c r="D3224" s="36" t="s">
        <v>93</v>
      </c>
      <c r="E3224" s="37">
        <v>1.0149999999999999</v>
      </c>
      <c r="F3224" s="31">
        <v>41.429499999999997</v>
      </c>
      <c r="G3224" s="34">
        <f>IF(ISNUMBER(F3224),E3224*F3224,"")</f>
        <v>42.050942499999991</v>
      </c>
      <c r="H3224" s="39">
        <f>SUM(G3224:G3227)</f>
        <v>44.617186999999987</v>
      </c>
      <c r="I3224" s="40"/>
      <c r="J3224" s="155">
        <v>235</v>
      </c>
    </row>
    <row r="3225" spans="1:10" x14ac:dyDescent="0.25">
      <c r="A3225" s="176"/>
      <c r="B3225" s="175"/>
      <c r="C3225" s="36" t="s">
        <v>603</v>
      </c>
      <c r="D3225" s="47" t="s">
        <v>297</v>
      </c>
      <c r="E3225" s="37">
        <v>8.9999999999999993E-3</v>
      </c>
      <c r="F3225" s="31">
        <v>3.2965</v>
      </c>
      <c r="G3225" s="34">
        <f>IF(ISNUMBER(F3225),E3225*F3225,"")</f>
        <v>2.9668499999999997E-2</v>
      </c>
      <c r="H3225" s="35"/>
      <c r="I3225" s="31"/>
      <c r="J3225" s="155">
        <v>235</v>
      </c>
    </row>
    <row r="3226" spans="1:10" x14ac:dyDescent="0.25">
      <c r="A3226" s="176"/>
      <c r="B3226" s="175"/>
      <c r="C3226" s="36" t="s">
        <v>74</v>
      </c>
      <c r="D3226" s="36" t="s">
        <v>12</v>
      </c>
      <c r="E3226" s="37">
        <v>6.4000000000000001E-2</v>
      </c>
      <c r="F3226" s="31">
        <v>17.366</v>
      </c>
      <c r="G3226" s="34">
        <f>IF(ISNUMBER(F3226),E3226*F3226,"")</f>
        <v>1.111424</v>
      </c>
      <c r="H3226" s="35"/>
      <c r="I3226" s="31"/>
      <c r="J3226" s="155">
        <v>235</v>
      </c>
    </row>
    <row r="3227" spans="1:10" x14ac:dyDescent="0.25">
      <c r="A3227" s="176"/>
      <c r="B3227" s="175"/>
      <c r="C3227" s="36" t="s">
        <v>30</v>
      </c>
      <c r="D3227" s="36" t="s">
        <v>12</v>
      </c>
      <c r="E3227" s="37">
        <v>6.4000000000000001E-2</v>
      </c>
      <c r="F3227" s="31">
        <v>22.268000000000001</v>
      </c>
      <c r="G3227" s="34">
        <f>IF(ISNUMBER(F3227),E3227*F3227,"")</f>
        <v>1.425152</v>
      </c>
      <c r="H3227" s="35"/>
      <c r="I3227" s="31"/>
      <c r="J3227" s="155">
        <v>235</v>
      </c>
    </row>
    <row r="3228" spans="1:10" ht="15.75" thickBot="1" x14ac:dyDescent="0.3">
      <c r="A3228" s="177"/>
      <c r="B3228" s="178"/>
      <c r="C3228" s="36"/>
      <c r="D3228" s="36"/>
      <c r="E3228" s="37"/>
      <c r="F3228" s="31" t="s">
        <v>568</v>
      </c>
      <c r="G3228" s="34" t="str">
        <f>IF(ISNUMBER(F3228),E3228*F3228,"")</f>
        <v/>
      </c>
      <c r="H3228" s="35"/>
      <c r="I3228" s="31"/>
      <c r="J3228" s="155">
        <v>235</v>
      </c>
    </row>
    <row r="3229" spans="1:10" ht="15.75" hidden="1" thickBot="1" x14ac:dyDescent="0.3">
      <c r="A3229" s="172" t="s">
        <v>1025</v>
      </c>
      <c r="B3229" s="174" t="str">
        <f>INDEX(Orçamentária!A:B,MATCH(Composições!A3229,Orçamentária!A:A,0),2)</f>
        <v>Condutor 35mm²</v>
      </c>
      <c r="C3229" s="41"/>
      <c r="D3229" s="26" t="str">
        <f>TRIM(INDEX(Orçamentária!C:C,MATCH(Composições!A3229,Orçamentária!A:A,0),1))</f>
        <v>m</v>
      </c>
      <c r="E3229" s="27"/>
      <c r="F3229" s="42" t="s">
        <v>568</v>
      </c>
      <c r="G3229" s="28" t="str">
        <f>IF(ISNUMBER(F3229),E3229*F3229,"")</f>
        <v/>
      </c>
      <c r="H3229" s="29"/>
      <c r="I3229" s="30"/>
      <c r="J3229" s="155">
        <v>0</v>
      </c>
    </row>
    <row r="3230" spans="1:10" ht="15.75" hidden="1" thickBot="1" x14ac:dyDescent="0.3">
      <c r="A3230" s="176"/>
      <c r="B3230" s="175"/>
      <c r="C3230" s="32"/>
      <c r="D3230" s="32"/>
      <c r="E3230" s="33"/>
      <c r="F3230" s="43" t="s">
        <v>568</v>
      </c>
      <c r="G3230" s="34" t="str">
        <f>IF(ISNUMBER(F3230),E3230*F3230,"")</f>
        <v/>
      </c>
      <c r="H3230" s="35"/>
      <c r="I3230" s="31"/>
      <c r="J3230" s="155">
        <v>0</v>
      </c>
    </row>
    <row r="3231" spans="1:10" ht="15.75" hidden="1" thickBot="1" x14ac:dyDescent="0.3">
      <c r="A3231" s="176"/>
      <c r="B3231" s="175"/>
      <c r="C3231" s="36" t="s">
        <v>1026</v>
      </c>
      <c r="D3231" s="36" t="s">
        <v>93</v>
      </c>
      <c r="E3231" s="37">
        <v>1.0149999999999999</v>
      </c>
      <c r="F3231" s="31">
        <v>0</v>
      </c>
      <c r="G3231" s="34">
        <f>IF(ISNUMBER(F3231),E3231*F3231,"")</f>
        <v>0</v>
      </c>
      <c r="H3231" s="39">
        <f>SUM(G3231:G3234)</f>
        <v>2.9229504999999998</v>
      </c>
      <c r="I3231" s="40"/>
      <c r="J3231" s="155">
        <v>0</v>
      </c>
    </row>
    <row r="3232" spans="1:10" ht="15.75" hidden="1" thickBot="1" x14ac:dyDescent="0.3">
      <c r="A3232" s="176"/>
      <c r="B3232" s="175"/>
      <c r="C3232" s="36" t="s">
        <v>603</v>
      </c>
      <c r="D3232" s="47" t="s">
        <v>297</v>
      </c>
      <c r="E3232" s="37">
        <v>8.9999999999999993E-3</v>
      </c>
      <c r="F3232" s="31">
        <v>3.2965</v>
      </c>
      <c r="G3232" s="34">
        <f>IF(ISNUMBER(F3232),E3232*F3232,"")</f>
        <v>2.9668499999999997E-2</v>
      </c>
      <c r="H3232" s="35"/>
      <c r="I3232" s="31"/>
      <c r="J3232" s="155">
        <v>0</v>
      </c>
    </row>
    <row r="3233" spans="1:10" ht="15.75" hidden="1" thickBot="1" x14ac:dyDescent="0.3">
      <c r="A3233" s="176"/>
      <c r="B3233" s="175"/>
      <c r="C3233" s="36" t="s">
        <v>74</v>
      </c>
      <c r="D3233" s="36" t="s">
        <v>12</v>
      </c>
      <c r="E3233" s="37">
        <v>7.2999999999999995E-2</v>
      </c>
      <c r="F3233" s="31">
        <v>17.366</v>
      </c>
      <c r="G3233" s="34">
        <f>IF(ISNUMBER(F3233),E3233*F3233,"")</f>
        <v>1.2677179999999999</v>
      </c>
      <c r="H3233" s="35"/>
      <c r="I3233" s="31"/>
      <c r="J3233" s="155">
        <v>0</v>
      </c>
    </row>
    <row r="3234" spans="1:10" ht="15.75" hidden="1" thickBot="1" x14ac:dyDescent="0.3">
      <c r="A3234" s="176"/>
      <c r="B3234" s="175"/>
      <c r="C3234" s="36" t="s">
        <v>30</v>
      </c>
      <c r="D3234" s="36" t="s">
        <v>12</v>
      </c>
      <c r="E3234" s="37">
        <v>7.2999999999999995E-2</v>
      </c>
      <c r="F3234" s="31">
        <v>22.268000000000001</v>
      </c>
      <c r="G3234" s="34">
        <f>IF(ISNUMBER(F3234),E3234*F3234,"")</f>
        <v>1.625564</v>
      </c>
      <c r="H3234" s="35"/>
      <c r="I3234" s="31"/>
      <c r="J3234" s="155">
        <v>0</v>
      </c>
    </row>
    <row r="3235" spans="1:10" ht="15.75" hidden="1" thickBot="1" x14ac:dyDescent="0.3">
      <c r="A3235" s="177"/>
      <c r="B3235" s="178"/>
      <c r="C3235" s="36"/>
      <c r="D3235" s="36"/>
      <c r="E3235" s="37"/>
      <c r="F3235" s="31" t="s">
        <v>568</v>
      </c>
      <c r="G3235" s="34" t="str">
        <f>IF(ISNUMBER(F3235),E3235*F3235,"")</f>
        <v/>
      </c>
      <c r="H3235" s="35"/>
      <c r="I3235" s="31"/>
      <c r="J3235" s="155">
        <v>0</v>
      </c>
    </row>
    <row r="3236" spans="1:10" ht="15.75" hidden="1" thickBot="1" x14ac:dyDescent="0.3">
      <c r="A3236" s="172" t="s">
        <v>1027</v>
      </c>
      <c r="B3236" s="174" t="str">
        <f>INDEX(Orçamentária!A:B,MATCH(Composições!A3236,Orçamentária!A:A,0),2)</f>
        <v>Condutor 50mm²</v>
      </c>
      <c r="C3236" s="41"/>
      <c r="D3236" s="26" t="str">
        <f>TRIM(INDEX(Orçamentária!C:C,MATCH(Composições!A3236,Orçamentária!A:A,0),1))</f>
        <v>m</v>
      </c>
      <c r="E3236" s="27"/>
      <c r="F3236" s="42" t="s">
        <v>568</v>
      </c>
      <c r="G3236" s="28" t="str">
        <f>IF(ISNUMBER(F3236),E3236*F3236,"")</f>
        <v/>
      </c>
      <c r="H3236" s="29"/>
      <c r="I3236" s="30"/>
      <c r="J3236" s="155">
        <v>0</v>
      </c>
    </row>
    <row r="3237" spans="1:10" ht="15.75" hidden="1" thickBot="1" x14ac:dyDescent="0.3">
      <c r="A3237" s="176"/>
      <c r="B3237" s="175"/>
      <c r="C3237" s="32"/>
      <c r="D3237" s="32"/>
      <c r="E3237" s="33"/>
      <c r="F3237" s="43" t="s">
        <v>568</v>
      </c>
      <c r="G3237" s="34" t="str">
        <f>IF(ISNUMBER(F3237),E3237*F3237,"")</f>
        <v/>
      </c>
      <c r="H3237" s="35"/>
      <c r="I3237" s="31"/>
      <c r="J3237" s="155">
        <v>0</v>
      </c>
    </row>
    <row r="3238" spans="1:10" ht="15.75" hidden="1" thickBot="1" x14ac:dyDescent="0.3">
      <c r="A3238" s="176"/>
      <c r="B3238" s="175"/>
      <c r="C3238" s="36" t="s">
        <v>1028</v>
      </c>
      <c r="D3238" s="36" t="s">
        <v>93</v>
      </c>
      <c r="E3238" s="37">
        <v>1.0149999999999999</v>
      </c>
      <c r="F3238" s="31">
        <v>0</v>
      </c>
      <c r="G3238" s="34">
        <f>IF(ISNUMBER(F3238),E3238*F3238,"")</f>
        <v>0</v>
      </c>
      <c r="H3238" s="39">
        <f>SUM(G3238:G3241)</f>
        <v>3.4778264999999999</v>
      </c>
      <c r="I3238" s="40"/>
      <c r="J3238" s="155">
        <v>0</v>
      </c>
    </row>
    <row r="3239" spans="1:10" ht="15.75" hidden="1" thickBot="1" x14ac:dyDescent="0.3">
      <c r="A3239" s="176"/>
      <c r="B3239" s="175"/>
      <c r="C3239" s="36" t="s">
        <v>603</v>
      </c>
      <c r="D3239" s="47" t="s">
        <v>297</v>
      </c>
      <c r="E3239" s="37">
        <v>8.9999999999999993E-3</v>
      </c>
      <c r="F3239" s="31">
        <v>3.2965</v>
      </c>
      <c r="G3239" s="34">
        <f>IF(ISNUMBER(F3239),E3239*F3239,"")</f>
        <v>2.9668499999999997E-2</v>
      </c>
      <c r="H3239" s="35"/>
      <c r="I3239" s="31"/>
      <c r="J3239" s="155">
        <v>0</v>
      </c>
    </row>
    <row r="3240" spans="1:10" ht="15.75" hidden="1" thickBot="1" x14ac:dyDescent="0.3">
      <c r="A3240" s="176"/>
      <c r="B3240" s="175"/>
      <c r="C3240" s="36" t="s">
        <v>74</v>
      </c>
      <c r="D3240" s="36" t="s">
        <v>12</v>
      </c>
      <c r="E3240" s="37">
        <v>8.6999999999999994E-2</v>
      </c>
      <c r="F3240" s="31">
        <v>17.366</v>
      </c>
      <c r="G3240" s="34">
        <f>IF(ISNUMBER(F3240),E3240*F3240,"")</f>
        <v>1.5108419999999998</v>
      </c>
      <c r="H3240" s="35"/>
      <c r="I3240" s="31"/>
      <c r="J3240" s="155">
        <v>0</v>
      </c>
    </row>
    <row r="3241" spans="1:10" ht="15.75" hidden="1" thickBot="1" x14ac:dyDescent="0.3">
      <c r="A3241" s="176"/>
      <c r="B3241" s="175"/>
      <c r="C3241" s="36" t="s">
        <v>30</v>
      </c>
      <c r="D3241" s="36" t="s">
        <v>12</v>
      </c>
      <c r="E3241" s="37">
        <v>8.6999999999999994E-2</v>
      </c>
      <c r="F3241" s="31">
        <v>22.268000000000001</v>
      </c>
      <c r="G3241" s="34">
        <f>IF(ISNUMBER(F3241),E3241*F3241,"")</f>
        <v>1.9373159999999998</v>
      </c>
      <c r="H3241" s="35"/>
      <c r="I3241" s="31"/>
      <c r="J3241" s="155">
        <v>0</v>
      </c>
    </row>
    <row r="3242" spans="1:10" ht="15.75" hidden="1" thickBot="1" x14ac:dyDescent="0.3">
      <c r="A3242" s="177"/>
      <c r="B3242" s="178"/>
      <c r="C3242" s="36"/>
      <c r="D3242" s="36"/>
      <c r="E3242" s="37"/>
      <c r="F3242" s="31" t="s">
        <v>568</v>
      </c>
      <c r="G3242" s="34" t="str">
        <f>IF(ISNUMBER(F3242),E3242*F3242,"")</f>
        <v/>
      </c>
      <c r="H3242" s="35"/>
      <c r="I3242" s="31"/>
      <c r="J3242" s="155">
        <v>0</v>
      </c>
    </row>
    <row r="3243" spans="1:10" ht="15.75" hidden="1" thickBot="1" x14ac:dyDescent="0.3">
      <c r="A3243" s="172" t="s">
        <v>1029</v>
      </c>
      <c r="B3243" s="174" t="str">
        <f>INDEX(Orçamentária!A:B,MATCH(Composições!A3243,Orçamentária!A:A,0),2)</f>
        <v>Condutor 70mm²</v>
      </c>
      <c r="C3243" s="41"/>
      <c r="D3243" s="26" t="str">
        <f>TRIM(INDEX(Orçamentária!C:C,MATCH(Composições!A3243,Orçamentária!A:A,0),1))</f>
        <v>m</v>
      </c>
      <c r="E3243" s="27"/>
      <c r="F3243" s="42" t="s">
        <v>568</v>
      </c>
      <c r="G3243" s="28" t="str">
        <f>IF(ISNUMBER(F3243),E3243*F3243,"")</f>
        <v/>
      </c>
      <c r="H3243" s="29"/>
      <c r="I3243" s="30"/>
      <c r="J3243" s="155">
        <v>0</v>
      </c>
    </row>
    <row r="3244" spans="1:10" ht="15.75" hidden="1" thickBot="1" x14ac:dyDescent="0.3">
      <c r="A3244" s="176"/>
      <c r="B3244" s="175"/>
      <c r="C3244" s="32"/>
      <c r="D3244" s="32"/>
      <c r="E3244" s="33"/>
      <c r="F3244" s="43" t="s">
        <v>568</v>
      </c>
      <c r="G3244" s="34" t="str">
        <f>IF(ISNUMBER(F3244),E3244*F3244,"")</f>
        <v/>
      </c>
      <c r="H3244" s="35"/>
      <c r="I3244" s="31"/>
      <c r="J3244" s="155">
        <v>0</v>
      </c>
    </row>
    <row r="3245" spans="1:10" ht="15.75" hidden="1" thickBot="1" x14ac:dyDescent="0.3">
      <c r="A3245" s="176"/>
      <c r="B3245" s="175"/>
      <c r="C3245" s="36" t="s">
        <v>1030</v>
      </c>
      <c r="D3245" s="36" t="s">
        <v>93</v>
      </c>
      <c r="E3245" s="37">
        <v>1.0149999999999999</v>
      </c>
      <c r="F3245" s="31">
        <v>0</v>
      </c>
      <c r="G3245" s="34">
        <f>IF(ISNUMBER(F3245),E3245*F3245,"")</f>
        <v>0</v>
      </c>
      <c r="H3245" s="39">
        <f>SUM(G3245:G3248)</f>
        <v>4.1912384999999999</v>
      </c>
      <c r="I3245" s="40"/>
      <c r="J3245" s="155">
        <v>0</v>
      </c>
    </row>
    <row r="3246" spans="1:10" ht="15.75" hidden="1" thickBot="1" x14ac:dyDescent="0.3">
      <c r="A3246" s="176"/>
      <c r="B3246" s="175"/>
      <c r="C3246" s="36" t="s">
        <v>603</v>
      </c>
      <c r="D3246" s="47" t="s">
        <v>297</v>
      </c>
      <c r="E3246" s="37">
        <v>8.9999999999999993E-3</v>
      </c>
      <c r="F3246" s="31">
        <v>3.2965</v>
      </c>
      <c r="G3246" s="34">
        <f>IF(ISNUMBER(F3246),E3246*F3246,"")</f>
        <v>2.9668499999999997E-2</v>
      </c>
      <c r="H3246" s="35"/>
      <c r="I3246" s="31"/>
      <c r="J3246" s="155">
        <v>0</v>
      </c>
    </row>
    <row r="3247" spans="1:10" ht="15.75" hidden="1" thickBot="1" x14ac:dyDescent="0.3">
      <c r="A3247" s="176"/>
      <c r="B3247" s="175"/>
      <c r="C3247" s="36" t="s">
        <v>74</v>
      </c>
      <c r="D3247" s="36" t="s">
        <v>12</v>
      </c>
      <c r="E3247" s="37">
        <v>0.105</v>
      </c>
      <c r="F3247" s="31">
        <v>17.366</v>
      </c>
      <c r="G3247" s="34">
        <f>IF(ISNUMBER(F3247),E3247*F3247,"")</f>
        <v>1.8234299999999999</v>
      </c>
      <c r="H3247" s="35"/>
      <c r="I3247" s="31"/>
      <c r="J3247" s="155">
        <v>0</v>
      </c>
    </row>
    <row r="3248" spans="1:10" ht="15.75" hidden="1" thickBot="1" x14ac:dyDescent="0.3">
      <c r="A3248" s="176"/>
      <c r="B3248" s="175"/>
      <c r="C3248" s="36" t="s">
        <v>30</v>
      </c>
      <c r="D3248" s="36" t="s">
        <v>12</v>
      </c>
      <c r="E3248" s="37">
        <v>0.105</v>
      </c>
      <c r="F3248" s="31">
        <v>22.268000000000001</v>
      </c>
      <c r="G3248" s="34">
        <f>IF(ISNUMBER(F3248),E3248*F3248,"")</f>
        <v>2.3381400000000001</v>
      </c>
      <c r="H3248" s="35"/>
      <c r="I3248" s="31"/>
      <c r="J3248" s="155">
        <v>0</v>
      </c>
    </row>
    <row r="3249" spans="1:10" ht="15.75" hidden="1" thickBot="1" x14ac:dyDescent="0.3">
      <c r="A3249" s="177"/>
      <c r="B3249" s="178"/>
      <c r="C3249" s="36"/>
      <c r="D3249" s="36"/>
      <c r="E3249" s="37"/>
      <c r="F3249" s="31" t="s">
        <v>568</v>
      </c>
      <c r="G3249" s="34" t="str">
        <f>IF(ISNUMBER(F3249),E3249*F3249,"")</f>
        <v/>
      </c>
      <c r="H3249" s="35"/>
      <c r="I3249" s="31"/>
      <c r="J3249" s="155">
        <v>0</v>
      </c>
    </row>
    <row r="3250" spans="1:10" ht="15.75" hidden="1" thickBot="1" x14ac:dyDescent="0.3">
      <c r="A3250" s="172" t="s">
        <v>1031</v>
      </c>
      <c r="B3250" s="174" t="str">
        <f>INDEX(Orçamentária!A:B,MATCH(Composições!A3250,Orçamentária!A:A,0),2)</f>
        <v>Condutor 95mm²</v>
      </c>
      <c r="C3250" s="41"/>
      <c r="D3250" s="26" t="str">
        <f>TRIM(INDEX(Orçamentária!C:C,MATCH(Composições!A3250,Orçamentária!A:A,0),1))</f>
        <v>m</v>
      </c>
      <c r="E3250" s="27"/>
      <c r="F3250" s="42" t="s">
        <v>568</v>
      </c>
      <c r="G3250" s="28" t="str">
        <f>IF(ISNUMBER(F3250),E3250*F3250,"")</f>
        <v/>
      </c>
      <c r="H3250" s="29"/>
      <c r="I3250" s="30"/>
      <c r="J3250" s="155">
        <v>0</v>
      </c>
    </row>
    <row r="3251" spans="1:10" ht="15.75" hidden="1" thickBot="1" x14ac:dyDescent="0.3">
      <c r="A3251" s="176"/>
      <c r="B3251" s="175"/>
      <c r="C3251" s="32"/>
      <c r="D3251" s="32"/>
      <c r="E3251" s="33"/>
      <c r="F3251" s="43" t="s">
        <v>568</v>
      </c>
      <c r="G3251" s="34" t="str">
        <f>IF(ISNUMBER(F3251),E3251*F3251,"")</f>
        <v/>
      </c>
      <c r="H3251" s="35"/>
      <c r="I3251" s="31"/>
      <c r="J3251" s="155">
        <v>0</v>
      </c>
    </row>
    <row r="3252" spans="1:10" ht="15.75" hidden="1" thickBot="1" x14ac:dyDescent="0.3">
      <c r="A3252" s="176"/>
      <c r="B3252" s="175"/>
      <c r="C3252" s="36" t="s">
        <v>1032</v>
      </c>
      <c r="D3252" s="36" t="s">
        <v>93</v>
      </c>
      <c r="E3252" s="37">
        <v>1.0149999999999999</v>
      </c>
      <c r="F3252" s="31">
        <v>0</v>
      </c>
      <c r="G3252" s="34">
        <f>IF(ISNUMBER(F3252),E3252*F3252,"")</f>
        <v>0</v>
      </c>
      <c r="H3252" s="39">
        <f>SUM(G3252:G3255)</f>
        <v>5.1028205</v>
      </c>
      <c r="I3252" s="40"/>
      <c r="J3252" s="155">
        <v>0</v>
      </c>
    </row>
    <row r="3253" spans="1:10" ht="15.75" hidden="1" thickBot="1" x14ac:dyDescent="0.3">
      <c r="A3253" s="176"/>
      <c r="B3253" s="175"/>
      <c r="C3253" s="36" t="s">
        <v>603</v>
      </c>
      <c r="D3253" s="47" t="s">
        <v>297</v>
      </c>
      <c r="E3253" s="37">
        <v>8.9999999999999993E-3</v>
      </c>
      <c r="F3253" s="31">
        <v>3.2965</v>
      </c>
      <c r="G3253" s="34">
        <f>IF(ISNUMBER(F3253),E3253*F3253,"")</f>
        <v>2.9668499999999997E-2</v>
      </c>
      <c r="H3253" s="35"/>
      <c r="I3253" s="31"/>
      <c r="J3253" s="155">
        <v>0</v>
      </c>
    </row>
    <row r="3254" spans="1:10" ht="15.75" hidden="1" thickBot="1" x14ac:dyDescent="0.3">
      <c r="A3254" s="176"/>
      <c r="B3254" s="175"/>
      <c r="C3254" s="36" t="s">
        <v>74</v>
      </c>
      <c r="D3254" s="36" t="s">
        <v>12</v>
      </c>
      <c r="E3254" s="37">
        <v>0.128</v>
      </c>
      <c r="F3254" s="31">
        <v>17.366</v>
      </c>
      <c r="G3254" s="34">
        <f>IF(ISNUMBER(F3254),E3254*F3254,"")</f>
        <v>2.2228479999999999</v>
      </c>
      <c r="H3254" s="35"/>
      <c r="I3254" s="31"/>
      <c r="J3254" s="155">
        <v>0</v>
      </c>
    </row>
    <row r="3255" spans="1:10" ht="15.75" hidden="1" thickBot="1" x14ac:dyDescent="0.3">
      <c r="A3255" s="176"/>
      <c r="B3255" s="175"/>
      <c r="C3255" s="36" t="s">
        <v>30</v>
      </c>
      <c r="D3255" s="36" t="s">
        <v>12</v>
      </c>
      <c r="E3255" s="37">
        <v>0.128</v>
      </c>
      <c r="F3255" s="31">
        <v>22.268000000000001</v>
      </c>
      <c r="G3255" s="34">
        <f>IF(ISNUMBER(F3255),E3255*F3255,"")</f>
        <v>2.8503039999999999</v>
      </c>
      <c r="H3255" s="35"/>
      <c r="I3255" s="31"/>
      <c r="J3255" s="155">
        <v>0</v>
      </c>
    </row>
    <row r="3256" spans="1:10" ht="15.75" hidden="1" thickBot="1" x14ac:dyDescent="0.3">
      <c r="A3256" s="177"/>
      <c r="B3256" s="178"/>
      <c r="C3256" s="36"/>
      <c r="D3256" s="36"/>
      <c r="E3256" s="37"/>
      <c r="F3256" s="31" t="s">
        <v>568</v>
      </c>
      <c r="G3256" s="34" t="str">
        <f>IF(ISNUMBER(F3256),E3256*F3256,"")</f>
        <v/>
      </c>
      <c r="H3256" s="35"/>
      <c r="I3256" s="31"/>
      <c r="J3256" s="155">
        <v>0</v>
      </c>
    </row>
    <row r="3257" spans="1:10" ht="15.75" hidden="1" thickBot="1" x14ac:dyDescent="0.3">
      <c r="A3257" s="172" t="s">
        <v>1033</v>
      </c>
      <c r="B3257" s="174" t="str">
        <f>INDEX(Orçamentária!A:B,MATCH(Composições!A3257,Orçamentária!A:A,0),2)</f>
        <v>Condutor 120mm²</v>
      </c>
      <c r="C3257" s="41"/>
      <c r="D3257" s="26" t="str">
        <f>TRIM(INDEX(Orçamentária!C:C,MATCH(Composições!A3257,Orçamentária!A:A,0),1))</f>
        <v>m</v>
      </c>
      <c r="E3257" s="27"/>
      <c r="F3257" s="42" t="s">
        <v>568</v>
      </c>
      <c r="G3257" s="28" t="str">
        <f>IF(ISNUMBER(F3257),E3257*F3257,"")</f>
        <v/>
      </c>
      <c r="H3257" s="29"/>
      <c r="I3257" s="30"/>
      <c r="J3257" s="155">
        <v>0</v>
      </c>
    </row>
    <row r="3258" spans="1:10" ht="15.75" hidden="1" thickBot="1" x14ac:dyDescent="0.3">
      <c r="A3258" s="176"/>
      <c r="B3258" s="175"/>
      <c r="C3258" s="32"/>
      <c r="D3258" s="32"/>
      <c r="E3258" s="33"/>
      <c r="F3258" s="43" t="s">
        <v>568</v>
      </c>
      <c r="G3258" s="34" t="str">
        <f>IF(ISNUMBER(F3258),E3258*F3258,"")</f>
        <v/>
      </c>
      <c r="H3258" s="35"/>
      <c r="I3258" s="31"/>
      <c r="J3258" s="155">
        <v>0</v>
      </c>
    </row>
    <row r="3259" spans="1:10" ht="15.75" hidden="1" thickBot="1" x14ac:dyDescent="0.3">
      <c r="A3259" s="176"/>
      <c r="B3259" s="175"/>
      <c r="C3259" s="36" t="s">
        <v>1034</v>
      </c>
      <c r="D3259" s="36" t="s">
        <v>93</v>
      </c>
      <c r="E3259" s="37">
        <v>1.0149999999999999</v>
      </c>
      <c r="F3259" s="31">
        <v>0</v>
      </c>
      <c r="G3259" s="34">
        <f>IF(ISNUMBER(F3259),E3259*F3259,"")</f>
        <v>0</v>
      </c>
      <c r="H3259" s="39">
        <f>SUM(G3259:G3262)</f>
        <v>6.0540365000000005</v>
      </c>
      <c r="I3259" s="40"/>
      <c r="J3259" s="155">
        <v>0</v>
      </c>
    </row>
    <row r="3260" spans="1:10" ht="15.75" hidden="1" thickBot="1" x14ac:dyDescent="0.3">
      <c r="A3260" s="176"/>
      <c r="B3260" s="175"/>
      <c r="C3260" s="36" t="s">
        <v>603</v>
      </c>
      <c r="D3260" s="47" t="s">
        <v>297</v>
      </c>
      <c r="E3260" s="37">
        <v>8.9999999999999993E-3</v>
      </c>
      <c r="F3260" s="31">
        <v>3.2965</v>
      </c>
      <c r="G3260" s="34">
        <f>IF(ISNUMBER(F3260),E3260*F3260,"")</f>
        <v>2.9668499999999997E-2</v>
      </c>
      <c r="H3260" s="35"/>
      <c r="I3260" s="31"/>
      <c r="J3260" s="155">
        <v>0</v>
      </c>
    </row>
    <row r="3261" spans="1:10" ht="15.75" hidden="1" thickBot="1" x14ac:dyDescent="0.3">
      <c r="A3261" s="176"/>
      <c r="B3261" s="175"/>
      <c r="C3261" s="36" t="s">
        <v>74</v>
      </c>
      <c r="D3261" s="36" t="s">
        <v>12</v>
      </c>
      <c r="E3261" s="37">
        <v>0.152</v>
      </c>
      <c r="F3261" s="31">
        <v>17.366</v>
      </c>
      <c r="G3261" s="34">
        <f>IF(ISNUMBER(F3261),E3261*F3261,"")</f>
        <v>2.6396319999999998</v>
      </c>
      <c r="H3261" s="35"/>
      <c r="I3261" s="31"/>
      <c r="J3261" s="155">
        <v>0</v>
      </c>
    </row>
    <row r="3262" spans="1:10" ht="15.75" hidden="1" thickBot="1" x14ac:dyDescent="0.3">
      <c r="A3262" s="176"/>
      <c r="B3262" s="175"/>
      <c r="C3262" s="36" t="s">
        <v>30</v>
      </c>
      <c r="D3262" s="36" t="s">
        <v>12</v>
      </c>
      <c r="E3262" s="37">
        <v>0.152</v>
      </c>
      <c r="F3262" s="31">
        <v>22.268000000000001</v>
      </c>
      <c r="G3262" s="34">
        <f>IF(ISNUMBER(F3262),E3262*F3262,"")</f>
        <v>3.3847360000000002</v>
      </c>
      <c r="H3262" s="35"/>
      <c r="I3262" s="31"/>
      <c r="J3262" s="155">
        <v>0</v>
      </c>
    </row>
    <row r="3263" spans="1:10" ht="15.75" hidden="1" thickBot="1" x14ac:dyDescent="0.3">
      <c r="A3263" s="177"/>
      <c r="B3263" s="178"/>
      <c r="C3263" s="36"/>
      <c r="D3263" s="36"/>
      <c r="E3263" s="37"/>
      <c r="F3263" s="31" t="s">
        <v>568</v>
      </c>
      <c r="G3263" s="34" t="str">
        <f>IF(ISNUMBER(F3263),E3263*F3263,"")</f>
        <v/>
      </c>
      <c r="H3263" s="35"/>
      <c r="I3263" s="31"/>
      <c r="J3263" s="155">
        <v>0</v>
      </c>
    </row>
    <row r="3264" spans="1:10" ht="15.75" hidden="1" thickBot="1" x14ac:dyDescent="0.3">
      <c r="A3264" s="172" t="s">
        <v>1035</v>
      </c>
      <c r="B3264" s="174" t="str">
        <f>INDEX(Orçamentária!A:B,MATCH(Composições!A3264,Orçamentária!A:A,0),2)</f>
        <v>Condutor 150mm²</v>
      </c>
      <c r="C3264" s="41"/>
      <c r="D3264" s="26" t="str">
        <f>TRIM(INDEX(Orçamentária!C:C,MATCH(Composições!A3264,Orçamentária!A:A,0),1))</f>
        <v>m</v>
      </c>
      <c r="E3264" s="27"/>
      <c r="F3264" s="42" t="s">
        <v>568</v>
      </c>
      <c r="G3264" s="28" t="str">
        <f>IF(ISNUMBER(F3264),E3264*F3264,"")</f>
        <v/>
      </c>
      <c r="H3264" s="29"/>
      <c r="I3264" s="30"/>
      <c r="J3264" s="155">
        <v>0</v>
      </c>
    </row>
    <row r="3265" spans="1:10" ht="15.75" hidden="1" thickBot="1" x14ac:dyDescent="0.3">
      <c r="A3265" s="176"/>
      <c r="B3265" s="175"/>
      <c r="C3265" s="32"/>
      <c r="D3265" s="32"/>
      <c r="E3265" s="33"/>
      <c r="F3265" s="43" t="s">
        <v>568</v>
      </c>
      <c r="G3265" s="34" t="str">
        <f>IF(ISNUMBER(F3265),E3265*F3265,"")</f>
        <v/>
      </c>
      <c r="H3265" s="35"/>
      <c r="I3265" s="31"/>
      <c r="J3265" s="155">
        <v>0</v>
      </c>
    </row>
    <row r="3266" spans="1:10" ht="15.75" hidden="1" thickBot="1" x14ac:dyDescent="0.3">
      <c r="A3266" s="176"/>
      <c r="B3266" s="175"/>
      <c r="C3266" s="36" t="s">
        <v>1036</v>
      </c>
      <c r="D3266" s="36" t="s">
        <v>93</v>
      </c>
      <c r="E3266" s="37">
        <v>1.0149999999999999</v>
      </c>
      <c r="F3266" s="31">
        <v>0</v>
      </c>
      <c r="G3266" s="34">
        <f>IF(ISNUMBER(F3266),E3266*F3266,"")</f>
        <v>0</v>
      </c>
      <c r="H3266" s="39">
        <f>SUM(G3266:G3269)</f>
        <v>7.1241544999999995</v>
      </c>
      <c r="I3266" s="40"/>
      <c r="J3266" s="155">
        <v>0</v>
      </c>
    </row>
    <row r="3267" spans="1:10" ht="15.75" hidden="1" thickBot="1" x14ac:dyDescent="0.3">
      <c r="A3267" s="176"/>
      <c r="B3267" s="175"/>
      <c r="C3267" s="36" t="s">
        <v>603</v>
      </c>
      <c r="D3267" s="47" t="s">
        <v>297</v>
      </c>
      <c r="E3267" s="37">
        <v>8.9999999999999993E-3</v>
      </c>
      <c r="F3267" s="31">
        <v>3.2965</v>
      </c>
      <c r="G3267" s="34">
        <f>IF(ISNUMBER(F3267),E3267*F3267,"")</f>
        <v>2.9668499999999997E-2</v>
      </c>
      <c r="H3267" s="35"/>
      <c r="I3267" s="31"/>
      <c r="J3267" s="155">
        <v>0</v>
      </c>
    </row>
    <row r="3268" spans="1:10" ht="15.75" hidden="1" thickBot="1" x14ac:dyDescent="0.3">
      <c r="A3268" s="176"/>
      <c r="B3268" s="175"/>
      <c r="C3268" s="36" t="s">
        <v>74</v>
      </c>
      <c r="D3268" s="36" t="s">
        <v>12</v>
      </c>
      <c r="E3268" s="37">
        <v>0.17899999999999999</v>
      </c>
      <c r="F3268" s="31">
        <v>17.366</v>
      </c>
      <c r="G3268" s="34">
        <f>IF(ISNUMBER(F3268),E3268*F3268,"")</f>
        <v>3.108514</v>
      </c>
      <c r="H3268" s="35"/>
      <c r="I3268" s="31"/>
      <c r="J3268" s="155">
        <v>0</v>
      </c>
    </row>
    <row r="3269" spans="1:10" ht="15.75" hidden="1" thickBot="1" x14ac:dyDescent="0.3">
      <c r="A3269" s="176"/>
      <c r="B3269" s="175"/>
      <c r="C3269" s="36" t="s">
        <v>30</v>
      </c>
      <c r="D3269" s="36" t="s">
        <v>12</v>
      </c>
      <c r="E3269" s="37">
        <v>0.17899999999999999</v>
      </c>
      <c r="F3269" s="31">
        <v>22.268000000000001</v>
      </c>
      <c r="G3269" s="34">
        <f>IF(ISNUMBER(F3269),E3269*F3269,"")</f>
        <v>3.9859719999999998</v>
      </c>
      <c r="H3269" s="35"/>
      <c r="I3269" s="31"/>
      <c r="J3269" s="155">
        <v>0</v>
      </c>
    </row>
    <row r="3270" spans="1:10" ht="15.75" hidden="1" thickBot="1" x14ac:dyDescent="0.3">
      <c r="A3270" s="177"/>
      <c r="B3270" s="178"/>
      <c r="C3270" s="36"/>
      <c r="D3270" s="36"/>
      <c r="E3270" s="37"/>
      <c r="F3270" s="31" t="s">
        <v>568</v>
      </c>
      <c r="G3270" s="34" t="str">
        <f>IF(ISNUMBER(F3270),E3270*F3270,"")</f>
        <v/>
      </c>
      <c r="H3270" s="35"/>
      <c r="I3270" s="31"/>
      <c r="J3270" s="155">
        <v>0</v>
      </c>
    </row>
    <row r="3271" spans="1:10" ht="15.75" hidden="1" thickBot="1" x14ac:dyDescent="0.3">
      <c r="A3271" s="172" t="s">
        <v>1037</v>
      </c>
      <c r="B3271" s="174" t="str">
        <f>INDEX(Orçamentária!A:B,MATCH(Composições!A3271,Orçamentária!A:A,0),2)</f>
        <v>Condutor 185mm²</v>
      </c>
      <c r="C3271" s="41"/>
      <c r="D3271" s="26" t="str">
        <f>TRIM(INDEX(Orçamentária!C:C,MATCH(Composições!A3271,Orçamentária!A:A,0),1))</f>
        <v>m</v>
      </c>
      <c r="E3271" s="27"/>
      <c r="F3271" s="42" t="s">
        <v>568</v>
      </c>
      <c r="G3271" s="28" t="str">
        <f>IF(ISNUMBER(F3271),E3271*F3271,"")</f>
        <v/>
      </c>
      <c r="H3271" s="29"/>
      <c r="I3271" s="30"/>
      <c r="J3271" s="155">
        <v>0</v>
      </c>
    </row>
    <row r="3272" spans="1:10" ht="15.75" hidden="1" thickBot="1" x14ac:dyDescent="0.3">
      <c r="A3272" s="176"/>
      <c r="B3272" s="175"/>
      <c r="C3272" s="32"/>
      <c r="D3272" s="32"/>
      <c r="E3272" s="33"/>
      <c r="F3272" s="43" t="s">
        <v>568</v>
      </c>
      <c r="G3272" s="34" t="str">
        <f>IF(ISNUMBER(F3272),E3272*F3272,"")</f>
        <v/>
      </c>
      <c r="H3272" s="35"/>
      <c r="I3272" s="31"/>
      <c r="J3272" s="155">
        <v>0</v>
      </c>
    </row>
    <row r="3273" spans="1:10" ht="15.75" hidden="1" thickBot="1" x14ac:dyDescent="0.3">
      <c r="A3273" s="176"/>
      <c r="B3273" s="175"/>
      <c r="C3273" s="36" t="s">
        <v>1038</v>
      </c>
      <c r="D3273" s="36" t="s">
        <v>93</v>
      </c>
      <c r="E3273" s="37">
        <v>1.0149999999999999</v>
      </c>
      <c r="F3273" s="31">
        <v>0</v>
      </c>
      <c r="G3273" s="34">
        <f>IF(ISNUMBER(F3273),E3273*F3273,"")</f>
        <v>0</v>
      </c>
      <c r="H3273" s="39">
        <f>SUM(G3273:G3276)</f>
        <v>8.4320765000000009</v>
      </c>
      <c r="I3273" s="40"/>
      <c r="J3273" s="155">
        <v>0</v>
      </c>
    </row>
    <row r="3274" spans="1:10" ht="15.75" hidden="1" thickBot="1" x14ac:dyDescent="0.3">
      <c r="A3274" s="176"/>
      <c r="B3274" s="175"/>
      <c r="C3274" s="36" t="s">
        <v>603</v>
      </c>
      <c r="D3274" s="47" t="s">
        <v>297</v>
      </c>
      <c r="E3274" s="37">
        <v>8.9999999999999993E-3</v>
      </c>
      <c r="F3274" s="31">
        <v>3.2965</v>
      </c>
      <c r="G3274" s="34">
        <f>IF(ISNUMBER(F3274),E3274*F3274,"")</f>
        <v>2.9668499999999997E-2</v>
      </c>
      <c r="H3274" s="35"/>
      <c r="I3274" s="31"/>
      <c r="J3274" s="155">
        <v>0</v>
      </c>
    </row>
    <row r="3275" spans="1:10" ht="15.75" hidden="1" thickBot="1" x14ac:dyDescent="0.3">
      <c r="A3275" s="176"/>
      <c r="B3275" s="175"/>
      <c r="C3275" s="36" t="s">
        <v>74</v>
      </c>
      <c r="D3275" s="36" t="s">
        <v>12</v>
      </c>
      <c r="E3275" s="37">
        <v>0.21199999999999999</v>
      </c>
      <c r="F3275" s="31">
        <v>17.366</v>
      </c>
      <c r="G3275" s="34">
        <f>IF(ISNUMBER(F3275),E3275*F3275,"")</f>
        <v>3.6815919999999998</v>
      </c>
      <c r="H3275" s="35"/>
      <c r="I3275" s="31"/>
      <c r="J3275" s="155">
        <v>0</v>
      </c>
    </row>
    <row r="3276" spans="1:10" ht="15.75" hidden="1" thickBot="1" x14ac:dyDescent="0.3">
      <c r="A3276" s="176"/>
      <c r="B3276" s="175"/>
      <c r="C3276" s="36" t="s">
        <v>30</v>
      </c>
      <c r="D3276" s="36" t="s">
        <v>12</v>
      </c>
      <c r="E3276" s="37">
        <v>0.21199999999999999</v>
      </c>
      <c r="F3276" s="31">
        <v>22.268000000000001</v>
      </c>
      <c r="G3276" s="34">
        <f>IF(ISNUMBER(F3276),E3276*F3276,"")</f>
        <v>4.7208160000000001</v>
      </c>
      <c r="H3276" s="35"/>
      <c r="I3276" s="31"/>
      <c r="J3276" s="155">
        <v>0</v>
      </c>
    </row>
    <row r="3277" spans="1:10" ht="15.75" hidden="1" thickBot="1" x14ac:dyDescent="0.3">
      <c r="A3277" s="177"/>
      <c r="B3277" s="178"/>
      <c r="C3277" s="36"/>
      <c r="D3277" s="36"/>
      <c r="E3277" s="37"/>
      <c r="F3277" s="31" t="s">
        <v>568</v>
      </c>
      <c r="G3277" s="34" t="str">
        <f>IF(ISNUMBER(F3277),E3277*F3277,"")</f>
        <v/>
      </c>
      <c r="H3277" s="35"/>
      <c r="I3277" s="31"/>
      <c r="J3277" s="155">
        <v>0</v>
      </c>
    </row>
    <row r="3278" spans="1:10" ht="15.75" hidden="1" thickBot="1" x14ac:dyDescent="0.3">
      <c r="A3278" s="172" t="s">
        <v>1039</v>
      </c>
      <c r="B3278" s="174" t="str">
        <f>INDEX(Orçamentária!A:B,MATCH(Composições!A3278,Orçamentária!A:A,0),2)</f>
        <v>Condutor 240mm²</v>
      </c>
      <c r="C3278" s="41"/>
      <c r="D3278" s="26" t="str">
        <f>TRIM(INDEX(Orçamentária!C:C,MATCH(Composições!A3278,Orçamentária!A:A,0),1))</f>
        <v>m</v>
      </c>
      <c r="E3278" s="27"/>
      <c r="F3278" s="42" t="s">
        <v>568</v>
      </c>
      <c r="G3278" s="28" t="str">
        <f>IF(ISNUMBER(F3278),E3278*F3278,"")</f>
        <v/>
      </c>
      <c r="H3278" s="29"/>
      <c r="I3278" s="30"/>
      <c r="J3278" s="155">
        <v>0</v>
      </c>
    </row>
    <row r="3279" spans="1:10" ht="15.75" hidden="1" thickBot="1" x14ac:dyDescent="0.3">
      <c r="A3279" s="176"/>
      <c r="B3279" s="175"/>
      <c r="C3279" s="32"/>
      <c r="D3279" s="32"/>
      <c r="E3279" s="33"/>
      <c r="F3279" s="43" t="s">
        <v>568</v>
      </c>
      <c r="G3279" s="34" t="str">
        <f>IF(ISNUMBER(F3279),E3279*F3279,"")</f>
        <v/>
      </c>
      <c r="H3279" s="35"/>
      <c r="I3279" s="31"/>
      <c r="J3279" s="155">
        <v>0</v>
      </c>
    </row>
    <row r="3280" spans="1:10" ht="15.75" hidden="1" thickBot="1" x14ac:dyDescent="0.3">
      <c r="A3280" s="176"/>
      <c r="B3280" s="175"/>
      <c r="C3280" s="36" t="s">
        <v>1040</v>
      </c>
      <c r="D3280" s="36" t="s">
        <v>93</v>
      </c>
      <c r="E3280" s="37">
        <v>1.0149999999999999</v>
      </c>
      <c r="F3280" s="31">
        <v>0</v>
      </c>
      <c r="G3280" s="34">
        <f>IF(ISNUMBER(F3280),E3280*F3280,"")</f>
        <v>0</v>
      </c>
      <c r="H3280" s="39">
        <f>SUM(G3280:G3283)</f>
        <v>2.5662444999999998</v>
      </c>
      <c r="I3280" s="40"/>
      <c r="J3280" s="155">
        <v>0</v>
      </c>
    </row>
    <row r="3281" spans="1:10" ht="15.75" hidden="1" thickBot="1" x14ac:dyDescent="0.3">
      <c r="A3281" s="176"/>
      <c r="B3281" s="175"/>
      <c r="C3281" s="36" t="s">
        <v>603</v>
      </c>
      <c r="D3281" s="47" t="s">
        <v>297</v>
      </c>
      <c r="E3281" s="37">
        <v>8.9999999999999993E-3</v>
      </c>
      <c r="F3281" s="31">
        <v>3.2965</v>
      </c>
      <c r="G3281" s="34">
        <f>IF(ISNUMBER(F3281),E3281*F3281,"")</f>
        <v>2.9668499999999997E-2</v>
      </c>
      <c r="H3281" s="35"/>
      <c r="I3281" s="31"/>
      <c r="J3281" s="155">
        <v>0</v>
      </c>
    </row>
    <row r="3282" spans="1:10" ht="15.75" hidden="1" thickBot="1" x14ac:dyDescent="0.3">
      <c r="A3282" s="176"/>
      <c r="B3282" s="175"/>
      <c r="C3282" s="36" t="s">
        <v>74</v>
      </c>
      <c r="D3282" s="36" t="s">
        <v>12</v>
      </c>
      <c r="E3282" s="37">
        <v>6.4000000000000001E-2</v>
      </c>
      <c r="F3282" s="31">
        <v>17.366</v>
      </c>
      <c r="G3282" s="34">
        <f>IF(ISNUMBER(F3282),E3282*F3282,"")</f>
        <v>1.111424</v>
      </c>
      <c r="H3282" s="35"/>
      <c r="I3282" s="31"/>
      <c r="J3282" s="155">
        <v>0</v>
      </c>
    </row>
    <row r="3283" spans="1:10" ht="15.75" hidden="1" thickBot="1" x14ac:dyDescent="0.3">
      <c r="A3283" s="176"/>
      <c r="B3283" s="175"/>
      <c r="C3283" s="36" t="s">
        <v>30</v>
      </c>
      <c r="D3283" s="36" t="s">
        <v>12</v>
      </c>
      <c r="E3283" s="37">
        <v>6.4000000000000001E-2</v>
      </c>
      <c r="F3283" s="31">
        <v>22.268000000000001</v>
      </c>
      <c r="G3283" s="34">
        <f>IF(ISNUMBER(F3283),E3283*F3283,"")</f>
        <v>1.425152</v>
      </c>
      <c r="H3283" s="35"/>
      <c r="I3283" s="31"/>
      <c r="J3283" s="155">
        <v>0</v>
      </c>
    </row>
    <row r="3284" spans="1:10" ht="15.75" hidden="1" thickBot="1" x14ac:dyDescent="0.3">
      <c r="A3284" s="177"/>
      <c r="B3284" s="178"/>
      <c r="C3284" s="36"/>
      <c r="D3284" s="36"/>
      <c r="E3284" s="37"/>
      <c r="F3284" s="31" t="s">
        <v>568</v>
      </c>
      <c r="G3284" s="34" t="str">
        <f>IF(ISNUMBER(F3284),E3284*F3284,"")</f>
        <v/>
      </c>
      <c r="H3284" s="35"/>
      <c r="I3284" s="31"/>
      <c r="J3284" s="155">
        <v>0</v>
      </c>
    </row>
    <row r="3285" spans="1:10" ht="15.75" hidden="1" thickBot="1" x14ac:dyDescent="0.3">
      <c r="A3285" s="172" t="s">
        <v>1041</v>
      </c>
      <c r="B3285" s="174" t="str">
        <f>INDEX(Orçamentária!A:B,MATCH(Composições!A3285,Orçamentária!A:A,0),2)</f>
        <v>Montagem e desmontagem de andaime fachadeiro</v>
      </c>
      <c r="C3285" s="41"/>
      <c r="D3285" s="26" t="str">
        <f>TRIM(INDEX(Orçamentária!C:C,MATCH(Composições!A3285,Orçamentária!A:A,0),1))</f>
        <v>m2</v>
      </c>
      <c r="E3285" s="27"/>
      <c r="F3285" s="42" t="s">
        <v>568</v>
      </c>
      <c r="G3285" s="28" t="str">
        <f>IF(ISNUMBER(F3285),E3285*F3285,"")</f>
        <v/>
      </c>
      <c r="H3285" s="29"/>
      <c r="I3285" s="30"/>
      <c r="J3285" s="155">
        <v>0</v>
      </c>
    </row>
    <row r="3286" spans="1:10" ht="15.75" hidden="1" thickBot="1" x14ac:dyDescent="0.3">
      <c r="A3286" s="176"/>
      <c r="B3286" s="175"/>
      <c r="C3286" s="32"/>
      <c r="D3286" s="32"/>
      <c r="E3286" s="33"/>
      <c r="F3286" s="43" t="s">
        <v>568</v>
      </c>
      <c r="G3286" s="34" t="str">
        <f>IF(ISNUMBER(F3286),E3286*F3286,"")</f>
        <v/>
      </c>
      <c r="H3286" s="35"/>
      <c r="I3286" s="31"/>
      <c r="J3286" s="155">
        <v>0</v>
      </c>
    </row>
    <row r="3287" spans="1:10" ht="26.25" hidden="1" thickBot="1" x14ac:dyDescent="0.3">
      <c r="A3287" s="176"/>
      <c r="B3287" s="175"/>
      <c r="C3287" s="36" t="s">
        <v>1042</v>
      </c>
      <c r="D3287" s="47" t="s">
        <v>755</v>
      </c>
      <c r="E3287" s="37">
        <v>0.29509999999999997</v>
      </c>
      <c r="F3287" s="31">
        <v>16.852999999999998</v>
      </c>
      <c r="G3287" s="34">
        <f>IF(ISNUMBER(F3287),E3287*F3287,"")</f>
        <v>4.9733202999999992</v>
      </c>
      <c r="H3287" s="39">
        <f>SUM(G3287:G3289)</f>
        <v>7.6052483546099996</v>
      </c>
      <c r="I3287" s="40"/>
      <c r="J3287" s="155">
        <v>0</v>
      </c>
    </row>
    <row r="3288" spans="1:10" ht="15.75" hidden="1" thickBot="1" x14ac:dyDescent="0.3">
      <c r="A3288" s="176"/>
      <c r="B3288" s="175"/>
      <c r="C3288" s="36" t="s">
        <v>756</v>
      </c>
      <c r="D3288" s="47" t="s">
        <v>755</v>
      </c>
      <c r="E3288" s="37">
        <v>5.8999999999999997E-2</v>
      </c>
      <c r="F3288" s="31">
        <v>16.311500000000002</v>
      </c>
      <c r="G3288" s="34">
        <f>IF(ISNUMBER(F3288),E3288*F3288,"")</f>
        <v>0.96237850000000014</v>
      </c>
      <c r="H3288" s="35"/>
      <c r="I3288" s="31"/>
      <c r="J3288" s="155">
        <v>0</v>
      </c>
    </row>
    <row r="3289" spans="1:10" ht="51.75" hidden="1" thickBot="1" x14ac:dyDescent="0.3">
      <c r="A3289" s="176"/>
      <c r="B3289" s="175"/>
      <c r="C3289" s="36" t="s">
        <v>1043</v>
      </c>
      <c r="D3289" s="47" t="s">
        <v>1044</v>
      </c>
      <c r="E3289" s="37">
        <v>0.1673</v>
      </c>
      <c r="F3289" s="31">
        <v>9.9793757000000003</v>
      </c>
      <c r="G3289" s="34">
        <f>IF(ISNUMBER(F3289),E3289*F3289,"")</f>
        <v>1.6695495546100001</v>
      </c>
      <c r="H3289" s="35"/>
      <c r="I3289" s="31"/>
      <c r="J3289" s="155">
        <v>0</v>
      </c>
    </row>
    <row r="3290" spans="1:10" ht="15.75" hidden="1" thickBot="1" x14ac:dyDescent="0.3">
      <c r="A3290" s="177"/>
      <c r="B3290" s="178"/>
      <c r="C3290" s="36"/>
      <c r="D3290" s="36"/>
      <c r="E3290" s="37"/>
      <c r="F3290" s="31" t="s">
        <v>568</v>
      </c>
      <c r="G3290" s="34" t="str">
        <f>IF(ISNUMBER(F3290),E3290*F3290,"")</f>
        <v/>
      </c>
      <c r="H3290" s="35"/>
      <c r="I3290" s="31"/>
      <c r="J3290" s="155">
        <v>0</v>
      </c>
    </row>
    <row r="3291" spans="1:10" ht="15.75" hidden="1" thickBot="1" x14ac:dyDescent="0.3">
      <c r="A3291" s="172" t="s">
        <v>1045</v>
      </c>
      <c r="B3291" s="174" t="str">
        <f>INDEX(Orçamentária!A:B,MATCH(Composições!A3291,Orçamentária!A:A,0),2)</f>
        <v>Montagem e desmontagem de andaime tubular</v>
      </c>
      <c r="C3291" s="41"/>
      <c r="D3291" s="26" t="str">
        <f>TRIM(INDEX(Orçamentária!C:C,MATCH(Composições!A3291,Orçamentária!A:A,0),1))</f>
        <v>m</v>
      </c>
      <c r="E3291" s="27"/>
      <c r="F3291" s="42" t="s">
        <v>568</v>
      </c>
      <c r="G3291" s="28" t="str">
        <f>IF(ISNUMBER(F3291),E3291*F3291,"")</f>
        <v/>
      </c>
      <c r="H3291" s="29"/>
      <c r="I3291" s="30"/>
      <c r="J3291" s="155">
        <v>0</v>
      </c>
    </row>
    <row r="3292" spans="1:10" ht="15.75" hidden="1" thickBot="1" x14ac:dyDescent="0.3">
      <c r="A3292" s="176"/>
      <c r="B3292" s="175"/>
      <c r="C3292" s="32"/>
      <c r="D3292" s="32"/>
      <c r="E3292" s="33"/>
      <c r="F3292" s="43" t="s">
        <v>568</v>
      </c>
      <c r="G3292" s="34" t="str">
        <f>IF(ISNUMBER(F3292),E3292*F3292,"")</f>
        <v/>
      </c>
      <c r="H3292" s="35"/>
      <c r="I3292" s="31"/>
      <c r="J3292" s="155">
        <v>0</v>
      </c>
    </row>
    <row r="3293" spans="1:10" ht="26.25" hidden="1" thickBot="1" x14ac:dyDescent="0.3">
      <c r="A3293" s="176"/>
      <c r="B3293" s="175"/>
      <c r="C3293" s="36" t="s">
        <v>1042</v>
      </c>
      <c r="D3293" s="47" t="s">
        <v>755</v>
      </c>
      <c r="E3293" s="37">
        <v>0.5</v>
      </c>
      <c r="F3293" s="31">
        <v>16.852999999999998</v>
      </c>
      <c r="G3293" s="34">
        <f>IF(ISNUMBER(F3293),E3293*F3293,"")</f>
        <v>8.426499999999999</v>
      </c>
      <c r="H3293" s="39">
        <f>SUM(G3293:G3295)</f>
        <v>14.069359031399999</v>
      </c>
      <c r="I3293" s="40"/>
      <c r="J3293" s="155">
        <v>0</v>
      </c>
    </row>
    <row r="3294" spans="1:10" ht="15.75" hidden="1" thickBot="1" x14ac:dyDescent="0.3">
      <c r="A3294" s="176"/>
      <c r="B3294" s="175"/>
      <c r="C3294" s="36" t="s">
        <v>756</v>
      </c>
      <c r="D3294" s="47" t="s">
        <v>755</v>
      </c>
      <c r="E3294" s="37">
        <v>0.1</v>
      </c>
      <c r="F3294" s="31">
        <v>16.311500000000002</v>
      </c>
      <c r="G3294" s="34">
        <f>IF(ISNUMBER(F3294),E3294*F3294,"")</f>
        <v>1.6311500000000003</v>
      </c>
      <c r="H3294" s="39"/>
      <c r="I3294" s="40"/>
      <c r="J3294" s="155">
        <v>0</v>
      </c>
    </row>
    <row r="3295" spans="1:10" ht="51.75" hidden="1" thickBot="1" x14ac:dyDescent="0.3">
      <c r="A3295" s="176"/>
      <c r="B3295" s="175"/>
      <c r="C3295" s="36" t="s">
        <v>1043</v>
      </c>
      <c r="D3295" s="47" t="s">
        <v>1044</v>
      </c>
      <c r="E3295" s="37">
        <v>0.40200000000000002</v>
      </c>
      <c r="F3295" s="31">
        <v>9.9793757000000003</v>
      </c>
      <c r="G3295" s="34">
        <f>IF(ISNUMBER(F3295),E3295*F3295,"")</f>
        <v>4.0117090314000006</v>
      </c>
      <c r="H3295" s="35"/>
      <c r="I3295" s="31"/>
      <c r="J3295" s="155">
        <v>0</v>
      </c>
    </row>
    <row r="3296" spans="1:10" ht="15.75" hidden="1" thickBot="1" x14ac:dyDescent="0.3">
      <c r="A3296" s="177"/>
      <c r="B3296" s="178"/>
      <c r="C3296" s="36"/>
      <c r="D3296" s="36"/>
      <c r="E3296" s="37"/>
      <c r="F3296" s="31" t="s">
        <v>568</v>
      </c>
      <c r="G3296" s="34" t="str">
        <f>IF(ISNUMBER(F3296),E3296*F3296,"")</f>
        <v/>
      </c>
      <c r="H3296" s="35"/>
      <c r="I3296" s="31"/>
      <c r="J3296" s="155">
        <v>0</v>
      </c>
    </row>
    <row r="3297" spans="1:10" ht="15.75" hidden="1" thickBot="1" x14ac:dyDescent="0.3">
      <c r="A3297" s="172" t="s">
        <v>1046</v>
      </c>
      <c r="B3297" s="174" t="str">
        <f>INDEX(Orçamentária!A:B,MATCH(Composições!A3297,Orçamentária!A:A,0),2)</f>
        <v>Locação de fechamento para andaimes com tela 100% polietileno</v>
      </c>
      <c r="C3297" s="41"/>
      <c r="D3297" s="26" t="str">
        <f>TRIM(INDEX(Orçamentária!C:C,MATCH(Composições!A3297,Orçamentária!A:A,0),1))</f>
        <v>m2 x mês</v>
      </c>
      <c r="E3297" s="27"/>
      <c r="F3297" s="42" t="s">
        <v>568</v>
      </c>
      <c r="G3297" s="28" t="str">
        <f>IF(ISNUMBER(F3297),E3297*F3297,"")</f>
        <v/>
      </c>
      <c r="H3297" s="29"/>
      <c r="I3297" s="30"/>
      <c r="J3297" s="155">
        <v>0</v>
      </c>
    </row>
    <row r="3298" spans="1:10" ht="15.75" hidden="1" thickBot="1" x14ac:dyDescent="0.3">
      <c r="A3298" s="176"/>
      <c r="B3298" s="175"/>
      <c r="C3298" s="32"/>
      <c r="D3298" s="32"/>
      <c r="E3298" s="33"/>
      <c r="F3298" s="43" t="s">
        <v>568</v>
      </c>
      <c r="G3298" s="34" t="str">
        <f>IF(ISNUMBER(F3298),E3298*F3298,"")</f>
        <v/>
      </c>
      <c r="H3298" s="35"/>
      <c r="I3298" s="31"/>
      <c r="J3298" s="155">
        <v>0</v>
      </c>
    </row>
    <row r="3299" spans="1:10" ht="26.25" hidden="1" thickBot="1" x14ac:dyDescent="0.3">
      <c r="A3299" s="176"/>
      <c r="B3299" s="175"/>
      <c r="C3299" s="36" t="s">
        <v>1047</v>
      </c>
      <c r="D3299" s="47" t="s">
        <v>297</v>
      </c>
      <c r="E3299" s="37">
        <v>0.89449999999999996</v>
      </c>
      <c r="F3299" s="31">
        <v>0.14249999999999999</v>
      </c>
      <c r="G3299" s="34">
        <f>IF(ISNUMBER(F3299),E3299*F3299,"")</f>
        <v>0.12746624999999998</v>
      </c>
      <c r="H3299" s="39">
        <f>SUM(G3299:G3302)</f>
        <v>3.8031730000000001</v>
      </c>
      <c r="I3299" s="40"/>
      <c r="J3299" s="155">
        <v>0</v>
      </c>
    </row>
    <row r="3300" spans="1:10" ht="26.25" hidden="1" thickBot="1" x14ac:dyDescent="0.3">
      <c r="A3300" s="176"/>
      <c r="B3300" s="175"/>
      <c r="C3300" s="36" t="s">
        <v>1048</v>
      </c>
      <c r="D3300" s="47" t="s">
        <v>1049</v>
      </c>
      <c r="E3300" s="37">
        <f>ROUND(1.177*(1/3),4)</f>
        <v>0.39229999999999998</v>
      </c>
      <c r="F3300" s="31">
        <v>1.9854999999999998</v>
      </c>
      <c r="G3300" s="34">
        <f>IF(ISNUMBER(F3300),E3300*F3300,"")</f>
        <v>0.77891164999999984</v>
      </c>
      <c r="H3300" s="35"/>
      <c r="I3300" s="31"/>
      <c r="J3300" s="155">
        <v>0</v>
      </c>
    </row>
    <row r="3301" spans="1:10" ht="15.75" hidden="1" thickBot="1" x14ac:dyDescent="0.3">
      <c r="A3301" s="176"/>
      <c r="B3301" s="175"/>
      <c r="C3301" s="36" t="s">
        <v>839</v>
      </c>
      <c r="D3301" s="47" t="s">
        <v>755</v>
      </c>
      <c r="E3301" s="37">
        <v>6.9900000000000004E-2</v>
      </c>
      <c r="F3301" s="31">
        <v>18.468</v>
      </c>
      <c r="G3301" s="34">
        <f>IF(ISNUMBER(F3301),E3301*F3301,"")</f>
        <v>1.2909132000000001</v>
      </c>
      <c r="H3301" s="35"/>
      <c r="I3301" s="31"/>
      <c r="J3301" s="155">
        <v>0</v>
      </c>
    </row>
    <row r="3302" spans="1:10" ht="15.75" hidden="1" thickBot="1" x14ac:dyDescent="0.3">
      <c r="A3302" s="176"/>
      <c r="B3302" s="175"/>
      <c r="C3302" s="36" t="s">
        <v>1050</v>
      </c>
      <c r="D3302" s="47" t="s">
        <v>755</v>
      </c>
      <c r="E3302" s="37">
        <v>7.3400000000000007E-2</v>
      </c>
      <c r="F3302" s="31">
        <v>21.878499999999999</v>
      </c>
      <c r="G3302" s="34">
        <f>IF(ISNUMBER(F3302),E3302*F3302,"")</f>
        <v>1.6058819</v>
      </c>
      <c r="H3302" s="35"/>
      <c r="I3302" s="31"/>
      <c r="J3302" s="155">
        <v>0</v>
      </c>
    </row>
    <row r="3303" spans="1:10" ht="15.75" hidden="1" thickBot="1" x14ac:dyDescent="0.3">
      <c r="A3303" s="176"/>
      <c r="B3303" s="175"/>
      <c r="C3303" s="36"/>
      <c r="D3303" s="47"/>
      <c r="E3303" s="37"/>
      <c r="F3303" s="31" t="s">
        <v>568</v>
      </c>
      <c r="G3303" s="34" t="str">
        <f>IF(ISNUMBER(F3303),E3303*F3303,"")</f>
        <v/>
      </c>
      <c r="H3303" s="35"/>
      <c r="I3303" s="31"/>
      <c r="J3303" s="155">
        <v>0</v>
      </c>
    </row>
    <row r="3304" spans="1:10" ht="26.25" hidden="1" thickBot="1" x14ac:dyDescent="0.3">
      <c r="A3304" s="176"/>
      <c r="B3304" s="175"/>
      <c r="C3304" s="52" t="s">
        <v>1051</v>
      </c>
      <c r="D3304" s="47"/>
      <c r="E3304" s="37"/>
      <c r="F3304" s="31" t="s">
        <v>568</v>
      </c>
      <c r="G3304" s="34" t="str">
        <f>IF(ISNUMBER(F3304),E3304*F3304,"")</f>
        <v/>
      </c>
      <c r="H3304" s="35"/>
      <c r="I3304" s="31"/>
      <c r="J3304" s="155">
        <v>0</v>
      </c>
    </row>
    <row r="3305" spans="1:10" ht="15.75" hidden="1" thickBot="1" x14ac:dyDescent="0.3">
      <c r="A3305" s="177"/>
      <c r="B3305" s="178"/>
      <c r="C3305" s="55"/>
      <c r="D3305" s="55"/>
      <c r="E3305" s="66"/>
      <c r="F3305" s="67" t="s">
        <v>568</v>
      </c>
      <c r="G3305" s="68" t="str">
        <f>IF(ISNUMBER(F3305),E3305*F3305,"")</f>
        <v/>
      </c>
      <c r="H3305" s="69"/>
      <c r="I3305" s="31"/>
      <c r="J3305" s="155">
        <v>0</v>
      </c>
    </row>
    <row r="3306" spans="1:10" ht="15.75" hidden="1" thickBot="1" x14ac:dyDescent="0.3">
      <c r="A3306" s="172" t="s">
        <v>1052</v>
      </c>
      <c r="B3306" s="174" t="str">
        <f>INDEX(Orçamentária!A:B,MATCH(Composições!A3306,Orçamentária!A:A,0),2)</f>
        <v>Remoção de folha de porta de enrolar</v>
      </c>
      <c r="C3306" s="41"/>
      <c r="D3306" s="26" t="str">
        <f>TRIM(INDEX(Orçamentária!C:C,MATCH(Composições!A3306,Orçamentária!A:A,0),1))</f>
        <v>un</v>
      </c>
      <c r="E3306" s="27"/>
      <c r="F3306" s="42" t="s">
        <v>568</v>
      </c>
      <c r="G3306" s="28" t="str">
        <f>IF(ISNUMBER(F3306),E3306*F3306,"")</f>
        <v/>
      </c>
      <c r="H3306" s="29"/>
      <c r="I3306" s="30"/>
      <c r="J3306" s="155">
        <v>0</v>
      </c>
    </row>
    <row r="3307" spans="1:10" ht="15.75" hidden="1" thickBot="1" x14ac:dyDescent="0.3">
      <c r="A3307" s="176"/>
      <c r="B3307" s="175"/>
      <c r="C3307" s="32"/>
      <c r="D3307" s="32"/>
      <c r="E3307" s="33"/>
      <c r="F3307" s="43" t="s">
        <v>568</v>
      </c>
      <c r="G3307" s="34" t="str">
        <f>IF(ISNUMBER(F3307),E3307*F3307,"")</f>
        <v/>
      </c>
      <c r="H3307" s="35"/>
      <c r="I3307" s="31"/>
      <c r="J3307" s="155">
        <v>0</v>
      </c>
    </row>
    <row r="3308" spans="1:10" ht="15.75" hidden="1" thickBot="1" x14ac:dyDescent="0.3">
      <c r="A3308" s="176"/>
      <c r="B3308" s="175"/>
      <c r="C3308" s="36" t="s">
        <v>666</v>
      </c>
      <c r="D3308" s="36" t="s">
        <v>12</v>
      </c>
      <c r="E3308" s="37">
        <v>2.5</v>
      </c>
      <c r="F3308" s="31">
        <v>21.973499999999998</v>
      </c>
      <c r="G3308" s="34">
        <f>IF(ISNUMBER(F3308),E3308*F3308,"")</f>
        <v>54.933749999999996</v>
      </c>
      <c r="H3308" s="39">
        <f>SUM(G3308:G3309)</f>
        <v>144.42374999999998</v>
      </c>
      <c r="I3308" s="40"/>
      <c r="J3308" s="155">
        <v>0</v>
      </c>
    </row>
    <row r="3309" spans="1:10" ht="15.75" hidden="1" thickBot="1" x14ac:dyDescent="0.3">
      <c r="A3309" s="176"/>
      <c r="B3309" s="175"/>
      <c r="C3309" s="36" t="s">
        <v>667</v>
      </c>
      <c r="D3309" s="36" t="s">
        <v>12</v>
      </c>
      <c r="E3309" s="37">
        <v>5</v>
      </c>
      <c r="F3309" s="31">
        <v>17.898</v>
      </c>
      <c r="G3309" s="34">
        <f>IF(ISNUMBER(F3309),E3309*F3309,"")</f>
        <v>89.49</v>
      </c>
      <c r="H3309" s="35"/>
      <c r="I3309" s="31"/>
      <c r="J3309" s="155">
        <v>0</v>
      </c>
    </row>
    <row r="3310" spans="1:10" ht="15.75" hidden="1" thickBot="1" x14ac:dyDescent="0.3">
      <c r="A3310" s="177"/>
      <c r="B3310" s="178"/>
      <c r="C3310" s="36"/>
      <c r="D3310" s="36"/>
      <c r="E3310" s="37"/>
      <c r="F3310" s="31" t="s">
        <v>568</v>
      </c>
      <c r="G3310" s="34" t="str">
        <f>IF(ISNUMBER(F3310),E3310*F3310,"")</f>
        <v/>
      </c>
      <c r="H3310" s="35"/>
      <c r="I3310" s="31"/>
      <c r="J3310" s="155">
        <v>0</v>
      </c>
    </row>
    <row r="3311" spans="1:10" ht="15.75" hidden="1" thickBot="1" x14ac:dyDescent="0.3">
      <c r="A3311" s="172" t="s">
        <v>1053</v>
      </c>
      <c r="B3311" s="174" t="str">
        <f>INDEX(Orçamentária!A:B,MATCH(Composições!A3311,Orçamentária!A:A,0),2)</f>
        <v>Base registro de gaveta 1"</v>
      </c>
      <c r="C3311" s="41"/>
      <c r="D3311" s="26" t="str">
        <f>TRIM(INDEX(Orçamentária!C:C,MATCH(Composições!A3311,Orçamentária!A:A,0),1))</f>
        <v>un</v>
      </c>
      <c r="E3311" s="27"/>
      <c r="F3311" s="42" t="s">
        <v>568</v>
      </c>
      <c r="G3311" s="28" t="str">
        <f>IF(ISNUMBER(F3311),E3311*F3311,"")</f>
        <v/>
      </c>
      <c r="H3311" s="29"/>
      <c r="I3311" s="30"/>
      <c r="J3311" s="155">
        <v>0</v>
      </c>
    </row>
    <row r="3312" spans="1:10" ht="15.75" hidden="1" thickBot="1" x14ac:dyDescent="0.3">
      <c r="A3312" s="176"/>
      <c r="B3312" s="175"/>
      <c r="C3312" s="32"/>
      <c r="D3312" s="32"/>
      <c r="E3312" s="33"/>
      <c r="F3312" s="43" t="s">
        <v>568</v>
      </c>
      <c r="G3312" s="34" t="str">
        <f>IF(ISNUMBER(F3312),E3312*F3312,"")</f>
        <v/>
      </c>
      <c r="H3312" s="35"/>
      <c r="I3312" s="31"/>
      <c r="J3312" s="155">
        <v>0</v>
      </c>
    </row>
    <row r="3313" spans="1:10" ht="26.25" hidden="1" thickBot="1" x14ac:dyDescent="0.3">
      <c r="A3313" s="176"/>
      <c r="B3313" s="175"/>
      <c r="C3313" s="36" t="s">
        <v>1054</v>
      </c>
      <c r="D3313" s="47" t="s">
        <v>149</v>
      </c>
      <c r="E3313" s="37">
        <v>1</v>
      </c>
      <c r="F3313" s="31" t="s">
        <v>568</v>
      </c>
      <c r="G3313" s="34" t="str">
        <f>IF(ISNUMBER(F3313),E3313*F3313,"")</f>
        <v/>
      </c>
      <c r="H3313" s="39">
        <f>SUM(G3313:G3316)</f>
        <v>29.958098</v>
      </c>
      <c r="I3313" s="40"/>
      <c r="J3313" s="155">
        <v>0</v>
      </c>
    </row>
    <row r="3314" spans="1:10" ht="15.75" hidden="1" thickBot="1" x14ac:dyDescent="0.3">
      <c r="A3314" s="176"/>
      <c r="B3314" s="175"/>
      <c r="C3314" s="36" t="s">
        <v>346</v>
      </c>
      <c r="D3314" s="47" t="s">
        <v>297</v>
      </c>
      <c r="E3314" s="37">
        <v>9.4999999999999998E-3</v>
      </c>
      <c r="F3314" s="31">
        <v>13.661</v>
      </c>
      <c r="G3314" s="34">
        <f>IF(ISNUMBER(F3314),E3314*F3314,"")</f>
        <v>0.12977949999999999</v>
      </c>
      <c r="H3314" s="35"/>
      <c r="I3314" s="31"/>
      <c r="J3314" s="155">
        <v>0</v>
      </c>
    </row>
    <row r="3315" spans="1:10" ht="15.75" hidden="1" thickBot="1" x14ac:dyDescent="0.3">
      <c r="A3315" s="176"/>
      <c r="B3315" s="175"/>
      <c r="C3315" s="36" t="s">
        <v>39</v>
      </c>
      <c r="D3315" s="47" t="s">
        <v>12</v>
      </c>
      <c r="E3315" s="37">
        <v>0.77449999999999997</v>
      </c>
      <c r="F3315" s="31">
        <v>21.622</v>
      </c>
      <c r="G3315" s="34">
        <f>IF(ISNUMBER(F3315),E3315*F3315,"")</f>
        <v>16.746238999999999</v>
      </c>
      <c r="H3315" s="35"/>
      <c r="I3315" s="31"/>
      <c r="J3315" s="155">
        <v>0</v>
      </c>
    </row>
    <row r="3316" spans="1:10" ht="26.25" hidden="1" thickBot="1" x14ac:dyDescent="0.3">
      <c r="A3316" s="176"/>
      <c r="B3316" s="175"/>
      <c r="C3316" s="36" t="s">
        <v>109</v>
      </c>
      <c r="D3316" s="36" t="s">
        <v>12</v>
      </c>
      <c r="E3316" s="37">
        <v>0.77449999999999997</v>
      </c>
      <c r="F3316" s="31">
        <v>16.891000000000002</v>
      </c>
      <c r="G3316" s="34">
        <f>IF(ISNUMBER(F3316),E3316*F3316,"")</f>
        <v>13.082079500000001</v>
      </c>
      <c r="H3316" s="35"/>
      <c r="I3316" s="31"/>
      <c r="J3316" s="155">
        <v>0</v>
      </c>
    </row>
    <row r="3317" spans="1:10" ht="15.75" hidden="1" thickBot="1" x14ac:dyDescent="0.3">
      <c r="A3317" s="177"/>
      <c r="B3317" s="178"/>
      <c r="C3317" s="36"/>
      <c r="D3317" s="36"/>
      <c r="E3317" s="37"/>
      <c r="F3317" s="31" t="s">
        <v>568</v>
      </c>
      <c r="G3317" s="34" t="str">
        <f>IF(ISNUMBER(F3317),E3317*F3317,"")</f>
        <v/>
      </c>
      <c r="H3317" s="35"/>
      <c r="I3317" s="31"/>
      <c r="J3317" s="155">
        <v>0</v>
      </c>
    </row>
    <row r="3318" spans="1:10" ht="15.75" hidden="1" thickBot="1" x14ac:dyDescent="0.3">
      <c r="A3318" s="172" t="s">
        <v>1055</v>
      </c>
      <c r="B3318" s="174" t="str">
        <f>INDEX(Orçamentária!A:B,MATCH(Composições!A3318,Orçamentária!A:A,0),2)</f>
        <v>Base registro de pressão 3/4"</v>
      </c>
      <c r="C3318" s="41"/>
      <c r="D3318" s="26" t="str">
        <f>TRIM(INDEX(Orçamentária!C:C,MATCH(Composições!A3318,Orçamentária!A:A,0),1))</f>
        <v>un</v>
      </c>
      <c r="E3318" s="27"/>
      <c r="F3318" s="42" t="s">
        <v>568</v>
      </c>
      <c r="G3318" s="28" t="str">
        <f>IF(ISNUMBER(F3318),E3318*F3318,"")</f>
        <v/>
      </c>
      <c r="H3318" s="29"/>
      <c r="I3318" s="30"/>
      <c r="J3318" s="155">
        <v>0</v>
      </c>
    </row>
    <row r="3319" spans="1:10" ht="15.75" hidden="1" thickBot="1" x14ac:dyDescent="0.3">
      <c r="A3319" s="176"/>
      <c r="B3319" s="175"/>
      <c r="C3319" s="32"/>
      <c r="D3319" s="32"/>
      <c r="E3319" s="33"/>
      <c r="F3319" s="43" t="s">
        <v>568</v>
      </c>
      <c r="G3319" s="34" t="str">
        <f>IF(ISNUMBER(F3319),E3319*F3319,"")</f>
        <v/>
      </c>
      <c r="H3319" s="35"/>
      <c r="I3319" s="31"/>
      <c r="J3319" s="155">
        <v>0</v>
      </c>
    </row>
    <row r="3320" spans="1:10" ht="15.75" hidden="1" thickBot="1" x14ac:dyDescent="0.3">
      <c r="A3320" s="176"/>
      <c r="B3320" s="175"/>
      <c r="C3320" s="36" t="s">
        <v>346</v>
      </c>
      <c r="D3320" s="47" t="s">
        <v>297</v>
      </c>
      <c r="E3320" s="37">
        <v>1.2999999999999999E-2</v>
      </c>
      <c r="F3320" s="31">
        <v>13.661</v>
      </c>
      <c r="G3320" s="34">
        <f>IF(ISNUMBER(F3320),E3320*F3320,"")</f>
        <v>0.17759299999999997</v>
      </c>
      <c r="H3320" s="39">
        <f>SUM(G3320:G3323)</f>
        <v>7.8801930000000002</v>
      </c>
      <c r="I3320" s="40"/>
      <c r="J3320" s="155">
        <v>0</v>
      </c>
    </row>
    <row r="3321" spans="1:10" ht="26.25" hidden="1" thickBot="1" x14ac:dyDescent="0.3">
      <c r="A3321" s="176"/>
      <c r="B3321" s="175"/>
      <c r="C3321" s="36" t="s">
        <v>1056</v>
      </c>
      <c r="D3321" s="47" t="s">
        <v>149</v>
      </c>
      <c r="E3321" s="37">
        <v>1</v>
      </c>
      <c r="F3321" s="31" t="s">
        <v>568</v>
      </c>
      <c r="G3321" s="34" t="str">
        <f>IF(ISNUMBER(F3321),E3321*F3321,"")</f>
        <v/>
      </c>
      <c r="H3321" s="35"/>
      <c r="I3321" s="31"/>
      <c r="J3321" s="155">
        <v>0</v>
      </c>
    </row>
    <row r="3322" spans="1:10" ht="26.25" hidden="1" thickBot="1" x14ac:dyDescent="0.3">
      <c r="A3322" s="176"/>
      <c r="B3322" s="175"/>
      <c r="C3322" s="36" t="s">
        <v>109</v>
      </c>
      <c r="D3322" s="47" t="s">
        <v>12</v>
      </c>
      <c r="E3322" s="37">
        <v>0.2</v>
      </c>
      <c r="F3322" s="31">
        <v>16.891000000000002</v>
      </c>
      <c r="G3322" s="34">
        <f>IF(ISNUMBER(F3322),E3322*F3322,"")</f>
        <v>3.3782000000000005</v>
      </c>
      <c r="H3322" s="35"/>
      <c r="I3322" s="31"/>
      <c r="J3322" s="155">
        <v>0</v>
      </c>
    </row>
    <row r="3323" spans="1:10" ht="15.75" hidden="1" thickBot="1" x14ac:dyDescent="0.3">
      <c r="A3323" s="176"/>
      <c r="B3323" s="175"/>
      <c r="C3323" s="36" t="s">
        <v>39</v>
      </c>
      <c r="D3323" s="36" t="s">
        <v>12</v>
      </c>
      <c r="E3323" s="37">
        <v>0.2</v>
      </c>
      <c r="F3323" s="31">
        <v>21.622</v>
      </c>
      <c r="G3323" s="34">
        <f>IF(ISNUMBER(F3323),E3323*F3323,"")</f>
        <v>4.3243999999999998</v>
      </c>
      <c r="H3323" s="35"/>
      <c r="I3323" s="31"/>
      <c r="J3323" s="155">
        <v>0</v>
      </c>
    </row>
    <row r="3324" spans="1:10" ht="15.75" hidden="1" thickBot="1" x14ac:dyDescent="0.3">
      <c r="A3324" s="177"/>
      <c r="B3324" s="178"/>
      <c r="C3324" s="36"/>
      <c r="D3324" s="36"/>
      <c r="E3324" s="37"/>
      <c r="F3324" s="31" t="s">
        <v>568</v>
      </c>
      <c r="G3324" s="34" t="str">
        <f>IF(ISNUMBER(F3324),E3324*F3324,"")</f>
        <v/>
      </c>
      <c r="H3324" s="35"/>
      <c r="I3324" s="31"/>
      <c r="J3324" s="155">
        <v>0</v>
      </c>
    </row>
    <row r="3325" spans="1:10" ht="15.75" hidden="1" thickBot="1" x14ac:dyDescent="0.3">
      <c r="A3325" s="172" t="s">
        <v>1057</v>
      </c>
      <c r="B3325" s="174" t="str">
        <f>INDEX(Orçamentária!A:B,MATCH(Composições!A3325,Orçamentária!A:A,0),2)</f>
        <v>Tampa em ferro fundido T33</v>
      </c>
      <c r="C3325" s="41"/>
      <c r="D3325" s="26" t="str">
        <f>TRIM(INDEX(Orçamentária!C:C,MATCH(Composições!A3325,Orçamentária!A:A,0),1))</f>
        <v>un</v>
      </c>
      <c r="E3325" s="27"/>
      <c r="F3325" s="42" t="s">
        <v>568</v>
      </c>
      <c r="G3325" s="28" t="str">
        <f>IF(ISNUMBER(F3325),E3325*F3325,"")</f>
        <v/>
      </c>
      <c r="H3325" s="29"/>
      <c r="I3325" s="30"/>
      <c r="J3325" s="155">
        <v>0</v>
      </c>
    </row>
    <row r="3326" spans="1:10" ht="15.75" hidden="1" thickBot="1" x14ac:dyDescent="0.3">
      <c r="A3326" s="176"/>
      <c r="B3326" s="175"/>
      <c r="C3326" s="32"/>
      <c r="D3326" s="32"/>
      <c r="E3326" s="33"/>
      <c r="F3326" s="43" t="s">
        <v>568</v>
      </c>
      <c r="G3326" s="34" t="str">
        <f>IF(ISNUMBER(F3326),E3326*F3326,"")</f>
        <v/>
      </c>
      <c r="H3326" s="35"/>
      <c r="I3326" s="31"/>
      <c r="J3326" s="155">
        <v>0</v>
      </c>
    </row>
    <row r="3327" spans="1:10" ht="26.25" hidden="1" thickBot="1" x14ac:dyDescent="0.3">
      <c r="A3327" s="176"/>
      <c r="B3327" s="175"/>
      <c r="C3327" s="36" t="s">
        <v>1058</v>
      </c>
      <c r="D3327" s="47" t="s">
        <v>297</v>
      </c>
      <c r="E3327" s="37">
        <v>1</v>
      </c>
      <c r="F3327" s="31">
        <v>247.43699999999995</v>
      </c>
      <c r="G3327" s="34">
        <f>IF(ISNUMBER(F3327),E3327*F3327,"")</f>
        <v>247.43699999999995</v>
      </c>
      <c r="H3327" s="39">
        <f>SUM(G3327:G3330)</f>
        <v>315.51694688939796</v>
      </c>
      <c r="I3327" s="40"/>
      <c r="J3327" s="155">
        <v>0</v>
      </c>
    </row>
    <row r="3328" spans="1:10" ht="39" hidden="1" thickBot="1" x14ac:dyDescent="0.3">
      <c r="A3328" s="176"/>
      <c r="B3328" s="175"/>
      <c r="C3328" s="36" t="s">
        <v>1059</v>
      </c>
      <c r="D3328" s="47" t="s">
        <v>123</v>
      </c>
      <c r="E3328" s="37">
        <v>7.0000000000000001E-3</v>
      </c>
      <c r="F3328" s="31">
        <v>400.23526991400001</v>
      </c>
      <c r="G3328" s="34">
        <f>IF(ISNUMBER(F3328),E3328*F3328,"")</f>
        <v>2.801646889398</v>
      </c>
      <c r="H3328" s="35"/>
      <c r="I3328" s="31"/>
      <c r="J3328" s="155">
        <v>0</v>
      </c>
    </row>
    <row r="3329" spans="1:10" ht="15.75" hidden="1" thickBot="1" x14ac:dyDescent="0.3">
      <c r="A3329" s="176"/>
      <c r="B3329" s="175"/>
      <c r="C3329" s="36" t="s">
        <v>22</v>
      </c>
      <c r="D3329" s="36" t="s">
        <v>12</v>
      </c>
      <c r="E3329" s="37">
        <v>1.7</v>
      </c>
      <c r="F3329" s="31">
        <v>22.087499999999999</v>
      </c>
      <c r="G3329" s="34">
        <f>IF(ISNUMBER(F3329),E3329*F3329,"")</f>
        <v>37.548749999999998</v>
      </c>
      <c r="H3329" s="35"/>
      <c r="I3329" s="31"/>
      <c r="J3329" s="155">
        <v>0</v>
      </c>
    </row>
    <row r="3330" spans="1:10" ht="15.75" hidden="1" thickBot="1" x14ac:dyDescent="0.3">
      <c r="A3330" s="176"/>
      <c r="B3330" s="175"/>
      <c r="C3330" s="36" t="s">
        <v>23</v>
      </c>
      <c r="D3330" s="36" t="s">
        <v>12</v>
      </c>
      <c r="E3330" s="37">
        <v>1.7</v>
      </c>
      <c r="F3330" s="31">
        <v>16.311500000000002</v>
      </c>
      <c r="G3330" s="34">
        <f>IF(ISNUMBER(F3330),E3330*F3330,"")</f>
        <v>27.729550000000003</v>
      </c>
      <c r="H3330" s="35"/>
      <c r="I3330" s="31"/>
      <c r="J3330" s="155">
        <v>0</v>
      </c>
    </row>
    <row r="3331" spans="1:10" ht="15.75" hidden="1" thickBot="1" x14ac:dyDescent="0.3">
      <c r="A3331" s="177"/>
      <c r="B3331" s="178"/>
      <c r="C3331" s="55"/>
      <c r="D3331" s="55"/>
      <c r="E3331" s="66"/>
      <c r="F3331" s="67" t="s">
        <v>568</v>
      </c>
      <c r="G3331" s="68" t="str">
        <f>IF(ISNUMBER(F3331),E3331*F3331,"")</f>
        <v/>
      </c>
      <c r="H3331" s="69"/>
      <c r="I3331" s="31"/>
      <c r="J3331" s="155">
        <v>0</v>
      </c>
    </row>
    <row r="3332" spans="1:10" ht="15.75" hidden="1" thickBot="1" x14ac:dyDescent="0.3">
      <c r="A3332" s="173" t="s">
        <v>1060</v>
      </c>
      <c r="B3332" s="175" t="str">
        <f>INDEX(Orçamentária!A:B,MATCH(Composições!A3332,Orçamentária!A:A,0),2)</f>
        <v>Arquiteto(a) com experiência em intervenção no patrimônio cultural</v>
      </c>
      <c r="C3332" s="133"/>
      <c r="D3332" s="26" t="str">
        <f>TRIM(INDEX(Orçamentária!C:C,MATCH(Composições!A3332,Orçamentária!A:A,0),1))</f>
        <v>hh</v>
      </c>
      <c r="E3332" s="70"/>
      <c r="F3332" s="71" t="s">
        <v>568</v>
      </c>
      <c r="G3332" s="71" t="str">
        <f>IF(ISNUMBER(F3332),E3332*F3332,"")</f>
        <v/>
      </c>
      <c r="H3332" s="72"/>
      <c r="I3332" s="30"/>
      <c r="J3332" s="155">
        <v>0</v>
      </c>
    </row>
    <row r="3333" spans="1:10" ht="15.75" hidden="1" thickBot="1" x14ac:dyDescent="0.3">
      <c r="A3333" s="176"/>
      <c r="B3333" s="175"/>
      <c r="C3333" s="32"/>
      <c r="D3333" s="32"/>
      <c r="E3333" s="33"/>
      <c r="F3333" s="31" t="s">
        <v>568</v>
      </c>
      <c r="G3333" s="34" t="str">
        <f>IF(ISNUMBER(F3333),E3333*F3333,"")</f>
        <v/>
      </c>
      <c r="H3333" s="35"/>
      <c r="I3333" s="31"/>
      <c r="J3333" s="155">
        <v>0</v>
      </c>
    </row>
    <row r="3334" spans="1:10" ht="15.75" hidden="1" thickBot="1" x14ac:dyDescent="0.3">
      <c r="A3334" s="176"/>
      <c r="B3334" s="175"/>
      <c r="C3334" s="36" t="s">
        <v>1061</v>
      </c>
      <c r="D3334" s="36" t="s">
        <v>12</v>
      </c>
      <c r="E3334" s="37">
        <v>1</v>
      </c>
      <c r="F3334" s="31">
        <v>91.96</v>
      </c>
      <c r="G3334" s="34">
        <f>IF(ISNUMBER(F3334),E3334*F3334,"")</f>
        <v>91.96</v>
      </c>
      <c r="H3334" s="39">
        <f>SUM(G3334:G3334)</f>
        <v>91.96</v>
      </c>
      <c r="I3334" s="40"/>
      <c r="J3334" s="155">
        <v>0</v>
      </c>
    </row>
    <row r="3335" spans="1:10" ht="15.75" hidden="1" thickBot="1" x14ac:dyDescent="0.3">
      <c r="A3335" s="177"/>
      <c r="B3335" s="178"/>
      <c r="C3335" s="36"/>
      <c r="D3335" s="36"/>
      <c r="E3335" s="37"/>
      <c r="F3335" s="31" t="s">
        <v>568</v>
      </c>
      <c r="G3335" s="34" t="str">
        <f>IF(ISNUMBER(F3335),E3335*F3335,"")</f>
        <v/>
      </c>
      <c r="H3335" s="35"/>
      <c r="I3335" s="31"/>
      <c r="J3335" s="155">
        <v>0</v>
      </c>
    </row>
    <row r="3336" spans="1:10" ht="15.75" hidden="1" thickBot="1" x14ac:dyDescent="0.3">
      <c r="A3336" s="172" t="s">
        <v>1062</v>
      </c>
      <c r="B3336" s="174" t="str">
        <f>INDEX(Orçamentária!A:B,MATCH(Composições!A3336,Orçamentária!A:A,0),2)</f>
        <v>Locação de andaime suspenso tipo leve</v>
      </c>
      <c r="C3336" s="41"/>
      <c r="D3336" s="26" t="str">
        <f>TRIM(INDEX(Orçamentária!C:C,MATCH(Composições!A3336,Orçamentária!A:A,0),1))</f>
        <v>un x mês</v>
      </c>
      <c r="E3336" s="27"/>
      <c r="F3336" s="42" t="s">
        <v>568</v>
      </c>
      <c r="G3336" s="28" t="str">
        <f>IF(ISNUMBER(F3336),E3336*F3336,"")</f>
        <v/>
      </c>
      <c r="H3336" s="29"/>
      <c r="I3336" s="30"/>
      <c r="J3336" s="155">
        <v>0</v>
      </c>
    </row>
    <row r="3337" spans="1:10" ht="15.75" hidden="1" thickBot="1" x14ac:dyDescent="0.3">
      <c r="A3337" s="173"/>
      <c r="B3337" s="175"/>
      <c r="C3337" s="32"/>
      <c r="D3337" s="32"/>
      <c r="E3337" s="33"/>
      <c r="F3337" s="43" t="s">
        <v>568</v>
      </c>
      <c r="G3337" s="34" t="str">
        <f>IF(ISNUMBER(F3337),E3337*F3337,"")</f>
        <v/>
      </c>
      <c r="H3337" s="35"/>
      <c r="I3337" s="31"/>
      <c r="J3337" s="155">
        <v>0</v>
      </c>
    </row>
    <row r="3338" spans="1:10" ht="39" hidden="1" thickBot="1" x14ac:dyDescent="0.3">
      <c r="A3338" s="173"/>
      <c r="B3338" s="175"/>
      <c r="C3338" s="36" t="s">
        <v>1063</v>
      </c>
      <c r="D3338" s="36" t="s">
        <v>130</v>
      </c>
      <c r="E3338" s="37">
        <v>1</v>
      </c>
      <c r="F3338" s="31">
        <v>570</v>
      </c>
      <c r="G3338" s="34">
        <f>IF(ISNUMBER(F3338),E3338*F3338,"")</f>
        <v>570</v>
      </c>
      <c r="H3338" s="39">
        <f>SUM(G3338:G3338)</f>
        <v>570</v>
      </c>
      <c r="I3338" s="40"/>
      <c r="J3338" s="155">
        <v>0</v>
      </c>
    </row>
    <row r="3339" spans="1:10" ht="15.75" hidden="1" thickBot="1" x14ac:dyDescent="0.3">
      <c r="A3339" s="185"/>
      <c r="B3339" s="178"/>
      <c r="C3339" s="36"/>
      <c r="D3339" s="36"/>
      <c r="E3339" s="37"/>
      <c r="F3339" s="31" t="s">
        <v>568</v>
      </c>
      <c r="G3339" s="34" t="str">
        <f>IF(ISNUMBER(F3339),E3339*F3339,"")</f>
        <v/>
      </c>
      <c r="H3339" s="35"/>
      <c r="I3339" s="31"/>
      <c r="J3339" s="155">
        <v>0</v>
      </c>
    </row>
    <row r="3340" spans="1:10" ht="15.75" hidden="1" thickBot="1" x14ac:dyDescent="0.3">
      <c r="A3340" s="172" t="s">
        <v>1064</v>
      </c>
      <c r="B3340" s="174" t="str">
        <f>INDEX(Orçamentária!A:B,MATCH(Composições!A3340,Orçamentária!A:A,0),2)</f>
        <v>Limpeza de superfície por hidrojateamento de média pressão</v>
      </c>
      <c r="C3340" s="41"/>
      <c r="D3340" s="26" t="str">
        <f>TRIM(INDEX(Orçamentária!C:C,MATCH(Composições!A3340,Orçamentária!A:A,0),1))</f>
        <v>m2</v>
      </c>
      <c r="E3340" s="27"/>
      <c r="F3340" s="42" t="s">
        <v>568</v>
      </c>
      <c r="G3340" s="28" t="str">
        <f>IF(ISNUMBER(F3340),E3340*F3340,"")</f>
        <v/>
      </c>
      <c r="H3340" s="29"/>
      <c r="I3340" s="30"/>
      <c r="J3340" s="155">
        <v>0</v>
      </c>
    </row>
    <row r="3341" spans="1:10" ht="15.75" hidden="1" thickBot="1" x14ac:dyDescent="0.3">
      <c r="A3341" s="176"/>
      <c r="B3341" s="175"/>
      <c r="C3341" s="32"/>
      <c r="D3341" s="32"/>
      <c r="E3341" s="33"/>
      <c r="F3341" s="43" t="s">
        <v>568</v>
      </c>
      <c r="G3341" s="34" t="str">
        <f>IF(ISNUMBER(F3341),E3341*F3341,"")</f>
        <v/>
      </c>
      <c r="H3341" s="35"/>
      <c r="I3341" s="31"/>
      <c r="J3341" s="155">
        <v>0</v>
      </c>
    </row>
    <row r="3342" spans="1:10" ht="15.75" hidden="1" thickBot="1" x14ac:dyDescent="0.3">
      <c r="A3342" s="176"/>
      <c r="B3342" s="175"/>
      <c r="C3342" s="36" t="s">
        <v>23</v>
      </c>
      <c r="D3342" s="36" t="s">
        <v>12</v>
      </c>
      <c r="E3342" s="37">
        <v>8.8999999999999996E-2</v>
      </c>
      <c r="F3342" s="31">
        <v>16.311500000000002</v>
      </c>
      <c r="G3342" s="34">
        <f>IF(ISNUMBER(F3342),E3342*F3342,"")</f>
        <v>1.4517235000000002</v>
      </c>
      <c r="H3342" s="39">
        <f>SUM(G3342:G3343)</f>
        <v>1.4664010000000001</v>
      </c>
      <c r="I3342" s="40"/>
      <c r="J3342" s="155">
        <v>0</v>
      </c>
    </row>
    <row r="3343" spans="1:10" ht="39" hidden="1" thickBot="1" x14ac:dyDescent="0.3">
      <c r="A3343" s="176"/>
      <c r="B3343" s="175"/>
      <c r="C3343" s="36" t="s">
        <v>1065</v>
      </c>
      <c r="D3343" s="36" t="s">
        <v>33</v>
      </c>
      <c r="E3343" s="37">
        <v>1.4999999999999999E-2</v>
      </c>
      <c r="F3343" s="31">
        <v>0.97849999999999993</v>
      </c>
      <c r="G3343" s="34">
        <f>IF(ISNUMBER(F3343),E3343*F3343,"")</f>
        <v>1.4677499999999998E-2</v>
      </c>
      <c r="H3343" s="35"/>
      <c r="I3343" s="31"/>
      <c r="J3343" s="155">
        <v>0</v>
      </c>
    </row>
    <row r="3344" spans="1:10" ht="15.75" hidden="1" thickBot="1" x14ac:dyDescent="0.3">
      <c r="A3344" s="177"/>
      <c r="B3344" s="178"/>
      <c r="C3344" s="36"/>
      <c r="D3344" s="36"/>
      <c r="E3344" s="37"/>
      <c r="F3344" s="31" t="s">
        <v>568</v>
      </c>
      <c r="G3344" s="34" t="str">
        <f>IF(ISNUMBER(F3344),E3344*F3344,"")</f>
        <v/>
      </c>
      <c r="H3344" s="35"/>
      <c r="I3344" s="31"/>
      <c r="J3344" s="155">
        <v>0</v>
      </c>
    </row>
    <row r="3345" spans="1:10" ht="15.75" hidden="1" thickBot="1" x14ac:dyDescent="0.3">
      <c r="A3345" s="172" t="s">
        <v>1066</v>
      </c>
      <c r="B3345" s="174" t="str">
        <f>INDEX(Orçamentária!A:B,MATCH(Composições!A3345,Orçamentária!A:A,0),2)</f>
        <v>Inspeção da integridade e adesão de placas de rocha ornamental por percussão</v>
      </c>
      <c r="C3345" s="41"/>
      <c r="D3345" s="26" t="str">
        <f>TRIM(INDEX(Orçamentária!C:C,MATCH(Composições!A3345,Orçamentária!A:A,0),1))</f>
        <v>m2</v>
      </c>
      <c r="E3345" s="27"/>
      <c r="F3345" s="49" t="s">
        <v>568</v>
      </c>
      <c r="G3345" s="28" t="str">
        <f>IF(ISNUMBER(F3345),E3345*F3345,"")</f>
        <v/>
      </c>
      <c r="H3345" s="29"/>
      <c r="I3345" s="30"/>
      <c r="J3345" s="155">
        <v>0</v>
      </c>
    </row>
    <row r="3346" spans="1:10" ht="15.75" hidden="1" thickBot="1" x14ac:dyDescent="0.3">
      <c r="A3346" s="176"/>
      <c r="B3346" s="175"/>
      <c r="C3346" s="32"/>
      <c r="D3346" s="32"/>
      <c r="E3346" s="33"/>
      <c r="F3346" s="54" t="s">
        <v>568</v>
      </c>
      <c r="G3346" s="54" t="str">
        <f>IF(ISNUMBER(F3346),E3346*F3346,"")</f>
        <v/>
      </c>
      <c r="H3346" s="73"/>
      <c r="I3346" s="74"/>
      <c r="J3346" s="155">
        <v>0</v>
      </c>
    </row>
    <row r="3347" spans="1:10" ht="15.75" hidden="1" thickBot="1" x14ac:dyDescent="0.3">
      <c r="A3347" s="176"/>
      <c r="B3347" s="175"/>
      <c r="C3347" s="36" t="s">
        <v>54</v>
      </c>
      <c r="D3347" s="36" t="s">
        <v>12</v>
      </c>
      <c r="E3347" s="37">
        <v>0.25</v>
      </c>
      <c r="F3347" s="54">
        <v>18.420500000000001</v>
      </c>
      <c r="G3347" s="54">
        <f>IF(ISNUMBER(F3347),E3347*F3347,"")</f>
        <v>4.6051250000000001</v>
      </c>
      <c r="H3347" s="39">
        <f>SUM(G3347:G3348)</f>
        <v>4.6051250000000001</v>
      </c>
      <c r="I3347" s="40"/>
      <c r="J3347" s="155">
        <v>0</v>
      </c>
    </row>
    <row r="3348" spans="1:10" ht="15.75" hidden="1" thickBot="1" x14ac:dyDescent="0.3">
      <c r="A3348" s="177"/>
      <c r="B3348" s="178"/>
      <c r="C3348" s="36"/>
      <c r="D3348" s="36"/>
      <c r="E3348" s="37"/>
      <c r="F3348" s="54" t="s">
        <v>568</v>
      </c>
      <c r="G3348" s="54" t="str">
        <f>IF(ISNUMBER(F3348),E3348*F3348,"")</f>
        <v/>
      </c>
      <c r="H3348" s="73"/>
      <c r="I3348" s="74"/>
      <c r="J3348" s="155">
        <v>0</v>
      </c>
    </row>
    <row r="3349" spans="1:10" ht="15.75" hidden="1" thickBot="1" x14ac:dyDescent="0.3">
      <c r="A3349" s="172" t="s">
        <v>1067</v>
      </c>
      <c r="B3349" s="174" t="str">
        <f>INDEX(Orçamentária!A:B,MATCH(Composições!A3349,Orçamentária!A:A,0),2)</f>
        <v>Demolição de proteção mecânica de impermeabilização</v>
      </c>
      <c r="C3349" s="41"/>
      <c r="D3349" s="26" t="str">
        <f>TRIM(INDEX(Orçamentária!C:C,MATCH(Composições!A3349,Orçamentária!A:A,0),1))</f>
        <v>m2</v>
      </c>
      <c r="E3349" s="27"/>
      <c r="F3349" s="49" t="s">
        <v>568</v>
      </c>
      <c r="G3349" s="28" t="str">
        <f>IF(ISNUMBER(F3349),E3349*F3349,"")</f>
        <v/>
      </c>
      <c r="H3349" s="29"/>
      <c r="I3349" s="30"/>
      <c r="J3349" s="155">
        <v>0</v>
      </c>
    </row>
    <row r="3350" spans="1:10" ht="15.75" hidden="1" thickBot="1" x14ac:dyDescent="0.3">
      <c r="A3350" s="176"/>
      <c r="B3350" s="175"/>
      <c r="C3350" s="32"/>
      <c r="D3350" s="32"/>
      <c r="E3350" s="33"/>
      <c r="F3350" s="54" t="s">
        <v>568</v>
      </c>
      <c r="G3350" s="54" t="str">
        <f>IF(ISNUMBER(F3350),E3350*F3350,"")</f>
        <v/>
      </c>
      <c r="H3350" s="73"/>
      <c r="I3350" s="74"/>
      <c r="J3350" s="155">
        <v>0</v>
      </c>
    </row>
    <row r="3351" spans="1:10" ht="15.75" hidden="1" thickBot="1" x14ac:dyDescent="0.3">
      <c r="A3351" s="176"/>
      <c r="B3351" s="175"/>
      <c r="C3351" s="36" t="s">
        <v>23</v>
      </c>
      <c r="D3351" s="36" t="s">
        <v>755</v>
      </c>
      <c r="E3351" s="37">
        <v>1.25</v>
      </c>
      <c r="F3351" s="54">
        <v>16.311500000000002</v>
      </c>
      <c r="G3351" s="54">
        <f>IF(ISNUMBER(F3351),E3351*F3351,"")</f>
        <v>20.389375000000001</v>
      </c>
      <c r="H3351" s="39">
        <f>SUM(G3351:G3351)</f>
        <v>20.389375000000001</v>
      </c>
      <c r="I3351" s="40"/>
      <c r="J3351" s="155">
        <v>0</v>
      </c>
    </row>
    <row r="3352" spans="1:10" ht="15.75" hidden="1" thickBot="1" x14ac:dyDescent="0.3">
      <c r="A3352" s="177"/>
      <c r="B3352" s="178"/>
      <c r="C3352" s="36"/>
      <c r="D3352" s="36"/>
      <c r="E3352" s="37"/>
      <c r="F3352" s="54" t="s">
        <v>568</v>
      </c>
      <c r="G3352" s="54" t="str">
        <f>IF(ISNUMBER(F3352),E3352*F3352,"")</f>
        <v/>
      </c>
      <c r="H3352" s="73"/>
      <c r="I3352" s="74"/>
      <c r="J3352" s="155">
        <v>0</v>
      </c>
    </row>
    <row r="3353" spans="1:10" ht="15.75" hidden="1" thickBot="1" x14ac:dyDescent="0.3">
      <c r="A3353" s="172" t="s">
        <v>1068</v>
      </c>
      <c r="B3353" s="174" t="str">
        <f>INDEX(Orçamentária!A:B,MATCH(Composições!A3353,Orçamentária!A:A,0),2)</f>
        <v>Impermeabilização com emulsão asfáltica</v>
      </c>
      <c r="C3353" s="41"/>
      <c r="D3353" s="26" t="str">
        <f>TRIM(INDEX(Orçamentária!C:C,MATCH(Composições!A3353,Orçamentária!A:A,0),1))</f>
        <v>m2</v>
      </c>
      <c r="E3353" s="27"/>
      <c r="F3353" s="49" t="s">
        <v>568</v>
      </c>
      <c r="G3353" s="28" t="str">
        <f>IF(ISNUMBER(F3353),E3353*F3353,"")</f>
        <v/>
      </c>
      <c r="H3353" s="29"/>
      <c r="I3353" s="30"/>
      <c r="J3353" s="155">
        <v>0</v>
      </c>
    </row>
    <row r="3354" spans="1:10" ht="15.75" hidden="1" thickBot="1" x14ac:dyDescent="0.3">
      <c r="A3354" s="176"/>
      <c r="B3354" s="175"/>
      <c r="C3354" s="32"/>
      <c r="D3354" s="32"/>
      <c r="E3354" s="33"/>
      <c r="F3354" s="54" t="s">
        <v>568</v>
      </c>
      <c r="G3354" s="54" t="str">
        <f>IF(ISNUMBER(F3354),E3354*F3354,"")</f>
        <v/>
      </c>
      <c r="H3354" s="73"/>
      <c r="I3354" s="74"/>
      <c r="J3354" s="155">
        <v>0</v>
      </c>
    </row>
    <row r="3355" spans="1:10" ht="39" hidden="1" thickBot="1" x14ac:dyDescent="0.3">
      <c r="A3355" s="176"/>
      <c r="B3355" s="175"/>
      <c r="C3355" s="36" t="s">
        <v>1069</v>
      </c>
      <c r="D3355" s="36" t="s">
        <v>953</v>
      </c>
      <c r="E3355" s="37">
        <v>1.5</v>
      </c>
      <c r="F3355" s="54">
        <v>14.962499999999999</v>
      </c>
      <c r="G3355" s="54">
        <f>IF(ISNUMBER(F3355),E3355*F3355,"")</f>
        <v>22.443749999999998</v>
      </c>
      <c r="H3355" s="39">
        <f>SUM(G3355:G3358)</f>
        <v>39.263699500000001</v>
      </c>
      <c r="I3355" s="40"/>
      <c r="J3355" s="155">
        <v>0</v>
      </c>
    </row>
    <row r="3356" spans="1:10" ht="15.75" hidden="1" thickBot="1" x14ac:dyDescent="0.3">
      <c r="A3356" s="176"/>
      <c r="B3356" s="175"/>
      <c r="C3356" s="36" t="s">
        <v>3480</v>
      </c>
      <c r="D3356" s="36" t="s">
        <v>1049</v>
      </c>
      <c r="E3356" s="37">
        <v>1.351</v>
      </c>
      <c r="F3356" s="54">
        <v>4.3319999999999999</v>
      </c>
      <c r="G3356" s="54">
        <f>IF(ISNUMBER(F3356),E3356*F3356,"")</f>
        <v>5.8525320000000001</v>
      </c>
      <c r="H3356" s="73"/>
      <c r="I3356" s="40"/>
      <c r="J3356" s="155">
        <v>0</v>
      </c>
    </row>
    <row r="3357" spans="1:10" ht="15.75" hidden="1" thickBot="1" x14ac:dyDescent="0.3">
      <c r="A3357" s="176"/>
      <c r="B3357" s="175"/>
      <c r="C3357" s="36" t="s">
        <v>1070</v>
      </c>
      <c r="D3357" s="36" t="s">
        <v>755</v>
      </c>
      <c r="E3357" s="37">
        <v>8.5000000000000006E-2</v>
      </c>
      <c r="F3357" s="54">
        <v>19.3705</v>
      </c>
      <c r="G3357" s="54">
        <f>IF(ISNUMBER(F3357),E3357*F3357,"")</f>
        <v>1.6464925000000001</v>
      </c>
      <c r="H3357" s="73"/>
      <c r="I3357" s="74"/>
      <c r="J3357" s="155">
        <v>0</v>
      </c>
    </row>
    <row r="3358" spans="1:10" ht="15.75" hidden="1" thickBot="1" x14ac:dyDescent="0.3">
      <c r="A3358" s="176"/>
      <c r="B3358" s="175"/>
      <c r="C3358" s="36" t="s">
        <v>1071</v>
      </c>
      <c r="D3358" s="36" t="s">
        <v>755</v>
      </c>
      <c r="E3358" s="37">
        <v>0.42199999999999999</v>
      </c>
      <c r="F3358" s="54">
        <v>22.087499999999999</v>
      </c>
      <c r="G3358" s="54">
        <f>IF(ISNUMBER(F3358),E3358*F3358,"")</f>
        <v>9.320924999999999</v>
      </c>
      <c r="H3358" s="73"/>
      <c r="I3358" s="74"/>
      <c r="J3358" s="155">
        <v>0</v>
      </c>
    </row>
    <row r="3359" spans="1:10" ht="15.75" hidden="1" thickBot="1" x14ac:dyDescent="0.3">
      <c r="A3359" s="177"/>
      <c r="B3359" s="178"/>
      <c r="C3359" s="36"/>
      <c r="D3359" s="36"/>
      <c r="E3359" s="37"/>
      <c r="F3359" s="54" t="s">
        <v>568</v>
      </c>
      <c r="G3359" s="54" t="str">
        <f>IF(ISNUMBER(F3359),E3359*F3359,"")</f>
        <v/>
      </c>
      <c r="H3359" s="73"/>
      <c r="I3359" s="74"/>
      <c r="J3359" s="155">
        <v>0</v>
      </c>
    </row>
    <row r="3360" spans="1:10" ht="15.75" hidden="1" thickBot="1" x14ac:dyDescent="0.3">
      <c r="A3360" s="172" t="s">
        <v>1072</v>
      </c>
      <c r="B3360" s="174" t="str">
        <f>INDEX(Orçamentária!A:B,MATCH(Composições!A3360,Orçamentária!A:A,0),2)</f>
        <v>Camada de proteção mecânica simples de impermeabilização</v>
      </c>
      <c r="C3360" s="41"/>
      <c r="D3360" s="26" t="str">
        <f>TRIM(INDEX(Orçamentária!C:C,MATCH(Composições!A3360,Orçamentária!A:A,0),1))</f>
        <v>m2</v>
      </c>
      <c r="E3360" s="27"/>
      <c r="F3360" s="49" t="s">
        <v>568</v>
      </c>
      <c r="G3360" s="28" t="str">
        <f>IF(ISNUMBER(F3360),E3360*F3360,"")</f>
        <v/>
      </c>
      <c r="H3360" s="29"/>
      <c r="I3360" s="30"/>
      <c r="J3360" s="155">
        <v>0</v>
      </c>
    </row>
    <row r="3361" spans="1:10" ht="15.75" hidden="1" thickBot="1" x14ac:dyDescent="0.3">
      <c r="A3361" s="176"/>
      <c r="B3361" s="175"/>
      <c r="C3361" s="32"/>
      <c r="D3361" s="32"/>
      <c r="E3361" s="33"/>
      <c r="F3361" s="54" t="s">
        <v>568</v>
      </c>
      <c r="G3361" s="54" t="str">
        <f>IF(ISNUMBER(F3361),E3361*F3361,"")</f>
        <v/>
      </c>
      <c r="H3361" s="73"/>
      <c r="I3361" s="74"/>
      <c r="J3361" s="155">
        <v>0</v>
      </c>
    </row>
    <row r="3362" spans="1:10" ht="15.75" hidden="1" thickBot="1" x14ac:dyDescent="0.3">
      <c r="A3362" s="176"/>
      <c r="B3362" s="175"/>
      <c r="C3362" s="36" t="s">
        <v>1073</v>
      </c>
      <c r="D3362" s="36" t="s">
        <v>1049</v>
      </c>
      <c r="E3362" s="37">
        <v>1.04</v>
      </c>
      <c r="F3362" s="54">
        <v>1.2825</v>
      </c>
      <c r="G3362" s="54">
        <f>IF(ISNUMBER(F3362),E3362*F3362,"")</f>
        <v>1.3338000000000001</v>
      </c>
      <c r="H3362" s="39">
        <f>SUM(G3362:G3365)</f>
        <v>39.887903780625003</v>
      </c>
      <c r="I3362" s="40"/>
      <c r="J3362" s="155">
        <v>0</v>
      </c>
    </row>
    <row r="3363" spans="1:10" ht="26.25" hidden="1" thickBot="1" x14ac:dyDescent="0.3">
      <c r="A3363" s="176"/>
      <c r="B3363" s="175"/>
      <c r="C3363" s="36" t="s">
        <v>1074</v>
      </c>
      <c r="D3363" s="36" t="s">
        <v>123</v>
      </c>
      <c r="E3363" s="37">
        <v>3.5000000000000003E-2</v>
      </c>
      <c r="F3363" s="54">
        <v>623.68605087499998</v>
      </c>
      <c r="G3363" s="54">
        <f>IF(ISNUMBER(F3363),E3363*F3363,"")</f>
        <v>21.829011780625002</v>
      </c>
      <c r="H3363" s="73"/>
      <c r="I3363" s="74"/>
      <c r="J3363" s="155">
        <v>0</v>
      </c>
    </row>
    <row r="3364" spans="1:10" ht="15.75" hidden="1" thickBot="1" x14ac:dyDescent="0.3">
      <c r="A3364" s="176"/>
      <c r="B3364" s="175"/>
      <c r="C3364" s="36" t="s">
        <v>22</v>
      </c>
      <c r="D3364" s="36" t="s">
        <v>755</v>
      </c>
      <c r="E3364" s="37">
        <v>0.65900000000000003</v>
      </c>
      <c r="F3364" s="54">
        <v>22.087499999999999</v>
      </c>
      <c r="G3364" s="54">
        <f>IF(ISNUMBER(F3364),E3364*F3364,"")</f>
        <v>14.5556625</v>
      </c>
      <c r="H3364" s="73"/>
      <c r="I3364" s="74"/>
      <c r="J3364" s="155">
        <v>0</v>
      </c>
    </row>
    <row r="3365" spans="1:10" ht="15.75" hidden="1" thickBot="1" x14ac:dyDescent="0.3">
      <c r="A3365" s="176"/>
      <c r="B3365" s="175"/>
      <c r="C3365" s="36" t="s">
        <v>23</v>
      </c>
      <c r="D3365" s="36" t="s">
        <v>755</v>
      </c>
      <c r="E3365" s="37">
        <v>0.13300000000000001</v>
      </c>
      <c r="F3365" s="54">
        <v>16.311500000000002</v>
      </c>
      <c r="G3365" s="54">
        <f>IF(ISNUMBER(F3365),E3365*F3365,"")</f>
        <v>2.1694295000000006</v>
      </c>
      <c r="H3365" s="73"/>
      <c r="I3365" s="74"/>
      <c r="J3365" s="155">
        <v>0</v>
      </c>
    </row>
    <row r="3366" spans="1:10" ht="15.75" hidden="1" thickBot="1" x14ac:dyDescent="0.3">
      <c r="A3366" s="177"/>
      <c r="B3366" s="178"/>
      <c r="C3366" s="36"/>
      <c r="D3366" s="36"/>
      <c r="E3366" s="37"/>
      <c r="F3366" s="54" t="s">
        <v>568</v>
      </c>
      <c r="G3366" s="54" t="str">
        <f>IF(ISNUMBER(F3366),E3366*F3366,"")</f>
        <v/>
      </c>
      <c r="H3366" s="73"/>
      <c r="I3366" s="74"/>
      <c r="J3366" s="155">
        <v>0</v>
      </c>
    </row>
    <row r="3367" spans="1:10" ht="15.75" hidden="1" thickBot="1" x14ac:dyDescent="0.3">
      <c r="A3367" s="172" t="s">
        <v>1075</v>
      </c>
      <c r="B3367" s="174" t="str">
        <f>INDEX(Orçamentária!A:B,MATCH(Composições!A3367,Orçamentária!A:A,0),2)</f>
        <v>Camada de proteção mecânica estruturada de impermeabilização</v>
      </c>
      <c r="C3367" s="41"/>
      <c r="D3367" s="26" t="str">
        <f>TRIM(INDEX(Orçamentária!C:C,MATCH(Composições!A3367,Orçamentária!A:A,0),1))</f>
        <v>m2</v>
      </c>
      <c r="E3367" s="27"/>
      <c r="F3367" s="49" t="s">
        <v>568</v>
      </c>
      <c r="G3367" s="28" t="str">
        <f>IF(ISNUMBER(F3367),E3367*F3367,"")</f>
        <v/>
      </c>
      <c r="H3367" s="29"/>
      <c r="I3367" s="30"/>
      <c r="J3367" s="155">
        <v>0</v>
      </c>
    </row>
    <row r="3368" spans="1:10" ht="15.75" hidden="1" thickBot="1" x14ac:dyDescent="0.3">
      <c r="A3368" s="176"/>
      <c r="B3368" s="175"/>
      <c r="C3368" s="32"/>
      <c r="D3368" s="32"/>
      <c r="E3368" s="33"/>
      <c r="F3368" s="54" t="s">
        <v>568</v>
      </c>
      <c r="G3368" s="54" t="str">
        <f>IF(ISNUMBER(F3368),E3368*F3368,"")</f>
        <v/>
      </c>
      <c r="H3368" s="73"/>
      <c r="I3368" s="74"/>
      <c r="J3368" s="155">
        <v>0</v>
      </c>
    </row>
    <row r="3369" spans="1:10" ht="26.25" hidden="1" thickBot="1" x14ac:dyDescent="0.3">
      <c r="A3369" s="176"/>
      <c r="B3369" s="175"/>
      <c r="C3369" s="36" t="s">
        <v>1076</v>
      </c>
      <c r="D3369" s="36" t="s">
        <v>1049</v>
      </c>
      <c r="E3369" s="37">
        <v>1.05</v>
      </c>
      <c r="F3369" s="54">
        <v>12.254999999999999</v>
      </c>
      <c r="G3369" s="54">
        <f>IF(ISNUMBER(F3369),E3369*F3369,"")</f>
        <v>12.867749999999999</v>
      </c>
      <c r="H3369" s="39">
        <f>SUM(G3369:G3372)</f>
        <v>52.623081280625001</v>
      </c>
      <c r="I3369" s="40"/>
      <c r="J3369" s="155">
        <v>0</v>
      </c>
    </row>
    <row r="3370" spans="1:10" ht="26.25" hidden="1" thickBot="1" x14ac:dyDescent="0.3">
      <c r="A3370" s="176"/>
      <c r="B3370" s="175"/>
      <c r="C3370" s="36" t="s">
        <v>1074</v>
      </c>
      <c r="D3370" s="36" t="s">
        <v>123</v>
      </c>
      <c r="E3370" s="37">
        <v>3.5000000000000003E-2</v>
      </c>
      <c r="F3370" s="54">
        <v>623.68605087499998</v>
      </c>
      <c r="G3370" s="54">
        <f>IF(ISNUMBER(F3370),E3370*F3370,"")</f>
        <v>21.829011780625002</v>
      </c>
      <c r="H3370" s="73"/>
      <c r="I3370" s="74"/>
      <c r="J3370" s="155">
        <v>0</v>
      </c>
    </row>
    <row r="3371" spans="1:10" ht="15.75" hidden="1" thickBot="1" x14ac:dyDescent="0.3">
      <c r="A3371" s="176"/>
      <c r="B3371" s="175"/>
      <c r="C3371" s="36" t="s">
        <v>22</v>
      </c>
      <c r="D3371" s="36" t="s">
        <v>755</v>
      </c>
      <c r="E3371" s="37">
        <v>0.70599999999999996</v>
      </c>
      <c r="F3371" s="54">
        <v>22.087499999999999</v>
      </c>
      <c r="G3371" s="54">
        <f>IF(ISNUMBER(F3371),E3371*F3371,"")</f>
        <v>15.593774999999997</v>
      </c>
      <c r="H3371" s="73"/>
      <c r="I3371" s="74"/>
      <c r="J3371" s="155">
        <v>0</v>
      </c>
    </row>
    <row r="3372" spans="1:10" ht="15.75" hidden="1" thickBot="1" x14ac:dyDescent="0.3">
      <c r="A3372" s="176"/>
      <c r="B3372" s="175"/>
      <c r="C3372" s="36" t="s">
        <v>23</v>
      </c>
      <c r="D3372" s="36" t="s">
        <v>755</v>
      </c>
      <c r="E3372" s="37">
        <v>0.14299999999999999</v>
      </c>
      <c r="F3372" s="54">
        <v>16.311500000000002</v>
      </c>
      <c r="G3372" s="54">
        <f>IF(ISNUMBER(F3372),E3372*F3372,"")</f>
        <v>2.3325445</v>
      </c>
      <c r="H3372" s="73"/>
      <c r="I3372" s="74"/>
      <c r="J3372" s="155">
        <v>0</v>
      </c>
    </row>
    <row r="3373" spans="1:10" ht="15.75" hidden="1" thickBot="1" x14ac:dyDescent="0.3">
      <c r="A3373" s="177"/>
      <c r="B3373" s="178"/>
      <c r="C3373" s="36"/>
      <c r="D3373" s="36"/>
      <c r="E3373" s="37"/>
      <c r="F3373" s="54" t="s">
        <v>568</v>
      </c>
      <c r="G3373" s="54" t="str">
        <f>IF(ISNUMBER(F3373),E3373*F3373,"")</f>
        <v/>
      </c>
      <c r="H3373" s="73"/>
      <c r="I3373" s="74"/>
      <c r="J3373" s="155">
        <v>0</v>
      </c>
    </row>
    <row r="3374" spans="1:10" ht="15.75" hidden="1" thickBot="1" x14ac:dyDescent="0.3">
      <c r="A3374" s="172" t="s">
        <v>1077</v>
      </c>
      <c r="B3374" s="174" t="str">
        <f>INDEX(Orçamentária!A:B,MATCH(Composições!A3374,Orçamentária!A:A,0),2)</f>
        <v>Remoção de placas  de mármore encaixadas por fixadores metálicos (modelo Ed. Principal)</v>
      </c>
      <c r="C3374" s="41"/>
      <c r="D3374" s="26" t="str">
        <f>TRIM(INDEX(Orçamentária!C:C,MATCH(Composições!A3374,Orçamentária!A:A,0),1))</f>
        <v>m2</v>
      </c>
      <c r="E3374" s="27"/>
      <c r="F3374" s="49" t="s">
        <v>568</v>
      </c>
      <c r="G3374" s="28" t="str">
        <f>IF(ISNUMBER(F3374),E3374*F3374,"")</f>
        <v/>
      </c>
      <c r="H3374" s="29"/>
      <c r="I3374" s="30"/>
      <c r="J3374" s="155">
        <v>0</v>
      </c>
    </row>
    <row r="3375" spans="1:10" ht="15.75" hidden="1" thickBot="1" x14ac:dyDescent="0.3">
      <c r="A3375" s="176"/>
      <c r="B3375" s="175"/>
      <c r="C3375" s="32"/>
      <c r="D3375" s="32"/>
      <c r="E3375" s="33"/>
      <c r="F3375" s="54" t="s">
        <v>568</v>
      </c>
      <c r="G3375" s="54" t="str">
        <f>IF(ISNUMBER(F3375),E3375*F3375,"")</f>
        <v/>
      </c>
      <c r="H3375" s="73"/>
      <c r="I3375" s="74"/>
      <c r="J3375" s="155">
        <v>0</v>
      </c>
    </row>
    <row r="3376" spans="1:10" ht="15.75" hidden="1" thickBot="1" x14ac:dyDescent="0.3">
      <c r="A3376" s="176"/>
      <c r="B3376" s="175"/>
      <c r="C3376" s="36" t="s">
        <v>54</v>
      </c>
      <c r="D3376" s="36" t="s">
        <v>12</v>
      </c>
      <c r="E3376" s="37">
        <v>0.4</v>
      </c>
      <c r="F3376" s="54">
        <v>18.420500000000001</v>
      </c>
      <c r="G3376" s="54">
        <f>IF(ISNUMBER(F3376),E3376*F3376,"")</f>
        <v>7.3682000000000007</v>
      </c>
      <c r="H3376" s="39">
        <f>SUM(G3376:G3377)</f>
        <v>13.892800000000001</v>
      </c>
      <c r="I3376" s="40"/>
      <c r="J3376" s="155">
        <v>0</v>
      </c>
    </row>
    <row r="3377" spans="1:10" ht="15.75" hidden="1" thickBot="1" x14ac:dyDescent="0.3">
      <c r="A3377" s="176"/>
      <c r="B3377" s="175"/>
      <c r="C3377" s="36" t="s">
        <v>23</v>
      </c>
      <c r="D3377" s="36" t="s">
        <v>12</v>
      </c>
      <c r="E3377" s="37">
        <v>0.4</v>
      </c>
      <c r="F3377" s="54">
        <v>16.311500000000002</v>
      </c>
      <c r="G3377" s="54">
        <f>IF(ISNUMBER(F3377),E3377*F3377,"")</f>
        <v>6.5246000000000013</v>
      </c>
      <c r="H3377" s="73"/>
      <c r="I3377" s="74"/>
      <c r="J3377" s="155">
        <v>0</v>
      </c>
    </row>
    <row r="3378" spans="1:10" ht="15.75" hidden="1" thickBot="1" x14ac:dyDescent="0.3">
      <c r="A3378" s="177"/>
      <c r="B3378" s="178"/>
      <c r="C3378" s="36"/>
      <c r="D3378" s="36"/>
      <c r="E3378" s="37"/>
      <c r="F3378" s="54" t="s">
        <v>568</v>
      </c>
      <c r="G3378" s="54" t="str">
        <f>IF(ISNUMBER(F3378),E3378*F3378,"")</f>
        <v/>
      </c>
      <c r="H3378" s="73"/>
      <c r="I3378" s="74"/>
      <c r="J3378" s="155">
        <v>0</v>
      </c>
    </row>
    <row r="3379" spans="1:10" ht="15.75" hidden="1" thickBot="1" x14ac:dyDescent="0.3">
      <c r="A3379" s="172" t="s">
        <v>1078</v>
      </c>
      <c r="B3379" s="174" t="str">
        <f>INDEX(Orçamentária!A:B,MATCH(Composições!A3379,Orçamentária!A:A,0),2)</f>
        <v>Remoção de placas de rocha ornamental argamassada, para reaproveitamento</v>
      </c>
      <c r="C3379" s="41"/>
      <c r="D3379" s="26" t="str">
        <f>TRIM(INDEX(Orçamentária!C:C,MATCH(Composições!A3379,Orçamentária!A:A,0),1))</f>
        <v>m2</v>
      </c>
      <c r="E3379" s="27"/>
      <c r="F3379" s="49" t="s">
        <v>568</v>
      </c>
      <c r="G3379" s="28" t="str">
        <f>IF(ISNUMBER(F3379),E3379*F3379,"")</f>
        <v/>
      </c>
      <c r="H3379" s="29"/>
      <c r="I3379" s="30"/>
      <c r="J3379" s="155">
        <v>0</v>
      </c>
    </row>
    <row r="3380" spans="1:10" ht="15.75" hidden="1" thickBot="1" x14ac:dyDescent="0.3">
      <c r="A3380" s="176"/>
      <c r="B3380" s="175"/>
      <c r="C3380" s="32"/>
      <c r="D3380" s="32"/>
      <c r="E3380" s="33"/>
      <c r="F3380" s="54" t="s">
        <v>568</v>
      </c>
      <c r="G3380" s="54" t="str">
        <f>IF(ISNUMBER(F3380),E3380*F3380,"")</f>
        <v/>
      </c>
      <c r="H3380" s="73"/>
      <c r="I3380" s="74"/>
      <c r="J3380" s="155">
        <v>0</v>
      </c>
    </row>
    <row r="3381" spans="1:10" ht="15.75" hidden="1" thickBot="1" x14ac:dyDescent="0.3">
      <c r="A3381" s="176"/>
      <c r="B3381" s="175"/>
      <c r="C3381" s="36" t="s">
        <v>54</v>
      </c>
      <c r="D3381" s="36" t="s">
        <v>12</v>
      </c>
      <c r="E3381" s="37">
        <v>1.2</v>
      </c>
      <c r="F3381" s="54">
        <v>18.420500000000001</v>
      </c>
      <c r="G3381" s="54">
        <f>IF(ISNUMBER(F3381),E3381*F3381,"")</f>
        <v>22.104600000000001</v>
      </c>
      <c r="H3381" s="39">
        <f>SUM(G3381:G3382)</f>
        <v>41.678400000000003</v>
      </c>
      <c r="I3381" s="40"/>
      <c r="J3381" s="155">
        <v>0</v>
      </c>
    </row>
    <row r="3382" spans="1:10" ht="15.75" hidden="1" thickBot="1" x14ac:dyDescent="0.3">
      <c r="A3382" s="176"/>
      <c r="B3382" s="175"/>
      <c r="C3382" s="36" t="s">
        <v>23</v>
      </c>
      <c r="D3382" s="36" t="s">
        <v>12</v>
      </c>
      <c r="E3382" s="37">
        <v>1.2</v>
      </c>
      <c r="F3382" s="54">
        <v>16.311500000000002</v>
      </c>
      <c r="G3382" s="54">
        <f>IF(ISNUMBER(F3382),E3382*F3382,"")</f>
        <v>19.573800000000002</v>
      </c>
      <c r="H3382" s="73"/>
      <c r="I3382" s="74"/>
      <c r="J3382" s="155">
        <v>0</v>
      </c>
    </row>
    <row r="3383" spans="1:10" ht="15.75" hidden="1" thickBot="1" x14ac:dyDescent="0.3">
      <c r="A3383" s="177"/>
      <c r="B3383" s="178"/>
      <c r="C3383" s="36"/>
      <c r="D3383" s="36"/>
      <c r="E3383" s="37"/>
      <c r="F3383" s="54" t="s">
        <v>568</v>
      </c>
      <c r="G3383" s="54" t="str">
        <f>IF(ISNUMBER(F3383),E3383*F3383,"")</f>
        <v/>
      </c>
      <c r="H3383" s="73"/>
      <c r="I3383" s="74"/>
      <c r="J3383" s="155">
        <v>0</v>
      </c>
    </row>
    <row r="3384" spans="1:10" ht="15.75" hidden="1" thickBot="1" x14ac:dyDescent="0.3">
      <c r="A3384" s="172" t="s">
        <v>1079</v>
      </c>
      <c r="B3384" s="174" t="str">
        <f>INDEX(Orçamentária!A:B,MATCH(Composições!A3384,Orçamentária!A:A,0),2)</f>
        <v>Identificação e acondicionamento de placas de rocha ornamental</v>
      </c>
      <c r="C3384" s="41"/>
      <c r="D3384" s="26" t="str">
        <f>TRIM(INDEX(Orçamentária!C:C,MATCH(Composições!A3384,Orçamentária!A:A,0),1))</f>
        <v>m2</v>
      </c>
      <c r="E3384" s="27"/>
      <c r="F3384" s="49" t="s">
        <v>568</v>
      </c>
      <c r="G3384" s="28" t="str">
        <f>IF(ISNUMBER(F3384),E3384*F3384,"")</f>
        <v/>
      </c>
      <c r="H3384" s="29"/>
      <c r="I3384" s="30"/>
      <c r="J3384" s="155">
        <v>0</v>
      </c>
    </row>
    <row r="3385" spans="1:10" ht="15.75" hidden="1" thickBot="1" x14ac:dyDescent="0.3">
      <c r="A3385" s="176"/>
      <c r="B3385" s="175"/>
      <c r="C3385" s="32"/>
      <c r="D3385" s="32"/>
      <c r="E3385" s="33"/>
      <c r="F3385" s="54" t="s">
        <v>568</v>
      </c>
      <c r="G3385" s="54" t="str">
        <f>IF(ISNUMBER(F3385),E3385*F3385,"")</f>
        <v/>
      </c>
      <c r="H3385" s="73"/>
      <c r="I3385" s="74"/>
      <c r="J3385" s="155">
        <v>0</v>
      </c>
    </row>
    <row r="3386" spans="1:10" ht="15.75" hidden="1" thickBot="1" x14ac:dyDescent="0.3">
      <c r="A3386" s="176"/>
      <c r="B3386" s="175"/>
      <c r="C3386" s="36" t="s">
        <v>1080</v>
      </c>
      <c r="D3386" s="36" t="s">
        <v>95</v>
      </c>
      <c r="E3386" s="37">
        <v>1.05</v>
      </c>
      <c r="F3386" s="54">
        <v>3.3914999999999997</v>
      </c>
      <c r="G3386" s="54">
        <f>IF(ISNUMBER(F3386),E3386*F3386,"")</f>
        <v>3.5610749999999998</v>
      </c>
      <c r="H3386" s="39">
        <f>SUM(G3386:G3387)</f>
        <v>6.8233750000000004</v>
      </c>
      <c r="I3386" s="40"/>
      <c r="J3386" s="155">
        <v>0</v>
      </c>
    </row>
    <row r="3387" spans="1:10" ht="15.75" hidden="1" thickBot="1" x14ac:dyDescent="0.3">
      <c r="A3387" s="176"/>
      <c r="B3387" s="175"/>
      <c r="C3387" s="36" t="s">
        <v>23</v>
      </c>
      <c r="D3387" s="36" t="s">
        <v>12</v>
      </c>
      <c r="E3387" s="37">
        <v>0.2</v>
      </c>
      <c r="F3387" s="54">
        <v>16.311500000000002</v>
      </c>
      <c r="G3387" s="54">
        <f>IF(ISNUMBER(F3387),E3387*F3387,"")</f>
        <v>3.2623000000000006</v>
      </c>
      <c r="H3387" s="73"/>
      <c r="I3387" s="74"/>
      <c r="J3387" s="155">
        <v>0</v>
      </c>
    </row>
    <row r="3388" spans="1:10" ht="15.75" hidden="1" thickBot="1" x14ac:dyDescent="0.3">
      <c r="A3388" s="177"/>
      <c r="B3388" s="178"/>
      <c r="C3388" s="36"/>
      <c r="D3388" s="36"/>
      <c r="E3388" s="37"/>
      <c r="F3388" s="54" t="s">
        <v>568</v>
      </c>
      <c r="G3388" s="54" t="str">
        <f>IF(ISNUMBER(F3388),E3388*F3388,"")</f>
        <v/>
      </c>
      <c r="H3388" s="73"/>
      <c r="I3388" s="74"/>
      <c r="J3388" s="155">
        <v>0</v>
      </c>
    </row>
    <row r="3389" spans="1:10" ht="15.75" hidden="1" thickBot="1" x14ac:dyDescent="0.3">
      <c r="A3389" s="172" t="s">
        <v>1081</v>
      </c>
      <c r="B3389" s="174" t="str">
        <f>INDEX(Orçamentária!A:B,MATCH(Composições!A3389,Orçamentária!A:A,0),2)</f>
        <v>Limpeza de placas de rocha ornamental argamassada, para reaproveitamento</v>
      </c>
      <c r="C3389" s="41"/>
      <c r="D3389" s="26" t="str">
        <f>TRIM(INDEX(Orçamentária!C:C,MATCH(Composições!A3389,Orçamentária!A:A,0),1))</f>
        <v>m2</v>
      </c>
      <c r="E3389" s="27"/>
      <c r="F3389" s="49" t="s">
        <v>568</v>
      </c>
      <c r="G3389" s="28" t="str">
        <f>IF(ISNUMBER(F3389),E3389*F3389,"")</f>
        <v/>
      </c>
      <c r="H3389" s="29"/>
      <c r="I3389" s="30"/>
      <c r="J3389" s="155">
        <v>0</v>
      </c>
    </row>
    <row r="3390" spans="1:10" ht="15.75" hidden="1" thickBot="1" x14ac:dyDescent="0.3">
      <c r="A3390" s="176"/>
      <c r="B3390" s="175"/>
      <c r="C3390" s="32"/>
      <c r="D3390" s="32"/>
      <c r="E3390" s="33"/>
      <c r="F3390" s="54" t="s">
        <v>568</v>
      </c>
      <c r="G3390" s="54" t="str">
        <f>IF(ISNUMBER(F3390),E3390*F3390,"")</f>
        <v/>
      </c>
      <c r="H3390" s="73"/>
      <c r="I3390" s="74"/>
      <c r="J3390" s="155">
        <v>0</v>
      </c>
    </row>
    <row r="3391" spans="1:10" ht="15.75" hidden="1" thickBot="1" x14ac:dyDescent="0.3">
      <c r="A3391" s="176"/>
      <c r="B3391" s="175"/>
      <c r="C3391" s="36" t="s">
        <v>23</v>
      </c>
      <c r="D3391" s="36" t="s">
        <v>12</v>
      </c>
      <c r="E3391" s="37">
        <v>0.3</v>
      </c>
      <c r="F3391" s="54">
        <v>16.311500000000002</v>
      </c>
      <c r="G3391" s="54">
        <f>IF(ISNUMBER(F3391),E3391*F3391,"")</f>
        <v>4.8934500000000005</v>
      </c>
      <c r="H3391" s="39">
        <f>SUM(G3391)</f>
        <v>4.8934500000000005</v>
      </c>
      <c r="I3391" s="40"/>
      <c r="J3391" s="155">
        <v>0</v>
      </c>
    </row>
    <row r="3392" spans="1:10" ht="15.75" hidden="1" thickBot="1" x14ac:dyDescent="0.3">
      <c r="A3392" s="177"/>
      <c r="B3392" s="178"/>
      <c r="C3392" s="36"/>
      <c r="D3392" s="36"/>
      <c r="E3392" s="37"/>
      <c r="F3392" s="54" t="s">
        <v>568</v>
      </c>
      <c r="G3392" s="54" t="str">
        <f>IF(ISNUMBER(F3392),E3392*F3392,"")</f>
        <v/>
      </c>
      <c r="H3392" s="73"/>
      <c r="I3392" s="74"/>
      <c r="J3392" s="155">
        <v>0</v>
      </c>
    </row>
    <row r="3393" spans="1:10" ht="15.75" hidden="1" thickBot="1" x14ac:dyDescent="0.3">
      <c r="A3393" s="172" t="s">
        <v>1082</v>
      </c>
      <c r="B3393" s="174" t="str">
        <f>INDEX(Orçamentária!A:B,MATCH(Composições!A3393,Orçamentária!A:A,0),2)</f>
        <v>Remoção e acondicionamento de fixadores metálicos para placas de mármore em fachada (modelo Ed. Principal)</v>
      </c>
      <c r="C3393" s="41"/>
      <c r="D3393" s="26" t="str">
        <f>TRIM(INDEX(Orçamentária!C:C,MATCH(Composições!A3393,Orçamentária!A:A,0),1))</f>
        <v>un</v>
      </c>
      <c r="E3393" s="27"/>
      <c r="F3393" s="49" t="s">
        <v>568</v>
      </c>
      <c r="G3393" s="28" t="str">
        <f>IF(ISNUMBER(F3393),E3393*F3393,"")</f>
        <v/>
      </c>
      <c r="H3393" s="29"/>
      <c r="I3393" s="30"/>
      <c r="J3393" s="155">
        <v>0</v>
      </c>
    </row>
    <row r="3394" spans="1:10" ht="15.75" hidden="1" thickBot="1" x14ac:dyDescent="0.3">
      <c r="A3394" s="176"/>
      <c r="B3394" s="175"/>
      <c r="C3394" s="32"/>
      <c r="D3394" s="32"/>
      <c r="E3394" s="33"/>
      <c r="F3394" s="54" t="s">
        <v>568</v>
      </c>
      <c r="G3394" s="54" t="str">
        <f>IF(ISNUMBER(F3394),E3394*F3394,"")</f>
        <v/>
      </c>
      <c r="H3394" s="73"/>
      <c r="I3394" s="74"/>
      <c r="J3394" s="155">
        <v>0</v>
      </c>
    </row>
    <row r="3395" spans="1:10" ht="15.75" hidden="1" thickBot="1" x14ac:dyDescent="0.3">
      <c r="A3395" s="176"/>
      <c r="B3395" s="175"/>
      <c r="C3395" s="36" t="s">
        <v>23</v>
      </c>
      <c r="D3395" s="36" t="s">
        <v>12</v>
      </c>
      <c r="E3395" s="37">
        <v>0.1</v>
      </c>
      <c r="F3395" s="54">
        <v>16.311500000000002</v>
      </c>
      <c r="G3395" s="54">
        <f>IF(ISNUMBER(F3395),E3395*F3395,"")</f>
        <v>1.6311500000000003</v>
      </c>
      <c r="H3395" s="39">
        <f>SUM(G3395)</f>
        <v>1.6311500000000003</v>
      </c>
      <c r="I3395" s="40"/>
      <c r="J3395" s="155">
        <v>0</v>
      </c>
    </row>
    <row r="3396" spans="1:10" ht="15.75" hidden="1" thickBot="1" x14ac:dyDescent="0.3">
      <c r="A3396" s="177"/>
      <c r="B3396" s="178"/>
      <c r="C3396" s="36"/>
      <c r="D3396" s="36"/>
      <c r="E3396" s="37"/>
      <c r="F3396" s="54" t="s">
        <v>568</v>
      </c>
      <c r="G3396" s="54" t="str">
        <f>IF(ISNUMBER(F3396),E3396*F3396,"")</f>
        <v/>
      </c>
      <c r="H3396" s="73"/>
      <c r="I3396" s="74"/>
      <c r="J3396" s="155">
        <v>0</v>
      </c>
    </row>
    <row r="3397" spans="1:10" ht="15.75" hidden="1" thickBot="1" x14ac:dyDescent="0.3">
      <c r="A3397" s="172" t="s">
        <v>1083</v>
      </c>
      <c r="B3397" s="174" t="str">
        <f>INDEX(Orçamentária!A:B,MATCH(Composições!A3397,Orçamentária!A:A,0),2)</f>
        <v>Instalação de fixadores metálicos para placas de mármore em fachada reaproveitados (modelo Ed. Principal)</v>
      </c>
      <c r="C3397" s="41"/>
      <c r="D3397" s="26" t="str">
        <f>TRIM(INDEX(Orçamentária!C:C,MATCH(Composições!A3397,Orçamentária!A:A,0),1))</f>
        <v>un</v>
      </c>
      <c r="E3397" s="27"/>
      <c r="F3397" s="49" t="s">
        <v>568</v>
      </c>
      <c r="G3397" s="28" t="str">
        <f>IF(ISNUMBER(F3397),E3397*F3397,"")</f>
        <v/>
      </c>
      <c r="H3397" s="29"/>
      <c r="I3397" s="30"/>
      <c r="J3397" s="155">
        <v>0</v>
      </c>
    </row>
    <row r="3398" spans="1:10" ht="15.75" hidden="1" thickBot="1" x14ac:dyDescent="0.3">
      <c r="A3398" s="176"/>
      <c r="B3398" s="175"/>
      <c r="C3398" s="32"/>
      <c r="D3398" s="32"/>
      <c r="E3398" s="33"/>
      <c r="F3398" s="54" t="s">
        <v>568</v>
      </c>
      <c r="G3398" s="54" t="str">
        <f>IF(ISNUMBER(F3398),E3398*F3398,"")</f>
        <v/>
      </c>
      <c r="H3398" s="73"/>
      <c r="I3398" s="74"/>
      <c r="J3398" s="155">
        <v>0</v>
      </c>
    </row>
    <row r="3399" spans="1:10" ht="15.75" hidden="1" thickBot="1" x14ac:dyDescent="0.3">
      <c r="A3399" s="176"/>
      <c r="B3399" s="175"/>
      <c r="C3399" s="36" t="s">
        <v>22</v>
      </c>
      <c r="D3399" s="36" t="s">
        <v>12</v>
      </c>
      <c r="E3399" s="37">
        <f>0.1+0.1</f>
        <v>0.2</v>
      </c>
      <c r="F3399" s="54">
        <v>22.087499999999999</v>
      </c>
      <c r="G3399" s="54">
        <f>IF(ISNUMBER(F3399),E3399*F3399,"")</f>
        <v>4.4174999999999995</v>
      </c>
      <c r="H3399" s="39">
        <f>SUM(G3399:G3403)</f>
        <v>7.8567408254940005</v>
      </c>
      <c r="I3399" s="40"/>
      <c r="J3399" s="155">
        <v>0</v>
      </c>
    </row>
    <row r="3400" spans="1:10" ht="15.75" hidden="1" thickBot="1" x14ac:dyDescent="0.3">
      <c r="A3400" s="176"/>
      <c r="B3400" s="175"/>
      <c r="C3400" s="36" t="s">
        <v>23</v>
      </c>
      <c r="D3400" s="36" t="s">
        <v>12</v>
      </c>
      <c r="E3400" s="37">
        <f>0.1+0.1</f>
        <v>0.2</v>
      </c>
      <c r="F3400" s="54">
        <v>16.311500000000002</v>
      </c>
      <c r="G3400" s="54">
        <f>IF(ISNUMBER(F3400),E3400*F3400,"")</f>
        <v>3.2623000000000006</v>
      </c>
      <c r="H3400" s="73"/>
      <c r="I3400" s="74"/>
      <c r="J3400" s="155">
        <v>0</v>
      </c>
    </row>
    <row r="3401" spans="1:10" ht="15.75" hidden="1" thickBot="1" x14ac:dyDescent="0.3">
      <c r="A3401" s="176"/>
      <c r="B3401" s="175"/>
      <c r="C3401" s="36" t="s">
        <v>1084</v>
      </c>
      <c r="D3401" s="36" t="s">
        <v>149</v>
      </c>
      <c r="E3401" s="37">
        <f>0.016*2</f>
        <v>3.2000000000000001E-2</v>
      </c>
      <c r="F3401" s="54">
        <v>0</v>
      </c>
      <c r="G3401" s="54">
        <f>IF(ISNUMBER(F3401),E3401*F3401,"")</f>
        <v>0</v>
      </c>
      <c r="H3401" s="73"/>
      <c r="I3401" s="74"/>
      <c r="J3401" s="155">
        <v>0</v>
      </c>
    </row>
    <row r="3402" spans="1:10" ht="15.75" hidden="1" thickBot="1" x14ac:dyDescent="0.3">
      <c r="A3402" s="176"/>
      <c r="B3402" s="175"/>
      <c r="C3402" s="36" t="s">
        <v>1085</v>
      </c>
      <c r="D3402" s="36" t="s">
        <v>1086</v>
      </c>
      <c r="E3402" s="37">
        <f>0.1*2</f>
        <v>0.2</v>
      </c>
      <c r="F3402" s="54">
        <v>0</v>
      </c>
      <c r="G3402" s="54">
        <f>IF(ISNUMBER(F3402),E3402*F3402,"")</f>
        <v>0</v>
      </c>
      <c r="H3402" s="73"/>
      <c r="I3402" s="74"/>
      <c r="J3402" s="155">
        <v>0</v>
      </c>
    </row>
    <row r="3403" spans="1:10" ht="39" hidden="1" thickBot="1" x14ac:dyDescent="0.3">
      <c r="A3403" s="176"/>
      <c r="B3403" s="175"/>
      <c r="C3403" s="36" t="s">
        <v>1087</v>
      </c>
      <c r="D3403" s="36" t="s">
        <v>111</v>
      </c>
      <c r="E3403" s="37">
        <f>ROUND(0.15*0.05*0.05,4)</f>
        <v>4.0000000000000002E-4</v>
      </c>
      <c r="F3403" s="54">
        <v>442.352063735</v>
      </c>
      <c r="G3403" s="54">
        <f>IF(ISNUMBER(F3403),E3403*F3403,"")</f>
        <v>0.176940825494</v>
      </c>
      <c r="H3403" s="73"/>
      <c r="I3403" s="74"/>
      <c r="J3403" s="155">
        <v>0</v>
      </c>
    </row>
    <row r="3404" spans="1:10" ht="15.75" hidden="1" thickBot="1" x14ac:dyDescent="0.3">
      <c r="A3404" s="176"/>
      <c r="B3404" s="175"/>
      <c r="C3404" s="36"/>
      <c r="D3404" s="36"/>
      <c r="E3404" s="37"/>
      <c r="F3404" s="54" t="s">
        <v>568</v>
      </c>
      <c r="G3404" s="54" t="str">
        <f>IF(ISNUMBER(F3404),E3404*F3404,"")</f>
        <v/>
      </c>
      <c r="H3404" s="73"/>
      <c r="I3404" s="74"/>
      <c r="J3404" s="155">
        <v>0</v>
      </c>
    </row>
    <row r="3405" spans="1:10" ht="15.75" hidden="1" thickBot="1" x14ac:dyDescent="0.3">
      <c r="A3405" s="176"/>
      <c r="B3405" s="175"/>
      <c r="C3405" s="152" t="s">
        <v>1088</v>
      </c>
      <c r="D3405" s="36"/>
      <c r="E3405" s="37"/>
      <c r="F3405" s="54" t="s">
        <v>568</v>
      </c>
      <c r="G3405" s="54" t="str">
        <f>IF(ISNUMBER(F3405),E3405*F3405,"")</f>
        <v/>
      </c>
      <c r="H3405" s="73"/>
      <c r="I3405" s="74"/>
      <c r="J3405" s="155">
        <v>0</v>
      </c>
    </row>
    <row r="3406" spans="1:10" ht="15.75" hidden="1" thickBot="1" x14ac:dyDescent="0.3">
      <c r="A3406" s="177"/>
      <c r="B3406" s="178"/>
      <c r="C3406" s="36"/>
      <c r="D3406" s="36"/>
      <c r="E3406" s="37"/>
      <c r="F3406" s="54" t="s">
        <v>568</v>
      </c>
      <c r="G3406" s="54" t="str">
        <f>IF(ISNUMBER(F3406),E3406*F3406,"")</f>
        <v/>
      </c>
      <c r="H3406" s="73"/>
      <c r="I3406" s="74"/>
      <c r="J3406" s="155">
        <v>0</v>
      </c>
    </row>
    <row r="3407" spans="1:10" ht="15.75" hidden="1" thickBot="1" x14ac:dyDescent="0.3">
      <c r="A3407" s="172" t="s">
        <v>1089</v>
      </c>
      <c r="B3407" s="174" t="str">
        <f>INDEX(Orçamentária!A:B,MATCH(Composições!A3407,Orçamentária!A:A,0),2)</f>
        <v>Fixadores metálicos para rochas ornamentais (tipo Ed. Principal, peça superior)</v>
      </c>
      <c r="C3407" s="41"/>
      <c r="D3407" s="26" t="str">
        <f>TRIM(INDEX(Orçamentária!C:C,MATCH(Composições!A3407,Orçamentária!A:A,0),1))</f>
        <v>un</v>
      </c>
      <c r="E3407" s="27"/>
      <c r="F3407" s="49" t="s">
        <v>568</v>
      </c>
      <c r="G3407" s="28" t="str">
        <f>IF(ISNUMBER(F3407),E3407*F3407,"")</f>
        <v/>
      </c>
      <c r="H3407" s="29"/>
      <c r="I3407" s="30"/>
      <c r="J3407" s="155">
        <v>0</v>
      </c>
    </row>
    <row r="3408" spans="1:10" ht="15.75" hidden="1" thickBot="1" x14ac:dyDescent="0.3">
      <c r="A3408" s="176"/>
      <c r="B3408" s="175"/>
      <c r="C3408" s="32"/>
      <c r="D3408" s="32"/>
      <c r="E3408" s="33"/>
      <c r="F3408" s="54" t="s">
        <v>568</v>
      </c>
      <c r="G3408" s="54" t="str">
        <f>IF(ISNUMBER(F3408),E3408*F3408,"")</f>
        <v/>
      </c>
      <c r="H3408" s="73"/>
      <c r="I3408" s="74"/>
      <c r="J3408" s="155">
        <v>0</v>
      </c>
    </row>
    <row r="3409" spans="1:10" ht="15.75" hidden="1" thickBot="1" x14ac:dyDescent="0.3">
      <c r="A3409" s="176"/>
      <c r="B3409" s="175"/>
      <c r="C3409" s="36" t="s">
        <v>22</v>
      </c>
      <c r="D3409" s="36" t="s">
        <v>12</v>
      </c>
      <c r="E3409" s="37">
        <f>0.1+0.1</f>
        <v>0.2</v>
      </c>
      <c r="F3409" s="54">
        <v>22.087499999999999</v>
      </c>
      <c r="G3409" s="54">
        <f>IF(ISNUMBER(F3409),E3409*F3409,"")</f>
        <v>4.4174999999999995</v>
      </c>
      <c r="H3409" s="39">
        <f>SUM(G3409:G3414)</f>
        <v>7.8567408254940005</v>
      </c>
      <c r="I3409" s="40"/>
      <c r="J3409" s="155">
        <v>0</v>
      </c>
    </row>
    <row r="3410" spans="1:10" ht="15.75" hidden="1" thickBot="1" x14ac:dyDescent="0.3">
      <c r="A3410" s="176"/>
      <c r="B3410" s="175"/>
      <c r="C3410" s="36" t="s">
        <v>23</v>
      </c>
      <c r="D3410" s="36" t="s">
        <v>12</v>
      </c>
      <c r="E3410" s="37">
        <f>0.1+0.1</f>
        <v>0.2</v>
      </c>
      <c r="F3410" s="54">
        <v>16.311500000000002</v>
      </c>
      <c r="G3410" s="54">
        <f>IF(ISNUMBER(F3410),E3410*F3410,"")</f>
        <v>3.2623000000000006</v>
      </c>
      <c r="H3410" s="73"/>
      <c r="I3410" s="74"/>
      <c r="J3410" s="155">
        <v>0</v>
      </c>
    </row>
    <row r="3411" spans="1:10" ht="15.75" hidden="1" thickBot="1" x14ac:dyDescent="0.3">
      <c r="A3411" s="176"/>
      <c r="B3411" s="175"/>
      <c r="C3411" s="36" t="s">
        <v>1084</v>
      </c>
      <c r="D3411" s="36" t="s">
        <v>149</v>
      </c>
      <c r="E3411" s="37">
        <f>0.016*2</f>
        <v>3.2000000000000001E-2</v>
      </c>
      <c r="F3411" s="54">
        <v>0</v>
      </c>
      <c r="G3411" s="54">
        <f>IF(ISNUMBER(F3411),E3411*F3411,"")</f>
        <v>0</v>
      </c>
      <c r="H3411" s="73"/>
      <c r="I3411" s="74"/>
      <c r="J3411" s="155">
        <v>0</v>
      </c>
    </row>
    <row r="3412" spans="1:10" ht="15.75" hidden="1" thickBot="1" x14ac:dyDescent="0.3">
      <c r="A3412" s="176"/>
      <c r="B3412" s="175"/>
      <c r="C3412" s="36" t="s">
        <v>1085</v>
      </c>
      <c r="D3412" s="36" t="s">
        <v>1086</v>
      </c>
      <c r="E3412" s="37">
        <f>0.1*2</f>
        <v>0.2</v>
      </c>
      <c r="F3412" s="54">
        <v>0</v>
      </c>
      <c r="G3412" s="54">
        <f>IF(ISNUMBER(F3412),E3412*F3412,"")</f>
        <v>0</v>
      </c>
      <c r="H3412" s="73"/>
      <c r="I3412" s="74"/>
      <c r="J3412" s="155">
        <v>0</v>
      </c>
    </row>
    <row r="3413" spans="1:10" ht="15.75" hidden="1" thickBot="1" x14ac:dyDescent="0.3">
      <c r="A3413" s="176"/>
      <c r="B3413" s="175"/>
      <c r="C3413" s="36" t="s">
        <v>1090</v>
      </c>
      <c r="D3413" s="36" t="s">
        <v>149</v>
      </c>
      <c r="E3413" s="37">
        <v>1</v>
      </c>
      <c r="F3413" s="54" t="s">
        <v>568</v>
      </c>
      <c r="G3413" s="54" t="str">
        <f>IF(ISNUMBER(F3413),E3413*F3413,"")</f>
        <v/>
      </c>
      <c r="H3413" s="73"/>
      <c r="I3413" s="74"/>
      <c r="J3413" s="155">
        <v>0</v>
      </c>
    </row>
    <row r="3414" spans="1:10" ht="39" hidden="1" thickBot="1" x14ac:dyDescent="0.3">
      <c r="A3414" s="176"/>
      <c r="B3414" s="175"/>
      <c r="C3414" s="36" t="s">
        <v>1087</v>
      </c>
      <c r="D3414" s="36" t="s">
        <v>111</v>
      </c>
      <c r="E3414" s="37">
        <f>ROUND(0.15*0.05*0.05,4)</f>
        <v>4.0000000000000002E-4</v>
      </c>
      <c r="F3414" s="54">
        <v>442.352063735</v>
      </c>
      <c r="G3414" s="54">
        <f>IF(ISNUMBER(F3414),E3414*F3414,"")</f>
        <v>0.176940825494</v>
      </c>
      <c r="H3414" s="73"/>
      <c r="I3414" s="74"/>
      <c r="J3414" s="155">
        <v>0</v>
      </c>
    </row>
    <row r="3415" spans="1:10" ht="15.75" hidden="1" thickBot="1" x14ac:dyDescent="0.3">
      <c r="A3415" s="176"/>
      <c r="B3415" s="175"/>
      <c r="C3415" s="36"/>
      <c r="D3415" s="36"/>
      <c r="E3415" s="37"/>
      <c r="F3415" s="54" t="s">
        <v>568</v>
      </c>
      <c r="G3415" s="54" t="str">
        <f>IF(ISNUMBER(F3415),E3415*F3415,"")</f>
        <v/>
      </c>
      <c r="H3415" s="73"/>
      <c r="I3415" s="74"/>
      <c r="J3415" s="155">
        <v>0</v>
      </c>
    </row>
    <row r="3416" spans="1:10" ht="15.75" hidden="1" thickBot="1" x14ac:dyDescent="0.3">
      <c r="A3416" s="176"/>
      <c r="B3416" s="175"/>
      <c r="C3416" s="152" t="s">
        <v>1088</v>
      </c>
      <c r="D3416" s="36"/>
      <c r="E3416" s="37"/>
      <c r="F3416" s="54" t="s">
        <v>568</v>
      </c>
      <c r="G3416" s="54" t="str">
        <f>IF(ISNUMBER(F3416),E3416*F3416,"")</f>
        <v/>
      </c>
      <c r="H3416" s="73"/>
      <c r="I3416" s="74"/>
      <c r="J3416" s="155">
        <v>0</v>
      </c>
    </row>
    <row r="3417" spans="1:10" ht="15.75" hidden="1" thickBot="1" x14ac:dyDescent="0.3">
      <c r="A3417" s="177"/>
      <c r="B3417" s="178"/>
      <c r="C3417" s="36"/>
      <c r="D3417" s="36"/>
      <c r="E3417" s="37"/>
      <c r="F3417" s="54" t="s">
        <v>568</v>
      </c>
      <c r="G3417" s="54" t="str">
        <f>IF(ISNUMBER(F3417),E3417*F3417,"")</f>
        <v/>
      </c>
      <c r="H3417" s="73"/>
      <c r="I3417" s="74"/>
      <c r="J3417" s="155">
        <v>0</v>
      </c>
    </row>
    <row r="3418" spans="1:10" ht="15.75" hidden="1" thickBot="1" x14ac:dyDescent="0.3">
      <c r="A3418" s="172" t="s">
        <v>1091</v>
      </c>
      <c r="B3418" s="174" t="str">
        <f>INDEX(Orçamentária!A:B,MATCH(Composições!A3418,Orçamentária!A:A,0),2)</f>
        <v>Mármore Branco Especial 20mm argamassado (Ed. Principal e Anexo 1)</v>
      </c>
      <c r="C3418" s="41"/>
      <c r="D3418" s="26" t="str">
        <f>TRIM(INDEX(Orçamentária!C:C,MATCH(Composições!A3418,Orçamentária!A:A,0),1))</f>
        <v>m2</v>
      </c>
      <c r="E3418" s="27"/>
      <c r="F3418" s="49" t="s">
        <v>568</v>
      </c>
      <c r="G3418" s="28" t="str">
        <f>IF(ISNUMBER(F3418),E3418*F3418,"")</f>
        <v/>
      </c>
      <c r="H3418" s="29"/>
      <c r="I3418" s="30"/>
      <c r="J3418" s="155">
        <v>0</v>
      </c>
    </row>
    <row r="3419" spans="1:10" ht="15.75" hidden="1" thickBot="1" x14ac:dyDescent="0.3">
      <c r="A3419" s="176"/>
      <c r="B3419" s="175"/>
      <c r="C3419" s="32"/>
      <c r="D3419" s="32"/>
      <c r="E3419" s="33"/>
      <c r="F3419" s="54" t="s">
        <v>568</v>
      </c>
      <c r="G3419" s="54" t="str">
        <f>IF(ISNUMBER(F3419),E3419*F3419,"")</f>
        <v/>
      </c>
      <c r="H3419" s="73"/>
      <c r="I3419" s="74"/>
      <c r="J3419" s="155">
        <v>0</v>
      </c>
    </row>
    <row r="3420" spans="1:10" ht="15.75" hidden="1" thickBot="1" x14ac:dyDescent="0.3">
      <c r="A3420" s="176"/>
      <c r="B3420" s="175"/>
      <c r="C3420" s="36" t="s">
        <v>1092</v>
      </c>
      <c r="D3420" s="36" t="s">
        <v>95</v>
      </c>
      <c r="E3420" s="37">
        <v>1.05</v>
      </c>
      <c r="F3420" s="54" t="s">
        <v>568</v>
      </c>
      <c r="G3420" s="54" t="str">
        <f>IF(ISNUMBER(F3420),E3420*F3420,"")</f>
        <v/>
      </c>
      <c r="H3420" s="39">
        <f>SUM(G3420:G3424)</f>
        <v>41.306474999999999</v>
      </c>
      <c r="I3420" s="40"/>
      <c r="J3420" s="155">
        <v>0</v>
      </c>
    </row>
    <row r="3421" spans="1:10" ht="15.75" hidden="1" thickBot="1" x14ac:dyDescent="0.3">
      <c r="A3421" s="176"/>
      <c r="B3421" s="175"/>
      <c r="C3421" s="36" t="s">
        <v>54</v>
      </c>
      <c r="D3421" s="36" t="s">
        <v>12</v>
      </c>
      <c r="E3421" s="37">
        <v>1.35</v>
      </c>
      <c r="F3421" s="54">
        <v>18.420500000000001</v>
      </c>
      <c r="G3421" s="54">
        <f>IF(ISNUMBER(F3421),E3421*F3421,"")</f>
        <v>24.867675000000002</v>
      </c>
      <c r="H3421" s="73"/>
      <c r="I3421" s="74"/>
      <c r="J3421" s="155">
        <v>0</v>
      </c>
    </row>
    <row r="3422" spans="1:10" ht="15.75" hidden="1" thickBot="1" x14ac:dyDescent="0.3">
      <c r="A3422" s="176"/>
      <c r="B3422" s="175"/>
      <c r="C3422" s="36" t="s">
        <v>23</v>
      </c>
      <c r="D3422" s="36" t="s">
        <v>12</v>
      </c>
      <c r="E3422" s="37">
        <v>0.6</v>
      </c>
      <c r="F3422" s="54">
        <v>16.311500000000002</v>
      </c>
      <c r="G3422" s="54">
        <f>IF(ISNUMBER(F3422),E3422*F3422,"")</f>
        <v>9.786900000000001</v>
      </c>
      <c r="H3422" s="73"/>
      <c r="I3422" s="74"/>
      <c r="J3422" s="155">
        <v>0</v>
      </c>
    </row>
    <row r="3423" spans="1:10" ht="15.75" hidden="1" thickBot="1" x14ac:dyDescent="0.3">
      <c r="A3423" s="176"/>
      <c r="B3423" s="175"/>
      <c r="C3423" s="36" t="s">
        <v>3613</v>
      </c>
      <c r="D3423" s="36" t="s">
        <v>42</v>
      </c>
      <c r="E3423" s="37">
        <v>4.5</v>
      </c>
      <c r="F3423" s="54">
        <v>1.3109999999999999</v>
      </c>
      <c r="G3423" s="54">
        <f>IF(ISNUMBER(F3423),E3423*F3423,"")</f>
        <v>5.8994999999999997</v>
      </c>
      <c r="H3423" s="73"/>
      <c r="I3423" s="74"/>
      <c r="J3423" s="155">
        <v>0</v>
      </c>
    </row>
    <row r="3424" spans="1:10" ht="15.75" hidden="1" thickBot="1" x14ac:dyDescent="0.3">
      <c r="A3424" s="176"/>
      <c r="B3424" s="175"/>
      <c r="C3424" s="36" t="s">
        <v>3612</v>
      </c>
      <c r="D3424" s="36" t="s">
        <v>42</v>
      </c>
      <c r="E3424" s="37">
        <v>0.3</v>
      </c>
      <c r="F3424" s="54">
        <v>2.508</v>
      </c>
      <c r="G3424" s="54">
        <f>IF(ISNUMBER(F3424),E3424*F3424,"")</f>
        <v>0.75239999999999996</v>
      </c>
      <c r="H3424" s="73"/>
      <c r="I3424" s="74"/>
      <c r="J3424" s="155">
        <v>0</v>
      </c>
    </row>
    <row r="3425" spans="1:10" ht="15.75" hidden="1" thickBot="1" x14ac:dyDescent="0.3">
      <c r="A3425" s="177"/>
      <c r="B3425" s="178"/>
      <c r="C3425" s="36"/>
      <c r="D3425" s="36"/>
      <c r="E3425" s="37"/>
      <c r="F3425" s="54" t="s">
        <v>568</v>
      </c>
      <c r="G3425" s="54" t="str">
        <f>IF(ISNUMBER(F3425),E3425*F3425,"")</f>
        <v/>
      </c>
      <c r="H3425" s="73"/>
      <c r="I3425" s="74"/>
      <c r="J3425" s="155">
        <v>0</v>
      </c>
    </row>
    <row r="3426" spans="1:10" ht="15.75" hidden="1" thickBot="1" x14ac:dyDescent="0.3">
      <c r="A3426" s="172" t="s">
        <v>1093</v>
      </c>
      <c r="B3426" s="174" t="str">
        <f>INDEX(Orçamentária!A:B,MATCH(Composições!A3426,Orçamentária!A:A,0),2)</f>
        <v>Mármore Branco Especial 20mm com inserts e argamassa (Ed. Principal e Anexo 1)</v>
      </c>
      <c r="C3426" s="41"/>
      <c r="D3426" s="26" t="str">
        <f>TRIM(INDEX(Orçamentária!C:C,MATCH(Composições!A3426,Orçamentária!A:A,0),1))</f>
        <v>m2</v>
      </c>
      <c r="E3426" s="27"/>
      <c r="F3426" s="49" t="s">
        <v>568</v>
      </c>
      <c r="G3426" s="28" t="str">
        <f>IF(ISNUMBER(F3426),E3426*F3426,"")</f>
        <v/>
      </c>
      <c r="H3426" s="29"/>
      <c r="I3426" s="30"/>
      <c r="J3426" s="155">
        <v>0</v>
      </c>
    </row>
    <row r="3427" spans="1:10" ht="15.75" hidden="1" thickBot="1" x14ac:dyDescent="0.3">
      <c r="A3427" s="176"/>
      <c r="B3427" s="175"/>
      <c r="C3427" s="32"/>
      <c r="D3427" s="32"/>
      <c r="E3427" s="33"/>
      <c r="F3427" s="54" t="s">
        <v>568</v>
      </c>
      <c r="G3427" s="54" t="str">
        <f>IF(ISNUMBER(F3427),E3427*F3427,"")</f>
        <v/>
      </c>
      <c r="H3427" s="73"/>
      <c r="I3427" s="74"/>
      <c r="J3427" s="155">
        <v>0</v>
      </c>
    </row>
    <row r="3428" spans="1:10" ht="15.75" hidden="1" thickBot="1" x14ac:dyDescent="0.3">
      <c r="A3428" s="176"/>
      <c r="B3428" s="175"/>
      <c r="C3428" s="36" t="s">
        <v>1092</v>
      </c>
      <c r="D3428" s="36" t="s">
        <v>95</v>
      </c>
      <c r="E3428" s="37">
        <v>1.05</v>
      </c>
      <c r="F3428" s="54" t="s">
        <v>568</v>
      </c>
      <c r="G3428" s="54" t="str">
        <f>IF(ISNUMBER(F3428),E3428*F3428,"")</f>
        <v/>
      </c>
      <c r="H3428" s="39">
        <f>SUM(G3428:G3438)</f>
        <v>54.065510206373503</v>
      </c>
      <c r="I3428" s="40"/>
      <c r="J3428" s="155">
        <v>0</v>
      </c>
    </row>
    <row r="3429" spans="1:10" ht="15.75" hidden="1" thickBot="1" x14ac:dyDescent="0.3">
      <c r="A3429" s="176"/>
      <c r="B3429" s="175"/>
      <c r="C3429" s="36" t="s">
        <v>54</v>
      </c>
      <c r="D3429" s="36" t="s">
        <v>12</v>
      </c>
      <c r="E3429" s="37">
        <f>1.35</f>
        <v>1.35</v>
      </c>
      <c r="F3429" s="54">
        <v>18.420500000000001</v>
      </c>
      <c r="G3429" s="54">
        <f>IF(ISNUMBER(F3429),E3429*F3429,"")</f>
        <v>24.867675000000002</v>
      </c>
      <c r="H3429" s="73"/>
      <c r="I3429" s="74"/>
      <c r="J3429" s="155">
        <v>0</v>
      </c>
    </row>
    <row r="3430" spans="1:10" ht="15.75" hidden="1" thickBot="1" x14ac:dyDescent="0.3">
      <c r="A3430" s="176"/>
      <c r="B3430" s="175"/>
      <c r="C3430" s="36" t="s">
        <v>22</v>
      </c>
      <c r="D3430" s="36" t="s">
        <v>12</v>
      </c>
      <c r="E3430" s="37">
        <v>0.1</v>
      </c>
      <c r="F3430" s="54">
        <v>22.087499999999999</v>
      </c>
      <c r="G3430" s="54">
        <f>IF(ISNUMBER(F3430),E3430*F3430,"")</f>
        <v>2.2087499999999998</v>
      </c>
      <c r="H3430" s="73"/>
      <c r="I3430" s="74"/>
      <c r="J3430" s="155">
        <v>0</v>
      </c>
    </row>
    <row r="3431" spans="1:10" ht="15.75" hidden="1" thickBot="1" x14ac:dyDescent="0.3">
      <c r="A3431" s="176"/>
      <c r="B3431" s="175"/>
      <c r="C3431" s="36" t="s">
        <v>23</v>
      </c>
      <c r="D3431" s="36" t="s">
        <v>12</v>
      </c>
      <c r="E3431" s="37">
        <f>0.6+0.1+0.1</f>
        <v>0.79999999999999993</v>
      </c>
      <c r="F3431" s="54">
        <v>16.311500000000002</v>
      </c>
      <c r="G3431" s="54">
        <f>IF(ISNUMBER(F3431),E3431*F3431,"")</f>
        <v>13.049200000000001</v>
      </c>
      <c r="H3431" s="73"/>
      <c r="I3431" s="74"/>
      <c r="J3431" s="155">
        <v>0</v>
      </c>
    </row>
    <row r="3432" spans="1:10" ht="15.75" hidden="1" thickBot="1" x14ac:dyDescent="0.3">
      <c r="A3432" s="176"/>
      <c r="B3432" s="175"/>
      <c r="C3432" s="36" t="s">
        <v>3613</v>
      </c>
      <c r="D3432" s="36" t="s">
        <v>42</v>
      </c>
      <c r="E3432" s="37">
        <v>4.5</v>
      </c>
      <c r="F3432" s="54">
        <v>1.3109999999999999</v>
      </c>
      <c r="G3432" s="54">
        <f>IF(ISNUMBER(F3432),E3432*F3432,"")</f>
        <v>5.8994999999999997</v>
      </c>
      <c r="H3432" s="73"/>
      <c r="I3432" s="74"/>
      <c r="J3432" s="155">
        <v>0</v>
      </c>
    </row>
    <row r="3433" spans="1:10" ht="15.75" hidden="1" thickBot="1" x14ac:dyDescent="0.3">
      <c r="A3433" s="176"/>
      <c r="B3433" s="175"/>
      <c r="C3433" s="36" t="s">
        <v>3612</v>
      </c>
      <c r="D3433" s="36" t="s">
        <v>42</v>
      </c>
      <c r="E3433" s="37">
        <v>0.3</v>
      </c>
      <c r="F3433" s="54">
        <v>2.508</v>
      </c>
      <c r="G3433" s="54">
        <f>IF(ISNUMBER(F3433),E3433*F3433,"")</f>
        <v>0.75239999999999996</v>
      </c>
      <c r="H3433" s="73"/>
      <c r="I3433" s="74"/>
      <c r="J3433" s="155">
        <v>0</v>
      </c>
    </row>
    <row r="3434" spans="1:10" ht="26.25" hidden="1" thickBot="1" x14ac:dyDescent="0.3">
      <c r="A3434" s="176"/>
      <c r="B3434" s="175"/>
      <c r="C3434" s="36" t="s">
        <v>1094</v>
      </c>
      <c r="D3434" s="36" t="s">
        <v>297</v>
      </c>
      <c r="E3434" s="37">
        <f>2/(0.4*0.8)</f>
        <v>6.2499999999999991</v>
      </c>
      <c r="F3434" s="54">
        <v>1.159</v>
      </c>
      <c r="G3434" s="54">
        <f>IF(ISNUMBER(F3434),E3434*F3434,"")</f>
        <v>7.2437499999999995</v>
      </c>
      <c r="H3434" s="73"/>
      <c r="I3434" s="74"/>
      <c r="J3434" s="155">
        <v>0</v>
      </c>
    </row>
    <row r="3435" spans="1:10" ht="15.75" hidden="1" thickBot="1" x14ac:dyDescent="0.3">
      <c r="A3435" s="176"/>
      <c r="B3435" s="175"/>
      <c r="C3435" s="36" t="s">
        <v>1084</v>
      </c>
      <c r="D3435" s="36" t="s">
        <v>149</v>
      </c>
      <c r="E3435" s="37">
        <f>(2/(0.4*0.8))*(0.016)*1.5</f>
        <v>0.15</v>
      </c>
      <c r="F3435" s="54">
        <v>0</v>
      </c>
      <c r="G3435" s="54">
        <f>IF(ISNUMBER(F3435),E3435*F3435,"")</f>
        <v>0</v>
      </c>
      <c r="H3435" s="73"/>
      <c r="I3435" s="74"/>
      <c r="J3435" s="155">
        <v>0</v>
      </c>
    </row>
    <row r="3436" spans="1:10" ht="15.75" hidden="1" thickBot="1" x14ac:dyDescent="0.3">
      <c r="A3436" s="176"/>
      <c r="B3436" s="175"/>
      <c r="C3436" s="36" t="s">
        <v>1085</v>
      </c>
      <c r="D3436" s="36" t="s">
        <v>1086</v>
      </c>
      <c r="E3436" s="37">
        <f>(2/(0.4*0.8))*0.1*1.5</f>
        <v>0.9375</v>
      </c>
      <c r="F3436" s="54">
        <v>0</v>
      </c>
      <c r="G3436" s="54">
        <f>IF(ISNUMBER(F3436),E3436*F3436,"")</f>
        <v>0</v>
      </c>
      <c r="H3436" s="73"/>
      <c r="I3436" s="74"/>
      <c r="J3436" s="155">
        <v>0</v>
      </c>
    </row>
    <row r="3437" spans="1:10" ht="15.75" hidden="1" thickBot="1" x14ac:dyDescent="0.3">
      <c r="A3437" s="176"/>
      <c r="B3437" s="175"/>
      <c r="C3437" s="36" t="s">
        <v>1095</v>
      </c>
      <c r="D3437" s="36" t="s">
        <v>149</v>
      </c>
      <c r="E3437" s="37">
        <f>2/(0.4*0.8)</f>
        <v>6.2499999999999991</v>
      </c>
      <c r="F3437" s="54" t="s">
        <v>568</v>
      </c>
      <c r="G3437" s="54" t="str">
        <f>IF(ISNUMBER(F3437),E3437*F3437,"")</f>
        <v/>
      </c>
      <c r="H3437" s="73"/>
      <c r="I3437" s="74"/>
      <c r="J3437" s="155">
        <v>0</v>
      </c>
    </row>
    <row r="3438" spans="1:10" ht="39" hidden="1" thickBot="1" x14ac:dyDescent="0.3">
      <c r="A3438" s="176"/>
      <c r="B3438" s="175"/>
      <c r="C3438" s="36" t="s">
        <v>1087</v>
      </c>
      <c r="D3438" s="36" t="s">
        <v>111</v>
      </c>
      <c r="E3438" s="37">
        <v>1E-4</v>
      </c>
      <c r="F3438" s="54">
        <v>442.352063735</v>
      </c>
      <c r="G3438" s="54">
        <f>IF(ISNUMBER(F3438),E3438*F3438,"")</f>
        <v>4.4235206373500001E-2</v>
      </c>
      <c r="H3438" s="73"/>
      <c r="I3438" s="74"/>
      <c r="J3438" s="155">
        <v>0</v>
      </c>
    </row>
    <row r="3439" spans="1:10" ht="15.75" hidden="1" thickBot="1" x14ac:dyDescent="0.3">
      <c r="A3439" s="176"/>
      <c r="B3439" s="175"/>
      <c r="C3439" s="36"/>
      <c r="D3439" s="36"/>
      <c r="E3439" s="37"/>
      <c r="F3439" s="54" t="s">
        <v>568</v>
      </c>
      <c r="G3439" s="54" t="str">
        <f>IF(ISNUMBER(F3439),E3439*F3439,"")</f>
        <v/>
      </c>
      <c r="H3439" s="73"/>
      <c r="I3439" s="74"/>
      <c r="J3439" s="155">
        <v>0</v>
      </c>
    </row>
    <row r="3440" spans="1:10" ht="15.75" hidden="1" thickBot="1" x14ac:dyDescent="0.3">
      <c r="A3440" s="176"/>
      <c r="B3440" s="175"/>
      <c r="C3440" s="152" t="s">
        <v>1096</v>
      </c>
      <c r="D3440" s="36"/>
      <c r="E3440" s="37"/>
      <c r="F3440" s="54" t="s">
        <v>568</v>
      </c>
      <c r="G3440" s="54" t="str">
        <f>IF(ISNUMBER(F3440),E3440*F3440,"")</f>
        <v/>
      </c>
      <c r="H3440" s="73"/>
      <c r="I3440" s="74"/>
      <c r="J3440" s="155">
        <v>0</v>
      </c>
    </row>
    <row r="3441" spans="1:10" ht="26.25" hidden="1" thickBot="1" x14ac:dyDescent="0.3">
      <c r="A3441" s="176"/>
      <c r="B3441" s="175"/>
      <c r="C3441" s="152" t="s">
        <v>1097</v>
      </c>
      <c r="D3441" s="36"/>
      <c r="E3441" s="37"/>
      <c r="F3441" s="54" t="s">
        <v>568</v>
      </c>
      <c r="G3441" s="54" t="str">
        <f>IF(ISNUMBER(F3441),E3441*F3441,"")</f>
        <v/>
      </c>
      <c r="H3441" s="73"/>
      <c r="I3441" s="74"/>
      <c r="J3441" s="155">
        <v>0</v>
      </c>
    </row>
    <row r="3442" spans="1:10" ht="15.75" hidden="1" thickBot="1" x14ac:dyDescent="0.3">
      <c r="A3442" s="177"/>
      <c r="B3442" s="178"/>
      <c r="C3442" s="36"/>
      <c r="D3442" s="36"/>
      <c r="E3442" s="37"/>
      <c r="F3442" s="54" t="s">
        <v>568</v>
      </c>
      <c r="G3442" s="54" t="str">
        <f>IF(ISNUMBER(F3442),E3442*F3442,"")</f>
        <v/>
      </c>
      <c r="H3442" s="73"/>
      <c r="I3442" s="74"/>
      <c r="J3442" s="155">
        <v>0</v>
      </c>
    </row>
    <row r="3443" spans="1:10" ht="15.75" hidden="1" thickBot="1" x14ac:dyDescent="0.3">
      <c r="A3443" s="172" t="s">
        <v>1098</v>
      </c>
      <c r="B3443" s="174" t="str">
        <f>INDEX(Orçamentária!A:B,MATCH(Composições!A3443,Orçamentária!A:A,0),2)</f>
        <v>Mármore Branco Especial 30mm argamassado (Ed. Principal e Anexo 1)</v>
      </c>
      <c r="C3443" s="41"/>
      <c r="D3443" s="26" t="str">
        <f>TRIM(INDEX(Orçamentária!C:C,MATCH(Composições!A3443,Orçamentária!A:A,0),1))</f>
        <v>m2</v>
      </c>
      <c r="E3443" s="27"/>
      <c r="F3443" s="49" t="s">
        <v>568</v>
      </c>
      <c r="G3443" s="28" t="str">
        <f>IF(ISNUMBER(F3443),E3443*F3443,"")</f>
        <v/>
      </c>
      <c r="H3443" s="29"/>
      <c r="I3443" s="30"/>
      <c r="J3443" s="155">
        <v>0</v>
      </c>
    </row>
    <row r="3444" spans="1:10" ht="15.75" hidden="1" thickBot="1" x14ac:dyDescent="0.3">
      <c r="A3444" s="176"/>
      <c r="B3444" s="175"/>
      <c r="C3444" s="32"/>
      <c r="D3444" s="32"/>
      <c r="E3444" s="33"/>
      <c r="F3444" s="54" t="s">
        <v>568</v>
      </c>
      <c r="G3444" s="54" t="str">
        <f>IF(ISNUMBER(F3444),E3444*F3444,"")</f>
        <v/>
      </c>
      <c r="H3444" s="73"/>
      <c r="I3444" s="74"/>
      <c r="J3444" s="155">
        <v>0</v>
      </c>
    </row>
    <row r="3445" spans="1:10" ht="15.75" hidden="1" thickBot="1" x14ac:dyDescent="0.3">
      <c r="A3445" s="176"/>
      <c r="B3445" s="175"/>
      <c r="C3445" s="36" t="s">
        <v>1099</v>
      </c>
      <c r="D3445" s="36" t="s">
        <v>95</v>
      </c>
      <c r="E3445" s="37">
        <v>1.05</v>
      </c>
      <c r="F3445" s="54" t="s">
        <v>568</v>
      </c>
      <c r="G3445" s="54" t="str">
        <f>IF(ISNUMBER(F3445),E3445*F3445,"")</f>
        <v/>
      </c>
      <c r="H3445" s="39">
        <f>SUM(G3445:G3449)</f>
        <v>41.306474999999999</v>
      </c>
      <c r="I3445" s="40"/>
      <c r="J3445" s="155">
        <v>0</v>
      </c>
    </row>
    <row r="3446" spans="1:10" ht="15.75" hidden="1" thickBot="1" x14ac:dyDescent="0.3">
      <c r="A3446" s="176"/>
      <c r="B3446" s="175"/>
      <c r="C3446" s="36" t="s">
        <v>54</v>
      </c>
      <c r="D3446" s="36" t="s">
        <v>12</v>
      </c>
      <c r="E3446" s="37">
        <v>1.35</v>
      </c>
      <c r="F3446" s="54">
        <v>18.420500000000001</v>
      </c>
      <c r="G3446" s="54">
        <f>IF(ISNUMBER(F3446),E3446*F3446,"")</f>
        <v>24.867675000000002</v>
      </c>
      <c r="H3446" s="73"/>
      <c r="I3446" s="74"/>
      <c r="J3446" s="155">
        <v>0</v>
      </c>
    </row>
    <row r="3447" spans="1:10" ht="15.75" hidden="1" thickBot="1" x14ac:dyDescent="0.3">
      <c r="A3447" s="176"/>
      <c r="B3447" s="175"/>
      <c r="C3447" s="36" t="s">
        <v>23</v>
      </c>
      <c r="D3447" s="36" t="s">
        <v>12</v>
      </c>
      <c r="E3447" s="37">
        <v>0.6</v>
      </c>
      <c r="F3447" s="54">
        <v>16.311500000000002</v>
      </c>
      <c r="G3447" s="54">
        <f>IF(ISNUMBER(F3447),E3447*F3447,"")</f>
        <v>9.786900000000001</v>
      </c>
      <c r="H3447" s="73"/>
      <c r="I3447" s="74"/>
      <c r="J3447" s="155">
        <v>0</v>
      </c>
    </row>
    <row r="3448" spans="1:10" ht="15.75" hidden="1" thickBot="1" x14ac:dyDescent="0.3">
      <c r="A3448" s="176"/>
      <c r="B3448" s="175"/>
      <c r="C3448" s="36" t="s">
        <v>3613</v>
      </c>
      <c r="D3448" s="36" t="s">
        <v>42</v>
      </c>
      <c r="E3448" s="37">
        <v>4.5</v>
      </c>
      <c r="F3448" s="54">
        <v>1.3109999999999999</v>
      </c>
      <c r="G3448" s="54">
        <f>IF(ISNUMBER(F3448),E3448*F3448,"")</f>
        <v>5.8994999999999997</v>
      </c>
      <c r="H3448" s="73"/>
      <c r="I3448" s="74"/>
      <c r="J3448" s="155">
        <v>0</v>
      </c>
    </row>
    <row r="3449" spans="1:10" ht="15.75" hidden="1" thickBot="1" x14ac:dyDescent="0.3">
      <c r="A3449" s="176"/>
      <c r="B3449" s="175"/>
      <c r="C3449" s="36" t="s">
        <v>3612</v>
      </c>
      <c r="D3449" s="36" t="s">
        <v>42</v>
      </c>
      <c r="E3449" s="37">
        <v>0.3</v>
      </c>
      <c r="F3449" s="54">
        <v>2.508</v>
      </c>
      <c r="G3449" s="54">
        <f>IF(ISNUMBER(F3449),E3449*F3449,"")</f>
        <v>0.75239999999999996</v>
      </c>
      <c r="H3449" s="73"/>
      <c r="I3449" s="74"/>
      <c r="J3449" s="155">
        <v>0</v>
      </c>
    </row>
    <row r="3450" spans="1:10" ht="15.75" hidden="1" thickBot="1" x14ac:dyDescent="0.3">
      <c r="A3450" s="177"/>
      <c r="B3450" s="178"/>
      <c r="C3450" s="36"/>
      <c r="D3450" s="36"/>
      <c r="E3450" s="37"/>
      <c r="F3450" s="54" t="s">
        <v>568</v>
      </c>
      <c r="G3450" s="54" t="str">
        <f>IF(ISNUMBER(F3450),E3450*F3450,"")</f>
        <v/>
      </c>
      <c r="H3450" s="73"/>
      <c r="I3450" s="74"/>
      <c r="J3450" s="155">
        <v>0</v>
      </c>
    </row>
    <row r="3451" spans="1:10" ht="15.75" hidden="1" thickBot="1" x14ac:dyDescent="0.3">
      <c r="A3451" s="172" t="s">
        <v>1100</v>
      </c>
      <c r="B3451" s="174" t="str">
        <f>INDEX(Orçamentária!A:B,MATCH(Composições!A3451,Orçamentária!A:A,0),2)</f>
        <v>Mármore Branco Especial 30mm com inserts e argamassa (Ed. Principal e Anexo 1)</v>
      </c>
      <c r="C3451" s="41"/>
      <c r="D3451" s="26" t="str">
        <f>TRIM(INDEX(Orçamentária!C:C,MATCH(Composições!A3451,Orçamentária!A:A,0),1))</f>
        <v>m2</v>
      </c>
      <c r="E3451" s="27"/>
      <c r="F3451" s="49" t="s">
        <v>568</v>
      </c>
      <c r="G3451" s="28" t="str">
        <f>IF(ISNUMBER(F3451),E3451*F3451,"")</f>
        <v/>
      </c>
      <c r="H3451" s="29"/>
      <c r="I3451" s="30"/>
      <c r="J3451" s="155">
        <v>0</v>
      </c>
    </row>
    <row r="3452" spans="1:10" ht="15.75" hidden="1" thickBot="1" x14ac:dyDescent="0.3">
      <c r="A3452" s="176"/>
      <c r="B3452" s="175"/>
      <c r="C3452" s="32"/>
      <c r="D3452" s="32"/>
      <c r="E3452" s="33"/>
      <c r="F3452" s="54" t="s">
        <v>568</v>
      </c>
      <c r="G3452" s="54" t="str">
        <f>IF(ISNUMBER(F3452),E3452*F3452,"")</f>
        <v/>
      </c>
      <c r="H3452" s="73"/>
      <c r="I3452" s="74"/>
      <c r="J3452" s="155">
        <v>0</v>
      </c>
    </row>
    <row r="3453" spans="1:10" ht="15.75" hidden="1" thickBot="1" x14ac:dyDescent="0.3">
      <c r="A3453" s="176"/>
      <c r="B3453" s="175"/>
      <c r="C3453" s="36" t="s">
        <v>1099</v>
      </c>
      <c r="D3453" s="36" t="s">
        <v>95</v>
      </c>
      <c r="E3453" s="37">
        <v>1.05</v>
      </c>
      <c r="F3453" s="54" t="s">
        <v>568</v>
      </c>
      <c r="G3453" s="54" t="str">
        <f>IF(ISNUMBER(F3453),E3453*F3453,"")</f>
        <v/>
      </c>
      <c r="H3453" s="39">
        <f>SUM(G3453:G3463)</f>
        <v>54.065510206373503</v>
      </c>
      <c r="I3453" s="40"/>
      <c r="J3453" s="155">
        <v>0</v>
      </c>
    </row>
    <row r="3454" spans="1:10" ht="15.75" hidden="1" thickBot="1" x14ac:dyDescent="0.3">
      <c r="A3454" s="176"/>
      <c r="B3454" s="175"/>
      <c r="C3454" s="36" t="s">
        <v>54</v>
      </c>
      <c r="D3454" s="36" t="s">
        <v>12</v>
      </c>
      <c r="E3454" s="37">
        <f>1.35</f>
        <v>1.35</v>
      </c>
      <c r="F3454" s="54">
        <v>18.420500000000001</v>
      </c>
      <c r="G3454" s="54">
        <f>IF(ISNUMBER(F3454),E3454*F3454,"")</f>
        <v>24.867675000000002</v>
      </c>
      <c r="H3454" s="73"/>
      <c r="I3454" s="74"/>
      <c r="J3454" s="155">
        <v>0</v>
      </c>
    </row>
    <row r="3455" spans="1:10" ht="15.75" hidden="1" thickBot="1" x14ac:dyDescent="0.3">
      <c r="A3455" s="176"/>
      <c r="B3455" s="175"/>
      <c r="C3455" s="36" t="s">
        <v>22</v>
      </c>
      <c r="D3455" s="36" t="s">
        <v>12</v>
      </c>
      <c r="E3455" s="37">
        <v>0.1</v>
      </c>
      <c r="F3455" s="54">
        <v>22.087499999999999</v>
      </c>
      <c r="G3455" s="54">
        <f>IF(ISNUMBER(F3455),E3455*F3455,"")</f>
        <v>2.2087499999999998</v>
      </c>
      <c r="H3455" s="73"/>
      <c r="I3455" s="74"/>
      <c r="J3455" s="155">
        <v>0</v>
      </c>
    </row>
    <row r="3456" spans="1:10" ht="15.75" hidden="1" thickBot="1" x14ac:dyDescent="0.3">
      <c r="A3456" s="176"/>
      <c r="B3456" s="175"/>
      <c r="C3456" s="36" t="s">
        <v>23</v>
      </c>
      <c r="D3456" s="36" t="s">
        <v>12</v>
      </c>
      <c r="E3456" s="37">
        <f>0.6+0.1+0.1</f>
        <v>0.79999999999999993</v>
      </c>
      <c r="F3456" s="54">
        <v>16.311500000000002</v>
      </c>
      <c r="G3456" s="54">
        <f>IF(ISNUMBER(F3456),E3456*F3456,"")</f>
        <v>13.049200000000001</v>
      </c>
      <c r="H3456" s="73"/>
      <c r="I3456" s="74"/>
      <c r="J3456" s="155">
        <v>0</v>
      </c>
    </row>
    <row r="3457" spans="1:10" ht="15.75" hidden="1" thickBot="1" x14ac:dyDescent="0.3">
      <c r="A3457" s="176"/>
      <c r="B3457" s="175"/>
      <c r="C3457" s="36" t="s">
        <v>3613</v>
      </c>
      <c r="D3457" s="36" t="s">
        <v>42</v>
      </c>
      <c r="E3457" s="37">
        <v>4.5</v>
      </c>
      <c r="F3457" s="54">
        <v>1.3109999999999999</v>
      </c>
      <c r="G3457" s="54">
        <f>IF(ISNUMBER(F3457),E3457*F3457,"")</f>
        <v>5.8994999999999997</v>
      </c>
      <c r="H3457" s="73"/>
      <c r="I3457" s="74"/>
      <c r="J3457" s="155">
        <v>0</v>
      </c>
    </row>
    <row r="3458" spans="1:10" ht="15.75" hidden="1" thickBot="1" x14ac:dyDescent="0.3">
      <c r="A3458" s="176"/>
      <c r="B3458" s="175"/>
      <c r="C3458" s="36" t="s">
        <v>3612</v>
      </c>
      <c r="D3458" s="36" t="s">
        <v>42</v>
      </c>
      <c r="E3458" s="37">
        <v>0.3</v>
      </c>
      <c r="F3458" s="54">
        <v>2.508</v>
      </c>
      <c r="G3458" s="54">
        <f>IF(ISNUMBER(F3458),E3458*F3458,"")</f>
        <v>0.75239999999999996</v>
      </c>
      <c r="H3458" s="73"/>
      <c r="I3458" s="74"/>
      <c r="J3458" s="155">
        <v>0</v>
      </c>
    </row>
    <row r="3459" spans="1:10" ht="26.25" hidden="1" thickBot="1" x14ac:dyDescent="0.3">
      <c r="A3459" s="176"/>
      <c r="B3459" s="175"/>
      <c r="C3459" s="36" t="s">
        <v>1094</v>
      </c>
      <c r="D3459" s="36" t="s">
        <v>297</v>
      </c>
      <c r="E3459" s="37">
        <f>2/(0.4*0.8)</f>
        <v>6.2499999999999991</v>
      </c>
      <c r="F3459" s="54">
        <v>1.159</v>
      </c>
      <c r="G3459" s="54">
        <f>IF(ISNUMBER(F3459),E3459*F3459,"")</f>
        <v>7.2437499999999995</v>
      </c>
      <c r="H3459" s="73"/>
      <c r="I3459" s="74"/>
      <c r="J3459" s="155">
        <v>0</v>
      </c>
    </row>
    <row r="3460" spans="1:10" ht="15.75" hidden="1" thickBot="1" x14ac:dyDescent="0.3">
      <c r="A3460" s="176"/>
      <c r="B3460" s="175"/>
      <c r="C3460" s="36" t="s">
        <v>1084</v>
      </c>
      <c r="D3460" s="36" t="s">
        <v>149</v>
      </c>
      <c r="E3460" s="37">
        <f>(2/(0.4*0.8))*(0.016)*1.5</f>
        <v>0.15</v>
      </c>
      <c r="F3460" s="54">
        <v>0</v>
      </c>
      <c r="G3460" s="54">
        <f>IF(ISNUMBER(F3460),E3460*F3460,"")</f>
        <v>0</v>
      </c>
      <c r="H3460" s="73"/>
      <c r="I3460" s="74"/>
      <c r="J3460" s="155">
        <v>0</v>
      </c>
    </row>
    <row r="3461" spans="1:10" ht="15.75" hidden="1" thickBot="1" x14ac:dyDescent="0.3">
      <c r="A3461" s="176"/>
      <c r="B3461" s="175"/>
      <c r="C3461" s="36" t="s">
        <v>1085</v>
      </c>
      <c r="D3461" s="36" t="s">
        <v>1086</v>
      </c>
      <c r="E3461" s="37">
        <f>(2/(0.4*0.8))*0.1*1.5</f>
        <v>0.9375</v>
      </c>
      <c r="F3461" s="54">
        <v>0</v>
      </c>
      <c r="G3461" s="54">
        <f>IF(ISNUMBER(F3461),E3461*F3461,"")</f>
        <v>0</v>
      </c>
      <c r="H3461" s="73"/>
      <c r="I3461" s="74"/>
      <c r="J3461" s="155">
        <v>0</v>
      </c>
    </row>
    <row r="3462" spans="1:10" ht="15.75" hidden="1" thickBot="1" x14ac:dyDescent="0.3">
      <c r="A3462" s="176"/>
      <c r="B3462" s="175"/>
      <c r="C3462" s="36" t="s">
        <v>1095</v>
      </c>
      <c r="D3462" s="36" t="s">
        <v>149</v>
      </c>
      <c r="E3462" s="37">
        <f>2/(0.4*0.8)</f>
        <v>6.2499999999999991</v>
      </c>
      <c r="F3462" s="54" t="s">
        <v>568</v>
      </c>
      <c r="G3462" s="54" t="str">
        <f>IF(ISNUMBER(F3462),E3462*F3462,"")</f>
        <v/>
      </c>
      <c r="H3462" s="73"/>
      <c r="I3462" s="74"/>
      <c r="J3462" s="155">
        <v>0</v>
      </c>
    </row>
    <row r="3463" spans="1:10" ht="39" hidden="1" thickBot="1" x14ac:dyDescent="0.3">
      <c r="A3463" s="176"/>
      <c r="B3463" s="175"/>
      <c r="C3463" s="36" t="s">
        <v>1087</v>
      </c>
      <c r="D3463" s="36" t="s">
        <v>111</v>
      </c>
      <c r="E3463" s="37">
        <v>1E-4</v>
      </c>
      <c r="F3463" s="54">
        <v>442.352063735</v>
      </c>
      <c r="G3463" s="54">
        <f>IF(ISNUMBER(F3463),E3463*F3463,"")</f>
        <v>4.4235206373500001E-2</v>
      </c>
      <c r="H3463" s="73"/>
      <c r="I3463" s="74"/>
      <c r="J3463" s="155">
        <v>0</v>
      </c>
    </row>
    <row r="3464" spans="1:10" ht="15.75" hidden="1" thickBot="1" x14ac:dyDescent="0.3">
      <c r="A3464" s="176"/>
      <c r="B3464" s="175"/>
      <c r="C3464" s="36"/>
      <c r="D3464" s="36"/>
      <c r="E3464" s="37"/>
      <c r="F3464" s="54" t="s">
        <v>568</v>
      </c>
      <c r="G3464" s="54" t="str">
        <f>IF(ISNUMBER(F3464),E3464*F3464,"")</f>
        <v/>
      </c>
      <c r="H3464" s="73"/>
      <c r="I3464" s="74"/>
      <c r="J3464" s="155">
        <v>0</v>
      </c>
    </row>
    <row r="3465" spans="1:10" ht="15.75" hidden="1" thickBot="1" x14ac:dyDescent="0.3">
      <c r="A3465" s="176"/>
      <c r="B3465" s="175"/>
      <c r="C3465" s="152" t="s">
        <v>1096</v>
      </c>
      <c r="D3465" s="36"/>
      <c r="E3465" s="37"/>
      <c r="F3465" s="54" t="s">
        <v>568</v>
      </c>
      <c r="G3465" s="54" t="str">
        <f>IF(ISNUMBER(F3465),E3465*F3465,"")</f>
        <v/>
      </c>
      <c r="H3465" s="73"/>
      <c r="I3465" s="74"/>
      <c r="J3465" s="155">
        <v>0</v>
      </c>
    </row>
    <row r="3466" spans="1:10" ht="26.25" hidden="1" thickBot="1" x14ac:dyDescent="0.3">
      <c r="A3466" s="176"/>
      <c r="B3466" s="175"/>
      <c r="C3466" s="152" t="s">
        <v>1097</v>
      </c>
      <c r="D3466" s="36"/>
      <c r="E3466" s="37"/>
      <c r="F3466" s="54" t="s">
        <v>568</v>
      </c>
      <c r="G3466" s="54" t="str">
        <f>IF(ISNUMBER(F3466),E3466*F3466,"")</f>
        <v/>
      </c>
      <c r="H3466" s="73"/>
      <c r="I3466" s="74"/>
      <c r="J3466" s="155">
        <v>0</v>
      </c>
    </row>
    <row r="3467" spans="1:10" ht="15.75" hidden="1" thickBot="1" x14ac:dyDescent="0.3">
      <c r="A3467" s="177"/>
      <c r="B3467" s="178"/>
      <c r="C3467" s="36"/>
      <c r="D3467" s="36"/>
      <c r="E3467" s="37"/>
      <c r="F3467" s="54" t="s">
        <v>568</v>
      </c>
      <c r="G3467" s="54" t="str">
        <f>IF(ISNUMBER(F3467),E3467*F3467,"")</f>
        <v/>
      </c>
      <c r="H3467" s="73"/>
      <c r="I3467" s="74"/>
      <c r="J3467" s="155">
        <v>0</v>
      </c>
    </row>
    <row r="3468" spans="1:10" ht="15.75" hidden="1" thickBot="1" x14ac:dyDescent="0.3">
      <c r="A3468" s="172" t="s">
        <v>1101</v>
      </c>
      <c r="B3468" s="174" t="str">
        <f>INDEX(Orçamentária!A:B,MATCH(Composições!A3468,Orçamentária!A:A,0),2)</f>
        <v>Mármore branco especial, e=30mm, instalação em fixadores metálicos existentes (modelo Edifício Principal)</v>
      </c>
      <c r="C3468" s="41"/>
      <c r="D3468" s="26" t="str">
        <f>TRIM(INDEX(Orçamentária!C:C,MATCH(Composições!A3468,Orçamentária!A:A,0),1))</f>
        <v>m2</v>
      </c>
      <c r="E3468" s="27"/>
      <c r="F3468" s="49" t="s">
        <v>568</v>
      </c>
      <c r="G3468" s="28" t="str">
        <f>IF(ISNUMBER(F3468),E3468*F3468,"")</f>
        <v/>
      </c>
      <c r="H3468" s="29"/>
      <c r="I3468" s="30"/>
      <c r="J3468" s="155">
        <v>0</v>
      </c>
    </row>
    <row r="3469" spans="1:10" ht="15.75" hidden="1" thickBot="1" x14ac:dyDescent="0.3">
      <c r="A3469" s="176"/>
      <c r="B3469" s="175"/>
      <c r="C3469" s="32"/>
      <c r="D3469" s="32"/>
      <c r="E3469" s="33"/>
      <c r="F3469" s="54" t="s">
        <v>568</v>
      </c>
      <c r="G3469" s="54" t="str">
        <f>IF(ISNUMBER(F3469),E3469*F3469,"")</f>
        <v/>
      </c>
      <c r="H3469" s="73"/>
      <c r="I3469" s="74"/>
      <c r="J3469" s="155">
        <v>0</v>
      </c>
    </row>
    <row r="3470" spans="1:10" ht="15.75" hidden="1" thickBot="1" x14ac:dyDescent="0.3">
      <c r="A3470" s="176"/>
      <c r="B3470" s="175"/>
      <c r="C3470" s="36" t="s">
        <v>1099</v>
      </c>
      <c r="D3470" s="36" t="s">
        <v>95</v>
      </c>
      <c r="E3470" s="37">
        <v>1.05</v>
      </c>
      <c r="F3470" s="54" t="s">
        <v>568</v>
      </c>
      <c r="G3470" s="54" t="str">
        <f>IF(ISNUMBER(F3470),E3470*F3470,"")</f>
        <v/>
      </c>
      <c r="H3470" s="39">
        <f>SUM(G3470:G3475)</f>
        <v>6.280510206373501</v>
      </c>
      <c r="I3470" s="40"/>
      <c r="J3470" s="155">
        <v>0</v>
      </c>
    </row>
    <row r="3471" spans="1:10" ht="15.75" hidden="1" thickBot="1" x14ac:dyDescent="0.3">
      <c r="A3471" s="176"/>
      <c r="B3471" s="175"/>
      <c r="C3471" s="36" t="s">
        <v>54</v>
      </c>
      <c r="D3471" s="36" t="s">
        <v>12</v>
      </c>
      <c r="E3471" s="37">
        <v>0.25</v>
      </c>
      <c r="F3471" s="54">
        <v>18.420500000000001</v>
      </c>
      <c r="G3471" s="54">
        <f>IF(ISNUMBER(F3471),E3471*F3471,"")</f>
        <v>4.6051250000000001</v>
      </c>
      <c r="H3471" s="73"/>
      <c r="I3471" s="74"/>
      <c r="J3471" s="155">
        <v>0</v>
      </c>
    </row>
    <row r="3472" spans="1:10" ht="15.75" hidden="1" thickBot="1" x14ac:dyDescent="0.3">
      <c r="A3472" s="176"/>
      <c r="B3472" s="175"/>
      <c r="C3472" s="36" t="s">
        <v>23</v>
      </c>
      <c r="D3472" s="36" t="s">
        <v>12</v>
      </c>
      <c r="E3472" s="37">
        <v>0.1</v>
      </c>
      <c r="F3472" s="54">
        <v>16.311500000000002</v>
      </c>
      <c r="G3472" s="54">
        <f>IF(ISNUMBER(F3472),E3472*F3472,"")</f>
        <v>1.6311500000000003</v>
      </c>
      <c r="H3472" s="73"/>
      <c r="I3472" s="74"/>
      <c r="J3472" s="155">
        <v>0</v>
      </c>
    </row>
    <row r="3473" spans="1:10" ht="15.75" hidden="1" thickBot="1" x14ac:dyDescent="0.3">
      <c r="A3473" s="176"/>
      <c r="B3473" s="175"/>
      <c r="C3473" s="36" t="s">
        <v>1084</v>
      </c>
      <c r="D3473" s="36" t="s">
        <v>149</v>
      </c>
      <c r="E3473" s="37">
        <f>(2/(0.4*0.8))*0.016/2</f>
        <v>4.9999999999999996E-2</v>
      </c>
      <c r="F3473" s="54">
        <v>0</v>
      </c>
      <c r="G3473" s="54">
        <f>IF(ISNUMBER(F3473),E3473*F3473,"")</f>
        <v>0</v>
      </c>
      <c r="H3473" s="73"/>
      <c r="I3473" s="74"/>
      <c r="J3473" s="155">
        <v>0</v>
      </c>
    </row>
    <row r="3474" spans="1:10" ht="15.75" hidden="1" thickBot="1" x14ac:dyDescent="0.3">
      <c r="A3474" s="176"/>
      <c r="B3474" s="175"/>
      <c r="C3474" s="36" t="s">
        <v>1085</v>
      </c>
      <c r="D3474" s="36" t="s">
        <v>1086</v>
      </c>
      <c r="E3474" s="37">
        <f>(2/(0.4*0.8))*0.1/2</f>
        <v>0.3125</v>
      </c>
      <c r="F3474" s="54">
        <v>0</v>
      </c>
      <c r="G3474" s="54">
        <f>IF(ISNUMBER(F3474),E3474*F3474,"")</f>
        <v>0</v>
      </c>
      <c r="H3474" s="73"/>
      <c r="I3474" s="74"/>
      <c r="J3474" s="155">
        <v>0</v>
      </c>
    </row>
    <row r="3475" spans="1:10" ht="39" hidden="1" thickBot="1" x14ac:dyDescent="0.3">
      <c r="A3475" s="176"/>
      <c r="B3475" s="175"/>
      <c r="C3475" s="36" t="s">
        <v>1087</v>
      </c>
      <c r="D3475" s="36" t="s">
        <v>111</v>
      </c>
      <c r="E3475" s="37">
        <v>1E-4</v>
      </c>
      <c r="F3475" s="54">
        <v>442.352063735</v>
      </c>
      <c r="G3475" s="54">
        <f>IF(ISNUMBER(F3475),E3475*F3475,"")</f>
        <v>4.4235206373500001E-2</v>
      </c>
      <c r="H3475" s="73"/>
      <c r="I3475" s="74"/>
      <c r="J3475" s="155">
        <v>0</v>
      </c>
    </row>
    <row r="3476" spans="1:10" ht="15.75" hidden="1" thickBot="1" x14ac:dyDescent="0.3">
      <c r="A3476" s="176"/>
      <c r="B3476" s="175"/>
      <c r="C3476" s="36"/>
      <c r="D3476" s="36"/>
      <c r="E3476" s="37"/>
      <c r="F3476" s="54" t="s">
        <v>568</v>
      </c>
      <c r="G3476" s="54" t="str">
        <f>IF(ISNUMBER(F3476),E3476*F3476,"")</f>
        <v/>
      </c>
      <c r="H3476" s="73"/>
      <c r="I3476" s="74"/>
      <c r="J3476" s="155">
        <v>0</v>
      </c>
    </row>
    <row r="3477" spans="1:10" ht="15.75" hidden="1" thickBot="1" x14ac:dyDescent="0.3">
      <c r="A3477" s="176"/>
      <c r="B3477" s="175"/>
      <c r="C3477" s="152" t="s">
        <v>1102</v>
      </c>
      <c r="D3477" s="36"/>
      <c r="E3477" s="37"/>
      <c r="F3477" s="54" t="s">
        <v>568</v>
      </c>
      <c r="G3477" s="54" t="str">
        <f>IF(ISNUMBER(F3477),E3477*F3477,"")</f>
        <v/>
      </c>
      <c r="H3477" s="73"/>
      <c r="I3477" s="74"/>
      <c r="J3477" s="155">
        <v>0</v>
      </c>
    </row>
    <row r="3478" spans="1:10" ht="26.25" hidden="1" thickBot="1" x14ac:dyDescent="0.3">
      <c r="A3478" s="176"/>
      <c r="B3478" s="175"/>
      <c r="C3478" s="152" t="s">
        <v>1097</v>
      </c>
      <c r="D3478" s="36"/>
      <c r="E3478" s="37"/>
      <c r="F3478" s="54" t="s">
        <v>568</v>
      </c>
      <c r="G3478" s="54" t="str">
        <f>IF(ISNUMBER(F3478),E3478*F3478,"")</f>
        <v/>
      </c>
      <c r="H3478" s="73"/>
      <c r="I3478" s="74"/>
      <c r="J3478" s="155">
        <v>0</v>
      </c>
    </row>
    <row r="3479" spans="1:10" ht="15.75" hidden="1" thickBot="1" x14ac:dyDescent="0.3">
      <c r="A3479" s="177"/>
      <c r="B3479" s="178"/>
      <c r="C3479" s="36"/>
      <c r="D3479" s="36"/>
      <c r="E3479" s="37"/>
      <c r="F3479" s="54" t="s">
        <v>568</v>
      </c>
      <c r="G3479" s="54" t="str">
        <f>IF(ISNUMBER(F3479),E3479*F3479,"")</f>
        <v/>
      </c>
      <c r="H3479" s="73"/>
      <c r="I3479" s="74"/>
      <c r="J3479" s="155">
        <v>0</v>
      </c>
    </row>
    <row r="3480" spans="1:10" ht="15.75" hidden="1" thickBot="1" x14ac:dyDescent="0.3">
      <c r="A3480" s="172" t="s">
        <v>1103</v>
      </c>
      <c r="B3480" s="174" t="str">
        <f>INDEX(Orçamentária!A:B,MATCH(Composições!A3480,Orçamentária!A:A,0),2)</f>
        <v>Instalação de placas de rocha ornamental reaproveitadas, por meio de argamassa</v>
      </c>
      <c r="C3480" s="41"/>
      <c r="D3480" s="26" t="str">
        <f>TRIM(INDEX(Orçamentária!C:C,MATCH(Composições!A3480,Orçamentária!A:A,0),1))</f>
        <v>m2</v>
      </c>
      <c r="E3480" s="27"/>
      <c r="F3480" s="49" t="s">
        <v>568</v>
      </c>
      <c r="G3480" s="28" t="str">
        <f>IF(ISNUMBER(F3480),E3480*F3480,"")</f>
        <v/>
      </c>
      <c r="H3480" s="29"/>
      <c r="I3480" s="30"/>
      <c r="J3480" s="155">
        <v>0</v>
      </c>
    </row>
    <row r="3481" spans="1:10" ht="15.75" hidden="1" thickBot="1" x14ac:dyDescent="0.3">
      <c r="A3481" s="176"/>
      <c r="B3481" s="175"/>
      <c r="C3481" s="32"/>
      <c r="D3481" s="32"/>
      <c r="E3481" s="33"/>
      <c r="F3481" s="54" t="s">
        <v>568</v>
      </c>
      <c r="G3481" s="54" t="str">
        <f>IF(ISNUMBER(F3481),E3481*F3481,"")</f>
        <v/>
      </c>
      <c r="H3481" s="73"/>
      <c r="I3481" s="74"/>
      <c r="J3481" s="155">
        <v>0</v>
      </c>
    </row>
    <row r="3482" spans="1:10" ht="15.75" hidden="1" thickBot="1" x14ac:dyDescent="0.3">
      <c r="A3482" s="176"/>
      <c r="B3482" s="175"/>
      <c r="C3482" s="36" t="s">
        <v>54</v>
      </c>
      <c r="D3482" s="36" t="s">
        <v>12</v>
      </c>
      <c r="E3482" s="37">
        <v>1.35</v>
      </c>
      <c r="F3482" s="54">
        <v>18.420500000000001</v>
      </c>
      <c r="G3482" s="54">
        <f>IF(ISNUMBER(F3482),E3482*F3482,"")</f>
        <v>24.867675000000002</v>
      </c>
      <c r="H3482" s="39">
        <f>SUM(G3482:G3485)</f>
        <v>41.306474999999999</v>
      </c>
      <c r="I3482" s="40"/>
      <c r="J3482" s="155">
        <v>0</v>
      </c>
    </row>
    <row r="3483" spans="1:10" ht="15.75" hidden="1" thickBot="1" x14ac:dyDescent="0.3">
      <c r="A3483" s="176"/>
      <c r="B3483" s="175"/>
      <c r="C3483" s="36" t="s">
        <v>23</v>
      </c>
      <c r="D3483" s="36" t="s">
        <v>12</v>
      </c>
      <c r="E3483" s="37">
        <v>0.6</v>
      </c>
      <c r="F3483" s="54">
        <v>16.311500000000002</v>
      </c>
      <c r="G3483" s="54">
        <f>IF(ISNUMBER(F3483),E3483*F3483,"")</f>
        <v>9.786900000000001</v>
      </c>
      <c r="H3483" s="73"/>
      <c r="I3483" s="74"/>
      <c r="J3483" s="155">
        <v>0</v>
      </c>
    </row>
    <row r="3484" spans="1:10" ht="15.75" hidden="1" thickBot="1" x14ac:dyDescent="0.3">
      <c r="A3484" s="176"/>
      <c r="B3484" s="175"/>
      <c r="C3484" s="36" t="s">
        <v>3613</v>
      </c>
      <c r="D3484" s="36" t="s">
        <v>42</v>
      </c>
      <c r="E3484" s="37">
        <v>4.5</v>
      </c>
      <c r="F3484" s="54">
        <v>1.3109999999999999</v>
      </c>
      <c r="G3484" s="54">
        <f>IF(ISNUMBER(F3484),E3484*F3484,"")</f>
        <v>5.8994999999999997</v>
      </c>
      <c r="H3484" s="73"/>
      <c r="I3484" s="74"/>
      <c r="J3484" s="155">
        <v>0</v>
      </c>
    </row>
    <row r="3485" spans="1:10" ht="15.75" hidden="1" thickBot="1" x14ac:dyDescent="0.3">
      <c r="A3485" s="176"/>
      <c r="B3485" s="175"/>
      <c r="C3485" s="36" t="s">
        <v>3612</v>
      </c>
      <c r="D3485" s="36" t="s">
        <v>42</v>
      </c>
      <c r="E3485" s="37">
        <v>0.3</v>
      </c>
      <c r="F3485" s="54">
        <v>2.508</v>
      </c>
      <c r="G3485" s="54">
        <f>IF(ISNUMBER(F3485),E3485*F3485,"")</f>
        <v>0.75239999999999996</v>
      </c>
      <c r="H3485" s="73"/>
      <c r="I3485" s="74"/>
      <c r="J3485" s="155">
        <v>0</v>
      </c>
    </row>
    <row r="3486" spans="1:10" ht="15.75" hidden="1" thickBot="1" x14ac:dyDescent="0.3">
      <c r="A3486" s="177"/>
      <c r="B3486" s="178"/>
      <c r="C3486" s="36"/>
      <c r="D3486" s="36"/>
      <c r="E3486" s="37"/>
      <c r="F3486" s="54" t="s">
        <v>568</v>
      </c>
      <c r="G3486" s="54" t="str">
        <f>IF(ISNUMBER(F3486),E3486*F3486,"")</f>
        <v/>
      </c>
      <c r="H3486" s="73"/>
      <c r="I3486" s="74"/>
      <c r="J3486" s="155">
        <v>0</v>
      </c>
    </row>
    <row r="3487" spans="1:10" ht="15.75" hidden="1" thickBot="1" x14ac:dyDescent="0.3">
      <c r="A3487" s="172" t="s">
        <v>1104</v>
      </c>
      <c r="B3487" s="174" t="str">
        <f>INDEX(Orçamentária!A:B,MATCH(Composições!A3487,Orçamentária!A:A,0),2)</f>
        <v>Instalação de placas de rocha ornamental reaproveitadas, por meio de argamassa e fixadores metálicos</v>
      </c>
      <c r="C3487" s="41"/>
      <c r="D3487" s="26" t="str">
        <f>TRIM(INDEX(Orçamentária!C:C,MATCH(Composições!A3487,Orçamentária!A:A,0),1))</f>
        <v>m2</v>
      </c>
      <c r="E3487" s="27"/>
      <c r="F3487" s="49" t="s">
        <v>568</v>
      </c>
      <c r="G3487" s="28" t="str">
        <f>IF(ISNUMBER(F3487),E3487*F3487,"")</f>
        <v/>
      </c>
      <c r="H3487" s="29"/>
      <c r="I3487" s="30"/>
      <c r="J3487" s="155">
        <v>0</v>
      </c>
    </row>
    <row r="3488" spans="1:10" ht="15.75" hidden="1" thickBot="1" x14ac:dyDescent="0.3">
      <c r="A3488" s="176"/>
      <c r="B3488" s="175"/>
      <c r="C3488" s="32"/>
      <c r="D3488" s="32"/>
      <c r="E3488" s="33"/>
      <c r="F3488" s="54" t="s">
        <v>568</v>
      </c>
      <c r="G3488" s="54" t="str">
        <f>IF(ISNUMBER(F3488),E3488*F3488,"")</f>
        <v/>
      </c>
      <c r="H3488" s="73"/>
      <c r="I3488" s="74"/>
      <c r="J3488" s="155">
        <v>0</v>
      </c>
    </row>
    <row r="3489" spans="1:10" ht="15.75" hidden="1" thickBot="1" x14ac:dyDescent="0.3">
      <c r="A3489" s="176"/>
      <c r="B3489" s="175"/>
      <c r="C3489" s="36" t="s">
        <v>54</v>
      </c>
      <c r="D3489" s="36" t="s">
        <v>12</v>
      </c>
      <c r="E3489" s="37">
        <f>1.35</f>
        <v>1.35</v>
      </c>
      <c r="F3489" s="54">
        <v>18.420500000000001</v>
      </c>
      <c r="G3489" s="54">
        <f>IF(ISNUMBER(F3489),E3489*F3489,"")</f>
        <v>24.867675000000002</v>
      </c>
      <c r="H3489" s="39">
        <f>SUM(G3489:G3498)</f>
        <v>54.065510206373503</v>
      </c>
      <c r="I3489" s="40"/>
      <c r="J3489" s="155">
        <v>0</v>
      </c>
    </row>
    <row r="3490" spans="1:10" ht="15.75" hidden="1" thickBot="1" x14ac:dyDescent="0.3">
      <c r="A3490" s="176"/>
      <c r="B3490" s="175"/>
      <c r="C3490" s="36" t="s">
        <v>22</v>
      </c>
      <c r="D3490" s="36" t="s">
        <v>12</v>
      </c>
      <c r="E3490" s="37">
        <v>0.1</v>
      </c>
      <c r="F3490" s="54">
        <v>22.087499999999999</v>
      </c>
      <c r="G3490" s="54">
        <f>IF(ISNUMBER(F3490),E3490*F3490,"")</f>
        <v>2.2087499999999998</v>
      </c>
      <c r="H3490" s="73"/>
      <c r="I3490" s="74"/>
      <c r="J3490" s="155">
        <v>0</v>
      </c>
    </row>
    <row r="3491" spans="1:10" ht="15.75" hidden="1" thickBot="1" x14ac:dyDescent="0.3">
      <c r="A3491" s="176"/>
      <c r="B3491" s="175"/>
      <c r="C3491" s="36" t="s">
        <v>23</v>
      </c>
      <c r="D3491" s="36" t="s">
        <v>12</v>
      </c>
      <c r="E3491" s="37">
        <f>0.6+0.1+0.1</f>
        <v>0.79999999999999993</v>
      </c>
      <c r="F3491" s="54">
        <v>16.311500000000002</v>
      </c>
      <c r="G3491" s="54">
        <f>IF(ISNUMBER(F3491),E3491*F3491,"")</f>
        <v>13.049200000000001</v>
      </c>
      <c r="H3491" s="73"/>
      <c r="I3491" s="74"/>
      <c r="J3491" s="155">
        <v>0</v>
      </c>
    </row>
    <row r="3492" spans="1:10" ht="15.75" hidden="1" thickBot="1" x14ac:dyDescent="0.3">
      <c r="A3492" s="176"/>
      <c r="B3492" s="175"/>
      <c r="C3492" s="36" t="s">
        <v>3613</v>
      </c>
      <c r="D3492" s="36" t="s">
        <v>42</v>
      </c>
      <c r="E3492" s="37">
        <v>4.5</v>
      </c>
      <c r="F3492" s="54">
        <v>1.3109999999999999</v>
      </c>
      <c r="G3492" s="54">
        <f>IF(ISNUMBER(F3492),E3492*F3492,"")</f>
        <v>5.8994999999999997</v>
      </c>
      <c r="H3492" s="73"/>
      <c r="I3492" s="74"/>
      <c r="J3492" s="155">
        <v>0</v>
      </c>
    </row>
    <row r="3493" spans="1:10" ht="15.75" hidden="1" thickBot="1" x14ac:dyDescent="0.3">
      <c r="A3493" s="176"/>
      <c r="B3493" s="175"/>
      <c r="C3493" s="36" t="s">
        <v>3612</v>
      </c>
      <c r="D3493" s="36" t="s">
        <v>42</v>
      </c>
      <c r="E3493" s="37">
        <v>0.3</v>
      </c>
      <c r="F3493" s="54">
        <v>2.508</v>
      </c>
      <c r="G3493" s="54">
        <f>IF(ISNUMBER(F3493),E3493*F3493,"")</f>
        <v>0.75239999999999996</v>
      </c>
      <c r="H3493" s="73"/>
      <c r="I3493" s="74"/>
      <c r="J3493" s="155">
        <v>0</v>
      </c>
    </row>
    <row r="3494" spans="1:10" ht="26.25" hidden="1" thickBot="1" x14ac:dyDescent="0.3">
      <c r="A3494" s="176"/>
      <c r="B3494" s="175"/>
      <c r="C3494" s="36" t="s">
        <v>1094</v>
      </c>
      <c r="D3494" s="36" t="s">
        <v>297</v>
      </c>
      <c r="E3494" s="37">
        <f>2/(0.4*0.8)</f>
        <v>6.2499999999999991</v>
      </c>
      <c r="F3494" s="54">
        <v>1.159</v>
      </c>
      <c r="G3494" s="54">
        <f>IF(ISNUMBER(F3494),E3494*F3494,"")</f>
        <v>7.2437499999999995</v>
      </c>
      <c r="H3494" s="73"/>
      <c r="I3494" s="74"/>
      <c r="J3494" s="155">
        <v>0</v>
      </c>
    </row>
    <row r="3495" spans="1:10" ht="15.75" hidden="1" thickBot="1" x14ac:dyDescent="0.3">
      <c r="A3495" s="176"/>
      <c r="B3495" s="175"/>
      <c r="C3495" s="36" t="s">
        <v>1084</v>
      </c>
      <c r="D3495" s="36" t="s">
        <v>149</v>
      </c>
      <c r="E3495" s="37">
        <f>(2/(0.4*0.8))*(0.016)*1.5</f>
        <v>0.15</v>
      </c>
      <c r="F3495" s="54">
        <v>0</v>
      </c>
      <c r="G3495" s="54">
        <f>IF(ISNUMBER(F3495),E3495*F3495,"")</f>
        <v>0</v>
      </c>
      <c r="H3495" s="73"/>
      <c r="I3495" s="74"/>
      <c r="J3495" s="155">
        <v>0</v>
      </c>
    </row>
    <row r="3496" spans="1:10" ht="15.75" hidden="1" thickBot="1" x14ac:dyDescent="0.3">
      <c r="A3496" s="176"/>
      <c r="B3496" s="175"/>
      <c r="C3496" s="36" t="s">
        <v>1085</v>
      </c>
      <c r="D3496" s="36" t="s">
        <v>1086</v>
      </c>
      <c r="E3496" s="37">
        <f>(2/(0.4*0.8))*0.1*1.5</f>
        <v>0.9375</v>
      </c>
      <c r="F3496" s="54">
        <v>0</v>
      </c>
      <c r="G3496" s="54">
        <f>IF(ISNUMBER(F3496),E3496*F3496,"")</f>
        <v>0</v>
      </c>
      <c r="H3496" s="73"/>
      <c r="I3496" s="74"/>
      <c r="J3496" s="155">
        <v>0</v>
      </c>
    </row>
    <row r="3497" spans="1:10" ht="15.75" hidden="1" thickBot="1" x14ac:dyDescent="0.3">
      <c r="A3497" s="176"/>
      <c r="B3497" s="175"/>
      <c r="C3497" s="36" t="s">
        <v>1095</v>
      </c>
      <c r="D3497" s="36" t="s">
        <v>149</v>
      </c>
      <c r="E3497" s="37">
        <f>2/(0.4*0.8)</f>
        <v>6.2499999999999991</v>
      </c>
      <c r="F3497" s="54" t="s">
        <v>568</v>
      </c>
      <c r="G3497" s="54" t="str">
        <f>IF(ISNUMBER(F3497),E3497*F3497,"")</f>
        <v/>
      </c>
      <c r="H3497" s="73"/>
      <c r="I3497" s="74"/>
      <c r="J3497" s="155">
        <v>0</v>
      </c>
    </row>
    <row r="3498" spans="1:10" ht="39" hidden="1" thickBot="1" x14ac:dyDescent="0.3">
      <c r="A3498" s="176"/>
      <c r="B3498" s="175"/>
      <c r="C3498" s="36" t="s">
        <v>1087</v>
      </c>
      <c r="D3498" s="36" t="s">
        <v>111</v>
      </c>
      <c r="E3498" s="37">
        <v>1E-4</v>
      </c>
      <c r="F3498" s="54">
        <v>442.352063735</v>
      </c>
      <c r="G3498" s="54">
        <f>IF(ISNUMBER(F3498),E3498*F3498,"")</f>
        <v>4.4235206373500001E-2</v>
      </c>
      <c r="H3498" s="73"/>
      <c r="I3498" s="74"/>
      <c r="J3498" s="155">
        <v>0</v>
      </c>
    </row>
    <row r="3499" spans="1:10" ht="15.75" hidden="1" thickBot="1" x14ac:dyDescent="0.3">
      <c r="A3499" s="176"/>
      <c r="B3499" s="175"/>
      <c r="C3499" s="36"/>
      <c r="D3499" s="36"/>
      <c r="E3499" s="37"/>
      <c r="F3499" s="54" t="s">
        <v>568</v>
      </c>
      <c r="G3499" s="54" t="str">
        <f>IF(ISNUMBER(F3499),E3499*F3499,"")</f>
        <v/>
      </c>
      <c r="H3499" s="73"/>
      <c r="I3499" s="74"/>
      <c r="J3499" s="155">
        <v>0</v>
      </c>
    </row>
    <row r="3500" spans="1:10" ht="15.75" hidden="1" thickBot="1" x14ac:dyDescent="0.3">
      <c r="A3500" s="176"/>
      <c r="B3500" s="175"/>
      <c r="C3500" s="152" t="s">
        <v>1096</v>
      </c>
      <c r="D3500" s="36"/>
      <c r="E3500" s="37"/>
      <c r="F3500" s="54" t="s">
        <v>568</v>
      </c>
      <c r="G3500" s="54" t="str">
        <f>IF(ISNUMBER(F3500),E3500*F3500,"")</f>
        <v/>
      </c>
      <c r="H3500" s="73"/>
      <c r="I3500" s="74"/>
      <c r="J3500" s="155">
        <v>0</v>
      </c>
    </row>
    <row r="3501" spans="1:10" ht="26.25" hidden="1" thickBot="1" x14ac:dyDescent="0.3">
      <c r="A3501" s="176"/>
      <c r="B3501" s="175"/>
      <c r="C3501" s="152" t="s">
        <v>1097</v>
      </c>
      <c r="D3501" s="36"/>
      <c r="E3501" s="37"/>
      <c r="F3501" s="54" t="s">
        <v>568</v>
      </c>
      <c r="G3501" s="54" t="str">
        <f>IF(ISNUMBER(F3501),E3501*F3501,"")</f>
        <v/>
      </c>
      <c r="H3501" s="73"/>
      <c r="I3501" s="74"/>
      <c r="J3501" s="155">
        <v>0</v>
      </c>
    </row>
    <row r="3502" spans="1:10" ht="15.75" hidden="1" thickBot="1" x14ac:dyDescent="0.3">
      <c r="A3502" s="177"/>
      <c r="B3502" s="178"/>
      <c r="C3502" s="36"/>
      <c r="D3502" s="36"/>
      <c r="E3502" s="37"/>
      <c r="F3502" s="54" t="s">
        <v>568</v>
      </c>
      <c r="G3502" s="54" t="str">
        <f>IF(ISNUMBER(F3502),E3502*F3502,"")</f>
        <v/>
      </c>
      <c r="H3502" s="73"/>
      <c r="I3502" s="74"/>
      <c r="J3502" s="155">
        <v>0</v>
      </c>
    </row>
    <row r="3503" spans="1:10" ht="15.75" hidden="1" thickBot="1" x14ac:dyDescent="0.3">
      <c r="A3503" s="172" t="s">
        <v>1105</v>
      </c>
      <c r="B3503" s="174" t="str">
        <f>INDEX(Orçamentária!A:B,MATCH(Composições!A3503,Orçamentária!A:A,0),2)</f>
        <v>Aplicação de hidrofugante à base de silano e silicone</v>
      </c>
      <c r="C3503" s="41"/>
      <c r="D3503" s="26" t="str">
        <f>TRIM(INDEX(Orçamentária!C:C,MATCH(Composições!A3503,Orçamentária!A:A,0),1))</f>
        <v>m2</v>
      </c>
      <c r="E3503" s="27"/>
      <c r="F3503" s="49" t="s">
        <v>568</v>
      </c>
      <c r="G3503" s="28" t="str">
        <f>IF(ISNUMBER(F3503),E3503*F3503,"")</f>
        <v/>
      </c>
      <c r="H3503" s="29"/>
      <c r="I3503" s="30"/>
      <c r="J3503" s="155">
        <v>0</v>
      </c>
    </row>
    <row r="3504" spans="1:10" ht="15.75" hidden="1" thickBot="1" x14ac:dyDescent="0.3">
      <c r="A3504" s="173"/>
      <c r="B3504" s="175"/>
      <c r="C3504" s="32"/>
      <c r="D3504" s="32"/>
      <c r="E3504" s="33"/>
      <c r="F3504" s="54" t="s">
        <v>568</v>
      </c>
      <c r="G3504" s="54" t="str">
        <f>IF(ISNUMBER(F3504),E3504*F3504,"")</f>
        <v/>
      </c>
      <c r="H3504" s="73"/>
      <c r="I3504" s="74"/>
      <c r="J3504" s="155">
        <v>0</v>
      </c>
    </row>
    <row r="3505" spans="1:10" ht="15.75" hidden="1" thickBot="1" x14ac:dyDescent="0.3">
      <c r="A3505" s="173"/>
      <c r="B3505" s="175"/>
      <c r="C3505" s="36" t="s">
        <v>102</v>
      </c>
      <c r="D3505" s="36" t="s">
        <v>12</v>
      </c>
      <c r="E3505" s="37">
        <v>0.4</v>
      </c>
      <c r="F3505" s="54">
        <v>23.027999999999999</v>
      </c>
      <c r="G3505" s="54">
        <f>IF(ISNUMBER(F3505),E3505*F3505,"")</f>
        <v>9.2111999999999998</v>
      </c>
      <c r="H3505" s="39">
        <f>SUM(G3505:G3507)</f>
        <v>11.062749999999999</v>
      </c>
      <c r="I3505" s="40"/>
      <c r="J3505" s="155">
        <v>0</v>
      </c>
    </row>
    <row r="3506" spans="1:10" ht="15.75" hidden="1" thickBot="1" x14ac:dyDescent="0.3">
      <c r="A3506" s="173"/>
      <c r="B3506" s="175"/>
      <c r="C3506" s="36" t="s">
        <v>1106</v>
      </c>
      <c r="D3506" s="36" t="s">
        <v>12</v>
      </c>
      <c r="E3506" s="37">
        <v>0.1</v>
      </c>
      <c r="F3506" s="54">
        <v>18.515499999999999</v>
      </c>
      <c r="G3506" s="54">
        <f>IF(ISNUMBER(F3506),E3506*F3506,"")</f>
        <v>1.85155</v>
      </c>
      <c r="H3506" s="73"/>
      <c r="I3506" s="74"/>
      <c r="J3506" s="155">
        <v>0</v>
      </c>
    </row>
    <row r="3507" spans="1:10" ht="15.75" hidden="1" thickBot="1" x14ac:dyDescent="0.3">
      <c r="A3507" s="173"/>
      <c r="B3507" s="175"/>
      <c r="C3507" s="36" t="s">
        <v>1107</v>
      </c>
      <c r="D3507" s="50" t="s">
        <v>104</v>
      </c>
      <c r="E3507" s="37">
        <v>0.33</v>
      </c>
      <c r="F3507" s="54">
        <v>0</v>
      </c>
      <c r="G3507" s="54">
        <f>IF(ISNUMBER(F3507),E3507*F3507,"")</f>
        <v>0</v>
      </c>
      <c r="H3507" s="73"/>
      <c r="I3507" s="74"/>
      <c r="J3507" s="155">
        <v>0</v>
      </c>
    </row>
    <row r="3508" spans="1:10" ht="15.75" hidden="1" thickBot="1" x14ac:dyDescent="0.3">
      <c r="A3508" s="185"/>
      <c r="B3508" s="178"/>
      <c r="C3508" s="36"/>
      <c r="D3508" s="36"/>
      <c r="E3508" s="37"/>
      <c r="F3508" s="54" t="s">
        <v>568</v>
      </c>
      <c r="G3508" s="54" t="str">
        <f>IF(ISNUMBER(F3508),E3508*F3508,"")</f>
        <v/>
      </c>
      <c r="H3508" s="73"/>
      <c r="I3508" s="74"/>
      <c r="J3508" s="155">
        <v>0</v>
      </c>
    </row>
    <row r="3509" spans="1:10" ht="15.75" hidden="1" thickBot="1" x14ac:dyDescent="0.3">
      <c r="A3509" s="172" t="s">
        <v>1108</v>
      </c>
      <c r="B3509" s="174" t="str">
        <f>INDEX(Orçamentária!A:B,MATCH(Composições!A3509,Orçamentária!A:A,0),2)</f>
        <v>Cantoneira em alumínio abas iguais 1" x 1/8" – Pingadeira “L”</v>
      </c>
      <c r="C3509" s="41"/>
      <c r="D3509" s="26" t="str">
        <f>TRIM(INDEX(Orçamentária!C:C,MATCH(Composições!A3509,Orçamentária!A:A,0),1))</f>
        <v>m</v>
      </c>
      <c r="E3509" s="27"/>
      <c r="F3509" s="49" t="s">
        <v>568</v>
      </c>
      <c r="G3509" s="28" t="str">
        <f>IF(ISNUMBER(F3509),E3509*F3509,"")</f>
        <v/>
      </c>
      <c r="H3509" s="29"/>
      <c r="I3509" s="30"/>
      <c r="J3509" s="155">
        <v>0</v>
      </c>
    </row>
    <row r="3510" spans="1:10" ht="15.75" hidden="1" thickBot="1" x14ac:dyDescent="0.3">
      <c r="A3510" s="173"/>
      <c r="B3510" s="175"/>
      <c r="C3510" s="32"/>
      <c r="D3510" s="32"/>
      <c r="E3510" s="33"/>
      <c r="F3510" s="54" t="s">
        <v>568</v>
      </c>
      <c r="G3510" s="54" t="str">
        <f>IF(ISNUMBER(F3510),E3510*F3510,"")</f>
        <v/>
      </c>
      <c r="H3510" s="73"/>
      <c r="I3510" s="74"/>
      <c r="J3510" s="155">
        <v>0</v>
      </c>
    </row>
    <row r="3511" spans="1:10" ht="15.75" hidden="1" thickBot="1" x14ac:dyDescent="0.3">
      <c r="A3511" s="173"/>
      <c r="B3511" s="175"/>
      <c r="C3511" s="36" t="s">
        <v>54</v>
      </c>
      <c r="D3511" s="36" t="s">
        <v>12</v>
      </c>
      <c r="E3511" s="37">
        <v>0.6</v>
      </c>
      <c r="F3511" s="54">
        <v>18.420500000000001</v>
      </c>
      <c r="G3511" s="54">
        <f>IF(ISNUMBER(F3511),E3511*F3511,"")</f>
        <v>11.052300000000001</v>
      </c>
      <c r="H3511" s="39">
        <f>SUM(G3511:G3513)</f>
        <v>17.576900000000002</v>
      </c>
      <c r="I3511" s="40"/>
      <c r="J3511" s="155">
        <v>0</v>
      </c>
    </row>
    <row r="3512" spans="1:10" ht="15.75" hidden="1" thickBot="1" x14ac:dyDescent="0.3">
      <c r="A3512" s="173"/>
      <c r="B3512" s="175"/>
      <c r="C3512" s="36" t="s">
        <v>23</v>
      </c>
      <c r="D3512" s="36" t="s">
        <v>12</v>
      </c>
      <c r="E3512" s="37">
        <v>0.4</v>
      </c>
      <c r="F3512" s="54">
        <v>16.311500000000002</v>
      </c>
      <c r="G3512" s="54">
        <f>IF(ISNUMBER(F3512),E3512*F3512,"")</f>
        <v>6.5246000000000013</v>
      </c>
      <c r="H3512" s="73"/>
      <c r="I3512" s="74"/>
      <c r="J3512" s="155">
        <v>0</v>
      </c>
    </row>
    <row r="3513" spans="1:10" ht="26.25" hidden="1" thickBot="1" x14ac:dyDescent="0.3">
      <c r="A3513" s="173"/>
      <c r="B3513" s="175"/>
      <c r="C3513" s="36" t="s">
        <v>1109</v>
      </c>
      <c r="D3513" s="47" t="s">
        <v>93</v>
      </c>
      <c r="E3513" s="37">
        <v>1</v>
      </c>
      <c r="F3513" s="54" t="s">
        <v>568</v>
      </c>
      <c r="G3513" s="54" t="str">
        <f>IF(ISNUMBER(F3513),E3513*F3513,"")</f>
        <v/>
      </c>
      <c r="H3513" s="73"/>
      <c r="I3513" s="74"/>
      <c r="J3513" s="155">
        <v>0</v>
      </c>
    </row>
    <row r="3514" spans="1:10" ht="15.75" hidden="1" thickBot="1" x14ac:dyDescent="0.3">
      <c r="A3514" s="185"/>
      <c r="B3514" s="178"/>
      <c r="C3514" s="36"/>
      <c r="D3514" s="36"/>
      <c r="E3514" s="37"/>
      <c r="F3514" s="54" t="s">
        <v>568</v>
      </c>
      <c r="G3514" s="54" t="str">
        <f>IF(ISNUMBER(F3514),E3514*F3514,"")</f>
        <v/>
      </c>
      <c r="H3514" s="73"/>
      <c r="I3514" s="74"/>
      <c r="J3514" s="155">
        <v>0</v>
      </c>
    </row>
    <row r="3515" spans="1:10" ht="15.75" hidden="1" thickBot="1" x14ac:dyDescent="0.3">
      <c r="A3515" s="172" t="s">
        <v>1110</v>
      </c>
      <c r="B3515" s="174" t="str">
        <f>INDEX(Orçamentária!A:B,MATCH(Composições!A3515,Orçamentária!A:A,0),2)</f>
        <v>Granito Amarelo Maracujá para rodapé</v>
      </c>
      <c r="C3515" s="41"/>
      <c r="D3515" s="26" t="str">
        <f>TRIM(INDEX(Orçamentária!C:C,MATCH(Composições!A3515,Orçamentária!A:A,0),1))</f>
        <v>m2</v>
      </c>
      <c r="E3515" s="27"/>
      <c r="F3515" s="49" t="s">
        <v>568</v>
      </c>
      <c r="G3515" s="28" t="str">
        <f>IF(ISNUMBER(F3515),E3515*F3515,"")</f>
        <v/>
      </c>
      <c r="H3515" s="29"/>
      <c r="I3515" s="30"/>
      <c r="J3515" s="155">
        <v>0</v>
      </c>
    </row>
    <row r="3516" spans="1:10" ht="15.75" hidden="1" thickBot="1" x14ac:dyDescent="0.3">
      <c r="A3516" s="173"/>
      <c r="B3516" s="175"/>
      <c r="C3516" s="32"/>
      <c r="D3516" s="32"/>
      <c r="E3516" s="33"/>
      <c r="F3516" s="54" t="s">
        <v>568</v>
      </c>
      <c r="G3516" s="54" t="str">
        <f>IF(ISNUMBER(F3516),E3516*F3516,"")</f>
        <v/>
      </c>
      <c r="H3516" s="73"/>
      <c r="I3516" s="74"/>
      <c r="J3516" s="155">
        <v>0</v>
      </c>
    </row>
    <row r="3517" spans="1:10" ht="15.75" hidden="1" thickBot="1" x14ac:dyDescent="0.3">
      <c r="A3517" s="173"/>
      <c r="B3517" s="175"/>
      <c r="C3517" s="36" t="s">
        <v>1111</v>
      </c>
      <c r="D3517" s="36" t="s">
        <v>95</v>
      </c>
      <c r="E3517" s="37">
        <v>1.05</v>
      </c>
      <c r="F3517" s="54" t="s">
        <v>568</v>
      </c>
      <c r="G3517" s="54" t="str">
        <f>IF(ISNUMBER(F3517),E3517*F3517,"")</f>
        <v/>
      </c>
      <c r="H3517" s="39">
        <f>SUM(G3517:G3521)</f>
        <v>93.847099000000014</v>
      </c>
      <c r="I3517" s="40"/>
      <c r="J3517" s="155">
        <v>0</v>
      </c>
    </row>
    <row r="3518" spans="1:10" ht="15.75" hidden="1" thickBot="1" x14ac:dyDescent="0.3">
      <c r="A3518" s="173"/>
      <c r="B3518" s="175"/>
      <c r="C3518" s="36" t="s">
        <v>3613</v>
      </c>
      <c r="D3518" s="36" t="s">
        <v>42</v>
      </c>
      <c r="E3518" s="37">
        <f>0.8614/0.1</f>
        <v>8.6140000000000008</v>
      </c>
      <c r="F3518" s="54">
        <v>1.3109999999999999</v>
      </c>
      <c r="G3518" s="54">
        <f>IF(ISNUMBER(F3518),E3518*F3518,"")</f>
        <v>11.292954</v>
      </c>
      <c r="H3518" s="73"/>
      <c r="I3518" s="74"/>
      <c r="J3518" s="155">
        <v>0</v>
      </c>
    </row>
    <row r="3519" spans="1:10" ht="15.75" hidden="1" thickBot="1" x14ac:dyDescent="0.3">
      <c r="A3519" s="173"/>
      <c r="B3519" s="175"/>
      <c r="C3519" s="36" t="s">
        <v>54</v>
      </c>
      <c r="D3519" s="36" t="s">
        <v>12</v>
      </c>
      <c r="E3519" s="37">
        <f>0.299/0.1</f>
        <v>2.9899999999999998</v>
      </c>
      <c r="F3519" s="54">
        <v>18.420500000000001</v>
      </c>
      <c r="G3519" s="54">
        <f>IF(ISNUMBER(F3519),E3519*F3519,"")</f>
        <v>55.077294999999999</v>
      </c>
      <c r="H3519" s="73"/>
      <c r="I3519" s="74"/>
      <c r="J3519" s="155">
        <v>0</v>
      </c>
    </row>
    <row r="3520" spans="1:10" ht="15.75" hidden="1" thickBot="1" x14ac:dyDescent="0.3">
      <c r="A3520" s="173"/>
      <c r="B3520" s="175"/>
      <c r="C3520" s="36" t="s">
        <v>23</v>
      </c>
      <c r="D3520" s="36" t="s">
        <v>12</v>
      </c>
      <c r="E3520" s="37">
        <f>0.15/0.1</f>
        <v>1.4999999999999998</v>
      </c>
      <c r="F3520" s="54">
        <v>16.311500000000002</v>
      </c>
      <c r="G3520" s="54">
        <f>IF(ISNUMBER(F3520),E3520*F3520,"")</f>
        <v>24.46725</v>
      </c>
      <c r="H3520" s="73"/>
      <c r="I3520" s="74"/>
      <c r="J3520" s="155">
        <v>0</v>
      </c>
    </row>
    <row r="3521" spans="1:10" ht="15.75" hidden="1" thickBot="1" x14ac:dyDescent="0.3">
      <c r="A3521" s="173"/>
      <c r="B3521" s="175"/>
      <c r="C3521" s="36" t="s">
        <v>3612</v>
      </c>
      <c r="D3521" s="36" t="s">
        <v>42</v>
      </c>
      <c r="E3521" s="37">
        <f>0.12/0.1</f>
        <v>1.2</v>
      </c>
      <c r="F3521" s="54">
        <v>2.508</v>
      </c>
      <c r="G3521" s="54">
        <f>IF(ISNUMBER(F3521),E3521*F3521,"")</f>
        <v>3.0095999999999998</v>
      </c>
      <c r="H3521" s="73"/>
      <c r="I3521" s="74"/>
      <c r="J3521" s="155">
        <v>0</v>
      </c>
    </row>
    <row r="3522" spans="1:10" ht="15.75" hidden="1" thickBot="1" x14ac:dyDescent="0.3">
      <c r="A3522" s="173"/>
      <c r="B3522" s="175"/>
      <c r="C3522" s="36"/>
      <c r="D3522" s="36"/>
      <c r="E3522" s="37"/>
      <c r="F3522" s="54" t="s">
        <v>568</v>
      </c>
      <c r="G3522" s="54" t="str">
        <f>IF(ISNUMBER(F3522),E3522*F3522,"")</f>
        <v/>
      </c>
      <c r="H3522" s="73"/>
      <c r="I3522" s="74"/>
      <c r="J3522" s="155">
        <v>0</v>
      </c>
    </row>
    <row r="3523" spans="1:10" ht="15.75" hidden="1" thickBot="1" x14ac:dyDescent="0.3">
      <c r="A3523" s="172" t="s">
        <v>1112</v>
      </c>
      <c r="B3523" s="174" t="str">
        <f>INDEX(Orçamentária!A:B,MATCH(Composições!A3523,Orçamentária!A:A,0),2)</f>
        <v>Acabamento das extremidades aparentes dos parafusos de fixação (lixamento e revestimento)</v>
      </c>
      <c r="C3523" s="41"/>
      <c r="D3523" s="26" t="str">
        <f>TRIM(INDEX(Orçamentária!C:C,MATCH(Composições!A3523,Orçamentária!A:A,0),1))</f>
        <v>un</v>
      </c>
      <c r="E3523" s="27"/>
      <c r="F3523" s="49" t="s">
        <v>568</v>
      </c>
      <c r="G3523" s="28" t="str">
        <f>IF(ISNUMBER(F3523),E3523*F3523,"")</f>
        <v/>
      </c>
      <c r="H3523" s="29"/>
      <c r="I3523" s="30"/>
      <c r="J3523" s="155">
        <v>0</v>
      </c>
    </row>
    <row r="3524" spans="1:10" ht="15.75" hidden="1" thickBot="1" x14ac:dyDescent="0.3">
      <c r="A3524" s="173"/>
      <c r="B3524" s="175"/>
      <c r="C3524" s="32"/>
      <c r="D3524" s="32"/>
      <c r="E3524" s="33"/>
      <c r="F3524" s="54" t="s">
        <v>568</v>
      </c>
      <c r="G3524" s="54" t="str">
        <f>IF(ISNUMBER(F3524),E3524*F3524,"")</f>
        <v/>
      </c>
      <c r="H3524" s="73"/>
      <c r="I3524" s="74"/>
      <c r="J3524" s="155">
        <v>0</v>
      </c>
    </row>
    <row r="3525" spans="1:10" ht="15.75" hidden="1" thickBot="1" x14ac:dyDescent="0.3">
      <c r="A3525" s="173"/>
      <c r="B3525" s="175"/>
      <c r="C3525" s="36" t="s">
        <v>23</v>
      </c>
      <c r="D3525" s="36" t="s">
        <v>12</v>
      </c>
      <c r="E3525" s="37">
        <v>0.05</v>
      </c>
      <c r="F3525" s="54">
        <v>16.311500000000002</v>
      </c>
      <c r="G3525" s="54">
        <f>IF(ISNUMBER(F3525),E3525*F3525,"")</f>
        <v>0.81557500000000016</v>
      </c>
      <c r="H3525" s="39">
        <f>SUM(G3525:G3528)</f>
        <v>0.94097500000000012</v>
      </c>
      <c r="I3525" s="40"/>
      <c r="J3525" s="155">
        <v>0</v>
      </c>
    </row>
    <row r="3526" spans="1:10" ht="15.75" hidden="1" thickBot="1" x14ac:dyDescent="0.3">
      <c r="A3526" s="173"/>
      <c r="B3526" s="175"/>
      <c r="C3526" s="36" t="s">
        <v>1113</v>
      </c>
      <c r="D3526" s="36" t="s">
        <v>1114</v>
      </c>
      <c r="E3526" s="37">
        <f>0.25/10</f>
        <v>2.5000000000000001E-2</v>
      </c>
      <c r="F3526" s="54">
        <v>0</v>
      </c>
      <c r="G3526" s="54">
        <f>IF(ISNUMBER(F3526),E3526*F3526,"")</f>
        <v>0</v>
      </c>
      <c r="H3526" s="73"/>
      <c r="I3526" s="74"/>
      <c r="J3526" s="155">
        <v>0</v>
      </c>
    </row>
    <row r="3527" spans="1:10" ht="15.75" hidden="1" thickBot="1" x14ac:dyDescent="0.3">
      <c r="A3527" s="173"/>
      <c r="B3527" s="175"/>
      <c r="C3527" s="36" t="s">
        <v>1115</v>
      </c>
      <c r="D3527" s="36" t="s">
        <v>20</v>
      </c>
      <c r="E3527" s="37">
        <v>0.25</v>
      </c>
      <c r="F3527" s="54" t="s">
        <v>568</v>
      </c>
      <c r="G3527" s="54" t="str">
        <f>IF(ISNUMBER(F3527),E3527*F3527,"")</f>
        <v/>
      </c>
      <c r="H3527" s="73"/>
      <c r="I3527" s="74"/>
      <c r="J3527" s="155">
        <v>0</v>
      </c>
    </row>
    <row r="3528" spans="1:10" ht="15.75" hidden="1" thickBot="1" x14ac:dyDescent="0.3">
      <c r="A3528" s="173"/>
      <c r="B3528" s="175"/>
      <c r="C3528" s="36" t="s">
        <v>3612</v>
      </c>
      <c r="D3528" s="47" t="s">
        <v>42</v>
      </c>
      <c r="E3528" s="37">
        <v>0.05</v>
      </c>
      <c r="F3528" s="54">
        <v>2.508</v>
      </c>
      <c r="G3528" s="54">
        <f>IF(ISNUMBER(F3528),E3528*F3528,"")</f>
        <v>0.12540000000000001</v>
      </c>
      <c r="H3528" s="73"/>
      <c r="I3528" s="74"/>
      <c r="J3528" s="155">
        <v>0</v>
      </c>
    </row>
    <row r="3529" spans="1:10" ht="15.75" hidden="1" thickBot="1" x14ac:dyDescent="0.3">
      <c r="A3529" s="185"/>
      <c r="B3529" s="178"/>
      <c r="C3529" s="36"/>
      <c r="D3529" s="36"/>
      <c r="E3529" s="37"/>
      <c r="F3529" s="54" t="s">
        <v>568</v>
      </c>
      <c r="G3529" s="54" t="str">
        <f>IF(ISNUMBER(F3529),E3529*F3529,"")</f>
        <v/>
      </c>
      <c r="H3529" s="73"/>
      <c r="I3529" s="74"/>
      <c r="J3529" s="155">
        <v>0</v>
      </c>
    </row>
    <row r="3530" spans="1:10" ht="15.75" hidden="1" thickBot="1" x14ac:dyDescent="0.3">
      <c r="A3530" s="172" t="s">
        <v>1116</v>
      </c>
      <c r="B3530" s="174" t="str">
        <f>INDEX(Orçamentária!A:B,MATCH(Composições!A3530,Orçamentária!A:A,0),2)</f>
        <v>Rejuntamento de placas de rocha ornamental em fachada</v>
      </c>
      <c r="C3530" s="41"/>
      <c r="D3530" s="26" t="str">
        <f>TRIM(INDEX(Orçamentária!C:C,MATCH(Composições!A3530,Orçamentária!A:A,0),1))</f>
        <v>m2</v>
      </c>
      <c r="E3530" s="27"/>
      <c r="F3530" s="49" t="s">
        <v>568</v>
      </c>
      <c r="G3530" s="28" t="str">
        <f>IF(ISNUMBER(F3530),E3530*F3530,"")</f>
        <v/>
      </c>
      <c r="H3530" s="29"/>
      <c r="I3530" s="30"/>
      <c r="J3530" s="155">
        <v>0</v>
      </c>
    </row>
    <row r="3531" spans="1:10" ht="15.75" hidden="1" thickBot="1" x14ac:dyDescent="0.3">
      <c r="A3531" s="173"/>
      <c r="B3531" s="175"/>
      <c r="C3531" s="32"/>
      <c r="D3531" s="32"/>
      <c r="E3531" s="33"/>
      <c r="F3531" s="54" t="s">
        <v>568</v>
      </c>
      <c r="G3531" s="54" t="str">
        <f>IF(ISNUMBER(F3531),E3531*F3531,"")</f>
        <v/>
      </c>
      <c r="H3531" s="73"/>
      <c r="I3531" s="74"/>
      <c r="J3531" s="155">
        <v>0</v>
      </c>
    </row>
    <row r="3532" spans="1:10" ht="15.75" hidden="1" thickBot="1" x14ac:dyDescent="0.3">
      <c r="A3532" s="173"/>
      <c r="B3532" s="175"/>
      <c r="C3532" s="36" t="s">
        <v>23</v>
      </c>
      <c r="D3532" s="36" t="s">
        <v>12</v>
      </c>
      <c r="E3532" s="37">
        <v>0.25</v>
      </c>
      <c r="F3532" s="54">
        <v>16.311500000000002</v>
      </c>
      <c r="G3532" s="54">
        <f>IF(ISNUMBER(F3532),E3532*F3532,"")</f>
        <v>4.0778750000000006</v>
      </c>
      <c r="H3532" s="39">
        <f>SUM(G3532:G3533)</f>
        <v>5.4046070000000004</v>
      </c>
      <c r="I3532" s="40"/>
      <c r="J3532" s="155">
        <v>0</v>
      </c>
    </row>
    <row r="3533" spans="1:10" ht="15.75" hidden="1" thickBot="1" x14ac:dyDescent="0.3">
      <c r="A3533" s="173"/>
      <c r="B3533" s="175"/>
      <c r="C3533" s="36" t="s">
        <v>3612</v>
      </c>
      <c r="D3533" s="47" t="s">
        <v>42</v>
      </c>
      <c r="E3533" s="37">
        <v>0.52900000000000003</v>
      </c>
      <c r="F3533" s="54">
        <v>2.508</v>
      </c>
      <c r="G3533" s="54">
        <f>IF(ISNUMBER(F3533),E3533*F3533,"")</f>
        <v>1.326732</v>
      </c>
      <c r="H3533" s="73"/>
      <c r="I3533" s="74"/>
      <c r="J3533" s="155">
        <v>0</v>
      </c>
    </row>
    <row r="3534" spans="1:10" ht="15.75" hidden="1" thickBot="1" x14ac:dyDescent="0.3">
      <c r="A3534" s="185"/>
      <c r="B3534" s="178"/>
      <c r="C3534" s="36"/>
      <c r="D3534" s="36"/>
      <c r="E3534" s="37"/>
      <c r="F3534" s="54" t="s">
        <v>568</v>
      </c>
      <c r="G3534" s="54" t="str">
        <f>IF(ISNUMBER(F3534),E3534*F3534,"")</f>
        <v/>
      </c>
      <c r="H3534" s="73"/>
      <c r="I3534" s="74"/>
      <c r="J3534" s="155">
        <v>0</v>
      </c>
    </row>
    <row r="3535" spans="1:10" ht="15.75" hidden="1" thickBot="1" x14ac:dyDescent="0.3">
      <c r="A3535" s="172" t="s">
        <v>1117</v>
      </c>
      <c r="B3535" s="174" t="str">
        <f>INDEX(Orçamentária!A:B,MATCH(Composições!A3535,Orçamentária!A:A,0),2)</f>
        <v>Junta de movimentação em fachada</v>
      </c>
      <c r="C3535" s="41"/>
      <c r="D3535" s="26" t="str">
        <f>TRIM(INDEX(Orçamentária!C:C,MATCH(Composições!A3535,Orçamentária!A:A,0),1))</f>
        <v>m</v>
      </c>
      <c r="E3535" s="27"/>
      <c r="F3535" s="49" t="s">
        <v>568</v>
      </c>
      <c r="G3535" s="28" t="str">
        <f>IF(ISNUMBER(F3535),E3535*F3535,"")</f>
        <v/>
      </c>
      <c r="H3535" s="29"/>
      <c r="I3535" s="30"/>
      <c r="J3535" s="155">
        <v>0</v>
      </c>
    </row>
    <row r="3536" spans="1:10" ht="15.75" hidden="1" thickBot="1" x14ac:dyDescent="0.3">
      <c r="A3536" s="173"/>
      <c r="B3536" s="175"/>
      <c r="C3536" s="32"/>
      <c r="D3536" s="32"/>
      <c r="E3536" s="33"/>
      <c r="F3536" s="54" t="s">
        <v>568</v>
      </c>
      <c r="G3536" s="54" t="str">
        <f>IF(ISNUMBER(F3536),E3536*F3536,"")</f>
        <v/>
      </c>
      <c r="H3536" s="73"/>
      <c r="I3536" s="74"/>
      <c r="J3536" s="155">
        <v>0</v>
      </c>
    </row>
    <row r="3537" spans="1:10" ht="15.75" hidden="1" thickBot="1" x14ac:dyDescent="0.3">
      <c r="A3537" s="173"/>
      <c r="B3537" s="175"/>
      <c r="C3537" s="36" t="s">
        <v>22</v>
      </c>
      <c r="D3537" s="36" t="s">
        <v>12</v>
      </c>
      <c r="E3537" s="37">
        <v>0.33</v>
      </c>
      <c r="F3537" s="54">
        <v>22.087499999999999</v>
      </c>
      <c r="G3537" s="54">
        <f>IF(ISNUMBER(F3537),E3537*F3537,"")</f>
        <v>7.288875</v>
      </c>
      <c r="H3537" s="39">
        <f>SUM(G3537:G3541)</f>
        <v>22.476725449999996</v>
      </c>
      <c r="I3537" s="40"/>
      <c r="J3537" s="155">
        <v>0</v>
      </c>
    </row>
    <row r="3538" spans="1:10" ht="15.75" hidden="1" thickBot="1" x14ac:dyDescent="0.3">
      <c r="A3538" s="173"/>
      <c r="B3538" s="175"/>
      <c r="C3538" s="36" t="s">
        <v>23</v>
      </c>
      <c r="D3538" s="36" t="s">
        <v>12</v>
      </c>
      <c r="E3538" s="37">
        <v>0.1</v>
      </c>
      <c r="F3538" s="54">
        <v>16.311500000000002</v>
      </c>
      <c r="G3538" s="54">
        <f>IF(ISNUMBER(F3538),E3538*F3538,"")</f>
        <v>1.6311500000000003</v>
      </c>
      <c r="H3538" s="73"/>
      <c r="I3538" s="74"/>
      <c r="J3538" s="155">
        <v>0</v>
      </c>
    </row>
    <row r="3539" spans="1:10" ht="15.75" hidden="1" thickBot="1" x14ac:dyDescent="0.3">
      <c r="A3539" s="173"/>
      <c r="B3539" s="175"/>
      <c r="C3539" s="36" t="s">
        <v>1118</v>
      </c>
      <c r="D3539" s="50" t="s">
        <v>104</v>
      </c>
      <c r="E3539" s="37">
        <v>0.15</v>
      </c>
      <c r="F3539" s="54">
        <v>0</v>
      </c>
      <c r="G3539" s="54">
        <f>IF(ISNUMBER(F3539),E3539*F3539,"")</f>
        <v>0</v>
      </c>
      <c r="H3539" s="73"/>
      <c r="I3539" s="74"/>
      <c r="J3539" s="155">
        <v>0</v>
      </c>
    </row>
    <row r="3540" spans="1:10" ht="15.75" hidden="1" thickBot="1" x14ac:dyDescent="0.3">
      <c r="A3540" s="173"/>
      <c r="B3540" s="175"/>
      <c r="C3540" s="36" t="s">
        <v>1119</v>
      </c>
      <c r="D3540" s="47" t="s">
        <v>93</v>
      </c>
      <c r="E3540" s="37">
        <v>1</v>
      </c>
      <c r="F3540" s="54">
        <v>0</v>
      </c>
      <c r="G3540" s="54">
        <f>IF(ISNUMBER(F3540),E3540*F3540,"")</f>
        <v>0</v>
      </c>
      <c r="H3540" s="73"/>
      <c r="I3540" s="74"/>
      <c r="J3540" s="155">
        <v>0</v>
      </c>
    </row>
    <row r="3541" spans="1:10" ht="26.25" hidden="1" thickBot="1" x14ac:dyDescent="0.3">
      <c r="A3541" s="173"/>
      <c r="B3541" s="175"/>
      <c r="C3541" s="36" t="s">
        <v>1120</v>
      </c>
      <c r="D3541" s="47" t="s">
        <v>1121</v>
      </c>
      <c r="E3541" s="37">
        <f>ROUND(0.15/0.31,4)</f>
        <v>0.4839</v>
      </c>
      <c r="F3541" s="54">
        <v>28.015499999999996</v>
      </c>
      <c r="G3541" s="54">
        <f>IF(ISNUMBER(F3541),E3541*F3541,"")</f>
        <v>13.556700449999997</v>
      </c>
      <c r="H3541" s="73"/>
      <c r="I3541" s="74"/>
      <c r="J3541" s="155">
        <v>0</v>
      </c>
    </row>
    <row r="3542" spans="1:10" ht="15.75" hidden="1" thickBot="1" x14ac:dyDescent="0.3">
      <c r="A3542" s="185"/>
      <c r="B3542" s="178"/>
      <c r="C3542" s="36"/>
      <c r="D3542" s="36"/>
      <c r="E3542" s="37"/>
      <c r="F3542" s="54" t="s">
        <v>568</v>
      </c>
      <c r="G3542" s="54" t="str">
        <f>IF(ISNUMBER(F3542),E3542*F3542,"")</f>
        <v/>
      </c>
      <c r="H3542" s="73"/>
      <c r="I3542" s="74"/>
      <c r="J3542" s="155">
        <v>0</v>
      </c>
    </row>
    <row r="3543" spans="1:10" ht="15.75" hidden="1" thickBot="1" x14ac:dyDescent="0.3">
      <c r="A3543" s="172" t="s">
        <v>1122</v>
      </c>
      <c r="B3543" s="174" t="str">
        <f>INDEX(Orçamentária!A:B,MATCH(Composições!A3543,Orçamentária!A:A,0),2)</f>
        <v>Adesivo Selante Poliuretano – fornecimento e aplicação</v>
      </c>
      <c r="C3543" s="41"/>
      <c r="D3543" s="26" t="str">
        <f>TRIM(INDEX(Orçamentária!C:C,MATCH(Composições!A3543,Orçamentária!A:A,0),1))</f>
        <v>m</v>
      </c>
      <c r="E3543" s="27"/>
      <c r="F3543" s="49" t="s">
        <v>568</v>
      </c>
      <c r="G3543" s="28" t="str">
        <f>IF(ISNUMBER(F3543),E3543*F3543,"")</f>
        <v/>
      </c>
      <c r="H3543" s="29"/>
      <c r="I3543" s="30"/>
      <c r="J3543" s="155">
        <v>0</v>
      </c>
    </row>
    <row r="3544" spans="1:10" ht="15.75" hidden="1" thickBot="1" x14ac:dyDescent="0.3">
      <c r="A3544" s="173"/>
      <c r="B3544" s="175"/>
      <c r="C3544" s="32"/>
      <c r="D3544" s="32"/>
      <c r="E3544" s="33"/>
      <c r="F3544" s="54" t="s">
        <v>568</v>
      </c>
      <c r="G3544" s="54" t="str">
        <f>IF(ISNUMBER(F3544),E3544*F3544,"")</f>
        <v/>
      </c>
      <c r="H3544" s="73"/>
      <c r="I3544" s="74"/>
      <c r="J3544" s="155">
        <v>0</v>
      </c>
    </row>
    <row r="3545" spans="1:10" ht="15.75" hidden="1" thickBot="1" x14ac:dyDescent="0.3">
      <c r="A3545" s="173"/>
      <c r="B3545" s="175"/>
      <c r="C3545" s="36" t="s">
        <v>22</v>
      </c>
      <c r="D3545" s="36" t="s">
        <v>12</v>
      </c>
      <c r="E3545" s="37">
        <v>0.16500000000000001</v>
      </c>
      <c r="F3545" s="54">
        <v>22.087499999999999</v>
      </c>
      <c r="G3545" s="54">
        <f>IF(ISNUMBER(F3545),E3545*F3545,"")</f>
        <v>3.6444375</v>
      </c>
      <c r="H3545" s="39">
        <f>SUM(G3545:G3547)</f>
        <v>14.610352099999998</v>
      </c>
      <c r="I3545" s="40"/>
      <c r="J3545" s="155">
        <v>0</v>
      </c>
    </row>
    <row r="3546" spans="1:10" ht="15.75" hidden="1" thickBot="1" x14ac:dyDescent="0.3">
      <c r="A3546" s="173"/>
      <c r="B3546" s="175"/>
      <c r="C3546" s="36" t="s">
        <v>23</v>
      </c>
      <c r="D3546" s="36" t="s">
        <v>12</v>
      </c>
      <c r="E3546" s="37">
        <v>0.1</v>
      </c>
      <c r="F3546" s="54">
        <v>16.311500000000002</v>
      </c>
      <c r="G3546" s="54">
        <f>IF(ISNUMBER(F3546),E3546*F3546,"")</f>
        <v>1.6311500000000003</v>
      </c>
      <c r="H3546" s="73"/>
      <c r="I3546" s="74"/>
      <c r="J3546" s="155">
        <v>0</v>
      </c>
    </row>
    <row r="3547" spans="1:10" ht="26.25" hidden="1" thickBot="1" x14ac:dyDescent="0.3">
      <c r="A3547" s="173"/>
      <c r="B3547" s="175"/>
      <c r="C3547" s="36" t="s">
        <v>1120</v>
      </c>
      <c r="D3547" s="47" t="s">
        <v>1121</v>
      </c>
      <c r="E3547" s="37">
        <f>ROUND(0.1033/0.31,4)</f>
        <v>0.3332</v>
      </c>
      <c r="F3547" s="54">
        <v>28.015499999999996</v>
      </c>
      <c r="G3547" s="54">
        <f>IF(ISNUMBER(F3547),E3547*F3547,"")</f>
        <v>9.334764599999998</v>
      </c>
      <c r="H3547" s="73"/>
      <c r="I3547" s="74"/>
      <c r="J3547" s="155">
        <v>0</v>
      </c>
    </row>
    <row r="3548" spans="1:10" ht="15.75" hidden="1" thickBot="1" x14ac:dyDescent="0.3">
      <c r="A3548" s="185"/>
      <c r="B3548" s="178"/>
      <c r="C3548" s="36"/>
      <c r="D3548" s="36"/>
      <c r="E3548" s="37"/>
      <c r="F3548" s="54" t="s">
        <v>568</v>
      </c>
      <c r="G3548" s="54" t="str">
        <f>IF(ISNUMBER(F3548),E3548*F3548,"")</f>
        <v/>
      </c>
      <c r="H3548" s="73"/>
      <c r="I3548" s="74"/>
      <c r="J3548" s="155">
        <v>0</v>
      </c>
    </row>
    <row r="3549" spans="1:10" ht="15.75" thickBot="1" x14ac:dyDescent="0.3">
      <c r="A3549" s="172" t="s">
        <v>1123</v>
      </c>
      <c r="B3549" s="174" t="str">
        <f>INDEX(Orçamentária!A:B,MATCH(Composições!A3549,Orçamentária!A:A,0),2)</f>
        <v>Chuveiro elétrico</v>
      </c>
      <c r="C3549" s="41"/>
      <c r="D3549" s="26" t="str">
        <f>TRIM(INDEX(Orçamentária!C:C,MATCH(Composições!A3549,Orçamentária!A:A,0),1))</f>
        <v>un</v>
      </c>
      <c r="E3549" s="27"/>
      <c r="F3549" s="49" t="s">
        <v>568</v>
      </c>
      <c r="G3549" s="28" t="str">
        <f>IF(ISNUMBER(F3549),E3549*F3549,"")</f>
        <v/>
      </c>
      <c r="H3549" s="29"/>
      <c r="I3549" s="30"/>
      <c r="J3549" s="155">
        <v>6</v>
      </c>
    </row>
    <row r="3550" spans="1:10" x14ac:dyDescent="0.25">
      <c r="A3550" s="173"/>
      <c r="B3550" s="175"/>
      <c r="C3550" s="32"/>
      <c r="D3550" s="32"/>
      <c r="E3550" s="33"/>
      <c r="F3550" s="54" t="s">
        <v>568</v>
      </c>
      <c r="G3550" s="54" t="str">
        <f>IF(ISNUMBER(F3550),E3550*F3550,"")</f>
        <v/>
      </c>
      <c r="H3550" s="73"/>
      <c r="I3550" s="74"/>
      <c r="J3550" s="155">
        <v>6</v>
      </c>
    </row>
    <row r="3551" spans="1:10" ht="25.5" x14ac:dyDescent="0.25">
      <c r="A3551" s="173"/>
      <c r="B3551" s="175"/>
      <c r="C3551" s="36" t="s">
        <v>1124</v>
      </c>
      <c r="D3551" s="36" t="s">
        <v>297</v>
      </c>
      <c r="E3551" s="37">
        <v>1</v>
      </c>
      <c r="F3551" s="54">
        <v>60.363</v>
      </c>
      <c r="G3551" s="54">
        <f>IF(ISNUMBER(F3551),E3551*F3551,"")</f>
        <v>60.363</v>
      </c>
      <c r="H3551" s="39">
        <f>SUM(G3551:G3554)</f>
        <v>72.39438045</v>
      </c>
      <c r="I3551" s="40"/>
      <c r="J3551" s="155">
        <v>6</v>
      </c>
    </row>
    <row r="3552" spans="1:10" x14ac:dyDescent="0.25">
      <c r="A3552" s="173"/>
      <c r="B3552" s="175"/>
      <c r="C3552" s="36" t="s">
        <v>1125</v>
      </c>
      <c r="D3552" s="36" t="s">
        <v>297</v>
      </c>
      <c r="E3552" s="37">
        <v>2.1000000000000001E-2</v>
      </c>
      <c r="F3552" s="54">
        <v>3.7049999999999996</v>
      </c>
      <c r="G3552" s="54">
        <f>IF(ISNUMBER(F3552),E3552*F3552,"")</f>
        <v>7.7804999999999999E-2</v>
      </c>
      <c r="H3552" s="73"/>
      <c r="I3552" s="74"/>
      <c r="J3552" s="155">
        <v>6</v>
      </c>
    </row>
    <row r="3553" spans="1:10" ht="25.5" x14ac:dyDescent="0.25">
      <c r="A3553" s="173"/>
      <c r="B3553" s="175"/>
      <c r="C3553" s="36" t="s">
        <v>1009</v>
      </c>
      <c r="D3553" s="36" t="s">
        <v>755</v>
      </c>
      <c r="E3553" s="37">
        <v>0.44669999999999999</v>
      </c>
      <c r="F3553" s="54">
        <v>21.622</v>
      </c>
      <c r="G3553" s="54">
        <f>IF(ISNUMBER(F3553),E3553*F3553,"")</f>
        <v>9.6585473999999998</v>
      </c>
      <c r="H3553" s="73"/>
      <c r="I3553" s="74"/>
      <c r="J3553" s="155">
        <v>6</v>
      </c>
    </row>
    <row r="3554" spans="1:10" x14ac:dyDescent="0.25">
      <c r="A3554" s="173"/>
      <c r="B3554" s="175"/>
      <c r="C3554" s="36" t="s">
        <v>756</v>
      </c>
      <c r="D3554" s="36" t="s">
        <v>755</v>
      </c>
      <c r="E3554" s="37">
        <v>0.14069999999999999</v>
      </c>
      <c r="F3554" s="54">
        <v>16.311500000000002</v>
      </c>
      <c r="G3554" s="54">
        <f>IF(ISNUMBER(F3554),E3554*F3554,"")</f>
        <v>2.29502805</v>
      </c>
      <c r="H3554" s="73"/>
      <c r="I3554" s="74"/>
      <c r="J3554" s="155">
        <v>6</v>
      </c>
    </row>
    <row r="3555" spans="1:10" ht="15.75" thickBot="1" x14ac:dyDescent="0.3">
      <c r="A3555" s="185"/>
      <c r="B3555" s="178"/>
      <c r="C3555" s="36"/>
      <c r="D3555" s="36"/>
      <c r="E3555" s="37"/>
      <c r="F3555" s="54" t="s">
        <v>568</v>
      </c>
      <c r="G3555" s="54" t="str">
        <f>IF(ISNUMBER(F3555),E3555*F3555,"")</f>
        <v/>
      </c>
      <c r="H3555" s="73"/>
      <c r="I3555" s="74"/>
      <c r="J3555" s="155">
        <v>6</v>
      </c>
    </row>
    <row r="3556" spans="1:10" ht="15.75" hidden="1" thickBot="1" x14ac:dyDescent="0.3">
      <c r="A3556" s="172" t="s">
        <v>1126</v>
      </c>
      <c r="B3556" s="174" t="str">
        <f>INDEX(Orçamentária!A:B,MATCH(Composições!A3556,Orçamentária!A:A,0),2)</f>
        <v>Base para pavimentação com concreto magro</v>
      </c>
      <c r="C3556" s="41"/>
      <c r="D3556" s="26" t="str">
        <f>TRIM(INDEX(Orçamentária!C:C,MATCH(Composições!A3556,Orçamentária!A:A,0),1))</f>
        <v>m3</v>
      </c>
      <c r="E3556" s="27"/>
      <c r="F3556" s="49" t="s">
        <v>568</v>
      </c>
      <c r="G3556" s="28" t="str">
        <f>IF(ISNUMBER(F3556),E3556*F3556,"")</f>
        <v/>
      </c>
      <c r="H3556" s="29"/>
      <c r="I3556" s="30"/>
      <c r="J3556" s="155">
        <v>0</v>
      </c>
    </row>
    <row r="3557" spans="1:10" ht="15.75" hidden="1" thickBot="1" x14ac:dyDescent="0.3">
      <c r="A3557" s="173"/>
      <c r="B3557" s="175"/>
      <c r="C3557" s="32"/>
      <c r="D3557" s="32"/>
      <c r="E3557" s="33"/>
      <c r="F3557" s="54" t="s">
        <v>568</v>
      </c>
      <c r="G3557" s="54" t="str">
        <f>IF(ISNUMBER(F3557),E3557*F3557,"")</f>
        <v/>
      </c>
      <c r="H3557" s="73"/>
      <c r="I3557" s="74"/>
      <c r="J3557" s="155">
        <v>0</v>
      </c>
    </row>
    <row r="3558" spans="1:10" ht="15.75" hidden="1" thickBot="1" x14ac:dyDescent="0.3">
      <c r="A3558" s="173"/>
      <c r="B3558" s="175"/>
      <c r="C3558" s="36" t="s">
        <v>22</v>
      </c>
      <c r="D3558" s="36" t="s">
        <v>755</v>
      </c>
      <c r="E3558" s="37">
        <v>2</v>
      </c>
      <c r="F3558" s="54">
        <v>22.087499999999999</v>
      </c>
      <c r="G3558" s="54">
        <f>IF(ISNUMBER(F3558),E3558*F3558,"")</f>
        <v>44.174999999999997</v>
      </c>
      <c r="H3558" s="39">
        <f>SUM(G3558:G3560)</f>
        <v>506.55758742980004</v>
      </c>
      <c r="I3558" s="40"/>
      <c r="J3558" s="155">
        <v>0</v>
      </c>
    </row>
    <row r="3559" spans="1:10" ht="15.75" hidden="1" thickBot="1" x14ac:dyDescent="0.3">
      <c r="A3559" s="173"/>
      <c r="B3559" s="175"/>
      <c r="C3559" s="36" t="s">
        <v>23</v>
      </c>
      <c r="D3559" s="36" t="s">
        <v>755</v>
      </c>
      <c r="E3559" s="37">
        <v>6</v>
      </c>
      <c r="F3559" s="54">
        <v>16.311500000000002</v>
      </c>
      <c r="G3559" s="54">
        <f>IF(ISNUMBER(F3559),E3559*F3559,"")</f>
        <v>97.869000000000014</v>
      </c>
      <c r="H3559" s="73"/>
      <c r="I3559" s="74"/>
      <c r="J3559" s="155">
        <v>0</v>
      </c>
    </row>
    <row r="3560" spans="1:10" ht="39" hidden="1" thickBot="1" x14ac:dyDescent="0.3">
      <c r="A3560" s="173"/>
      <c r="B3560" s="175"/>
      <c r="C3560" s="36" t="s">
        <v>1127</v>
      </c>
      <c r="D3560" s="47" t="s">
        <v>123</v>
      </c>
      <c r="E3560" s="37">
        <v>1</v>
      </c>
      <c r="F3560" s="54">
        <v>364.5135874298</v>
      </c>
      <c r="G3560" s="54">
        <f>IF(ISNUMBER(F3560),E3560*F3560,"")</f>
        <v>364.5135874298</v>
      </c>
      <c r="H3560" s="73"/>
      <c r="I3560" s="74"/>
      <c r="J3560" s="155">
        <v>0</v>
      </c>
    </row>
    <row r="3561" spans="1:10" ht="15.75" hidden="1" thickBot="1" x14ac:dyDescent="0.3">
      <c r="A3561" s="185"/>
      <c r="B3561" s="178"/>
      <c r="C3561" s="36"/>
      <c r="D3561" s="36"/>
      <c r="E3561" s="37"/>
      <c r="F3561" s="54" t="s">
        <v>568</v>
      </c>
      <c r="G3561" s="54" t="str">
        <f>IF(ISNUMBER(F3561),E3561*F3561,"")</f>
        <v/>
      </c>
      <c r="H3561" s="73"/>
      <c r="I3561" s="74"/>
      <c r="J3561" s="155">
        <v>0</v>
      </c>
    </row>
    <row r="3562" spans="1:10" ht="15.75" hidden="1" thickBot="1" x14ac:dyDescent="0.3">
      <c r="A3562" s="172" t="s">
        <v>1128</v>
      </c>
      <c r="B3562" s="174" t="str">
        <f>INDEX(Orçamentária!A:B,MATCH(Composições!A3562,Orçamentária!A:A,0),2)</f>
        <v>Pavimentação em concreto armado simples</v>
      </c>
      <c r="C3562" s="41"/>
      <c r="D3562" s="26" t="str">
        <f>TRIM(INDEX(Orçamentária!C:C,MATCH(Composições!A3562,Orçamentária!A:A,0),1))</f>
        <v>m2</v>
      </c>
      <c r="E3562" s="27"/>
      <c r="F3562" s="49" t="s">
        <v>568</v>
      </c>
      <c r="G3562" s="28" t="str">
        <f>IF(ISNUMBER(F3562),E3562*F3562,"")</f>
        <v/>
      </c>
      <c r="H3562" s="29"/>
      <c r="I3562" s="30"/>
      <c r="J3562" s="155">
        <v>0</v>
      </c>
    </row>
    <row r="3563" spans="1:10" ht="15.75" hidden="1" thickBot="1" x14ac:dyDescent="0.3">
      <c r="A3563" s="176"/>
      <c r="B3563" s="175"/>
      <c r="C3563" s="32"/>
      <c r="D3563" s="32"/>
      <c r="E3563" s="33"/>
      <c r="F3563" s="54" t="s">
        <v>568</v>
      </c>
      <c r="G3563" s="54" t="str">
        <f>IF(ISNUMBER(F3563),E3563*F3563,"")</f>
        <v/>
      </c>
      <c r="H3563" s="73"/>
      <c r="I3563" s="74"/>
      <c r="J3563" s="155">
        <v>0</v>
      </c>
    </row>
    <row r="3564" spans="1:10" ht="39" hidden="1" thickBot="1" x14ac:dyDescent="0.3">
      <c r="A3564" s="176"/>
      <c r="B3564" s="175"/>
      <c r="C3564" s="36" t="s">
        <v>3446</v>
      </c>
      <c r="D3564" s="36" t="s">
        <v>123</v>
      </c>
      <c r="E3564" s="37">
        <v>8.14E-2</v>
      </c>
      <c r="F3564" s="54">
        <v>283.57499999999999</v>
      </c>
      <c r="G3564" s="54">
        <f>IF(ISNUMBER(F3564),E3564*F3564,"")</f>
        <v>23.083005</v>
      </c>
      <c r="H3564" s="39">
        <f>SUM(G3564:G3570)</f>
        <v>104.13309575000001</v>
      </c>
      <c r="I3564" s="40"/>
      <c r="J3564" s="155">
        <v>0</v>
      </c>
    </row>
    <row r="3565" spans="1:10" ht="26.25" hidden="1" thickBot="1" x14ac:dyDescent="0.3">
      <c r="A3565" s="176"/>
      <c r="B3565" s="175"/>
      <c r="C3565" s="36" t="s">
        <v>3449</v>
      </c>
      <c r="D3565" s="36" t="s">
        <v>953</v>
      </c>
      <c r="E3565" s="37">
        <v>4</v>
      </c>
      <c r="F3565" s="54">
        <v>7.1914999999999996</v>
      </c>
      <c r="G3565" s="54">
        <f>IF(ISNUMBER(F3565),E3565*F3565,"")</f>
        <v>28.765999999999998</v>
      </c>
      <c r="H3565" s="73"/>
      <c r="I3565" s="74"/>
      <c r="J3565" s="155">
        <v>0</v>
      </c>
    </row>
    <row r="3566" spans="1:10" ht="15.75" hidden="1" thickBot="1" x14ac:dyDescent="0.3">
      <c r="A3566" s="176"/>
      <c r="B3566" s="175"/>
      <c r="C3566" s="36" t="s">
        <v>764</v>
      </c>
      <c r="D3566" s="36" t="s">
        <v>755</v>
      </c>
      <c r="E3566" s="37">
        <v>0.1119</v>
      </c>
      <c r="F3566" s="54">
        <v>22.087499999999999</v>
      </c>
      <c r="G3566" s="54">
        <f>IF(ISNUMBER(F3566),E3566*F3566,"")</f>
        <v>2.4715912499999999</v>
      </c>
      <c r="H3566" s="73"/>
      <c r="I3566" s="74"/>
      <c r="J3566" s="155">
        <v>0</v>
      </c>
    </row>
    <row r="3567" spans="1:10" ht="15.75" hidden="1" thickBot="1" x14ac:dyDescent="0.3">
      <c r="A3567" s="176"/>
      <c r="B3567" s="175"/>
      <c r="C3567" s="36" t="s">
        <v>756</v>
      </c>
      <c r="D3567" s="47" t="s">
        <v>755</v>
      </c>
      <c r="E3567" s="37">
        <v>4.6600000000000003E-2</v>
      </c>
      <c r="F3567" s="54">
        <v>16.311500000000002</v>
      </c>
      <c r="G3567" s="54">
        <f>IF(ISNUMBER(F3567),E3567*F3567,"")</f>
        <v>0.76011590000000018</v>
      </c>
      <c r="H3567" s="73"/>
      <c r="I3567" s="74"/>
      <c r="J3567" s="155">
        <v>0</v>
      </c>
    </row>
    <row r="3568" spans="1:10" ht="26.25" hidden="1" thickBot="1" x14ac:dyDescent="0.3">
      <c r="A3568" s="176"/>
      <c r="B3568" s="175"/>
      <c r="C3568" s="36" t="s">
        <v>3415</v>
      </c>
      <c r="D3568" s="47" t="s">
        <v>997</v>
      </c>
      <c r="E3568" s="37">
        <v>7.0000000000000001E-3</v>
      </c>
      <c r="F3568" s="54">
        <v>8.5120000000000005</v>
      </c>
      <c r="G3568" s="54">
        <f>IF(ISNUMBER(F3568),E3568*F3568,"")</f>
        <v>5.9584000000000005E-2</v>
      </c>
      <c r="H3568" s="73"/>
      <c r="I3568" s="74"/>
      <c r="J3568" s="155">
        <v>0</v>
      </c>
    </row>
    <row r="3569" spans="1:10" ht="39" hidden="1" thickBot="1" x14ac:dyDescent="0.3">
      <c r="A3569" s="176"/>
      <c r="B3569" s="175"/>
      <c r="C3569" s="36" t="s">
        <v>1129</v>
      </c>
      <c r="D3569" s="47" t="s">
        <v>1049</v>
      </c>
      <c r="E3569" s="37">
        <v>1.1224000000000001</v>
      </c>
      <c r="F3569" s="54">
        <v>41.153999999999996</v>
      </c>
      <c r="G3569" s="54">
        <f>IF(ISNUMBER(F3569),E3569*F3569,"")</f>
        <v>46.191249599999999</v>
      </c>
      <c r="H3569" s="73"/>
      <c r="I3569" s="74"/>
      <c r="J3569" s="155">
        <v>0</v>
      </c>
    </row>
    <row r="3570" spans="1:10" ht="26.25" hidden="1" thickBot="1" x14ac:dyDescent="0.3">
      <c r="A3570" s="176"/>
      <c r="B3570" s="175"/>
      <c r="C3570" s="36" t="s">
        <v>1120</v>
      </c>
      <c r="D3570" s="47" t="s">
        <v>1131</v>
      </c>
      <c r="E3570" s="37">
        <v>0.1</v>
      </c>
      <c r="F3570" s="54">
        <v>28.015499999999996</v>
      </c>
      <c r="G3570" s="54">
        <f>IF(ISNUMBER(F3570),E3570*F3570,"")</f>
        <v>2.8015499999999998</v>
      </c>
      <c r="H3570" s="73"/>
      <c r="I3570" s="74"/>
      <c r="J3570" s="155">
        <v>0</v>
      </c>
    </row>
    <row r="3571" spans="1:10" ht="15.75" hidden="1" thickBot="1" x14ac:dyDescent="0.3">
      <c r="A3571" s="177"/>
      <c r="B3571" s="178"/>
      <c r="C3571" s="36"/>
      <c r="D3571" s="36"/>
      <c r="E3571" s="37"/>
      <c r="F3571" s="54" t="s">
        <v>568</v>
      </c>
      <c r="G3571" s="54" t="str">
        <f>IF(ISNUMBER(F3571),E3571*F3571,"")</f>
        <v/>
      </c>
      <c r="H3571" s="73"/>
      <c r="I3571" s="74"/>
      <c r="J3571" s="155">
        <v>0</v>
      </c>
    </row>
    <row r="3572" spans="1:10" ht="15.75" hidden="1" thickBot="1" x14ac:dyDescent="0.3">
      <c r="A3572" s="172" t="s">
        <v>1132</v>
      </c>
      <c r="B3572" s="174" t="str">
        <f>INDEX(Orçamentária!A:B,MATCH(Composições!A3572,Orçamentária!A:A,0),2)</f>
        <v>Remoção de reservatório d’água</v>
      </c>
      <c r="C3572" s="41"/>
      <c r="D3572" s="26" t="str">
        <f>TRIM(INDEX(Orçamentária!C:C,MATCH(Composições!A3572,Orçamentária!A:A,0),1))</f>
        <v>un</v>
      </c>
      <c r="E3572" s="27"/>
      <c r="F3572" s="49" t="s">
        <v>568</v>
      </c>
      <c r="G3572" s="28" t="str">
        <f>IF(ISNUMBER(F3572),E3572*F3572,"")</f>
        <v/>
      </c>
      <c r="H3572" s="29"/>
      <c r="I3572" s="30"/>
      <c r="J3572" s="155">
        <v>0</v>
      </c>
    </row>
    <row r="3573" spans="1:10" ht="15.75" hidden="1" thickBot="1" x14ac:dyDescent="0.3">
      <c r="A3573" s="173"/>
      <c r="B3573" s="175"/>
      <c r="C3573" s="32"/>
      <c r="D3573" s="32"/>
      <c r="E3573" s="33"/>
      <c r="F3573" s="54" t="s">
        <v>568</v>
      </c>
      <c r="G3573" s="54" t="str">
        <f>IF(ISNUMBER(F3573),E3573*F3573,"")</f>
        <v/>
      </c>
      <c r="H3573" s="73"/>
      <c r="I3573" s="74"/>
      <c r="J3573" s="155">
        <v>0</v>
      </c>
    </row>
    <row r="3574" spans="1:10" ht="15.75" hidden="1" thickBot="1" x14ac:dyDescent="0.3">
      <c r="A3574" s="173"/>
      <c r="B3574" s="175"/>
      <c r="C3574" s="36" t="s">
        <v>39</v>
      </c>
      <c r="D3574" s="50" t="s">
        <v>12</v>
      </c>
      <c r="E3574" s="37">
        <v>4</v>
      </c>
      <c r="F3574" s="54">
        <v>21.622</v>
      </c>
      <c r="G3574" s="54">
        <f>IF(ISNUMBER(F3574),E3574*F3574,"")</f>
        <v>86.488</v>
      </c>
      <c r="H3574" s="39">
        <f>SUM(G3574:G3575)</f>
        <v>151.73400000000001</v>
      </c>
      <c r="I3574" s="40"/>
      <c r="J3574" s="155">
        <v>0</v>
      </c>
    </row>
    <row r="3575" spans="1:10" ht="15.75" hidden="1" thickBot="1" x14ac:dyDescent="0.3">
      <c r="A3575" s="173"/>
      <c r="B3575" s="175"/>
      <c r="C3575" s="36" t="s">
        <v>23</v>
      </c>
      <c r="D3575" s="36" t="s">
        <v>12</v>
      </c>
      <c r="E3575" s="37">
        <v>4</v>
      </c>
      <c r="F3575" s="54">
        <v>16.311500000000002</v>
      </c>
      <c r="G3575" s="54">
        <f>IF(ISNUMBER(F3575),E3575*F3575,"")</f>
        <v>65.246000000000009</v>
      </c>
      <c r="H3575" s="73"/>
      <c r="I3575" s="74"/>
      <c r="J3575" s="155">
        <v>0</v>
      </c>
    </row>
    <row r="3576" spans="1:10" ht="15.75" hidden="1" thickBot="1" x14ac:dyDescent="0.3">
      <c r="A3576" s="185"/>
      <c r="B3576" s="178"/>
      <c r="C3576" s="36"/>
      <c r="D3576" s="36"/>
      <c r="E3576" s="37"/>
      <c r="F3576" s="54" t="s">
        <v>568</v>
      </c>
      <c r="G3576" s="54" t="str">
        <f>IF(ISNUMBER(F3576),E3576*F3576,"")</f>
        <v/>
      </c>
      <c r="H3576" s="73"/>
      <c r="I3576" s="74"/>
      <c r="J3576" s="155">
        <v>0</v>
      </c>
    </row>
    <row r="3577" spans="1:10" ht="15.75" hidden="1" thickBot="1" x14ac:dyDescent="0.3">
      <c r="A3577" s="172" t="s">
        <v>1133</v>
      </c>
      <c r="B3577" s="174" t="str">
        <f>INDEX(Orçamentária!A:B,MATCH(Composições!A3577,Orçamentária!A:A,0),2)</f>
        <v>Transporte e destinação final de entulho para distâncias até 30 km</v>
      </c>
      <c r="C3577" s="41"/>
      <c r="D3577" s="26" t="str">
        <f>TRIM(INDEX(Orçamentária!C:C,MATCH(Composições!A3577,Orçamentária!A:A,0),1))</f>
        <v>m3 x km</v>
      </c>
      <c r="E3577" s="27"/>
      <c r="F3577" s="49" t="s">
        <v>568</v>
      </c>
      <c r="G3577" s="28" t="str">
        <f>IF(ISNUMBER(F3577),E3577*F3577,"")</f>
        <v/>
      </c>
      <c r="H3577" s="29"/>
      <c r="I3577" s="30"/>
      <c r="J3577" s="155">
        <v>0</v>
      </c>
    </row>
    <row r="3578" spans="1:10" ht="15.75" hidden="1" thickBot="1" x14ac:dyDescent="0.3">
      <c r="A3578" s="173"/>
      <c r="B3578" s="175"/>
      <c r="C3578" s="32"/>
      <c r="D3578" s="32"/>
      <c r="E3578" s="33"/>
      <c r="F3578" s="54" t="s">
        <v>568</v>
      </c>
      <c r="G3578" s="54" t="str">
        <f>IF(ISNUMBER(F3578),E3578*F3578,"")</f>
        <v/>
      </c>
      <c r="H3578" s="73"/>
      <c r="I3578" s="74"/>
      <c r="J3578" s="155">
        <v>0</v>
      </c>
    </row>
    <row r="3579" spans="1:10" ht="51.75" hidden="1" thickBot="1" x14ac:dyDescent="0.3">
      <c r="A3579" s="173"/>
      <c r="B3579" s="175"/>
      <c r="C3579" s="36" t="s">
        <v>1134</v>
      </c>
      <c r="D3579" s="36" t="s">
        <v>997</v>
      </c>
      <c r="E3579" s="37">
        <v>1.3899999999999999E-2</v>
      </c>
      <c r="F3579" s="54">
        <v>117.43899999999999</v>
      </c>
      <c r="G3579" s="54">
        <f>IF(ISNUMBER(F3579),E3579*F3579,"")</f>
        <v>1.6324020999999997</v>
      </c>
      <c r="H3579" s="39">
        <f>SUM(G3579:G3580)</f>
        <v>1.8443850999999998</v>
      </c>
      <c r="I3579" s="40"/>
      <c r="J3579" s="155">
        <v>0</v>
      </c>
    </row>
    <row r="3580" spans="1:10" ht="51.75" hidden="1" thickBot="1" x14ac:dyDescent="0.3">
      <c r="A3580" s="173"/>
      <c r="B3580" s="175"/>
      <c r="C3580" s="36" t="s">
        <v>1135</v>
      </c>
      <c r="D3580" s="36" t="s">
        <v>999</v>
      </c>
      <c r="E3580" s="37">
        <v>6.0000000000000001E-3</v>
      </c>
      <c r="F3580" s="54">
        <v>35.330499999999994</v>
      </c>
      <c r="G3580" s="54">
        <f>IF(ISNUMBER(F3580),E3580*F3580,"")</f>
        <v>0.21198299999999998</v>
      </c>
      <c r="H3580" s="73"/>
      <c r="I3580" s="74"/>
      <c r="J3580" s="155">
        <v>0</v>
      </c>
    </row>
    <row r="3581" spans="1:10" ht="15.75" hidden="1" thickBot="1" x14ac:dyDescent="0.3">
      <c r="A3581" s="185"/>
      <c r="B3581" s="178"/>
      <c r="C3581" s="36"/>
      <c r="D3581" s="36"/>
      <c r="E3581" s="37"/>
      <c r="F3581" s="54" t="s">
        <v>568</v>
      </c>
      <c r="G3581" s="54" t="str">
        <f>IF(ISNUMBER(F3581),E3581*F3581,"")</f>
        <v/>
      </c>
      <c r="H3581" s="73"/>
      <c r="I3581" s="74"/>
      <c r="J3581" s="155">
        <v>0</v>
      </c>
    </row>
    <row r="3582" spans="1:10" ht="15.75" hidden="1" thickBot="1" x14ac:dyDescent="0.3">
      <c r="A3582" s="172" t="s">
        <v>1136</v>
      </c>
      <c r="B3582" s="174" t="str">
        <f>INDEX(Orçamentária!A:B,MATCH(Composições!A3582,Orçamentária!A:A,0),2)</f>
        <v>Demolição de estrutura metálica</v>
      </c>
      <c r="C3582" s="41"/>
      <c r="D3582" s="26" t="str">
        <f>TRIM(INDEX(Orçamentária!C:C,MATCH(Composições!A3582,Orçamentária!A:A,0),1))</f>
        <v>kg</v>
      </c>
      <c r="E3582" s="27"/>
      <c r="F3582" s="49" t="s">
        <v>568</v>
      </c>
      <c r="G3582" s="28" t="str">
        <f>IF(ISNUMBER(F3582),E3582*F3582,"")</f>
        <v/>
      </c>
      <c r="H3582" s="29"/>
      <c r="I3582" s="30"/>
      <c r="J3582" s="155">
        <v>0</v>
      </c>
    </row>
    <row r="3583" spans="1:10" ht="15.75" hidden="1" thickBot="1" x14ac:dyDescent="0.3">
      <c r="A3583" s="173"/>
      <c r="B3583" s="175"/>
      <c r="C3583" s="32"/>
      <c r="D3583" s="32"/>
      <c r="E3583" s="33"/>
      <c r="F3583" s="54" t="s">
        <v>568</v>
      </c>
      <c r="G3583" s="54" t="str">
        <f>IF(ISNUMBER(F3583),E3583*F3583,"")</f>
        <v/>
      </c>
      <c r="H3583" s="73"/>
      <c r="I3583" s="74"/>
      <c r="J3583" s="155">
        <v>0</v>
      </c>
    </row>
    <row r="3584" spans="1:10" ht="26.25" hidden="1" thickBot="1" x14ac:dyDescent="0.3">
      <c r="A3584" s="173"/>
      <c r="B3584" s="175"/>
      <c r="C3584" s="36" t="s">
        <v>137</v>
      </c>
      <c r="D3584" s="36" t="s">
        <v>111</v>
      </c>
      <c r="E3584" s="37">
        <v>2.1999999999999999E-2</v>
      </c>
      <c r="F3584" s="54">
        <v>9.2530000000000001</v>
      </c>
      <c r="G3584" s="54">
        <f>IF(ISNUMBER(F3584),E3584*F3584,"")</f>
        <v>0.203566</v>
      </c>
      <c r="H3584" s="39">
        <f>SUM(G3584:G3588)</f>
        <v>2.8846179999999997</v>
      </c>
      <c r="I3584" s="40"/>
      <c r="J3584" s="155">
        <v>0</v>
      </c>
    </row>
    <row r="3585" spans="1:10" ht="26.25" hidden="1" thickBot="1" x14ac:dyDescent="0.3">
      <c r="A3585" s="173"/>
      <c r="B3585" s="175"/>
      <c r="C3585" s="36" t="s">
        <v>133</v>
      </c>
      <c r="D3585" s="36" t="s">
        <v>42</v>
      </c>
      <c r="E3585" s="37">
        <v>5.0000000000000001E-3</v>
      </c>
      <c r="F3585" s="54">
        <v>42.217999999999996</v>
      </c>
      <c r="G3585" s="54">
        <f>IF(ISNUMBER(F3585),E3585*F3585,"")</f>
        <v>0.21109</v>
      </c>
      <c r="H3585" s="73"/>
      <c r="I3585" s="74"/>
      <c r="J3585" s="155">
        <v>0</v>
      </c>
    </row>
    <row r="3586" spans="1:10" ht="26.25" hidden="1" thickBot="1" x14ac:dyDescent="0.3">
      <c r="A3586" s="173"/>
      <c r="B3586" s="175"/>
      <c r="C3586" s="36" t="s">
        <v>1137</v>
      </c>
      <c r="D3586" s="36" t="s">
        <v>997</v>
      </c>
      <c r="E3586" s="37">
        <f>E3587</f>
        <v>4.3999999999999997E-2</v>
      </c>
      <c r="F3586" s="54">
        <v>17.223499999999998</v>
      </c>
      <c r="G3586" s="54">
        <f>IF(ISNUMBER(F3586),E3586*F3586,"")</f>
        <v>0.7578339999999999</v>
      </c>
      <c r="H3586" s="73"/>
      <c r="I3586" s="74"/>
      <c r="J3586" s="155">
        <v>0</v>
      </c>
    </row>
    <row r="3587" spans="1:10" ht="15.75" hidden="1" thickBot="1" x14ac:dyDescent="0.3">
      <c r="A3587" s="173"/>
      <c r="B3587" s="175"/>
      <c r="C3587" s="36" t="s">
        <v>1138</v>
      </c>
      <c r="D3587" s="36" t="s">
        <v>12</v>
      </c>
      <c r="E3587" s="37">
        <v>4.3999999999999997E-2</v>
      </c>
      <c r="F3587" s="54">
        <v>22.600499999999997</v>
      </c>
      <c r="G3587" s="54">
        <f>IF(ISNUMBER(F3587),E3587*F3587,"")</f>
        <v>0.99442199999999981</v>
      </c>
      <c r="H3587" s="73"/>
      <c r="I3587" s="74"/>
      <c r="J3587" s="155">
        <v>0</v>
      </c>
    </row>
    <row r="3588" spans="1:10" ht="15.75" hidden="1" thickBot="1" x14ac:dyDescent="0.3">
      <c r="A3588" s="173"/>
      <c r="B3588" s="175"/>
      <c r="C3588" s="36" t="s">
        <v>23</v>
      </c>
      <c r="D3588" s="36" t="s">
        <v>12</v>
      </c>
      <c r="E3588" s="37">
        <v>4.3999999999999997E-2</v>
      </c>
      <c r="F3588" s="54">
        <v>16.311500000000002</v>
      </c>
      <c r="G3588" s="54">
        <f>IF(ISNUMBER(F3588),E3588*F3588,"")</f>
        <v>0.71770600000000007</v>
      </c>
      <c r="H3588" s="73"/>
      <c r="I3588" s="74"/>
      <c r="J3588" s="155">
        <v>0</v>
      </c>
    </row>
    <row r="3589" spans="1:10" ht="15.75" hidden="1" thickBot="1" x14ac:dyDescent="0.3">
      <c r="A3589" s="185"/>
      <c r="B3589" s="178"/>
      <c r="C3589" s="36"/>
      <c r="D3589" s="36"/>
      <c r="E3589" s="37"/>
      <c r="F3589" s="54" t="s">
        <v>568</v>
      </c>
      <c r="G3589" s="54" t="str">
        <f>IF(ISNUMBER(F3589),E3589*F3589,"")</f>
        <v/>
      </c>
      <c r="H3589" s="73"/>
      <c r="I3589" s="74"/>
      <c r="J3589" s="155">
        <v>0</v>
      </c>
    </row>
    <row r="3590" spans="1:10" ht="15.75" hidden="1" thickBot="1" x14ac:dyDescent="0.3">
      <c r="A3590" s="172" t="s">
        <v>1139</v>
      </c>
      <c r="B3590" s="174" t="str">
        <f>INDEX(Orçamentária!A:B,MATCH(Composições!A3590,Orçamentária!A:A,0),2)</f>
        <v>Escavação manual com profundidade maior do que 1,30 m</v>
      </c>
      <c r="C3590" s="41"/>
      <c r="D3590" s="26" t="str">
        <f>TRIM(INDEX(Orçamentária!C:C,MATCH(Composições!A3590,Orçamentária!A:A,0),1))</f>
        <v>m3</v>
      </c>
      <c r="E3590" s="27"/>
      <c r="F3590" s="49" t="s">
        <v>568</v>
      </c>
      <c r="G3590" s="28" t="str">
        <f>IF(ISNUMBER(F3590),E3590*F3590,"")</f>
        <v/>
      </c>
      <c r="H3590" s="29"/>
      <c r="I3590" s="30"/>
      <c r="J3590" s="155">
        <v>0</v>
      </c>
    </row>
    <row r="3591" spans="1:10" ht="15.75" hidden="1" thickBot="1" x14ac:dyDescent="0.3">
      <c r="A3591" s="173"/>
      <c r="B3591" s="175"/>
      <c r="C3591" s="32"/>
      <c r="D3591" s="32"/>
      <c r="E3591" s="33"/>
      <c r="F3591" s="54" t="s">
        <v>568</v>
      </c>
      <c r="G3591" s="54" t="str">
        <f>IF(ISNUMBER(F3591),E3591*F3591,"")</f>
        <v/>
      </c>
      <c r="H3591" s="73"/>
      <c r="I3591" s="74"/>
      <c r="J3591" s="155">
        <v>0</v>
      </c>
    </row>
    <row r="3592" spans="1:10" ht="15.75" hidden="1" thickBot="1" x14ac:dyDescent="0.3">
      <c r="A3592" s="173"/>
      <c r="B3592" s="175"/>
      <c r="C3592" s="36" t="s">
        <v>23</v>
      </c>
      <c r="D3592" s="36" t="s">
        <v>12</v>
      </c>
      <c r="E3592" s="37">
        <v>4.3</v>
      </c>
      <c r="F3592" s="54">
        <v>16.311500000000002</v>
      </c>
      <c r="G3592" s="54">
        <f>IF(ISNUMBER(F3592),E3592*F3592,"")</f>
        <v>70.139450000000011</v>
      </c>
      <c r="H3592" s="39">
        <f>SUM(G3592:G3592)</f>
        <v>70.139450000000011</v>
      </c>
      <c r="I3592" s="40"/>
      <c r="J3592" s="155">
        <v>0</v>
      </c>
    </row>
    <row r="3593" spans="1:10" ht="15.75" hidden="1" thickBot="1" x14ac:dyDescent="0.3">
      <c r="A3593" s="185"/>
      <c r="B3593" s="178"/>
      <c r="C3593" s="36"/>
      <c r="D3593" s="36"/>
      <c r="E3593" s="37"/>
      <c r="F3593" s="54" t="s">
        <v>568</v>
      </c>
      <c r="G3593" s="54" t="str">
        <f>IF(ISNUMBER(F3593),E3593*F3593,"")</f>
        <v/>
      </c>
      <c r="H3593" s="73"/>
      <c r="I3593" s="74"/>
      <c r="J3593" s="155">
        <v>0</v>
      </c>
    </row>
    <row r="3594" spans="1:10" ht="15.75" hidden="1" thickBot="1" x14ac:dyDescent="0.3">
      <c r="A3594" s="172" t="s">
        <v>1140</v>
      </c>
      <c r="B3594" s="174" t="str">
        <f>INDEX(Orçamentária!A:B,MATCH(Composições!A3594,Orçamentária!A:A,0),2)</f>
        <v>Escavação mecânica com profundidade maior do que 1,30 m</v>
      </c>
      <c r="C3594" s="41"/>
      <c r="D3594" s="26" t="str">
        <f>TRIM(INDEX(Orçamentária!C:C,MATCH(Composições!A3594,Orçamentária!A:A,0),1))</f>
        <v>m3</v>
      </c>
      <c r="E3594" s="27"/>
      <c r="F3594" s="49" t="s">
        <v>568</v>
      </c>
      <c r="G3594" s="28" t="str">
        <f>IF(ISNUMBER(F3594),E3594*F3594,"")</f>
        <v/>
      </c>
      <c r="H3594" s="29"/>
      <c r="I3594" s="30"/>
      <c r="J3594" s="155">
        <v>0</v>
      </c>
    </row>
    <row r="3595" spans="1:10" ht="15.75" hidden="1" thickBot="1" x14ac:dyDescent="0.3">
      <c r="A3595" s="173"/>
      <c r="B3595" s="175"/>
      <c r="C3595" s="32"/>
      <c r="D3595" s="32"/>
      <c r="E3595" s="33"/>
      <c r="F3595" s="54" t="s">
        <v>568</v>
      </c>
      <c r="G3595" s="54" t="str">
        <f>IF(ISNUMBER(F3595),E3595*F3595,"")</f>
        <v/>
      </c>
      <c r="H3595" s="73"/>
      <c r="I3595" s="74"/>
      <c r="J3595" s="155">
        <v>0</v>
      </c>
    </row>
    <row r="3596" spans="1:10" ht="51.75" hidden="1" thickBot="1" x14ac:dyDescent="0.3">
      <c r="A3596" s="173"/>
      <c r="B3596" s="175"/>
      <c r="C3596" s="36" t="s">
        <v>3413</v>
      </c>
      <c r="D3596" s="36" t="s">
        <v>997</v>
      </c>
      <c r="E3596" s="37">
        <v>2.7099999999999999E-2</v>
      </c>
      <c r="F3596" s="54">
        <v>95.598499999999987</v>
      </c>
      <c r="G3596" s="54">
        <f>IF(ISNUMBER(F3596),E3596*F3596,"")</f>
        <v>2.5907193499999996</v>
      </c>
      <c r="H3596" s="39">
        <f>SUM(G3596:G3598)</f>
        <v>4.8571790000000004</v>
      </c>
      <c r="I3596" s="40"/>
      <c r="J3596" s="155">
        <v>0</v>
      </c>
    </row>
    <row r="3597" spans="1:10" ht="51.75" hidden="1" thickBot="1" x14ac:dyDescent="0.3">
      <c r="A3597" s="173"/>
      <c r="B3597" s="175"/>
      <c r="C3597" s="36" t="s">
        <v>3417</v>
      </c>
      <c r="D3597" s="36" t="s">
        <v>999</v>
      </c>
      <c r="E3597" s="37">
        <v>3.2800000000000003E-2</v>
      </c>
      <c r="F3597" s="54">
        <v>39.311</v>
      </c>
      <c r="G3597" s="54">
        <f>IF(ISNUMBER(F3597),E3597*F3597,"")</f>
        <v>1.2894008000000001</v>
      </c>
      <c r="H3597" s="73"/>
      <c r="I3597" s="74"/>
      <c r="J3597" s="155">
        <v>0</v>
      </c>
    </row>
    <row r="3598" spans="1:10" ht="15.75" hidden="1" thickBot="1" x14ac:dyDescent="0.3">
      <c r="A3598" s="173"/>
      <c r="B3598" s="175"/>
      <c r="C3598" s="36" t="s">
        <v>756</v>
      </c>
      <c r="D3598" s="36" t="s">
        <v>755</v>
      </c>
      <c r="E3598" s="37">
        <v>5.9900000000000002E-2</v>
      </c>
      <c r="F3598" s="54">
        <v>16.311500000000002</v>
      </c>
      <c r="G3598" s="54">
        <f>IF(ISNUMBER(F3598),E3598*F3598,"")</f>
        <v>0.97705885000000015</v>
      </c>
      <c r="H3598" s="73"/>
      <c r="I3598" s="74"/>
      <c r="J3598" s="155">
        <v>0</v>
      </c>
    </row>
    <row r="3599" spans="1:10" ht="15.75" hidden="1" thickBot="1" x14ac:dyDescent="0.3">
      <c r="A3599" s="185"/>
      <c r="B3599" s="178"/>
      <c r="C3599" s="75"/>
      <c r="D3599" s="36"/>
      <c r="E3599" s="37"/>
      <c r="F3599" s="54" t="s">
        <v>568</v>
      </c>
      <c r="G3599" s="54" t="str">
        <f>IF(ISNUMBER(F3599),E3599*F3599,"")</f>
        <v/>
      </c>
      <c r="H3599" s="73"/>
      <c r="I3599" s="74"/>
      <c r="J3599" s="155">
        <v>0</v>
      </c>
    </row>
    <row r="3600" spans="1:10" ht="15.75" hidden="1" thickBot="1" x14ac:dyDescent="0.3">
      <c r="A3600" s="172" t="s">
        <v>1141</v>
      </c>
      <c r="B3600" s="174" t="str">
        <f>INDEX(Orçamentária!A:B,MATCH(Composições!A3600,Orçamentária!A:A,0),2)</f>
        <v>Grama Batatais em placas de 40 x 40 cm</v>
      </c>
      <c r="C3600" s="41"/>
      <c r="D3600" s="26" t="str">
        <f>TRIM(INDEX(Orçamentária!C:C,MATCH(Composições!A3600,Orçamentária!A:A,0),1))</f>
        <v>m2</v>
      </c>
      <c r="E3600" s="27"/>
      <c r="F3600" s="49" t="s">
        <v>568</v>
      </c>
      <c r="G3600" s="28" t="str">
        <f>IF(ISNUMBER(F3600),E3600*F3600,"")</f>
        <v/>
      </c>
      <c r="H3600" s="29"/>
      <c r="I3600" s="30"/>
      <c r="J3600" s="155">
        <v>0</v>
      </c>
    </row>
    <row r="3601" spans="1:10" ht="15.75" hidden="1" thickBot="1" x14ac:dyDescent="0.3">
      <c r="A3601" s="176"/>
      <c r="B3601" s="175"/>
      <c r="C3601" s="32"/>
      <c r="D3601" s="32"/>
      <c r="E3601" s="33"/>
      <c r="F3601" s="54" t="s">
        <v>568</v>
      </c>
      <c r="G3601" s="54" t="str">
        <f>IF(ISNUMBER(F3601),E3601*F3601,"")</f>
        <v/>
      </c>
      <c r="H3601" s="73"/>
      <c r="I3601" s="74"/>
      <c r="J3601" s="155">
        <v>0</v>
      </c>
    </row>
    <row r="3602" spans="1:10" ht="15.75" hidden="1" thickBot="1" x14ac:dyDescent="0.3">
      <c r="A3602" s="176"/>
      <c r="B3602" s="175"/>
      <c r="C3602" s="36" t="s">
        <v>1142</v>
      </c>
      <c r="D3602" s="50" t="s">
        <v>95</v>
      </c>
      <c r="E3602" s="37">
        <v>1</v>
      </c>
      <c r="F3602" s="54">
        <v>7.3244999999999996</v>
      </c>
      <c r="G3602" s="54">
        <f>IF(ISNUMBER(F3602),E3602*F3602,"")</f>
        <v>7.3244999999999996</v>
      </c>
      <c r="H3602" s="39">
        <f>SUM(G3602:G3612)</f>
        <v>48.301004501273994</v>
      </c>
      <c r="I3602" s="40"/>
      <c r="J3602" s="155">
        <v>0</v>
      </c>
    </row>
    <row r="3603" spans="1:10" ht="15.75" hidden="1" thickBot="1" x14ac:dyDescent="0.3">
      <c r="A3603" s="176"/>
      <c r="B3603" s="175"/>
      <c r="C3603" s="36" t="s">
        <v>23</v>
      </c>
      <c r="D3603" s="36" t="s">
        <v>12</v>
      </c>
      <c r="E3603" s="37">
        <v>0.15640000000000001</v>
      </c>
      <c r="F3603" s="54">
        <v>16.311500000000002</v>
      </c>
      <c r="G3603" s="54">
        <f>IF(ISNUMBER(F3603),E3603*F3603,"")</f>
        <v>2.5511186000000006</v>
      </c>
      <c r="H3603" s="73"/>
      <c r="I3603" s="74"/>
      <c r="J3603" s="155">
        <v>0</v>
      </c>
    </row>
    <row r="3604" spans="1:10" ht="15.75" hidden="1" thickBot="1" x14ac:dyDescent="0.3">
      <c r="A3604" s="176"/>
      <c r="B3604" s="175"/>
      <c r="C3604" s="36" t="s">
        <v>1143</v>
      </c>
      <c r="D3604" s="36" t="s">
        <v>12</v>
      </c>
      <c r="E3604" s="37">
        <v>3.9100000000000003E-2</v>
      </c>
      <c r="F3604" s="54">
        <v>21.365499999999997</v>
      </c>
      <c r="G3604" s="54">
        <f>IF(ISNUMBER(F3604),E3604*F3604,"")</f>
        <v>0.83539104999999991</v>
      </c>
      <c r="H3604" s="73"/>
      <c r="I3604" s="74"/>
      <c r="J3604" s="155">
        <v>0</v>
      </c>
    </row>
    <row r="3605" spans="1:10" ht="15.75" hidden="1" thickBot="1" x14ac:dyDescent="0.3">
      <c r="A3605" s="176"/>
      <c r="B3605" s="175"/>
      <c r="C3605" s="36" t="s">
        <v>23</v>
      </c>
      <c r="D3605" s="36" t="s">
        <v>12</v>
      </c>
      <c r="E3605" s="37">
        <f>1.6*0.25</f>
        <v>0.4</v>
      </c>
      <c r="F3605" s="54">
        <v>16.311500000000002</v>
      </c>
      <c r="G3605" s="54">
        <f>IF(ISNUMBER(F3605),E3605*F3605,"")</f>
        <v>6.5246000000000013</v>
      </c>
      <c r="H3605" s="73"/>
      <c r="I3605" s="74"/>
      <c r="J3605" s="155">
        <v>0</v>
      </c>
    </row>
    <row r="3606" spans="1:10" ht="26.25" hidden="1" thickBot="1" x14ac:dyDescent="0.3">
      <c r="A3606" s="176"/>
      <c r="B3606" s="175"/>
      <c r="C3606" s="36" t="s">
        <v>1144</v>
      </c>
      <c r="D3606" s="36" t="s">
        <v>42</v>
      </c>
      <c r="E3606" s="37">
        <f>1*0.25</f>
        <v>0.25</v>
      </c>
      <c r="F3606" s="54">
        <v>0.18049999999999999</v>
      </c>
      <c r="G3606" s="54">
        <f>IF(ISNUMBER(F3606),E3606*F3606,"")</f>
        <v>4.5124999999999998E-2</v>
      </c>
      <c r="H3606" s="73"/>
      <c r="I3606" s="74"/>
      <c r="J3606" s="155">
        <v>0</v>
      </c>
    </row>
    <row r="3607" spans="1:10" ht="15.75" hidden="1" thickBot="1" x14ac:dyDescent="0.3">
      <c r="A3607" s="176"/>
      <c r="B3607" s="175"/>
      <c r="C3607" s="36" t="s">
        <v>1145</v>
      </c>
      <c r="D3607" s="36" t="s">
        <v>111</v>
      </c>
      <c r="E3607" s="37">
        <f>0.9*0.25</f>
        <v>0.22500000000000001</v>
      </c>
      <c r="F3607" s="54">
        <v>134.34899999999999</v>
      </c>
      <c r="G3607" s="54">
        <f>IF(ISNUMBER(F3607),E3607*F3607,"")</f>
        <v>30.228524999999998</v>
      </c>
      <c r="H3607" s="73"/>
      <c r="I3607" s="74"/>
      <c r="J3607" s="155">
        <v>0</v>
      </c>
    </row>
    <row r="3608" spans="1:10" ht="15.75" hidden="1" thickBot="1" x14ac:dyDescent="0.3">
      <c r="A3608" s="176"/>
      <c r="B3608" s="175"/>
      <c r="C3608" s="36" t="s">
        <v>1146</v>
      </c>
      <c r="D3608" s="47" t="s">
        <v>42</v>
      </c>
      <c r="E3608" s="37">
        <f>1*0.25</f>
        <v>0.25</v>
      </c>
      <c r="F3608" s="54">
        <v>3.0305</v>
      </c>
      <c r="G3608" s="54">
        <f>IF(ISNUMBER(F3608),E3608*F3608,"")</f>
        <v>0.75762499999999999</v>
      </c>
      <c r="H3608" s="73"/>
      <c r="I3608" s="74"/>
      <c r="J3608" s="155">
        <v>0</v>
      </c>
    </row>
    <row r="3609" spans="1:10" ht="15.75" hidden="1" thickBot="1" x14ac:dyDescent="0.3">
      <c r="A3609" s="176"/>
      <c r="B3609" s="175"/>
      <c r="C3609" s="36" t="s">
        <v>1147</v>
      </c>
      <c r="D3609" s="47" t="s">
        <v>42</v>
      </c>
      <c r="E3609" s="37">
        <f>0.1*0.25</f>
        <v>2.5000000000000001E-2</v>
      </c>
      <c r="F3609" s="54">
        <v>1.0734999999999999</v>
      </c>
      <c r="G3609" s="54">
        <f>IF(ISNUMBER(F3609),E3609*F3609,"")</f>
        <v>2.68375E-2</v>
      </c>
      <c r="H3609" s="73"/>
      <c r="I3609" s="74"/>
      <c r="J3609" s="155">
        <v>0</v>
      </c>
    </row>
    <row r="3610" spans="1:10" ht="26.25" hidden="1" thickBot="1" x14ac:dyDescent="0.3">
      <c r="A3610" s="176"/>
      <c r="B3610" s="175"/>
      <c r="C3610" s="36" t="s">
        <v>122</v>
      </c>
      <c r="D3610" s="36" t="s">
        <v>1148</v>
      </c>
      <c r="E3610" s="37">
        <f>ROUND(1*E3606/1000,4)</f>
        <v>2.9999999999999997E-4</v>
      </c>
      <c r="F3610" s="34">
        <v>3.7160925800000002</v>
      </c>
      <c r="G3610" s="34">
        <f>IF(ISNUMBER(F3610),E3610*F3610,"")</f>
        <v>1.114827774E-3</v>
      </c>
      <c r="H3610" s="35"/>
      <c r="I3610" s="31"/>
      <c r="J3610" s="155">
        <v>0</v>
      </c>
    </row>
    <row r="3611" spans="1:10" ht="39" hidden="1" thickBot="1" x14ac:dyDescent="0.3">
      <c r="A3611" s="176"/>
      <c r="B3611" s="175"/>
      <c r="C3611" s="36" t="s">
        <v>806</v>
      </c>
      <c r="D3611" s="36" t="s">
        <v>807</v>
      </c>
      <c r="E3611" s="37">
        <f>20*E3606*1/1000</f>
        <v>5.0000000000000001E-3</v>
      </c>
      <c r="F3611" s="54">
        <v>1.2335046999999999</v>
      </c>
      <c r="G3611" s="54">
        <f>IF(ISNUMBER(F3611),E3611*F3611,"")</f>
        <v>6.1675235E-3</v>
      </c>
      <c r="H3611" s="73"/>
      <c r="I3611" s="74"/>
      <c r="J3611" s="155">
        <v>0</v>
      </c>
    </row>
    <row r="3612" spans="1:10" ht="15.75" hidden="1" thickBot="1" x14ac:dyDescent="0.3">
      <c r="A3612" s="176"/>
      <c r="B3612" s="175"/>
      <c r="C3612" s="36"/>
      <c r="D3612" s="36"/>
      <c r="E3612" s="37"/>
      <c r="F3612" s="54" t="s">
        <v>568</v>
      </c>
      <c r="G3612" s="54" t="str">
        <f>IF(ISNUMBER(F3612),E3612*F3612,"")</f>
        <v/>
      </c>
      <c r="H3612" s="73"/>
      <c r="I3612" s="74"/>
      <c r="J3612" s="155">
        <v>0</v>
      </c>
    </row>
    <row r="3613" spans="1:10" ht="26.25" hidden="1" thickBot="1" x14ac:dyDescent="0.3">
      <c r="A3613" s="176"/>
      <c r="B3613" s="175"/>
      <c r="C3613" s="48" t="s">
        <v>1149</v>
      </c>
      <c r="D3613" s="36"/>
      <c r="E3613" s="37"/>
      <c r="F3613" s="54" t="s">
        <v>568</v>
      </c>
      <c r="G3613" s="54" t="str">
        <f>IF(ISNUMBER(F3613),E3613*F3613,"")</f>
        <v/>
      </c>
      <c r="H3613" s="73"/>
      <c r="I3613" s="74"/>
      <c r="J3613" s="155">
        <v>0</v>
      </c>
    </row>
    <row r="3614" spans="1:10" ht="15.75" hidden="1" thickBot="1" x14ac:dyDescent="0.3">
      <c r="A3614" s="177"/>
      <c r="B3614" s="178"/>
      <c r="C3614" s="36"/>
      <c r="D3614" s="36"/>
      <c r="E3614" s="37"/>
      <c r="F3614" s="54" t="s">
        <v>568</v>
      </c>
      <c r="G3614" s="54" t="str">
        <f>IF(ISNUMBER(F3614),E3614*F3614,"")</f>
        <v/>
      </c>
      <c r="H3614" s="73"/>
      <c r="I3614" s="74"/>
      <c r="J3614" s="155">
        <v>0</v>
      </c>
    </row>
    <row r="3615" spans="1:10" ht="15.75" hidden="1" thickBot="1" x14ac:dyDescent="0.3">
      <c r="A3615" s="172" t="s">
        <v>1150</v>
      </c>
      <c r="B3615" s="174" t="str">
        <f>INDEX(Orçamentária!A:B,MATCH(Composições!A3615,Orçamentária!A:A,0),2)</f>
        <v>Pintura de meios-fios com tinta acrílica</v>
      </c>
      <c r="C3615" s="41"/>
      <c r="D3615" s="26" t="str">
        <f>TRIM(INDEX(Orçamentária!C:C,MATCH(Composições!A3615,Orçamentária!A:A,0),1))</f>
        <v>m</v>
      </c>
      <c r="E3615" s="27"/>
      <c r="F3615" s="49" t="s">
        <v>568</v>
      </c>
      <c r="G3615" s="28" t="str">
        <f>IF(ISNUMBER(F3615),E3615*F3615,"")</f>
        <v/>
      </c>
      <c r="H3615" s="29"/>
      <c r="I3615" s="30"/>
      <c r="J3615" s="155">
        <v>0</v>
      </c>
    </row>
    <row r="3616" spans="1:10" ht="15.75" hidden="1" thickBot="1" x14ac:dyDescent="0.3">
      <c r="A3616" s="173"/>
      <c r="B3616" s="175"/>
      <c r="C3616" s="32"/>
      <c r="D3616" s="32"/>
      <c r="E3616" s="33"/>
      <c r="F3616" s="54" t="s">
        <v>568</v>
      </c>
      <c r="G3616" s="54" t="str">
        <f>IF(ISNUMBER(F3616),E3616*F3616,"")</f>
        <v/>
      </c>
      <c r="H3616" s="73"/>
      <c r="I3616" s="74"/>
      <c r="J3616" s="155">
        <v>0</v>
      </c>
    </row>
    <row r="3617" spans="1:10" ht="15.75" hidden="1" thickBot="1" x14ac:dyDescent="0.3">
      <c r="A3617" s="173"/>
      <c r="B3617" s="175"/>
      <c r="C3617" s="36" t="s">
        <v>1151</v>
      </c>
      <c r="D3617" s="50" t="s">
        <v>104</v>
      </c>
      <c r="E3617" s="37">
        <f>ROUND(0.17/2*(0.25+0.13+0.25),4)</f>
        <v>5.3600000000000002E-2</v>
      </c>
      <c r="F3617" s="54">
        <v>12.824999999999999</v>
      </c>
      <c r="G3617" s="54">
        <f>IF(ISNUMBER(F3617),E3617*F3617,"")</f>
        <v>0.68742000000000003</v>
      </c>
      <c r="H3617" s="39">
        <f>SUM(G3617:G3619)</f>
        <v>4.5107876249999999</v>
      </c>
      <c r="I3617" s="40"/>
      <c r="J3617" s="155">
        <v>0</v>
      </c>
    </row>
    <row r="3618" spans="1:10" ht="15.75" hidden="1" thickBot="1" x14ac:dyDescent="0.3">
      <c r="A3618" s="173"/>
      <c r="B3618" s="175"/>
      <c r="C3618" s="36" t="s">
        <v>1152</v>
      </c>
      <c r="D3618" s="36" t="s">
        <v>755</v>
      </c>
      <c r="E3618" s="37">
        <f>0.35*(0.25+0.13+0.25)/2</f>
        <v>0.11024999999999999</v>
      </c>
      <c r="F3618" s="54">
        <v>23.027999999999999</v>
      </c>
      <c r="G3618" s="54">
        <f>IF(ISNUMBER(F3618),E3618*F3618,"")</f>
        <v>2.5388369999999996</v>
      </c>
      <c r="H3618" s="73"/>
      <c r="I3618" s="74"/>
      <c r="J3618" s="155">
        <v>0</v>
      </c>
    </row>
    <row r="3619" spans="1:10" ht="15.75" hidden="1" thickBot="1" x14ac:dyDescent="0.3">
      <c r="A3619" s="173"/>
      <c r="B3619" s="175"/>
      <c r="C3619" s="36" t="s">
        <v>23</v>
      </c>
      <c r="D3619" s="36" t="s">
        <v>755</v>
      </c>
      <c r="E3619" s="37">
        <f>0.25*(0.25+0.13+0.25)/2</f>
        <v>7.8750000000000001E-2</v>
      </c>
      <c r="F3619" s="54">
        <v>16.311500000000002</v>
      </c>
      <c r="G3619" s="54">
        <f>IF(ISNUMBER(F3619),E3619*F3619,"")</f>
        <v>1.2845306250000001</v>
      </c>
      <c r="H3619" s="73"/>
      <c r="I3619" s="74"/>
      <c r="J3619" s="155">
        <v>0</v>
      </c>
    </row>
    <row r="3620" spans="1:10" ht="15.75" hidden="1" thickBot="1" x14ac:dyDescent="0.3">
      <c r="A3620" s="173"/>
      <c r="B3620" s="175"/>
      <c r="C3620" s="36"/>
      <c r="D3620" s="36"/>
      <c r="E3620" s="37"/>
      <c r="F3620" s="54" t="s">
        <v>568</v>
      </c>
      <c r="G3620" s="54" t="str">
        <f>IF(ISNUMBER(F3620),E3620*F3620,"")</f>
        <v/>
      </c>
      <c r="H3620" s="73"/>
      <c r="I3620" s="74"/>
      <c r="J3620" s="155">
        <v>0</v>
      </c>
    </row>
    <row r="3621" spans="1:10" ht="26.25" hidden="1" thickBot="1" x14ac:dyDescent="0.3">
      <c r="A3621" s="173"/>
      <c r="B3621" s="175"/>
      <c r="C3621" s="48" t="s">
        <v>1153</v>
      </c>
      <c r="D3621" s="36"/>
      <c r="E3621" s="37"/>
      <c r="F3621" s="54" t="s">
        <v>568</v>
      </c>
      <c r="G3621" s="54" t="str">
        <f>IF(ISNUMBER(F3621),E3621*F3621,"")</f>
        <v/>
      </c>
      <c r="H3621" s="73"/>
      <c r="I3621" s="74"/>
      <c r="J3621" s="155">
        <v>0</v>
      </c>
    </row>
    <row r="3622" spans="1:10" ht="15.75" hidden="1" thickBot="1" x14ac:dyDescent="0.3">
      <c r="A3622" s="185"/>
      <c r="B3622" s="178"/>
      <c r="C3622" s="36"/>
      <c r="D3622" s="36"/>
      <c r="E3622" s="37"/>
      <c r="F3622" s="54" t="s">
        <v>568</v>
      </c>
      <c r="G3622" s="54" t="str">
        <f>IF(ISNUMBER(F3622),E3622*F3622,"")</f>
        <v/>
      </c>
      <c r="H3622" s="73"/>
      <c r="I3622" s="74"/>
      <c r="J3622" s="155">
        <v>0</v>
      </c>
    </row>
    <row r="3623" spans="1:10" ht="15.75" hidden="1" thickBot="1" x14ac:dyDescent="0.3">
      <c r="A3623" s="172" t="s">
        <v>1154</v>
      </c>
      <c r="B3623" s="174" t="str">
        <f>INDEX(Orçamentária!A:B,MATCH(Composições!A3623,Orçamentária!A:A,0),2)</f>
        <v>Meios-fios em concreto pré-moldado</v>
      </c>
      <c r="C3623" s="41"/>
      <c r="D3623" s="26" t="str">
        <f>TRIM(INDEX(Orçamentária!C:C,MATCH(Composições!A3623,Orçamentária!A:A,0),1))</f>
        <v>m</v>
      </c>
      <c r="E3623" s="27"/>
      <c r="F3623" s="49" t="s">
        <v>568</v>
      </c>
      <c r="G3623" s="28" t="str">
        <f>IF(ISNUMBER(F3623),E3623*F3623,"")</f>
        <v/>
      </c>
      <c r="H3623" s="29"/>
      <c r="I3623" s="30"/>
      <c r="J3623" s="155">
        <v>0</v>
      </c>
    </row>
    <row r="3624" spans="1:10" ht="15.75" hidden="1" thickBot="1" x14ac:dyDescent="0.3">
      <c r="A3624" s="176"/>
      <c r="B3624" s="175"/>
      <c r="C3624" s="32"/>
      <c r="D3624" s="32"/>
      <c r="E3624" s="33"/>
      <c r="F3624" s="54" t="s">
        <v>568</v>
      </c>
      <c r="G3624" s="54" t="str">
        <f>IF(ISNUMBER(F3624),E3624*F3624,"")</f>
        <v/>
      </c>
      <c r="H3624" s="73"/>
      <c r="I3624" s="74"/>
      <c r="J3624" s="155">
        <v>0</v>
      </c>
    </row>
    <row r="3625" spans="1:10" ht="26.25" hidden="1" thickBot="1" x14ac:dyDescent="0.3">
      <c r="A3625" s="176"/>
      <c r="B3625" s="175"/>
      <c r="C3625" s="36" t="s">
        <v>805</v>
      </c>
      <c r="D3625" s="36" t="s">
        <v>111</v>
      </c>
      <c r="E3625" s="37">
        <v>7.0000000000000001E-3</v>
      </c>
      <c r="F3625" s="54">
        <v>90.25</v>
      </c>
      <c r="G3625" s="54">
        <f>IF(ISNUMBER(F3625),E3625*F3625,"")</f>
        <v>0.63175000000000003</v>
      </c>
      <c r="H3625" s="39">
        <f>SUM(G3625:G3633)</f>
        <v>42.276503547748</v>
      </c>
      <c r="I3625" s="40"/>
      <c r="J3625" s="155">
        <v>0</v>
      </c>
    </row>
    <row r="3626" spans="1:10" ht="26.25" hidden="1" thickBot="1" x14ac:dyDescent="0.3">
      <c r="A3626" s="176"/>
      <c r="B3626" s="175"/>
      <c r="C3626" s="36" t="s">
        <v>3777</v>
      </c>
      <c r="D3626" s="36" t="s">
        <v>93</v>
      </c>
      <c r="E3626" s="37">
        <v>1.0049999999999999</v>
      </c>
      <c r="F3626" s="54">
        <v>25.070499999999999</v>
      </c>
      <c r="G3626" s="54">
        <f>IF(ISNUMBER(F3626),E3626*F3626,"")</f>
        <v>25.195852499999997</v>
      </c>
      <c r="H3626" s="73"/>
      <c r="I3626" s="74"/>
      <c r="J3626" s="155">
        <v>0</v>
      </c>
    </row>
    <row r="3627" spans="1:10" ht="15.75" hidden="1" thickBot="1" x14ac:dyDescent="0.3">
      <c r="A3627" s="176"/>
      <c r="B3627" s="175"/>
      <c r="C3627" s="36" t="s">
        <v>22</v>
      </c>
      <c r="D3627" s="36" t="s">
        <v>12</v>
      </c>
      <c r="E3627" s="37">
        <v>0.39400000000000002</v>
      </c>
      <c r="F3627" s="54">
        <v>22.087499999999999</v>
      </c>
      <c r="G3627" s="54">
        <f>IF(ISNUMBER(F3627),E3627*F3627,"")</f>
        <v>8.7024749999999997</v>
      </c>
      <c r="H3627" s="73"/>
      <c r="I3627" s="74"/>
      <c r="J3627" s="155">
        <v>0</v>
      </c>
    </row>
    <row r="3628" spans="1:10" ht="15.75" hidden="1" thickBot="1" x14ac:dyDescent="0.3">
      <c r="A3628" s="176"/>
      <c r="B3628" s="175"/>
      <c r="C3628" s="36" t="s">
        <v>23</v>
      </c>
      <c r="D3628" s="36" t="s">
        <v>12</v>
      </c>
      <c r="E3628" s="37">
        <v>0.39400000000000002</v>
      </c>
      <c r="F3628" s="54">
        <v>16.311500000000002</v>
      </c>
      <c r="G3628" s="54">
        <f>IF(ISNUMBER(F3628),E3628*F3628,"")</f>
        <v>6.4267310000000011</v>
      </c>
      <c r="H3628" s="73"/>
      <c r="I3628" s="74"/>
      <c r="J3628" s="155">
        <v>0</v>
      </c>
    </row>
    <row r="3629" spans="1:10" ht="26.25" hidden="1" thickBot="1" x14ac:dyDescent="0.3">
      <c r="A3629" s="176"/>
      <c r="B3629" s="175"/>
      <c r="C3629" s="36" t="s">
        <v>110</v>
      </c>
      <c r="D3629" s="36" t="s">
        <v>111</v>
      </c>
      <c r="E3629" s="37">
        <v>2E-3</v>
      </c>
      <c r="F3629" s="54">
        <v>511.25031794899996</v>
      </c>
      <c r="G3629" s="54">
        <f>IF(ISNUMBER(F3629),E3629*F3629,"")</f>
        <v>1.022500635898</v>
      </c>
      <c r="H3629" s="73"/>
      <c r="I3629" s="74"/>
      <c r="J3629" s="155">
        <v>0</v>
      </c>
    </row>
    <row r="3630" spans="1:10" ht="51.75" hidden="1" thickBot="1" x14ac:dyDescent="0.3">
      <c r="A3630" s="176"/>
      <c r="B3630" s="175"/>
      <c r="C3630" s="36" t="s">
        <v>3611</v>
      </c>
      <c r="D3630" s="36" t="s">
        <v>111</v>
      </c>
      <c r="E3630" s="37">
        <f>1*E3625</f>
        <v>7.0000000000000001E-3</v>
      </c>
      <c r="F3630" s="34">
        <v>5.5686425499999999</v>
      </c>
      <c r="G3630" s="34">
        <f>IF(ISNUMBER(F3630),E3630*F3630,"")</f>
        <v>3.8980497849999997E-2</v>
      </c>
      <c r="H3630" s="35"/>
      <c r="I3630" s="31"/>
      <c r="J3630" s="155">
        <v>0</v>
      </c>
    </row>
    <row r="3631" spans="1:10" ht="39" hidden="1" thickBot="1" x14ac:dyDescent="0.3">
      <c r="A3631" s="176"/>
      <c r="B3631" s="175"/>
      <c r="C3631" s="36" t="s">
        <v>124</v>
      </c>
      <c r="D3631" s="36" t="s">
        <v>125</v>
      </c>
      <c r="E3631" s="37">
        <f>0.007*20</f>
        <v>0.14000000000000001</v>
      </c>
      <c r="F3631" s="54">
        <v>1.8443850999999998</v>
      </c>
      <c r="G3631" s="54">
        <f>IF(ISNUMBER(F3631),E3631*F3631,"")</f>
        <v>0.25821391399999999</v>
      </c>
      <c r="H3631" s="73"/>
      <c r="I3631" s="74"/>
      <c r="J3631" s="155">
        <v>0</v>
      </c>
    </row>
    <row r="3632" spans="1:10" ht="15.75" hidden="1" thickBot="1" x14ac:dyDescent="0.3">
      <c r="A3632" s="176"/>
      <c r="B3632" s="175"/>
      <c r="C3632" s="36"/>
      <c r="D3632" s="36"/>
      <c r="E3632" s="37"/>
      <c r="F3632" s="54" t="s">
        <v>568</v>
      </c>
      <c r="G3632" s="54" t="str">
        <f>IF(ISNUMBER(F3632),E3632*F3632,"")</f>
        <v/>
      </c>
      <c r="H3632" s="73"/>
      <c r="I3632" s="74"/>
      <c r="J3632" s="155">
        <v>0</v>
      </c>
    </row>
    <row r="3633" spans="1:10" ht="15.75" hidden="1" thickBot="1" x14ac:dyDescent="0.3">
      <c r="A3633" s="176"/>
      <c r="B3633" s="175"/>
      <c r="C3633" s="48" t="s">
        <v>1155</v>
      </c>
      <c r="D3633" s="36"/>
      <c r="E3633" s="37"/>
      <c r="F3633" s="54" t="s">
        <v>568</v>
      </c>
      <c r="G3633" s="54" t="str">
        <f>IF(ISNUMBER(F3633),E3633*F3633,"")</f>
        <v/>
      </c>
      <c r="H3633" s="73"/>
      <c r="I3633" s="74"/>
      <c r="J3633" s="155">
        <v>0</v>
      </c>
    </row>
    <row r="3634" spans="1:10" ht="15.75" hidden="1" thickBot="1" x14ac:dyDescent="0.3">
      <c r="A3634" s="177"/>
      <c r="B3634" s="178"/>
      <c r="C3634" s="36"/>
      <c r="D3634" s="36"/>
      <c r="E3634" s="37"/>
      <c r="F3634" s="54" t="s">
        <v>568</v>
      </c>
      <c r="G3634" s="54" t="str">
        <f>IF(ISNUMBER(F3634),E3634*F3634,"")</f>
        <v/>
      </c>
      <c r="H3634" s="73"/>
      <c r="I3634" s="74"/>
      <c r="J3634" s="155">
        <v>0</v>
      </c>
    </row>
    <row r="3635" spans="1:10" ht="15.75" hidden="1" thickBot="1" x14ac:dyDescent="0.3">
      <c r="A3635" s="172" t="s">
        <v>1156</v>
      </c>
      <c r="B3635" s="174" t="str">
        <f>INDEX(Orçamentária!A:B,MATCH(Composições!A3635,Orçamentária!A:A,0),2)</f>
        <v>Tubo PEAD corrugado para drenagem – Diâmetro 100 mm</v>
      </c>
      <c r="C3635" s="41"/>
      <c r="D3635" s="26" t="str">
        <f>TRIM(INDEX(Orçamentária!C:C,MATCH(Composições!A3635,Orçamentária!A:A,0),1))</f>
        <v>m</v>
      </c>
      <c r="E3635" s="27"/>
      <c r="F3635" s="49" t="s">
        <v>568</v>
      </c>
      <c r="G3635" s="28" t="str">
        <f>IF(ISNUMBER(F3635),E3635*F3635,"")</f>
        <v/>
      </c>
      <c r="H3635" s="29"/>
      <c r="I3635" s="30"/>
      <c r="J3635" s="155">
        <v>0</v>
      </c>
    </row>
    <row r="3636" spans="1:10" ht="15.75" hidden="1" thickBot="1" x14ac:dyDescent="0.3">
      <c r="A3636" s="176"/>
      <c r="B3636" s="175"/>
      <c r="C3636" s="32"/>
      <c r="D3636" s="32"/>
      <c r="E3636" s="33"/>
      <c r="F3636" s="54" t="s">
        <v>568</v>
      </c>
      <c r="G3636" s="54" t="str">
        <f>IF(ISNUMBER(F3636),E3636*F3636,"")</f>
        <v/>
      </c>
      <c r="H3636" s="73"/>
      <c r="I3636" s="74"/>
      <c r="J3636" s="155">
        <v>0</v>
      </c>
    </row>
    <row r="3637" spans="1:10" ht="26.25" hidden="1" thickBot="1" x14ac:dyDescent="0.3">
      <c r="A3637" s="176"/>
      <c r="B3637" s="175"/>
      <c r="C3637" s="36" t="s">
        <v>1157</v>
      </c>
      <c r="D3637" s="36" t="s">
        <v>123</v>
      </c>
      <c r="E3637" s="37">
        <v>8.2100000000000006E-2</v>
      </c>
      <c r="F3637" s="54">
        <v>118.256</v>
      </c>
      <c r="G3637" s="54">
        <f>IF(ISNUMBER(F3637),E3637*F3637,"")</f>
        <v>9.7088176000000015</v>
      </c>
      <c r="H3637" s="39">
        <f>SUM(G3637:G3647)</f>
        <v>35.927391637555004</v>
      </c>
      <c r="I3637" s="40"/>
      <c r="J3637" s="155">
        <v>0</v>
      </c>
    </row>
    <row r="3638" spans="1:10" ht="51.75" hidden="1" thickBot="1" x14ac:dyDescent="0.3">
      <c r="A3638" s="176"/>
      <c r="B3638" s="175"/>
      <c r="C3638" s="36" t="s">
        <v>1158</v>
      </c>
      <c r="D3638" s="36" t="s">
        <v>997</v>
      </c>
      <c r="E3638" s="37">
        <v>3.2000000000000002E-3</v>
      </c>
      <c r="F3638" s="54">
        <v>132.98099999999999</v>
      </c>
      <c r="G3638" s="54">
        <f>IF(ISNUMBER(F3638),E3638*F3638,"")</f>
        <v>0.42553920000000001</v>
      </c>
      <c r="H3638" s="73"/>
      <c r="I3638" s="74"/>
      <c r="J3638" s="155">
        <v>0</v>
      </c>
    </row>
    <row r="3639" spans="1:10" ht="39" hidden="1" thickBot="1" x14ac:dyDescent="0.3">
      <c r="A3639" s="176"/>
      <c r="B3639" s="175"/>
      <c r="C3639" s="36" t="s">
        <v>1159</v>
      </c>
      <c r="D3639" s="36" t="s">
        <v>523</v>
      </c>
      <c r="E3639" s="37">
        <v>1</v>
      </c>
      <c r="F3639" s="54">
        <v>8.8254999999999981</v>
      </c>
      <c r="G3639" s="54">
        <f>IF(ISNUMBER(F3639),E3639*F3639,"")</f>
        <v>8.8254999999999981</v>
      </c>
      <c r="H3639" s="73"/>
      <c r="I3639" s="74"/>
      <c r="J3639" s="155">
        <v>0</v>
      </c>
    </row>
    <row r="3640" spans="1:10" ht="26.25" hidden="1" thickBot="1" x14ac:dyDescent="0.3">
      <c r="A3640" s="176"/>
      <c r="B3640" s="175"/>
      <c r="C3640" s="36" t="s">
        <v>1009</v>
      </c>
      <c r="D3640" s="36" t="s">
        <v>755</v>
      </c>
      <c r="E3640" s="37">
        <v>1.7500000000000002E-2</v>
      </c>
      <c r="F3640" s="54">
        <v>21.622</v>
      </c>
      <c r="G3640" s="54">
        <f>IF(ISNUMBER(F3640),E3640*F3640,"")</f>
        <v>0.37838500000000003</v>
      </c>
      <c r="H3640" s="73"/>
      <c r="I3640" s="74"/>
      <c r="J3640" s="155">
        <v>0</v>
      </c>
    </row>
    <row r="3641" spans="1:10" ht="15.75" hidden="1" thickBot="1" x14ac:dyDescent="0.3">
      <c r="A3641" s="176"/>
      <c r="B3641" s="175"/>
      <c r="C3641" s="36" t="s">
        <v>756</v>
      </c>
      <c r="D3641" s="36" t="s">
        <v>755</v>
      </c>
      <c r="E3641" s="37">
        <v>0.79930000000000001</v>
      </c>
      <c r="F3641" s="54">
        <v>16.311500000000002</v>
      </c>
      <c r="G3641" s="54">
        <f>IF(ISNUMBER(F3641),E3641*F3641,"")</f>
        <v>13.037781950000001</v>
      </c>
      <c r="H3641" s="73"/>
      <c r="I3641" s="74"/>
      <c r="J3641" s="155">
        <v>0</v>
      </c>
    </row>
    <row r="3642" spans="1:10" ht="39" hidden="1" thickBot="1" x14ac:dyDescent="0.3">
      <c r="A3642" s="176"/>
      <c r="B3642" s="175"/>
      <c r="C3642" s="36" t="s">
        <v>1160</v>
      </c>
      <c r="D3642" s="36" t="s">
        <v>997</v>
      </c>
      <c r="E3642" s="37">
        <v>7.6E-3</v>
      </c>
      <c r="F3642" s="54">
        <v>8.6449999999999996</v>
      </c>
      <c r="G3642" s="54">
        <f>IF(ISNUMBER(F3642),E3642*F3642,"")</f>
        <v>6.5701999999999997E-2</v>
      </c>
      <c r="H3642" s="73"/>
      <c r="I3642" s="74"/>
      <c r="J3642" s="155">
        <v>0</v>
      </c>
    </row>
    <row r="3643" spans="1:10" ht="51.75" hidden="1" thickBot="1" x14ac:dyDescent="0.3">
      <c r="A3643" s="176"/>
      <c r="B3643" s="175"/>
      <c r="C3643" s="36" t="s">
        <v>3611</v>
      </c>
      <c r="D3643" s="36" t="s">
        <v>111</v>
      </c>
      <c r="E3643" s="37">
        <f>1*E3637</f>
        <v>8.2100000000000006E-2</v>
      </c>
      <c r="F3643" s="34">
        <v>5.5686425499999999</v>
      </c>
      <c r="G3643" s="34">
        <f>IF(ISNUMBER(F3643),E3643*F3643,"")</f>
        <v>0.457185553355</v>
      </c>
      <c r="H3643" s="35"/>
      <c r="I3643" s="31"/>
      <c r="J3643" s="155">
        <v>0</v>
      </c>
    </row>
    <row r="3644" spans="1:10" ht="39" hidden="1" thickBot="1" x14ac:dyDescent="0.3">
      <c r="A3644" s="176"/>
      <c r="B3644" s="175"/>
      <c r="C3644" s="36" t="s">
        <v>124</v>
      </c>
      <c r="D3644" s="36" t="s">
        <v>125</v>
      </c>
      <c r="E3644" s="37">
        <f>E3637*20</f>
        <v>1.6420000000000001</v>
      </c>
      <c r="F3644" s="54">
        <v>1.8443850999999998</v>
      </c>
      <c r="G3644" s="54">
        <f>IF(ISNUMBER(F3644),E3644*F3644,"")</f>
        <v>3.0284803341999997</v>
      </c>
      <c r="H3644" s="73"/>
      <c r="I3644" s="74"/>
      <c r="J3644" s="155">
        <v>0</v>
      </c>
    </row>
    <row r="3645" spans="1:10" ht="15.75" hidden="1" thickBot="1" x14ac:dyDescent="0.3">
      <c r="A3645" s="176"/>
      <c r="B3645" s="175"/>
      <c r="C3645" s="36"/>
      <c r="D3645" s="36"/>
      <c r="E3645" s="37"/>
      <c r="F3645" s="54" t="s">
        <v>568</v>
      </c>
      <c r="G3645" s="54" t="str">
        <f>IF(ISNUMBER(F3645),E3645*F3645,"")</f>
        <v/>
      </c>
      <c r="H3645" s="73"/>
      <c r="I3645" s="74"/>
      <c r="J3645" s="155">
        <v>0</v>
      </c>
    </row>
    <row r="3646" spans="1:10" ht="15.75" hidden="1" thickBot="1" x14ac:dyDescent="0.3">
      <c r="A3646" s="176"/>
      <c r="B3646" s="175"/>
      <c r="C3646" s="48" t="s">
        <v>1161</v>
      </c>
      <c r="D3646" s="36"/>
      <c r="E3646" s="37"/>
      <c r="F3646" s="54" t="s">
        <v>568</v>
      </c>
      <c r="G3646" s="54" t="str">
        <f>IF(ISNUMBER(F3646),E3646*F3646,"")</f>
        <v/>
      </c>
      <c r="H3646" s="73"/>
      <c r="I3646" s="74"/>
      <c r="J3646" s="155">
        <v>0</v>
      </c>
    </row>
    <row r="3647" spans="1:10" ht="15.75" hidden="1" thickBot="1" x14ac:dyDescent="0.3">
      <c r="A3647" s="176"/>
      <c r="B3647" s="175"/>
      <c r="C3647" s="36"/>
      <c r="D3647" s="36"/>
      <c r="E3647" s="37"/>
      <c r="F3647" s="54" t="s">
        <v>568</v>
      </c>
      <c r="G3647" s="54" t="str">
        <f>IF(ISNUMBER(F3647),E3647*F3647,"")</f>
        <v/>
      </c>
      <c r="H3647" s="73"/>
      <c r="I3647" s="74"/>
      <c r="J3647" s="155">
        <v>0</v>
      </c>
    </row>
    <row r="3648" spans="1:10" ht="15.75" hidden="1" thickBot="1" x14ac:dyDescent="0.3">
      <c r="A3648" s="172" t="s">
        <v>1162</v>
      </c>
      <c r="B3648" s="174" t="str">
        <f>INDEX(Orçamentária!A:B,MATCH(Composições!A3648,Orçamentária!A:A,0),2)</f>
        <v>Fixadores metálicos para rochas ornamentais (Modelo Edifício Principal, peça inferior)</v>
      </c>
      <c r="C3648" s="41"/>
      <c r="D3648" s="26" t="str">
        <f>TRIM(INDEX(Orçamentária!C:C,MATCH(Composições!A3648,Orçamentária!A:A,0),1))</f>
        <v>un</v>
      </c>
      <c r="E3648" s="27"/>
      <c r="F3648" s="49" t="s">
        <v>568</v>
      </c>
      <c r="G3648" s="28" t="str">
        <f>IF(ISNUMBER(F3648),E3648*F3648,"")</f>
        <v/>
      </c>
      <c r="H3648" s="29"/>
      <c r="I3648" s="30"/>
      <c r="J3648" s="155">
        <v>0</v>
      </c>
    </row>
    <row r="3649" spans="1:10" ht="15.75" hidden="1" thickBot="1" x14ac:dyDescent="0.3">
      <c r="A3649" s="176"/>
      <c r="B3649" s="175"/>
      <c r="C3649" s="32"/>
      <c r="D3649" s="32"/>
      <c r="E3649" s="33"/>
      <c r="F3649" s="54" t="s">
        <v>568</v>
      </c>
      <c r="G3649" s="54" t="str">
        <f>IF(ISNUMBER(F3649),E3649*F3649,"")</f>
        <v/>
      </c>
      <c r="H3649" s="73"/>
      <c r="I3649" s="74"/>
      <c r="J3649" s="155">
        <v>0</v>
      </c>
    </row>
    <row r="3650" spans="1:10" ht="15.75" hidden="1" thickBot="1" x14ac:dyDescent="0.3">
      <c r="A3650" s="176"/>
      <c r="B3650" s="175"/>
      <c r="C3650" s="36" t="s">
        <v>22</v>
      </c>
      <c r="D3650" s="36" t="s">
        <v>12</v>
      </c>
      <c r="E3650" s="37">
        <f>0.1+0.1</f>
        <v>0.2</v>
      </c>
      <c r="F3650" s="54">
        <v>22.087499999999999</v>
      </c>
      <c r="G3650" s="54">
        <f>IF(ISNUMBER(F3650),E3650*F3650,"")</f>
        <v>4.4174999999999995</v>
      </c>
      <c r="H3650" s="39">
        <f>SUM(G3650:G3655)</f>
        <v>7.8567408254940005</v>
      </c>
      <c r="I3650" s="40"/>
      <c r="J3650" s="155">
        <v>0</v>
      </c>
    </row>
    <row r="3651" spans="1:10" ht="15.75" hidden="1" thickBot="1" x14ac:dyDescent="0.3">
      <c r="A3651" s="176"/>
      <c r="B3651" s="175"/>
      <c r="C3651" s="36" t="s">
        <v>23</v>
      </c>
      <c r="D3651" s="36" t="s">
        <v>12</v>
      </c>
      <c r="E3651" s="37">
        <f>0.1+0.1</f>
        <v>0.2</v>
      </c>
      <c r="F3651" s="54">
        <v>16.311500000000002</v>
      </c>
      <c r="G3651" s="54">
        <f>IF(ISNUMBER(F3651),E3651*F3651,"")</f>
        <v>3.2623000000000006</v>
      </c>
      <c r="H3651" s="73"/>
      <c r="I3651" s="74"/>
      <c r="J3651" s="155">
        <v>0</v>
      </c>
    </row>
    <row r="3652" spans="1:10" ht="15.75" hidden="1" thickBot="1" x14ac:dyDescent="0.3">
      <c r="A3652" s="176"/>
      <c r="B3652" s="175"/>
      <c r="C3652" s="36" t="s">
        <v>1084</v>
      </c>
      <c r="D3652" s="36" t="s">
        <v>149</v>
      </c>
      <c r="E3652" s="37">
        <f>0.016*2</f>
        <v>3.2000000000000001E-2</v>
      </c>
      <c r="F3652" s="54">
        <v>0</v>
      </c>
      <c r="G3652" s="54">
        <f>IF(ISNUMBER(F3652),E3652*F3652,"")</f>
        <v>0</v>
      </c>
      <c r="H3652" s="73"/>
      <c r="I3652" s="74"/>
      <c r="J3652" s="155">
        <v>0</v>
      </c>
    </row>
    <row r="3653" spans="1:10" ht="15.75" hidden="1" thickBot="1" x14ac:dyDescent="0.3">
      <c r="A3653" s="176"/>
      <c r="B3653" s="175"/>
      <c r="C3653" s="36" t="s">
        <v>1085</v>
      </c>
      <c r="D3653" s="36" t="s">
        <v>1086</v>
      </c>
      <c r="E3653" s="37">
        <f>0.1*2</f>
        <v>0.2</v>
      </c>
      <c r="F3653" s="54">
        <v>0</v>
      </c>
      <c r="G3653" s="54">
        <f>IF(ISNUMBER(F3653),E3653*F3653,"")</f>
        <v>0</v>
      </c>
      <c r="H3653" s="73"/>
      <c r="I3653" s="74"/>
      <c r="J3653" s="155">
        <v>0</v>
      </c>
    </row>
    <row r="3654" spans="1:10" ht="15.75" hidden="1" thickBot="1" x14ac:dyDescent="0.3">
      <c r="A3654" s="176"/>
      <c r="B3654" s="175"/>
      <c r="C3654" s="36" t="s">
        <v>1163</v>
      </c>
      <c r="D3654" s="36" t="s">
        <v>149</v>
      </c>
      <c r="E3654" s="37">
        <v>1</v>
      </c>
      <c r="F3654" s="54" t="s">
        <v>568</v>
      </c>
      <c r="G3654" s="54" t="str">
        <f>IF(ISNUMBER(F3654),E3654*F3654,"")</f>
        <v/>
      </c>
      <c r="H3654" s="73"/>
      <c r="I3654" s="74"/>
      <c r="J3654" s="155">
        <v>0</v>
      </c>
    </row>
    <row r="3655" spans="1:10" ht="39" hidden="1" thickBot="1" x14ac:dyDescent="0.3">
      <c r="A3655" s="176"/>
      <c r="B3655" s="175"/>
      <c r="C3655" s="36" t="s">
        <v>1087</v>
      </c>
      <c r="D3655" s="36" t="s">
        <v>111</v>
      </c>
      <c r="E3655" s="37">
        <f>ROUND(0.15*0.05*0.05,4)</f>
        <v>4.0000000000000002E-4</v>
      </c>
      <c r="F3655" s="54">
        <v>442.352063735</v>
      </c>
      <c r="G3655" s="54">
        <f>IF(ISNUMBER(F3655),E3655*F3655,"")</f>
        <v>0.176940825494</v>
      </c>
      <c r="H3655" s="73"/>
      <c r="I3655" s="74"/>
      <c r="J3655" s="155">
        <v>0</v>
      </c>
    </row>
    <row r="3656" spans="1:10" ht="15.75" hidden="1" thickBot="1" x14ac:dyDescent="0.3">
      <c r="A3656" s="176"/>
      <c r="B3656" s="175"/>
      <c r="C3656" s="36"/>
      <c r="D3656" s="36"/>
      <c r="E3656" s="37"/>
      <c r="F3656" s="54" t="s">
        <v>568</v>
      </c>
      <c r="G3656" s="54" t="str">
        <f>IF(ISNUMBER(F3656),E3656*F3656,"")</f>
        <v/>
      </c>
      <c r="H3656" s="73"/>
      <c r="I3656" s="74"/>
      <c r="J3656" s="155">
        <v>0</v>
      </c>
    </row>
    <row r="3657" spans="1:10" ht="15.75" hidden="1" thickBot="1" x14ac:dyDescent="0.3">
      <c r="A3657" s="176"/>
      <c r="B3657" s="175"/>
      <c r="C3657" s="152" t="s">
        <v>1088</v>
      </c>
      <c r="D3657" s="36"/>
      <c r="E3657" s="37"/>
      <c r="F3657" s="54" t="s">
        <v>568</v>
      </c>
      <c r="G3657" s="54" t="str">
        <f>IF(ISNUMBER(F3657),E3657*F3657,"")</f>
        <v/>
      </c>
      <c r="H3657" s="73"/>
      <c r="I3657" s="74"/>
      <c r="J3657" s="155">
        <v>0</v>
      </c>
    </row>
    <row r="3658" spans="1:10" ht="15.75" hidden="1" thickBot="1" x14ac:dyDescent="0.3">
      <c r="A3658" s="177"/>
      <c r="B3658" s="178"/>
      <c r="C3658" s="55"/>
      <c r="D3658" s="55"/>
      <c r="E3658" s="66"/>
      <c r="F3658" s="76" t="s">
        <v>568</v>
      </c>
      <c r="G3658" s="76" t="str">
        <f>IF(ISNUMBER(F3658),E3658*F3658,"")</f>
        <v/>
      </c>
      <c r="H3658" s="77"/>
      <c r="I3658" s="74"/>
      <c r="J3658" s="155">
        <v>0</v>
      </c>
    </row>
    <row r="3659" spans="1:10" ht="15.75" thickBot="1" x14ac:dyDescent="0.3">
      <c r="A3659" s="172" t="s">
        <v>1164</v>
      </c>
      <c r="B3659" s="174" t="str">
        <f>INDEX(Orçamentária!A:B,MATCH(Composições!A3659,Orçamentária!A:A,0),2)</f>
        <v>Locação de Container - Escritório</v>
      </c>
      <c r="C3659" s="41"/>
      <c r="D3659" s="26" t="str">
        <f>TRIM(INDEX(Orçamentária!C:C,MATCH(Composições!A3659,Orçamentária!A:A,0),1))</f>
        <v>mês</v>
      </c>
      <c r="E3659" s="27"/>
      <c r="F3659" s="49" t="s">
        <v>568</v>
      </c>
      <c r="G3659" s="28" t="str">
        <f>IF(ISNUMBER(F3659),E3659*F3659,"")</f>
        <v/>
      </c>
      <c r="H3659" s="29"/>
      <c r="I3659" s="30"/>
      <c r="J3659" s="155">
        <v>3</v>
      </c>
    </row>
    <row r="3660" spans="1:10" x14ac:dyDescent="0.25">
      <c r="A3660" s="173"/>
      <c r="B3660" s="175"/>
      <c r="C3660" s="32"/>
      <c r="D3660" s="32"/>
      <c r="E3660" s="33"/>
      <c r="F3660" s="54" t="s">
        <v>568</v>
      </c>
      <c r="G3660" s="54" t="str">
        <f>IF(ISNUMBER(F3660),E3660*F3660,"")</f>
        <v/>
      </c>
      <c r="H3660" s="73"/>
      <c r="I3660" s="74"/>
      <c r="J3660" s="155">
        <v>3</v>
      </c>
    </row>
    <row r="3661" spans="1:10" ht="38.25" x14ac:dyDescent="0.25">
      <c r="A3661" s="173"/>
      <c r="B3661" s="175"/>
      <c r="C3661" s="36" t="s">
        <v>1165</v>
      </c>
      <c r="D3661" s="50" t="s">
        <v>130</v>
      </c>
      <c r="E3661" s="37">
        <v>1</v>
      </c>
      <c r="F3661" s="54">
        <v>555.75</v>
      </c>
      <c r="G3661" s="54">
        <f>IF(ISNUMBER(F3661),E3661*F3661,"")</f>
        <v>555.75</v>
      </c>
      <c r="H3661" s="39">
        <f>SUM(G3661:G3661)</f>
        <v>555.75</v>
      </c>
      <c r="I3661" s="40"/>
      <c r="J3661" s="155">
        <v>3</v>
      </c>
    </row>
    <row r="3662" spans="1:10" ht="15.75" thickBot="1" x14ac:dyDescent="0.3">
      <c r="A3662" s="185"/>
      <c r="B3662" s="178"/>
      <c r="C3662" s="36"/>
      <c r="D3662" s="36"/>
      <c r="E3662" s="37"/>
      <c r="F3662" s="54" t="s">
        <v>568</v>
      </c>
      <c r="G3662" s="54" t="str">
        <f>IF(ISNUMBER(F3662),E3662*F3662,"")</f>
        <v/>
      </c>
      <c r="H3662" s="73"/>
      <c r="I3662" s="74"/>
      <c r="J3662" s="155">
        <v>3</v>
      </c>
    </row>
    <row r="3663" spans="1:10" ht="15.75" hidden="1" thickBot="1" x14ac:dyDescent="0.3">
      <c r="A3663" s="172" t="s">
        <v>1166</v>
      </c>
      <c r="B3663" s="174" t="str">
        <f>INDEX(Orçamentária!A:B,MATCH(Composições!A3663,Orçamentária!A:A,0),2)</f>
        <v>Abertura/fechamento de rasgo em concreto</v>
      </c>
      <c r="C3663" s="41"/>
      <c r="D3663" s="26" t="str">
        <f>TRIM(INDEX(Orçamentária!C:C,MATCH(Composições!A3663,Orçamentária!A:A,0),1))</f>
        <v>m</v>
      </c>
      <c r="E3663" s="27"/>
      <c r="F3663" s="42" t="s">
        <v>568</v>
      </c>
      <c r="G3663" s="28" t="str">
        <f>IF(ISNUMBER(F3663),E3663*F3663,"")</f>
        <v/>
      </c>
      <c r="H3663" s="29"/>
      <c r="I3663" s="30"/>
      <c r="J3663" s="155">
        <v>0</v>
      </c>
    </row>
    <row r="3664" spans="1:10" ht="15.75" hidden="1" thickBot="1" x14ac:dyDescent="0.3">
      <c r="A3664" s="176"/>
      <c r="B3664" s="175"/>
      <c r="C3664" s="32"/>
      <c r="D3664" s="32"/>
      <c r="E3664" s="33"/>
      <c r="F3664" s="43" t="s">
        <v>568</v>
      </c>
      <c r="G3664" s="31" t="str">
        <f>IF(ISNUMBER(F3664),E3664*F3664,"")</f>
        <v/>
      </c>
      <c r="H3664" s="35"/>
      <c r="I3664" s="31"/>
      <c r="J3664" s="155">
        <v>0</v>
      </c>
    </row>
    <row r="3665" spans="1:10" ht="26.25" hidden="1" thickBot="1" x14ac:dyDescent="0.3">
      <c r="A3665" s="176"/>
      <c r="B3665" s="175"/>
      <c r="C3665" s="36" t="s">
        <v>1167</v>
      </c>
      <c r="D3665" s="36" t="s">
        <v>997</v>
      </c>
      <c r="E3665" s="37">
        <v>0.183</v>
      </c>
      <c r="F3665" s="31">
        <v>20.253999999999998</v>
      </c>
      <c r="G3665" s="31">
        <f>IF(ISNUMBER(F3665),E3665*F3665,"")</f>
        <v>3.7064819999999994</v>
      </c>
      <c r="H3665" s="39">
        <f>SUM(G3665:G3671)</f>
        <v>36.012662543592</v>
      </c>
      <c r="I3665" s="40"/>
      <c r="J3665" s="155">
        <v>0</v>
      </c>
    </row>
    <row r="3666" spans="1:10" ht="26.25" hidden="1" thickBot="1" x14ac:dyDescent="0.3">
      <c r="A3666" s="176"/>
      <c r="B3666" s="175"/>
      <c r="C3666" s="36" t="s">
        <v>1168</v>
      </c>
      <c r="D3666" s="36" t="s">
        <v>999</v>
      </c>
      <c r="E3666" s="37">
        <v>0.40100000000000002</v>
      </c>
      <c r="F3666" s="31">
        <v>18.829000000000001</v>
      </c>
      <c r="G3666" s="31">
        <f>IF(ISNUMBER(F3666),E3666*F3666,"")</f>
        <v>7.5504290000000003</v>
      </c>
      <c r="H3666" s="35"/>
      <c r="I3666" s="31"/>
      <c r="J3666" s="155">
        <v>0</v>
      </c>
    </row>
    <row r="3667" spans="1:10" ht="26.25" hidden="1" thickBot="1" x14ac:dyDescent="0.3">
      <c r="A3667" s="176"/>
      <c r="B3667" s="175"/>
      <c r="C3667" s="36" t="s">
        <v>109</v>
      </c>
      <c r="D3667" s="36" t="s">
        <v>12</v>
      </c>
      <c r="E3667" s="37">
        <v>9.0999999999999998E-2</v>
      </c>
      <c r="F3667" s="31">
        <v>16.891000000000002</v>
      </c>
      <c r="G3667" s="31">
        <f>IF(ISNUMBER(F3667),E3667*F3667,"")</f>
        <v>1.5370810000000001</v>
      </c>
      <c r="H3667" s="35"/>
      <c r="I3667" s="31"/>
      <c r="J3667" s="155">
        <v>0</v>
      </c>
    </row>
    <row r="3668" spans="1:10" ht="15.75" hidden="1" thickBot="1" x14ac:dyDescent="0.3">
      <c r="A3668" s="176"/>
      <c r="B3668" s="175"/>
      <c r="C3668" s="36" t="s">
        <v>39</v>
      </c>
      <c r="D3668" s="47" t="s">
        <v>12</v>
      </c>
      <c r="E3668" s="37">
        <v>0.58299999999999996</v>
      </c>
      <c r="F3668" s="31">
        <v>21.622</v>
      </c>
      <c r="G3668" s="31">
        <f>IF(ISNUMBER(F3668),E3668*F3668,"")</f>
        <v>12.605625999999999</v>
      </c>
      <c r="H3668" s="35"/>
      <c r="I3668" s="31"/>
      <c r="J3668" s="155">
        <v>0</v>
      </c>
    </row>
    <row r="3669" spans="1:10" ht="26.25" hidden="1" thickBot="1" x14ac:dyDescent="0.3">
      <c r="A3669" s="176"/>
      <c r="B3669" s="175"/>
      <c r="C3669" s="36" t="s">
        <v>109</v>
      </c>
      <c r="D3669" s="36" t="s">
        <v>12</v>
      </c>
      <c r="E3669" s="37">
        <v>3.7999999999999999E-2</v>
      </c>
      <c r="F3669" s="31">
        <v>16.891000000000002</v>
      </c>
      <c r="G3669" s="31">
        <f>IF(ISNUMBER(F3669),E3669*F3669,"")</f>
        <v>0.64185800000000004</v>
      </c>
      <c r="H3669" s="35"/>
      <c r="I3669" s="31"/>
      <c r="J3669" s="155">
        <v>0</v>
      </c>
    </row>
    <row r="3670" spans="1:10" ht="15.75" hidden="1" thickBot="1" x14ac:dyDescent="0.3">
      <c r="A3670" s="176"/>
      <c r="B3670" s="175"/>
      <c r="C3670" s="36" t="s">
        <v>39</v>
      </c>
      <c r="D3670" s="47" t="s">
        <v>12</v>
      </c>
      <c r="E3670" s="37">
        <v>0.27200000000000002</v>
      </c>
      <c r="F3670" s="31">
        <v>21.622</v>
      </c>
      <c r="G3670" s="31">
        <f>IF(ISNUMBER(F3670),E3670*F3670,"")</f>
        <v>5.8811840000000002</v>
      </c>
      <c r="H3670" s="35"/>
      <c r="I3670" s="31"/>
      <c r="J3670" s="155">
        <v>0</v>
      </c>
    </row>
    <row r="3671" spans="1:10" ht="26.25" hidden="1" thickBot="1" x14ac:dyDescent="0.3">
      <c r="A3671" s="176"/>
      <c r="B3671" s="175"/>
      <c r="C3671" s="36" t="s">
        <v>110</v>
      </c>
      <c r="D3671" s="36" t="s">
        <v>111</v>
      </c>
      <c r="E3671" s="37">
        <v>8.0000000000000002E-3</v>
      </c>
      <c r="F3671" s="34">
        <v>511.25031794899996</v>
      </c>
      <c r="G3671" s="34">
        <f>IF(ISNUMBER(F3671),E3671*F3671,"")</f>
        <v>4.090002543592</v>
      </c>
      <c r="H3671" s="35"/>
      <c r="I3671" s="31"/>
      <c r="J3671" s="155">
        <v>0</v>
      </c>
    </row>
    <row r="3672" spans="1:10" ht="15.75" hidden="1" thickBot="1" x14ac:dyDescent="0.3">
      <c r="A3672" s="177"/>
      <c r="B3672" s="178"/>
      <c r="C3672" s="36"/>
      <c r="D3672" s="36"/>
      <c r="E3672" s="37"/>
      <c r="F3672" s="31" t="s">
        <v>568</v>
      </c>
      <c r="G3672" s="31" t="str">
        <f>IF(ISNUMBER(F3672),E3672*F3672,"")</f>
        <v/>
      </c>
      <c r="H3672" s="35"/>
      <c r="I3672" s="31"/>
      <c r="J3672" s="155">
        <v>0</v>
      </c>
    </row>
    <row r="3673" spans="1:10" ht="15.75" thickBot="1" x14ac:dyDescent="0.3">
      <c r="A3673" s="172" t="s">
        <v>1169</v>
      </c>
      <c r="B3673" s="174" t="str">
        <f>INDEX(Orçamentária!A:B,MATCH(Composições!A3673,Orçamentária!A:A,0),2)</f>
        <v>Recomposição de rejuntamento sobre revestimentos</v>
      </c>
      <c r="C3673" s="41"/>
      <c r="D3673" s="26" t="str">
        <f>TRIM(INDEX(Orçamentária!C:C,MATCH(Composições!A3673,Orçamentária!A:A,0),1))</f>
        <v>m2</v>
      </c>
      <c r="E3673" s="27"/>
      <c r="F3673" s="49" t="s">
        <v>568</v>
      </c>
      <c r="G3673" s="28" t="str">
        <f>IF(ISNUMBER(F3673),E3673*F3673,"")</f>
        <v/>
      </c>
      <c r="H3673" s="29"/>
      <c r="I3673" s="30"/>
      <c r="J3673" s="155">
        <v>93</v>
      </c>
    </row>
    <row r="3674" spans="1:10" x14ac:dyDescent="0.25">
      <c r="A3674" s="173"/>
      <c r="B3674" s="175"/>
      <c r="C3674" s="32"/>
      <c r="D3674" s="32"/>
      <c r="E3674" s="33"/>
      <c r="F3674" s="54" t="s">
        <v>568</v>
      </c>
      <c r="G3674" s="54" t="str">
        <f>IF(ISNUMBER(F3674),E3674*F3674,"")</f>
        <v/>
      </c>
      <c r="H3674" s="73"/>
      <c r="I3674" s="74"/>
      <c r="J3674" s="155">
        <v>93</v>
      </c>
    </row>
    <row r="3675" spans="1:10" x14ac:dyDescent="0.25">
      <c r="A3675" s="173"/>
      <c r="B3675" s="175"/>
      <c r="C3675" s="36" t="s">
        <v>3612</v>
      </c>
      <c r="D3675" s="50" t="s">
        <v>42</v>
      </c>
      <c r="E3675" s="37">
        <v>0.25900000000000001</v>
      </c>
      <c r="F3675" s="54">
        <v>2.508</v>
      </c>
      <c r="G3675" s="54">
        <f>IF(ISNUMBER(F3675),E3675*F3675,"")</f>
        <v>0.64957200000000004</v>
      </c>
      <c r="H3675" s="39">
        <f>SUM(G3675:G3676)</f>
        <v>8.8053220000000003</v>
      </c>
      <c r="I3675" s="40"/>
      <c r="J3675" s="155">
        <v>93</v>
      </c>
    </row>
    <row r="3676" spans="1:10" x14ac:dyDescent="0.25">
      <c r="A3676" s="173"/>
      <c r="B3676" s="175"/>
      <c r="C3676" s="36" t="s">
        <v>23</v>
      </c>
      <c r="D3676" s="36" t="s">
        <v>12</v>
      </c>
      <c r="E3676" s="37">
        <f>0.25*2</f>
        <v>0.5</v>
      </c>
      <c r="F3676" s="54">
        <v>16.311500000000002</v>
      </c>
      <c r="G3676" s="54">
        <f>IF(ISNUMBER(F3676),E3676*F3676,"")</f>
        <v>8.1557500000000012</v>
      </c>
      <c r="H3676" s="73"/>
      <c r="I3676" s="74"/>
      <c r="J3676" s="155">
        <v>93</v>
      </c>
    </row>
    <row r="3677" spans="1:10" ht="15.75" thickBot="1" x14ac:dyDescent="0.3">
      <c r="A3677" s="185"/>
      <c r="B3677" s="178"/>
      <c r="C3677" s="36"/>
      <c r="D3677" s="36"/>
      <c r="E3677" s="37"/>
      <c r="F3677" s="54" t="s">
        <v>568</v>
      </c>
      <c r="G3677" s="54" t="str">
        <f>IF(ISNUMBER(F3677),E3677*F3677,"")</f>
        <v/>
      </c>
      <c r="H3677" s="73"/>
      <c r="I3677" s="74"/>
      <c r="J3677" s="155">
        <v>93</v>
      </c>
    </row>
    <row r="3678" spans="1:10" ht="15.75" thickBot="1" x14ac:dyDescent="0.3">
      <c r="A3678" s="172" t="s">
        <v>1170</v>
      </c>
      <c r="B3678" s="174" t="str">
        <f>INDEX(Orçamentária!A:B,MATCH(Composições!A3678,Orçamentária!A:A,0),2)</f>
        <v>Impermeabilização de revestimentos em pedra</v>
      </c>
      <c r="C3678" s="41"/>
      <c r="D3678" s="26" t="str">
        <f>TRIM(INDEX(Orçamentária!C:C,MATCH(Composições!A3678,Orçamentária!A:A,0),1))</f>
        <v>m2</v>
      </c>
      <c r="E3678" s="27"/>
      <c r="F3678" s="49" t="s">
        <v>568</v>
      </c>
      <c r="G3678" s="28" t="str">
        <f>IF(ISNUMBER(F3678),E3678*F3678,"")</f>
        <v/>
      </c>
      <c r="H3678" s="29"/>
      <c r="I3678" s="30"/>
      <c r="J3678" s="155">
        <v>1</v>
      </c>
    </row>
    <row r="3679" spans="1:10" x14ac:dyDescent="0.25">
      <c r="A3679" s="173"/>
      <c r="B3679" s="175"/>
      <c r="C3679" s="32"/>
      <c r="D3679" s="32"/>
      <c r="E3679" s="33"/>
      <c r="F3679" s="54" t="s">
        <v>568</v>
      </c>
      <c r="G3679" s="54" t="str">
        <f>IF(ISNUMBER(F3679),E3679*F3679,"")</f>
        <v/>
      </c>
      <c r="H3679" s="73"/>
      <c r="I3679" s="74"/>
      <c r="J3679" s="155">
        <v>1</v>
      </c>
    </row>
    <row r="3680" spans="1:10" x14ac:dyDescent="0.25">
      <c r="A3680" s="173"/>
      <c r="B3680" s="175"/>
      <c r="C3680" s="36" t="s">
        <v>1171</v>
      </c>
      <c r="D3680" s="50" t="s">
        <v>104</v>
      </c>
      <c r="E3680" s="37">
        <f>ROUND(1/12,4)</f>
        <v>8.3299999999999999E-2</v>
      </c>
      <c r="F3680" s="54">
        <v>244.17</v>
      </c>
      <c r="G3680" s="54">
        <f>IF(ISNUMBER(F3680),E3680*F3680,"")</f>
        <v>20.339361</v>
      </c>
      <c r="H3680" s="39">
        <f>SUM(G3680:G3682)</f>
        <v>38.485311000000003</v>
      </c>
      <c r="I3680" s="40"/>
      <c r="J3680" s="155">
        <v>1</v>
      </c>
    </row>
    <row r="3681" spans="1:10" x14ac:dyDescent="0.25">
      <c r="A3681" s="173"/>
      <c r="B3681" s="175"/>
      <c r="C3681" s="36" t="s">
        <v>1071</v>
      </c>
      <c r="D3681" s="36" t="s">
        <v>755</v>
      </c>
      <c r="E3681" s="37">
        <f>1.2/2</f>
        <v>0.6</v>
      </c>
      <c r="F3681" s="54">
        <v>22.087499999999999</v>
      </c>
      <c r="G3681" s="54">
        <f>IF(ISNUMBER(F3681),E3681*F3681,"")</f>
        <v>13.2525</v>
      </c>
      <c r="H3681" s="73"/>
      <c r="I3681" s="74"/>
      <c r="J3681" s="155">
        <v>1</v>
      </c>
    </row>
    <row r="3682" spans="1:10" x14ac:dyDescent="0.25">
      <c r="A3682" s="173"/>
      <c r="B3682" s="175"/>
      <c r="C3682" s="36" t="s">
        <v>23</v>
      </c>
      <c r="D3682" s="36" t="s">
        <v>755</v>
      </c>
      <c r="E3682" s="37">
        <f>0.6/2</f>
        <v>0.3</v>
      </c>
      <c r="F3682" s="54">
        <v>16.311500000000002</v>
      </c>
      <c r="G3682" s="54">
        <f>IF(ISNUMBER(F3682),E3682*F3682,"")</f>
        <v>4.8934500000000005</v>
      </c>
      <c r="H3682" s="73"/>
      <c r="I3682" s="74"/>
      <c r="J3682" s="155">
        <v>1</v>
      </c>
    </row>
    <row r="3683" spans="1:10" x14ac:dyDescent="0.25">
      <c r="A3683" s="173"/>
      <c r="B3683" s="175"/>
      <c r="C3683" s="36"/>
      <c r="D3683" s="36"/>
      <c r="E3683" s="37"/>
      <c r="F3683" s="54" t="s">
        <v>568</v>
      </c>
      <c r="G3683" s="54" t="str">
        <f>IF(ISNUMBER(F3683),E3683*F3683,"")</f>
        <v/>
      </c>
      <c r="H3683" s="73"/>
      <c r="I3683" s="74"/>
      <c r="J3683" s="155">
        <v>1</v>
      </c>
    </row>
    <row r="3684" spans="1:10" ht="25.5" x14ac:dyDescent="0.25">
      <c r="A3684" s="173"/>
      <c r="B3684" s="175"/>
      <c r="C3684" s="48" t="s">
        <v>1172</v>
      </c>
      <c r="D3684" s="36"/>
      <c r="E3684" s="37"/>
      <c r="F3684" s="54" t="s">
        <v>568</v>
      </c>
      <c r="G3684" s="54" t="str">
        <f>IF(ISNUMBER(F3684),E3684*F3684,"")</f>
        <v/>
      </c>
      <c r="H3684" s="73"/>
      <c r="I3684" s="74"/>
      <c r="J3684" s="155">
        <v>1</v>
      </c>
    </row>
    <row r="3685" spans="1:10" x14ac:dyDescent="0.25">
      <c r="A3685" s="173"/>
      <c r="B3685" s="175"/>
      <c r="C3685" s="48" t="s">
        <v>1173</v>
      </c>
      <c r="D3685" s="36"/>
      <c r="E3685" s="37"/>
      <c r="F3685" s="54" t="s">
        <v>568</v>
      </c>
      <c r="G3685" s="54" t="str">
        <f>IF(ISNUMBER(F3685),E3685*F3685,"")</f>
        <v/>
      </c>
      <c r="H3685" s="73"/>
      <c r="I3685" s="74"/>
      <c r="J3685" s="155">
        <v>1</v>
      </c>
    </row>
    <row r="3686" spans="1:10" ht="15.75" thickBot="1" x14ac:dyDescent="0.3">
      <c r="A3686" s="185"/>
      <c r="B3686" s="178"/>
      <c r="C3686" s="36"/>
      <c r="D3686" s="36"/>
      <c r="E3686" s="37"/>
      <c r="F3686" s="54" t="s">
        <v>568</v>
      </c>
      <c r="G3686" s="54" t="str">
        <f>IF(ISNUMBER(F3686),E3686*F3686,"")</f>
        <v/>
      </c>
      <c r="H3686" s="73"/>
      <c r="I3686" s="74"/>
      <c r="J3686" s="155">
        <v>1</v>
      </c>
    </row>
    <row r="3687" spans="1:10" ht="15.75" thickBot="1" x14ac:dyDescent="0.3">
      <c r="A3687" s="172" t="s">
        <v>1174</v>
      </c>
      <c r="B3687" s="174" t="str">
        <f>INDEX(Orçamentária!A:B,MATCH(Composições!A3687,Orçamentária!A:A,0),2)</f>
        <v>Piso vinílico semiflexível</v>
      </c>
      <c r="C3687" s="41"/>
      <c r="D3687" s="26" t="str">
        <f>TRIM(INDEX(Orçamentária!C:C,MATCH(Composições!A3687,Orçamentária!A:A,0),1))</f>
        <v>m2</v>
      </c>
      <c r="E3687" s="27"/>
      <c r="F3687" s="49" t="s">
        <v>568</v>
      </c>
      <c r="G3687" s="28" t="str">
        <f>IF(ISNUMBER(F3687),E3687*F3687,"")</f>
        <v/>
      </c>
      <c r="H3687" s="29"/>
      <c r="I3687" s="30"/>
      <c r="J3687" s="155">
        <v>330</v>
      </c>
    </row>
    <row r="3688" spans="1:10" x14ac:dyDescent="0.25">
      <c r="A3688" s="176"/>
      <c r="B3688" s="175"/>
      <c r="C3688" s="32"/>
      <c r="D3688" s="32"/>
      <c r="E3688" s="33"/>
      <c r="F3688" s="54" t="s">
        <v>568</v>
      </c>
      <c r="G3688" s="54" t="str">
        <f>IF(ISNUMBER(F3688),E3688*F3688,"")</f>
        <v/>
      </c>
      <c r="H3688" s="73"/>
      <c r="I3688" s="74"/>
      <c r="J3688" s="155">
        <v>330</v>
      </c>
    </row>
    <row r="3689" spans="1:10" x14ac:dyDescent="0.25">
      <c r="A3689" s="176"/>
      <c r="B3689" s="175"/>
      <c r="C3689" s="36" t="s">
        <v>303</v>
      </c>
      <c r="D3689" s="36" t="s">
        <v>953</v>
      </c>
      <c r="E3689" s="37">
        <v>9.5000000000000001E-2</v>
      </c>
      <c r="F3689" s="54">
        <v>25.478999999999999</v>
      </c>
      <c r="G3689" s="54">
        <f>IF(ISNUMBER(F3689),E3689*F3689,"")</f>
        <v>2.4205049999999999</v>
      </c>
      <c r="H3689" s="39">
        <f>SUM(G3689:G3694)</f>
        <v>147.07158999999999</v>
      </c>
      <c r="I3689" s="40"/>
      <c r="J3689" s="155">
        <v>330</v>
      </c>
    </row>
    <row r="3690" spans="1:10" ht="25.5" x14ac:dyDescent="0.25">
      <c r="A3690" s="176"/>
      <c r="B3690" s="175"/>
      <c r="C3690" s="36" t="s">
        <v>1175</v>
      </c>
      <c r="D3690" s="36" t="s">
        <v>1049</v>
      </c>
      <c r="E3690" s="37">
        <v>1.1100000000000001</v>
      </c>
      <c r="F3690" s="54">
        <v>123.07250000000001</v>
      </c>
      <c r="G3690" s="54">
        <f>IF(ISNUMBER(F3690),E3690*F3690,"")</f>
        <v>136.61047500000001</v>
      </c>
      <c r="H3690" s="73"/>
      <c r="I3690" s="74"/>
      <c r="J3690" s="155">
        <v>330</v>
      </c>
    </row>
    <row r="3691" spans="1:10" x14ac:dyDescent="0.25">
      <c r="A3691" s="176"/>
      <c r="B3691" s="175"/>
      <c r="C3691" s="36" t="s">
        <v>764</v>
      </c>
      <c r="D3691" s="36" t="s">
        <v>755</v>
      </c>
      <c r="E3691" s="37">
        <v>0.26100000000000001</v>
      </c>
      <c r="F3691" s="54">
        <v>22.087499999999999</v>
      </c>
      <c r="G3691" s="54">
        <f>IF(ISNUMBER(F3691),E3691*F3691,"")</f>
        <v>5.7648374999999996</v>
      </c>
      <c r="H3691" s="73"/>
      <c r="I3691" s="74"/>
      <c r="J3691" s="155">
        <v>330</v>
      </c>
    </row>
    <row r="3692" spans="1:10" x14ac:dyDescent="0.25">
      <c r="A3692" s="176"/>
      <c r="B3692" s="175"/>
      <c r="C3692" s="36" t="s">
        <v>756</v>
      </c>
      <c r="D3692" s="36" t="s">
        <v>755</v>
      </c>
      <c r="E3692" s="37">
        <v>0.13</v>
      </c>
      <c r="F3692" s="54">
        <v>16.311500000000002</v>
      </c>
      <c r="G3692" s="54">
        <f>IF(ISNUMBER(F3692),E3692*F3692,"")</f>
        <v>2.1204950000000005</v>
      </c>
      <c r="H3692" s="73"/>
      <c r="I3692" s="74"/>
      <c r="J3692" s="155">
        <v>330</v>
      </c>
    </row>
    <row r="3693" spans="1:10" ht="25.5" x14ac:dyDescent="0.25">
      <c r="A3693" s="176"/>
      <c r="B3693" s="175"/>
      <c r="C3693" s="36" t="s">
        <v>1176</v>
      </c>
      <c r="D3693" s="36" t="s">
        <v>997</v>
      </c>
      <c r="E3693" s="37">
        <v>2.5000000000000001E-2</v>
      </c>
      <c r="F3693" s="54">
        <v>2.1755</v>
      </c>
      <c r="G3693" s="54">
        <f>IF(ISNUMBER(F3693),E3693*F3693,"")</f>
        <v>5.4387500000000005E-2</v>
      </c>
      <c r="H3693" s="73"/>
      <c r="I3693" s="74"/>
      <c r="J3693" s="155">
        <v>330</v>
      </c>
    </row>
    <row r="3694" spans="1:10" ht="25.5" x14ac:dyDescent="0.25">
      <c r="A3694" s="176"/>
      <c r="B3694" s="175"/>
      <c r="C3694" s="36" t="s">
        <v>1177</v>
      </c>
      <c r="D3694" s="36" t="s">
        <v>999</v>
      </c>
      <c r="E3694" s="37">
        <v>0.23599999999999999</v>
      </c>
      <c r="F3694" s="54">
        <v>0.42749999999999999</v>
      </c>
      <c r="G3694" s="54">
        <f>IF(ISNUMBER(F3694),E3694*F3694,"")</f>
        <v>0.10088999999999999</v>
      </c>
      <c r="H3694" s="73"/>
      <c r="I3694" s="74"/>
      <c r="J3694" s="155">
        <v>330</v>
      </c>
    </row>
    <row r="3695" spans="1:10" ht="15.75" thickBot="1" x14ac:dyDescent="0.3">
      <c r="A3695" s="176"/>
      <c r="B3695" s="175"/>
      <c r="C3695" s="36"/>
      <c r="D3695" s="36"/>
      <c r="E3695" s="37"/>
      <c r="F3695" s="54" t="s">
        <v>568</v>
      </c>
      <c r="G3695" s="54" t="str">
        <f>IF(ISNUMBER(F3695),E3695*F3695,"")</f>
        <v/>
      </c>
      <c r="H3695" s="73"/>
      <c r="I3695" s="74"/>
      <c r="J3695" s="155">
        <v>330</v>
      </c>
    </row>
    <row r="3696" spans="1:10" ht="15.75" hidden="1" thickBot="1" x14ac:dyDescent="0.3">
      <c r="A3696" s="172" t="s">
        <v>1178</v>
      </c>
      <c r="B3696" s="174" t="str">
        <f>INDEX(Orçamentária!A:B,MATCH(Composições!A3696,Orçamentária!A:A,0),2)</f>
        <v>Locação de Container - Sanitário</v>
      </c>
      <c r="C3696" s="41"/>
      <c r="D3696" s="26" t="str">
        <f>TRIM(INDEX(Orçamentária!C:C,MATCH(Composições!A3696,Orçamentária!A:A,0),1))</f>
        <v>mês</v>
      </c>
      <c r="E3696" s="27"/>
      <c r="F3696" s="49" t="s">
        <v>568</v>
      </c>
      <c r="G3696" s="28" t="str">
        <f>IF(ISNUMBER(F3696),E3696*F3696,"")</f>
        <v/>
      </c>
      <c r="H3696" s="29"/>
      <c r="I3696" s="30"/>
      <c r="J3696" s="155">
        <v>0</v>
      </c>
    </row>
    <row r="3697" spans="1:10" ht="15.75" hidden="1" thickBot="1" x14ac:dyDescent="0.3">
      <c r="A3697" s="173"/>
      <c r="B3697" s="175"/>
      <c r="C3697" s="32"/>
      <c r="D3697" s="32"/>
      <c r="E3697" s="33"/>
      <c r="F3697" s="54" t="s">
        <v>568</v>
      </c>
      <c r="G3697" s="54" t="str">
        <f>IF(ISNUMBER(F3697),E3697*F3697,"")</f>
        <v/>
      </c>
      <c r="H3697" s="73"/>
      <c r="I3697" s="74"/>
      <c r="J3697" s="155">
        <v>0</v>
      </c>
    </row>
    <row r="3698" spans="1:10" ht="39" hidden="1" thickBot="1" x14ac:dyDescent="0.3">
      <c r="A3698" s="173"/>
      <c r="B3698" s="175"/>
      <c r="C3698" s="36" t="s">
        <v>1179</v>
      </c>
      <c r="D3698" s="50" t="s">
        <v>130</v>
      </c>
      <c r="E3698" s="37">
        <v>1</v>
      </c>
      <c r="F3698" s="54">
        <v>694.6875</v>
      </c>
      <c r="G3698" s="54">
        <f>IF(ISNUMBER(F3698),E3698*F3698,"")</f>
        <v>694.6875</v>
      </c>
      <c r="H3698" s="39">
        <f>SUM(G3698:G3698)</f>
        <v>694.6875</v>
      </c>
      <c r="I3698" s="40"/>
      <c r="J3698" s="155">
        <v>0</v>
      </c>
    </row>
    <row r="3699" spans="1:10" ht="15.75" hidden="1" thickBot="1" x14ac:dyDescent="0.3">
      <c r="A3699" s="185"/>
      <c r="B3699" s="178"/>
      <c r="C3699" s="36"/>
      <c r="D3699" s="36"/>
      <c r="E3699" s="37"/>
      <c r="F3699" s="54" t="s">
        <v>568</v>
      </c>
      <c r="G3699" s="54" t="str">
        <f>IF(ISNUMBER(F3699),E3699*F3699,"")</f>
        <v/>
      </c>
      <c r="H3699" s="73"/>
      <c r="I3699" s="74"/>
      <c r="J3699" s="155">
        <v>0</v>
      </c>
    </row>
    <row r="3700" spans="1:10" ht="15.75" hidden="1" thickBot="1" x14ac:dyDescent="0.3">
      <c r="A3700" s="172" t="s">
        <v>1180</v>
      </c>
      <c r="B3700" s="174" t="str">
        <f>INDEX(Orçamentária!A:B,MATCH(Composições!A3700,Orçamentária!A:A,0),2)</f>
        <v>Locação de Container - Almoxarifado</v>
      </c>
      <c r="C3700" s="41"/>
      <c r="D3700" s="26" t="str">
        <f>TRIM(INDEX(Orçamentária!C:C,MATCH(Composições!A3700,Orçamentária!A:A,0),1))</f>
        <v>mês</v>
      </c>
      <c r="E3700" s="27"/>
      <c r="F3700" s="49" t="s">
        <v>568</v>
      </c>
      <c r="G3700" s="28" t="str">
        <f>IF(ISNUMBER(F3700),E3700*F3700,"")</f>
        <v/>
      </c>
      <c r="H3700" s="29"/>
      <c r="I3700" s="30"/>
      <c r="J3700" s="155">
        <v>0</v>
      </c>
    </row>
    <row r="3701" spans="1:10" ht="15.75" hidden="1" thickBot="1" x14ac:dyDescent="0.3">
      <c r="A3701" s="173"/>
      <c r="B3701" s="175"/>
      <c r="C3701" s="32"/>
      <c r="D3701" s="32"/>
      <c r="E3701" s="33"/>
      <c r="F3701" s="54" t="s">
        <v>568</v>
      </c>
      <c r="G3701" s="54" t="str">
        <f>IF(ISNUMBER(F3701),E3701*F3701,"")</f>
        <v/>
      </c>
      <c r="H3701" s="73"/>
      <c r="I3701" s="74"/>
      <c r="J3701" s="155">
        <v>0</v>
      </c>
    </row>
    <row r="3702" spans="1:10" ht="26.25" hidden="1" thickBot="1" x14ac:dyDescent="0.3">
      <c r="A3702" s="173"/>
      <c r="B3702" s="175"/>
      <c r="C3702" s="36" t="s">
        <v>1181</v>
      </c>
      <c r="D3702" s="50" t="s">
        <v>130</v>
      </c>
      <c r="E3702" s="37">
        <v>1</v>
      </c>
      <c r="F3702" s="54">
        <v>434.17849999999993</v>
      </c>
      <c r="G3702" s="54">
        <f>IF(ISNUMBER(F3702),E3702*F3702,"")</f>
        <v>434.17849999999993</v>
      </c>
      <c r="H3702" s="39">
        <f>SUM(G3702:G3702)</f>
        <v>434.17849999999993</v>
      </c>
      <c r="I3702" s="40"/>
      <c r="J3702" s="155">
        <v>0</v>
      </c>
    </row>
    <row r="3703" spans="1:10" ht="15.75" hidden="1" thickBot="1" x14ac:dyDescent="0.3">
      <c r="A3703" s="185"/>
      <c r="B3703" s="178"/>
      <c r="C3703" s="36"/>
      <c r="D3703" s="36"/>
      <c r="E3703" s="37"/>
      <c r="F3703" s="54" t="s">
        <v>568</v>
      </c>
      <c r="G3703" s="54" t="str">
        <f>IF(ISNUMBER(F3703),E3703*F3703,"")</f>
        <v/>
      </c>
      <c r="H3703" s="73"/>
      <c r="I3703" s="74"/>
      <c r="J3703" s="155">
        <v>0</v>
      </c>
    </row>
    <row r="3704" spans="1:10" ht="15.75" thickBot="1" x14ac:dyDescent="0.3">
      <c r="A3704" s="172" t="s">
        <v>1182</v>
      </c>
      <c r="B3704" s="174" t="str">
        <f>INDEX(Orçamentária!A:B,MATCH(Composições!A3704,Orçamentária!A:A,0),2)</f>
        <v>Placa de Obra</v>
      </c>
      <c r="C3704" s="41"/>
      <c r="D3704" s="26" t="str">
        <f>TRIM(INDEX(Orçamentária!C:C,MATCH(Composições!A3704,Orçamentária!A:A,0),1))</f>
        <v>m2</v>
      </c>
      <c r="E3704" s="27"/>
      <c r="F3704" s="49" t="s">
        <v>568</v>
      </c>
      <c r="G3704" s="28" t="str">
        <f>IF(ISNUMBER(F3704),E3704*F3704,"")</f>
        <v/>
      </c>
      <c r="H3704" s="29"/>
      <c r="I3704" s="30"/>
      <c r="J3704" s="155">
        <v>1</v>
      </c>
    </row>
    <row r="3705" spans="1:10" x14ac:dyDescent="0.25">
      <c r="A3705" s="176"/>
      <c r="B3705" s="175"/>
      <c r="C3705" s="32"/>
      <c r="D3705" s="32"/>
      <c r="E3705" s="33"/>
      <c r="F3705" s="54" t="s">
        <v>568</v>
      </c>
      <c r="G3705" s="54" t="str">
        <f>IF(ISNUMBER(F3705),E3705*F3705,"")</f>
        <v/>
      </c>
      <c r="H3705" s="73"/>
      <c r="I3705" s="74"/>
      <c r="J3705" s="155">
        <v>1</v>
      </c>
    </row>
    <row r="3706" spans="1:10" ht="25.5" x14ac:dyDescent="0.25">
      <c r="A3706" s="176"/>
      <c r="B3706" s="175"/>
      <c r="C3706" s="36" t="s">
        <v>1183</v>
      </c>
      <c r="D3706" s="36" t="s">
        <v>1049</v>
      </c>
      <c r="E3706" s="37">
        <v>1</v>
      </c>
      <c r="F3706" s="54">
        <v>213.75</v>
      </c>
      <c r="G3706" s="54">
        <f>IF(ISNUMBER(F3706),E3706*F3706,"")</f>
        <v>213.75</v>
      </c>
      <c r="H3706" s="39">
        <f>SUM(G3706:G3707)</f>
        <v>213.75</v>
      </c>
      <c r="I3706" s="40"/>
      <c r="J3706" s="155">
        <v>1</v>
      </c>
    </row>
    <row r="3707" spans="1:10" ht="15.75" thickBot="1" x14ac:dyDescent="0.3">
      <c r="A3707" s="177"/>
      <c r="B3707" s="178"/>
      <c r="C3707" s="55"/>
      <c r="D3707" s="55"/>
      <c r="E3707" s="66"/>
      <c r="F3707" s="76" t="s">
        <v>568</v>
      </c>
      <c r="G3707" s="76" t="str">
        <f>IF(ISNUMBER(F3707),E3707*F3707,"")</f>
        <v/>
      </c>
      <c r="H3707" s="77"/>
      <c r="I3707" s="74"/>
      <c r="J3707" s="155">
        <v>1</v>
      </c>
    </row>
    <row r="3708" spans="1:10" ht="15.75" hidden="1" thickBot="1" x14ac:dyDescent="0.3">
      <c r="A3708" s="172" t="s">
        <v>1184</v>
      </c>
      <c r="B3708" s="174" t="str">
        <f>INDEX(Orçamentária!A:B,MATCH(Composições!A3708,Orçamentária!A:A,0),2)</f>
        <v>Supervisor de Obras e Manutenção – Apoio de campo – Segurança do Trabalho</v>
      </c>
      <c r="C3708" s="41"/>
      <c r="D3708" s="26" t="str">
        <f>TRIM(INDEX(Orçamentária!C:C,MATCH(Composições!A3708,Orçamentária!A:A,0),1))</f>
        <v>Profissional</v>
      </c>
      <c r="E3708" s="27"/>
      <c r="F3708" s="49" t="s">
        <v>568</v>
      </c>
      <c r="G3708" s="28" t="str">
        <f>IF(ISNUMBER(F3708),E3708*F3708,"")</f>
        <v/>
      </c>
      <c r="H3708" s="29"/>
      <c r="I3708" s="30"/>
      <c r="J3708" s="155">
        <v>0</v>
      </c>
    </row>
    <row r="3709" spans="1:10" ht="15.75" hidden="1" thickBot="1" x14ac:dyDescent="0.3">
      <c r="A3709" s="176"/>
      <c r="B3709" s="175"/>
      <c r="C3709" s="32"/>
      <c r="D3709" s="32"/>
      <c r="E3709" s="33"/>
      <c r="F3709" s="54" t="s">
        <v>568</v>
      </c>
      <c r="G3709" s="54" t="str">
        <f>IF(ISNUMBER(F3709),E3709*F3709,"")</f>
        <v/>
      </c>
      <c r="H3709" s="73"/>
      <c r="I3709" s="74"/>
      <c r="J3709" s="155">
        <v>0</v>
      </c>
    </row>
    <row r="3710" spans="1:10" ht="26.25" hidden="1" thickBot="1" x14ac:dyDescent="0.3">
      <c r="A3710" s="176"/>
      <c r="B3710" s="175"/>
      <c r="C3710" s="36" t="s">
        <v>1185</v>
      </c>
      <c r="D3710" s="36" t="s">
        <v>130</v>
      </c>
      <c r="E3710" s="37">
        <f>ROUND(1/(1+72.54%),4)</f>
        <v>0.5796</v>
      </c>
      <c r="F3710" s="54">
        <v>6730.4934999999996</v>
      </c>
      <c r="G3710" s="54">
        <f>IF(ISNUMBER(F3710),E3710*F3710,"")</f>
        <v>3900.9940325999996</v>
      </c>
      <c r="H3710" s="39">
        <f>SUM(G3710:G3713)</f>
        <v>3900.9940325999996</v>
      </c>
      <c r="I3710" s="40"/>
      <c r="J3710" s="155">
        <v>0</v>
      </c>
    </row>
    <row r="3711" spans="1:10" ht="15.75" hidden="1" thickBot="1" x14ac:dyDescent="0.3">
      <c r="A3711" s="176"/>
      <c r="B3711" s="175"/>
      <c r="C3711" s="36"/>
      <c r="D3711" s="36"/>
      <c r="E3711" s="37"/>
      <c r="F3711" s="54" t="s">
        <v>568</v>
      </c>
      <c r="G3711" s="54" t="str">
        <f>IF(ISNUMBER(F3711),E3711*F3711,"")</f>
        <v/>
      </c>
      <c r="H3711" s="73"/>
      <c r="I3711" s="74"/>
      <c r="J3711" s="155">
        <v>0</v>
      </c>
    </row>
    <row r="3712" spans="1:10" ht="26.25" hidden="1" thickBot="1" x14ac:dyDescent="0.3">
      <c r="A3712" s="176"/>
      <c r="B3712" s="175"/>
      <c r="C3712" s="48" t="s">
        <v>834</v>
      </c>
      <c r="D3712" s="36"/>
      <c r="E3712" s="37"/>
      <c r="F3712" s="54" t="s">
        <v>568</v>
      </c>
      <c r="G3712" s="54" t="str">
        <f>IF(ISNUMBER(F3712),E3712*F3712,"")</f>
        <v/>
      </c>
      <c r="H3712" s="73"/>
      <c r="I3712" s="74"/>
      <c r="J3712" s="155">
        <v>0</v>
      </c>
    </row>
    <row r="3713" spans="1:10" ht="15.75" hidden="1" thickBot="1" x14ac:dyDescent="0.3">
      <c r="A3713" s="177"/>
      <c r="B3713" s="178"/>
      <c r="C3713" s="55"/>
      <c r="D3713" s="55"/>
      <c r="E3713" s="66"/>
      <c r="F3713" s="76" t="s">
        <v>568</v>
      </c>
      <c r="G3713" s="76" t="str">
        <f>IF(ISNUMBER(F3713),E3713*F3713,"")</f>
        <v/>
      </c>
      <c r="H3713" s="77"/>
      <c r="I3713" s="74"/>
      <c r="J3713" s="155">
        <v>0</v>
      </c>
    </row>
    <row r="3714" spans="1:10" ht="15.75" hidden="1" thickBot="1" x14ac:dyDescent="0.3">
      <c r="A3714" s="172" t="s">
        <v>1186</v>
      </c>
      <c r="B3714" s="174" t="str">
        <f>INDEX(Orçamentária!A:B,MATCH(Composições!A3714,Orçamentária!A:A,0),2)</f>
        <v xml:space="preserve">Reparo de placas de mármore com adesivo estrutural epóxi branco/transparente </v>
      </c>
      <c r="C3714" s="41"/>
      <c r="D3714" s="26" t="str">
        <f>TRIM(INDEX(Orçamentária!C:C,MATCH(Composições!A3714,Orçamentária!A:A,0),1))</f>
        <v>m2</v>
      </c>
      <c r="E3714" s="27"/>
      <c r="F3714" s="49" t="s">
        <v>568</v>
      </c>
      <c r="G3714" s="28" t="str">
        <f>IF(ISNUMBER(F3714),E3714*F3714,"")</f>
        <v/>
      </c>
      <c r="H3714" s="29"/>
      <c r="I3714" s="30"/>
      <c r="J3714" s="155">
        <v>0</v>
      </c>
    </row>
    <row r="3715" spans="1:10" ht="15.75" hidden="1" thickBot="1" x14ac:dyDescent="0.3">
      <c r="A3715" s="173"/>
      <c r="B3715" s="175"/>
      <c r="C3715" s="32"/>
      <c r="D3715" s="32"/>
      <c r="E3715" s="33"/>
      <c r="F3715" s="54" t="s">
        <v>568</v>
      </c>
      <c r="G3715" s="54" t="str">
        <f>IF(ISNUMBER(F3715),E3715*F3715,"")</f>
        <v/>
      </c>
      <c r="H3715" s="73"/>
      <c r="I3715" s="74"/>
      <c r="J3715" s="155">
        <v>0</v>
      </c>
    </row>
    <row r="3716" spans="1:10" ht="15.75" hidden="1" thickBot="1" x14ac:dyDescent="0.3">
      <c r="A3716" s="173"/>
      <c r="B3716" s="175"/>
      <c r="C3716" s="36" t="s">
        <v>54</v>
      </c>
      <c r="D3716" s="36" t="s">
        <v>12</v>
      </c>
      <c r="E3716" s="37">
        <f>0.5/50</f>
        <v>0.01</v>
      </c>
      <c r="F3716" s="54">
        <v>18.420500000000001</v>
      </c>
      <c r="G3716" s="54">
        <f>IF(ISNUMBER(F3716),E3716*F3716,"")</f>
        <v>0.18420500000000001</v>
      </c>
      <c r="H3716" s="39">
        <f>SUM(G3716:G3717)</f>
        <v>0.18420500000000001</v>
      </c>
      <c r="I3716" s="40"/>
      <c r="J3716" s="155">
        <v>0</v>
      </c>
    </row>
    <row r="3717" spans="1:10" ht="15.75" hidden="1" thickBot="1" x14ac:dyDescent="0.3">
      <c r="A3717" s="173"/>
      <c r="B3717" s="175"/>
      <c r="C3717" s="36" t="s">
        <v>1187</v>
      </c>
      <c r="D3717" s="36" t="s">
        <v>149</v>
      </c>
      <c r="E3717" s="37">
        <f>1/50</f>
        <v>0.02</v>
      </c>
      <c r="F3717" s="54" t="s">
        <v>568</v>
      </c>
      <c r="G3717" s="54" t="str">
        <f>IF(ISNUMBER(F3717),E3717*F3717,"")</f>
        <v/>
      </c>
      <c r="H3717" s="73"/>
      <c r="I3717" s="74"/>
      <c r="J3717" s="155">
        <v>0</v>
      </c>
    </row>
    <row r="3718" spans="1:10" ht="15.75" hidden="1" thickBot="1" x14ac:dyDescent="0.3">
      <c r="A3718" s="185"/>
      <c r="B3718" s="178"/>
      <c r="C3718" s="36"/>
      <c r="D3718" s="36"/>
      <c r="E3718" s="37"/>
      <c r="F3718" s="54" t="s">
        <v>568</v>
      </c>
      <c r="G3718" s="54" t="str">
        <f>IF(ISNUMBER(F3718),E3718*F3718,"")</f>
        <v/>
      </c>
      <c r="H3718" s="73"/>
      <c r="I3718" s="74"/>
      <c r="J3718" s="155">
        <v>0</v>
      </c>
    </row>
    <row r="3719" spans="1:10" ht="15.75" hidden="1" thickBot="1" x14ac:dyDescent="0.3">
      <c r="A3719" s="172" t="s">
        <v>1188</v>
      </c>
      <c r="B3719" s="174" t="str">
        <f>INDEX(Orçamentária!A:B,MATCH(Composições!A3719,Orçamentária!A:A,0),2)</f>
        <v>Perfil de chapa de aço galvanizado para esquadria (Anexo 1)</v>
      </c>
      <c r="C3719" s="41"/>
      <c r="D3719" s="26" t="str">
        <f>TRIM(INDEX(Orçamentária!C:C,MATCH(Composições!A3719,Orçamentária!A:A,0),1))</f>
        <v>m2</v>
      </c>
      <c r="E3719" s="27"/>
      <c r="F3719" s="49" t="s">
        <v>568</v>
      </c>
      <c r="G3719" s="28" t="str">
        <f>IF(ISNUMBER(F3719),E3719*F3719,"")</f>
        <v/>
      </c>
      <c r="H3719" s="29"/>
      <c r="I3719" s="30"/>
      <c r="J3719" s="155">
        <v>0</v>
      </c>
    </row>
    <row r="3720" spans="1:10" ht="15.75" hidden="1" thickBot="1" x14ac:dyDescent="0.3">
      <c r="A3720" s="173"/>
      <c r="B3720" s="175"/>
      <c r="C3720" s="32"/>
      <c r="D3720" s="32"/>
      <c r="E3720" s="33"/>
      <c r="F3720" s="54" t="s">
        <v>568</v>
      </c>
      <c r="G3720" s="54" t="str">
        <f>IF(ISNUMBER(F3720),E3720*F3720,"")</f>
        <v/>
      </c>
      <c r="H3720" s="73"/>
      <c r="I3720" s="74"/>
      <c r="J3720" s="155">
        <v>0</v>
      </c>
    </row>
    <row r="3721" spans="1:10" ht="15.75" hidden="1" thickBot="1" x14ac:dyDescent="0.3">
      <c r="A3721" s="173"/>
      <c r="B3721" s="175"/>
      <c r="C3721" s="36" t="s">
        <v>22</v>
      </c>
      <c r="D3721" s="36" t="s">
        <v>12</v>
      </c>
      <c r="E3721" s="37">
        <v>0.5</v>
      </c>
      <c r="F3721" s="54">
        <v>22.087499999999999</v>
      </c>
      <c r="G3721" s="54">
        <f>IF(ISNUMBER(F3721),E3721*F3721,"")</f>
        <v>11.043749999999999</v>
      </c>
      <c r="H3721" s="39">
        <f>SUM(G3721:G3726)</f>
        <v>30.0528692324798</v>
      </c>
      <c r="I3721" s="40"/>
      <c r="J3721" s="155">
        <v>0</v>
      </c>
    </row>
    <row r="3722" spans="1:10" ht="15.75" hidden="1" thickBot="1" x14ac:dyDescent="0.3">
      <c r="A3722" s="173"/>
      <c r="B3722" s="175"/>
      <c r="C3722" s="36" t="s">
        <v>23</v>
      </c>
      <c r="D3722" s="36" t="s">
        <v>12</v>
      </c>
      <c r="E3722" s="37">
        <v>0.51</v>
      </c>
      <c r="F3722" s="54">
        <v>16.311500000000002</v>
      </c>
      <c r="G3722" s="54">
        <f>IF(ISNUMBER(F3722),E3722*F3722,"")</f>
        <v>8.3188650000000006</v>
      </c>
      <c r="H3722" s="73"/>
      <c r="I3722" s="74"/>
      <c r="J3722" s="155">
        <v>0</v>
      </c>
    </row>
    <row r="3723" spans="1:10" ht="39" hidden="1" thickBot="1" x14ac:dyDescent="0.3">
      <c r="A3723" s="173"/>
      <c r="B3723" s="175"/>
      <c r="C3723" s="36" t="s">
        <v>184</v>
      </c>
      <c r="D3723" s="47" t="s">
        <v>111</v>
      </c>
      <c r="E3723" s="37">
        <v>3.0999999999999999E-3</v>
      </c>
      <c r="F3723" s="54">
        <v>526.33683305799991</v>
      </c>
      <c r="G3723" s="54">
        <f>IF(ISNUMBER(F3723),E3723*F3723,"")</f>
        <v>1.6316441824797996</v>
      </c>
      <c r="H3723" s="73"/>
      <c r="I3723" s="74"/>
      <c r="J3723" s="155">
        <v>0</v>
      </c>
    </row>
    <row r="3724" spans="1:10" ht="15.75" hidden="1" thickBot="1" x14ac:dyDescent="0.3">
      <c r="A3724" s="173"/>
      <c r="B3724" s="175"/>
      <c r="C3724" s="36" t="s">
        <v>1189</v>
      </c>
      <c r="D3724" s="47" t="s">
        <v>93</v>
      </c>
      <c r="E3724" s="37">
        <v>1</v>
      </c>
      <c r="F3724" s="54" t="s">
        <v>568</v>
      </c>
      <c r="G3724" s="54" t="str">
        <f>IF(ISNUMBER(F3724),E3724*F3724,"")</f>
        <v/>
      </c>
      <c r="H3724" s="73"/>
      <c r="I3724" s="74"/>
      <c r="J3724" s="155">
        <v>0</v>
      </c>
    </row>
    <row r="3725" spans="1:10" ht="15.75" hidden="1" thickBot="1" x14ac:dyDescent="0.3">
      <c r="A3725" s="173"/>
      <c r="B3725" s="175"/>
      <c r="C3725" s="36" t="s">
        <v>23</v>
      </c>
      <c r="D3725" s="36" t="s">
        <v>12</v>
      </c>
      <c r="E3725" s="37">
        <v>0.15</v>
      </c>
      <c r="F3725" s="54">
        <v>16.311500000000002</v>
      </c>
      <c r="G3725" s="54">
        <f>IF(ISNUMBER(F3725),E3725*F3725,"")</f>
        <v>2.4467250000000003</v>
      </c>
      <c r="H3725" s="73"/>
      <c r="I3725" s="74"/>
      <c r="J3725" s="155">
        <v>0</v>
      </c>
    </row>
    <row r="3726" spans="1:10" ht="15.75" hidden="1" thickBot="1" x14ac:dyDescent="0.3">
      <c r="A3726" s="173"/>
      <c r="B3726" s="175"/>
      <c r="C3726" s="36" t="s">
        <v>1190</v>
      </c>
      <c r="D3726" s="36" t="s">
        <v>297</v>
      </c>
      <c r="E3726" s="37">
        <f>ROUND(0.1/0.28,4)</f>
        <v>0.35709999999999997</v>
      </c>
      <c r="F3726" s="54">
        <v>18.515499999999999</v>
      </c>
      <c r="G3726" s="54">
        <f>IF(ISNUMBER(F3726),E3726*F3726,"")</f>
        <v>6.6118850499999997</v>
      </c>
      <c r="H3726" s="73"/>
      <c r="I3726" s="74"/>
      <c r="J3726" s="155">
        <v>0</v>
      </c>
    </row>
    <row r="3727" spans="1:10" ht="15.75" hidden="1" thickBot="1" x14ac:dyDescent="0.3">
      <c r="A3727" s="173"/>
      <c r="B3727" s="175"/>
      <c r="C3727" s="36"/>
      <c r="D3727" s="47"/>
      <c r="E3727" s="37"/>
      <c r="F3727" s="54" t="s">
        <v>568</v>
      </c>
      <c r="G3727" s="54" t="str">
        <f>IF(ISNUMBER(F3727),E3727*F3727,"")</f>
        <v/>
      </c>
      <c r="H3727" s="73"/>
      <c r="I3727" s="74"/>
      <c r="J3727" s="155">
        <v>0</v>
      </c>
    </row>
    <row r="3728" spans="1:10" ht="15.75" hidden="1" thickBot="1" x14ac:dyDescent="0.3">
      <c r="A3728" s="173"/>
      <c r="B3728" s="175"/>
      <c r="C3728" s="152" t="s">
        <v>1191</v>
      </c>
      <c r="D3728" s="47"/>
      <c r="E3728" s="37"/>
      <c r="F3728" s="54" t="s">
        <v>568</v>
      </c>
      <c r="G3728" s="54" t="str">
        <f>IF(ISNUMBER(F3728),E3728*F3728,"")</f>
        <v/>
      </c>
      <c r="H3728" s="73"/>
      <c r="I3728" s="74"/>
      <c r="J3728" s="155">
        <v>0</v>
      </c>
    </row>
    <row r="3729" spans="1:10" ht="15.75" hidden="1" thickBot="1" x14ac:dyDescent="0.3">
      <c r="A3729" s="173"/>
      <c r="B3729" s="175"/>
      <c r="C3729" s="55"/>
      <c r="D3729" s="55"/>
      <c r="E3729" s="66"/>
      <c r="F3729" s="76" t="s">
        <v>568</v>
      </c>
      <c r="G3729" s="76" t="str">
        <f>IF(ISNUMBER(F3729),E3729*F3729,"")</f>
        <v/>
      </c>
      <c r="H3729" s="77"/>
      <c r="I3729" s="74"/>
      <c r="J3729" s="155">
        <v>0</v>
      </c>
    </row>
    <row r="3730" spans="1:10" ht="15.75" hidden="1" thickBot="1" x14ac:dyDescent="0.3">
      <c r="A3730" s="172" t="s">
        <v>1192</v>
      </c>
      <c r="B3730" s="174" t="str">
        <f>INDEX(Orçamentária!A:B,MATCH(Composições!A3730,Orçamentária!A:A,0),2)</f>
        <v>Granito Vermelho Brasília 20 mm para bancadas</v>
      </c>
      <c r="C3730" s="41"/>
      <c r="D3730" s="26" t="str">
        <f>TRIM(INDEX(Orçamentária!C:C,MATCH(Composições!A3730,Orçamentária!A:A,0),1))</f>
        <v>m2</v>
      </c>
      <c r="E3730" s="27"/>
      <c r="F3730" s="49" t="s">
        <v>568</v>
      </c>
      <c r="G3730" s="28" t="str">
        <f>IF(ISNUMBER(F3730),E3730*F3730,"")</f>
        <v/>
      </c>
      <c r="H3730" s="29"/>
      <c r="I3730" s="30"/>
      <c r="J3730" s="155">
        <v>0</v>
      </c>
    </row>
    <row r="3731" spans="1:10" ht="15.75" hidden="1" thickBot="1" x14ac:dyDescent="0.3">
      <c r="A3731" s="173"/>
      <c r="B3731" s="175"/>
      <c r="C3731" s="32"/>
      <c r="D3731" s="32"/>
      <c r="E3731" s="33"/>
      <c r="F3731" s="54" t="s">
        <v>568</v>
      </c>
      <c r="G3731" s="54" t="str">
        <f>IF(ISNUMBER(F3731),E3731*F3731,"")</f>
        <v/>
      </c>
      <c r="H3731" s="73"/>
      <c r="I3731" s="74"/>
      <c r="J3731" s="155">
        <v>0</v>
      </c>
    </row>
    <row r="3732" spans="1:10" ht="15.75" hidden="1" thickBot="1" x14ac:dyDescent="0.3">
      <c r="A3732" s="173"/>
      <c r="B3732" s="175"/>
      <c r="C3732" s="36" t="s">
        <v>3459</v>
      </c>
      <c r="D3732" s="36" t="s">
        <v>953</v>
      </c>
      <c r="E3732" s="37">
        <f>ROUND(0.5228/(1.5*0.6),4)</f>
        <v>0.58089999999999997</v>
      </c>
      <c r="F3732" s="54">
        <v>26.685499999999998</v>
      </c>
      <c r="G3732" s="54">
        <f>IF(ISNUMBER(F3732),E3732*F3732,"")</f>
        <v>15.501606949999998</v>
      </c>
      <c r="H3732" s="39">
        <f>SUM(G3732:G3738)</f>
        <v>116.27835554999999</v>
      </c>
      <c r="I3732" s="40"/>
      <c r="J3732" s="155">
        <v>0</v>
      </c>
    </row>
    <row r="3733" spans="1:10" ht="39" hidden="1" thickBot="1" x14ac:dyDescent="0.3">
      <c r="A3733" s="173"/>
      <c r="B3733" s="175"/>
      <c r="C3733" s="36" t="s">
        <v>1195</v>
      </c>
      <c r="D3733" s="36" t="s">
        <v>297</v>
      </c>
      <c r="E3733" s="37">
        <f>ROUND(6/(1.5*0.6),4)</f>
        <v>6.6666999999999996</v>
      </c>
      <c r="F3733" s="54">
        <v>0.75049999999999994</v>
      </c>
      <c r="G3733" s="54">
        <f>IF(ISNUMBER(F3733),E3733*F3733,"")</f>
        <v>5.0033583499999992</v>
      </c>
      <c r="H3733" s="73"/>
      <c r="I3733" s="74"/>
      <c r="J3733" s="155">
        <v>0</v>
      </c>
    </row>
    <row r="3734" spans="1:10" ht="26.25" hidden="1" thickBot="1" x14ac:dyDescent="0.3">
      <c r="A3734" s="173"/>
      <c r="B3734" s="175"/>
      <c r="C3734" s="36" t="s">
        <v>1193</v>
      </c>
      <c r="D3734" s="36" t="s">
        <v>1049</v>
      </c>
      <c r="E3734" s="37">
        <f>ROUND(1.005/(1.5*0.6),4)</f>
        <v>1.1167</v>
      </c>
      <c r="F3734" s="54" t="s">
        <v>568</v>
      </c>
      <c r="G3734" s="54" t="str">
        <f>IF(ISNUMBER(F3734),E3734*F3734,"")</f>
        <v/>
      </c>
      <c r="H3734" s="73"/>
      <c r="I3734" s="74"/>
      <c r="J3734" s="155">
        <v>0</v>
      </c>
    </row>
    <row r="3735" spans="1:10" ht="15.75" hidden="1" thickBot="1" x14ac:dyDescent="0.3">
      <c r="A3735" s="173"/>
      <c r="B3735" s="175"/>
      <c r="C3735" s="36" t="s">
        <v>3604</v>
      </c>
      <c r="D3735" s="36" t="s">
        <v>953</v>
      </c>
      <c r="E3735" s="37">
        <f>ROUND(0.0211/(1.5*0.6),4)</f>
        <v>2.3400000000000001E-2</v>
      </c>
      <c r="F3735" s="54">
        <v>52.8675</v>
      </c>
      <c r="G3735" s="54">
        <f>IF(ISNUMBER(F3735),E3735*F3735,"")</f>
        <v>1.2370995</v>
      </c>
      <c r="H3735" s="73"/>
      <c r="I3735" s="74"/>
      <c r="J3735" s="155">
        <v>0</v>
      </c>
    </row>
    <row r="3736" spans="1:10" ht="26.25" hidden="1" thickBot="1" x14ac:dyDescent="0.3">
      <c r="A3736" s="173"/>
      <c r="B3736" s="175"/>
      <c r="C3736" s="36" t="s">
        <v>3467</v>
      </c>
      <c r="D3736" s="36" t="s">
        <v>297</v>
      </c>
      <c r="E3736" s="37">
        <f>ROUND(2/(1.5*0.6),4)</f>
        <v>2.2222</v>
      </c>
      <c r="F3736" s="54">
        <v>20.7575</v>
      </c>
      <c r="G3736" s="54">
        <f>IF(ISNUMBER(F3736),E3736*F3736,"")</f>
        <v>46.127316499999999</v>
      </c>
      <c r="H3736" s="73"/>
      <c r="I3736" s="74"/>
      <c r="J3736" s="155">
        <v>0</v>
      </c>
    </row>
    <row r="3737" spans="1:10" ht="15.75" hidden="1" thickBot="1" x14ac:dyDescent="0.3">
      <c r="A3737" s="173"/>
      <c r="B3737" s="175"/>
      <c r="C3737" s="36" t="s">
        <v>3429</v>
      </c>
      <c r="D3737" s="36" t="s">
        <v>755</v>
      </c>
      <c r="E3737" s="37">
        <f>ROUND(1.4944/(1.5*0.6),4)</f>
        <v>1.6604000000000001</v>
      </c>
      <c r="F3737" s="54">
        <v>18.420500000000001</v>
      </c>
      <c r="G3737" s="54">
        <f>IF(ISNUMBER(F3737),E3737*F3737,"")</f>
        <v>30.585398200000004</v>
      </c>
      <c r="H3737" s="73"/>
      <c r="I3737" s="74"/>
      <c r="J3737" s="155">
        <v>0</v>
      </c>
    </row>
    <row r="3738" spans="1:10" ht="15.75" hidden="1" thickBot="1" x14ac:dyDescent="0.3">
      <c r="A3738" s="173"/>
      <c r="B3738" s="175"/>
      <c r="C3738" s="36" t="s">
        <v>756</v>
      </c>
      <c r="D3738" s="36" t="s">
        <v>755</v>
      </c>
      <c r="E3738" s="37">
        <f>ROUND(0.9834/(1.5*0.6),4)</f>
        <v>1.0927</v>
      </c>
      <c r="F3738" s="54">
        <v>16.311500000000002</v>
      </c>
      <c r="G3738" s="54">
        <f>IF(ISNUMBER(F3738),E3738*F3738,"")</f>
        <v>17.823576050000003</v>
      </c>
      <c r="H3738" s="73"/>
      <c r="I3738" s="74"/>
      <c r="J3738" s="155">
        <v>0</v>
      </c>
    </row>
    <row r="3739" spans="1:10" ht="15.75" hidden="1" thickBot="1" x14ac:dyDescent="0.3">
      <c r="A3739" s="173"/>
      <c r="B3739" s="175"/>
      <c r="C3739" s="36"/>
      <c r="D3739" s="36"/>
      <c r="E3739" s="37"/>
      <c r="F3739" s="54" t="s">
        <v>568</v>
      </c>
      <c r="G3739" s="54" t="str">
        <f>IF(ISNUMBER(F3739),E3739*F3739,"")</f>
        <v/>
      </c>
      <c r="H3739" s="73"/>
      <c r="I3739" s="74"/>
      <c r="J3739" s="155">
        <v>0</v>
      </c>
    </row>
    <row r="3740" spans="1:10" ht="15.75" hidden="1" thickBot="1" x14ac:dyDescent="0.3">
      <c r="A3740" s="172" t="s">
        <v>1194</v>
      </c>
      <c r="B3740" s="174" t="str">
        <f>INDEX(Orçamentária!A:B,MATCH(Composições!A3740,Orçamentária!A:A,0),2)</f>
        <v>Porta em alumínio tipo veneziana</v>
      </c>
      <c r="C3740" s="41"/>
      <c r="D3740" s="26" t="str">
        <f>TRIM(INDEX(Orçamentária!C:C,MATCH(Composições!A3740,Orçamentária!A:A,0),1))</f>
        <v>m2</v>
      </c>
      <c r="E3740" s="27"/>
      <c r="F3740" s="49" t="s">
        <v>568</v>
      </c>
      <c r="G3740" s="28" t="str">
        <f>IF(ISNUMBER(F3740),E3740*F3740,"")</f>
        <v/>
      </c>
      <c r="H3740" s="29"/>
      <c r="I3740" s="30"/>
      <c r="J3740" s="155">
        <v>0</v>
      </c>
    </row>
    <row r="3741" spans="1:10" ht="15.75" hidden="1" thickBot="1" x14ac:dyDescent="0.3">
      <c r="A3741" s="173"/>
      <c r="B3741" s="175"/>
      <c r="C3741" s="32"/>
      <c r="D3741" s="32"/>
      <c r="E3741" s="33"/>
      <c r="F3741" s="54" t="s">
        <v>568</v>
      </c>
      <c r="G3741" s="54" t="str">
        <f>IF(ISNUMBER(F3741),E3741*F3741,"")</f>
        <v/>
      </c>
      <c r="H3741" s="73"/>
      <c r="I3741" s="74"/>
      <c r="J3741" s="155">
        <v>0</v>
      </c>
    </row>
    <row r="3742" spans="1:10" ht="26.25" hidden="1" thickBot="1" x14ac:dyDescent="0.3">
      <c r="A3742" s="173"/>
      <c r="B3742" s="175"/>
      <c r="C3742" s="36" t="s">
        <v>1120</v>
      </c>
      <c r="D3742" s="47" t="s">
        <v>1131</v>
      </c>
      <c r="E3742" s="37">
        <v>0.88290000000000002</v>
      </c>
      <c r="F3742" s="54">
        <v>28.015499999999996</v>
      </c>
      <c r="G3742" s="54">
        <f>IF(ISNUMBER(F3742),E3742*F3742,"")</f>
        <v>24.734884949999998</v>
      </c>
      <c r="H3742" s="39">
        <f>SUM(G3742:G3747)</f>
        <v>473.70044274999992</v>
      </c>
      <c r="I3742" s="40"/>
      <c r="J3742" s="155">
        <v>0</v>
      </c>
    </row>
    <row r="3743" spans="1:10" ht="39" hidden="1" thickBot="1" x14ac:dyDescent="0.3">
      <c r="A3743" s="173"/>
      <c r="B3743" s="175"/>
      <c r="C3743" s="36" t="s">
        <v>1195</v>
      </c>
      <c r="D3743" s="47" t="s">
        <v>297</v>
      </c>
      <c r="E3743" s="37">
        <v>4.8166000000000002</v>
      </c>
      <c r="F3743" s="54">
        <v>0.75049999999999994</v>
      </c>
      <c r="G3743" s="54">
        <f>IF(ISNUMBER(F3743),E3743*F3743,"")</f>
        <v>3.6148582999999999</v>
      </c>
      <c r="H3743" s="73"/>
      <c r="I3743" s="74"/>
      <c r="J3743" s="155">
        <v>0</v>
      </c>
    </row>
    <row r="3744" spans="1:10" ht="26.25" hidden="1" thickBot="1" x14ac:dyDescent="0.3">
      <c r="A3744" s="173"/>
      <c r="B3744" s="175"/>
      <c r="C3744" s="36" t="s">
        <v>1196</v>
      </c>
      <c r="D3744" s="36" t="s">
        <v>523</v>
      </c>
      <c r="E3744" s="37">
        <v>6.8503999999999996</v>
      </c>
      <c r="F3744" s="54">
        <v>8.5404999999999998</v>
      </c>
      <c r="G3744" s="54">
        <f>IF(ISNUMBER(F3744),E3744*F3744,"")</f>
        <v>58.505841199999992</v>
      </c>
      <c r="H3744" s="73"/>
      <c r="I3744" s="74"/>
      <c r="J3744" s="155">
        <v>0</v>
      </c>
    </row>
    <row r="3745" spans="1:10" ht="26.25" hidden="1" thickBot="1" x14ac:dyDescent="0.3">
      <c r="A3745" s="173"/>
      <c r="B3745" s="175"/>
      <c r="C3745" s="36" t="s">
        <v>1197</v>
      </c>
      <c r="D3745" s="36" t="s">
        <v>297</v>
      </c>
      <c r="E3745" s="37">
        <v>0.54730000000000001</v>
      </c>
      <c r="F3745" s="54">
        <v>685.69099999999992</v>
      </c>
      <c r="G3745" s="54">
        <f>IF(ISNUMBER(F3745),E3745*F3745,"")</f>
        <v>375.27868429999995</v>
      </c>
      <c r="H3745" s="73"/>
      <c r="I3745" s="74"/>
      <c r="J3745" s="155">
        <v>0</v>
      </c>
    </row>
    <row r="3746" spans="1:10" ht="15.75" hidden="1" thickBot="1" x14ac:dyDescent="0.3">
      <c r="A3746" s="173"/>
      <c r="B3746" s="175"/>
      <c r="C3746" s="36" t="s">
        <v>1198</v>
      </c>
      <c r="D3746" s="47" t="s">
        <v>755</v>
      </c>
      <c r="E3746" s="37">
        <v>0.3826</v>
      </c>
      <c r="F3746" s="54">
        <v>22.087499999999999</v>
      </c>
      <c r="G3746" s="54">
        <f>IF(ISNUMBER(F3746),E3746*F3746,"")</f>
        <v>8.4506774999999994</v>
      </c>
      <c r="H3746" s="73"/>
      <c r="I3746" s="74"/>
      <c r="J3746" s="155">
        <v>0</v>
      </c>
    </row>
    <row r="3747" spans="1:10" ht="15.75" hidden="1" thickBot="1" x14ac:dyDescent="0.3">
      <c r="A3747" s="173"/>
      <c r="B3747" s="175"/>
      <c r="C3747" s="36" t="s">
        <v>23</v>
      </c>
      <c r="D3747" s="47" t="s">
        <v>755</v>
      </c>
      <c r="E3747" s="37">
        <v>0.191</v>
      </c>
      <c r="F3747" s="54">
        <v>16.311500000000002</v>
      </c>
      <c r="G3747" s="54">
        <f>IF(ISNUMBER(F3747),E3747*F3747,"")</f>
        <v>3.1154965000000003</v>
      </c>
      <c r="H3747" s="73"/>
      <c r="I3747" s="74"/>
      <c r="J3747" s="155">
        <v>0</v>
      </c>
    </row>
    <row r="3748" spans="1:10" ht="15.75" hidden="1" thickBot="1" x14ac:dyDescent="0.3">
      <c r="A3748" s="173"/>
      <c r="B3748" s="175"/>
      <c r="C3748" s="36"/>
      <c r="D3748" s="47"/>
      <c r="E3748" s="37"/>
      <c r="F3748" s="54" t="s">
        <v>568</v>
      </c>
      <c r="G3748" s="54" t="str">
        <f>IF(ISNUMBER(F3748),E3748*F3748,"")</f>
        <v/>
      </c>
      <c r="H3748" s="73"/>
      <c r="I3748" s="74"/>
      <c r="J3748" s="155">
        <v>0</v>
      </c>
    </row>
    <row r="3749" spans="1:10" ht="15.75" hidden="1" thickBot="1" x14ac:dyDescent="0.3">
      <c r="A3749" s="172" t="s">
        <v>1199</v>
      </c>
      <c r="B3749" s="174" t="str">
        <f>INDEX(Orçamentária!A:B,MATCH(Composições!A3749,Orçamentária!A:A,0),2)</f>
        <v>Janela em alumínio, duas seções, 120x60cm</v>
      </c>
      <c r="C3749" s="41"/>
      <c r="D3749" s="26" t="str">
        <f>TRIM(INDEX(Orçamentária!C:C,MATCH(Composições!A3749,Orçamentária!A:A,0),1))</f>
        <v>m2</v>
      </c>
      <c r="E3749" s="27"/>
      <c r="F3749" s="49" t="s">
        <v>568</v>
      </c>
      <c r="G3749" s="28" t="str">
        <f>IF(ISNUMBER(F3749),E3749*F3749,"")</f>
        <v/>
      </c>
      <c r="H3749" s="29"/>
      <c r="I3749" s="30"/>
      <c r="J3749" s="155">
        <v>0</v>
      </c>
    </row>
    <row r="3750" spans="1:10" ht="15.75" hidden="1" thickBot="1" x14ac:dyDescent="0.3">
      <c r="A3750" s="173"/>
      <c r="B3750" s="175"/>
      <c r="C3750" s="32"/>
      <c r="D3750" s="32"/>
      <c r="E3750" s="33"/>
      <c r="F3750" s="54" t="s">
        <v>568</v>
      </c>
      <c r="G3750" s="54" t="str">
        <f>IF(ISNUMBER(F3750),E3750*F3750,"")</f>
        <v/>
      </c>
      <c r="H3750" s="73"/>
      <c r="I3750" s="74"/>
      <c r="J3750" s="155">
        <v>0</v>
      </c>
    </row>
    <row r="3751" spans="1:10" ht="39" hidden="1" thickBot="1" x14ac:dyDescent="0.3">
      <c r="A3751" s="173"/>
      <c r="B3751" s="175"/>
      <c r="C3751" s="36" t="s">
        <v>1200</v>
      </c>
      <c r="D3751" s="47" t="s">
        <v>1049</v>
      </c>
      <c r="E3751" s="37">
        <v>1</v>
      </c>
      <c r="F3751" s="54" t="s">
        <v>568</v>
      </c>
      <c r="G3751" s="54" t="str">
        <f>IF(ISNUMBER(F3751),E3751*F3751,"")</f>
        <v/>
      </c>
      <c r="H3751" s="39">
        <f>SUM(G3751:G3755)</f>
        <v>76.786545849999996</v>
      </c>
      <c r="I3751" s="40"/>
      <c r="J3751" s="155">
        <v>0</v>
      </c>
    </row>
    <row r="3752" spans="1:10" ht="39" hidden="1" thickBot="1" x14ac:dyDescent="0.3">
      <c r="A3752" s="173"/>
      <c r="B3752" s="175"/>
      <c r="C3752" s="36" t="s">
        <v>1201</v>
      </c>
      <c r="D3752" s="47" t="s">
        <v>297</v>
      </c>
      <c r="E3752" s="37">
        <v>24.4</v>
      </c>
      <c r="F3752" s="54">
        <v>8.5499999999999993E-2</v>
      </c>
      <c r="G3752" s="54">
        <f>IF(ISNUMBER(F3752),E3752*F3752,"")</f>
        <v>2.0861999999999998</v>
      </c>
      <c r="H3752" s="73"/>
      <c r="I3752" s="74"/>
      <c r="J3752" s="155">
        <v>0</v>
      </c>
    </row>
    <row r="3753" spans="1:10" ht="15.75" hidden="1" thickBot="1" x14ac:dyDescent="0.3">
      <c r="A3753" s="173"/>
      <c r="B3753" s="175"/>
      <c r="C3753" s="36" t="s">
        <v>1190</v>
      </c>
      <c r="D3753" s="36" t="s">
        <v>297</v>
      </c>
      <c r="E3753" s="37">
        <v>1.2466999999999999</v>
      </c>
      <c r="F3753" s="54">
        <v>18.515499999999999</v>
      </c>
      <c r="G3753" s="54">
        <f>IF(ISNUMBER(F3753),E3753*F3753,"")</f>
        <v>23.083273849999998</v>
      </c>
      <c r="H3753" s="73"/>
      <c r="I3753" s="74"/>
      <c r="J3753" s="155">
        <v>0</v>
      </c>
    </row>
    <row r="3754" spans="1:10" ht="15.75" hidden="1" thickBot="1" x14ac:dyDescent="0.3">
      <c r="A3754" s="173"/>
      <c r="B3754" s="175"/>
      <c r="C3754" s="36" t="s">
        <v>764</v>
      </c>
      <c r="D3754" s="36" t="s">
        <v>755</v>
      </c>
      <c r="E3754" s="37">
        <v>1.7070000000000001</v>
      </c>
      <c r="F3754" s="54">
        <v>22.087499999999999</v>
      </c>
      <c r="G3754" s="54">
        <f>IF(ISNUMBER(F3754),E3754*F3754,"")</f>
        <v>37.703362499999997</v>
      </c>
      <c r="H3754" s="73"/>
      <c r="I3754" s="74"/>
      <c r="J3754" s="155">
        <v>0</v>
      </c>
    </row>
    <row r="3755" spans="1:10" ht="15.75" hidden="1" thickBot="1" x14ac:dyDescent="0.3">
      <c r="A3755" s="173"/>
      <c r="B3755" s="175"/>
      <c r="C3755" s="36" t="s">
        <v>756</v>
      </c>
      <c r="D3755" s="47" t="s">
        <v>755</v>
      </c>
      <c r="E3755" s="37">
        <v>0.85299999999999998</v>
      </c>
      <c r="F3755" s="54">
        <v>16.311500000000002</v>
      </c>
      <c r="G3755" s="54">
        <f>IF(ISNUMBER(F3755),E3755*F3755,"")</f>
        <v>13.913709500000001</v>
      </c>
      <c r="H3755" s="73"/>
      <c r="I3755" s="74"/>
      <c r="J3755" s="155">
        <v>0</v>
      </c>
    </row>
    <row r="3756" spans="1:10" ht="15.75" hidden="1" thickBot="1" x14ac:dyDescent="0.3">
      <c r="A3756" s="173"/>
      <c r="B3756" s="175"/>
      <c r="C3756" s="36"/>
      <c r="D3756" s="47"/>
      <c r="E3756" s="37"/>
      <c r="F3756" s="54" t="s">
        <v>568</v>
      </c>
      <c r="G3756" s="54" t="str">
        <f>IF(ISNUMBER(F3756),E3756*F3756,"")</f>
        <v/>
      </c>
      <c r="H3756" s="73"/>
      <c r="I3756" s="74"/>
      <c r="J3756" s="155">
        <v>0</v>
      </c>
    </row>
    <row r="3757" spans="1:10" ht="15.75" hidden="1" thickBot="1" x14ac:dyDescent="0.3">
      <c r="A3757" s="172" t="s">
        <v>1202</v>
      </c>
      <c r="B3757" s="174" t="str">
        <f>INDEX(Orçamentária!A:B,MATCH(Composições!A3757,Orçamentária!A:A,0),2)</f>
        <v>Porta metálica de enrolar</v>
      </c>
      <c r="C3757" s="41"/>
      <c r="D3757" s="26" t="str">
        <f>TRIM(INDEX(Orçamentária!C:C,MATCH(Composições!A3757,Orçamentária!A:A,0),1))</f>
        <v>m2</v>
      </c>
      <c r="E3757" s="27"/>
      <c r="F3757" s="49" t="s">
        <v>568</v>
      </c>
      <c r="G3757" s="28" t="str">
        <f>IF(ISNUMBER(F3757),E3757*F3757,"")</f>
        <v/>
      </c>
      <c r="H3757" s="29"/>
      <c r="I3757" s="30"/>
      <c r="J3757" s="155">
        <v>0</v>
      </c>
    </row>
    <row r="3758" spans="1:10" ht="15.75" hidden="1" thickBot="1" x14ac:dyDescent="0.3">
      <c r="A3758" s="173"/>
      <c r="B3758" s="175"/>
      <c r="C3758" s="32"/>
      <c r="D3758" s="32"/>
      <c r="E3758" s="33"/>
      <c r="F3758" s="54" t="s">
        <v>568</v>
      </c>
      <c r="G3758" s="54" t="str">
        <f>IF(ISNUMBER(F3758),E3758*F3758,"")</f>
        <v/>
      </c>
      <c r="H3758" s="73"/>
      <c r="I3758" s="74"/>
      <c r="J3758" s="155">
        <v>0</v>
      </c>
    </row>
    <row r="3759" spans="1:10" ht="39" hidden="1" thickBot="1" x14ac:dyDescent="0.3">
      <c r="A3759" s="173"/>
      <c r="B3759" s="175"/>
      <c r="C3759" s="36" t="s">
        <v>1203</v>
      </c>
      <c r="D3759" s="47" t="s">
        <v>1049</v>
      </c>
      <c r="E3759" s="37">
        <v>1</v>
      </c>
      <c r="F3759" s="54">
        <v>346.06599999999997</v>
      </c>
      <c r="G3759" s="54">
        <f>IF(ISNUMBER(F3759),E3759*F3759,"")</f>
        <v>346.06599999999997</v>
      </c>
      <c r="H3759" s="39">
        <f>SUM(G3759:G3765)</f>
        <v>389.99683247914999</v>
      </c>
      <c r="I3759" s="40"/>
      <c r="J3759" s="155">
        <v>0</v>
      </c>
    </row>
    <row r="3760" spans="1:10" ht="15.75" hidden="1" thickBot="1" x14ac:dyDescent="0.3">
      <c r="A3760" s="173"/>
      <c r="B3760" s="175"/>
      <c r="C3760" s="36" t="s">
        <v>764</v>
      </c>
      <c r="D3760" s="47" t="s">
        <v>755</v>
      </c>
      <c r="E3760" s="37">
        <v>1</v>
      </c>
      <c r="F3760" s="54">
        <v>22.087499999999999</v>
      </c>
      <c r="G3760" s="54">
        <f>IF(ISNUMBER(F3760),E3760*F3760,"")</f>
        <v>22.087499999999999</v>
      </c>
      <c r="H3760" s="73"/>
      <c r="I3760" s="74"/>
      <c r="J3760" s="155">
        <v>0</v>
      </c>
    </row>
    <row r="3761" spans="1:10" ht="15.75" hidden="1" thickBot="1" x14ac:dyDescent="0.3">
      <c r="A3761" s="173"/>
      <c r="B3761" s="175"/>
      <c r="C3761" s="36" t="s">
        <v>756</v>
      </c>
      <c r="D3761" s="36" t="s">
        <v>755</v>
      </c>
      <c r="E3761" s="37">
        <v>1.1000000000000001</v>
      </c>
      <c r="F3761" s="54">
        <v>16.311500000000002</v>
      </c>
      <c r="G3761" s="54">
        <f>IF(ISNUMBER(F3761),E3761*F3761,"")</f>
        <v>17.942650000000004</v>
      </c>
      <c r="H3761" s="73"/>
      <c r="I3761" s="74"/>
      <c r="J3761" s="155">
        <v>0</v>
      </c>
    </row>
    <row r="3762" spans="1:10" ht="26.25" hidden="1" thickBot="1" x14ac:dyDescent="0.3">
      <c r="A3762" s="173"/>
      <c r="B3762" s="175"/>
      <c r="C3762" s="36" t="s">
        <v>805</v>
      </c>
      <c r="D3762" s="47" t="s">
        <v>123</v>
      </c>
      <c r="E3762" s="37">
        <v>1.2999999999999999E-2</v>
      </c>
      <c r="F3762" s="54">
        <v>90.25</v>
      </c>
      <c r="G3762" s="54">
        <f>IF(ISNUMBER(F3762),E3762*F3762,"")</f>
        <v>1.1732499999999999</v>
      </c>
      <c r="H3762" s="73"/>
      <c r="I3762" s="74"/>
      <c r="J3762" s="155">
        <v>0</v>
      </c>
    </row>
    <row r="3763" spans="1:10" ht="15.75" hidden="1" thickBot="1" x14ac:dyDescent="0.3">
      <c r="A3763" s="173"/>
      <c r="B3763" s="175"/>
      <c r="C3763" s="36" t="s">
        <v>801</v>
      </c>
      <c r="D3763" s="47" t="s">
        <v>953</v>
      </c>
      <c r="E3763" s="37">
        <v>4.58</v>
      </c>
      <c r="F3763" s="54">
        <v>0.47499999999999998</v>
      </c>
      <c r="G3763" s="54">
        <f>IF(ISNUMBER(F3763),E3763*F3763,"")</f>
        <v>2.1755</v>
      </c>
      <c r="H3763" s="73"/>
      <c r="I3763" s="74"/>
      <c r="J3763" s="155">
        <v>0</v>
      </c>
    </row>
    <row r="3764" spans="1:10" ht="51.75" hidden="1" thickBot="1" x14ac:dyDescent="0.3">
      <c r="A3764" s="173"/>
      <c r="B3764" s="175"/>
      <c r="C3764" s="36" t="s">
        <v>3611</v>
      </c>
      <c r="D3764" s="36" t="s">
        <v>111</v>
      </c>
      <c r="E3764" s="37">
        <f>1*E3762</f>
        <v>1.2999999999999999E-2</v>
      </c>
      <c r="F3764" s="34">
        <v>5.5686425499999999</v>
      </c>
      <c r="G3764" s="34">
        <f>IF(ISNUMBER(F3764),E3764*F3764,"")</f>
        <v>7.2392353149999991E-2</v>
      </c>
      <c r="H3764" s="35"/>
      <c r="I3764" s="31"/>
      <c r="J3764" s="155">
        <v>0</v>
      </c>
    </row>
    <row r="3765" spans="1:10" ht="39" hidden="1" thickBot="1" x14ac:dyDescent="0.3">
      <c r="A3765" s="173"/>
      <c r="B3765" s="175"/>
      <c r="C3765" s="36" t="s">
        <v>124</v>
      </c>
      <c r="D3765" s="47" t="s">
        <v>125</v>
      </c>
      <c r="E3765" s="37">
        <f>E3762*20</f>
        <v>0.26</v>
      </c>
      <c r="F3765" s="54">
        <v>1.8443850999999998</v>
      </c>
      <c r="G3765" s="54">
        <f>IF(ISNUMBER(F3765),E3765*F3765,"")</f>
        <v>0.47954012599999996</v>
      </c>
      <c r="H3765" s="73"/>
      <c r="I3765" s="74"/>
      <c r="J3765" s="155">
        <v>0</v>
      </c>
    </row>
    <row r="3766" spans="1:10" ht="15.75" hidden="1" thickBot="1" x14ac:dyDescent="0.3">
      <c r="A3766" s="173"/>
      <c r="B3766" s="175"/>
      <c r="C3766" s="51"/>
      <c r="D3766" s="47"/>
      <c r="E3766" s="37"/>
      <c r="F3766" s="54" t="s">
        <v>568</v>
      </c>
      <c r="G3766" s="54" t="str">
        <f>IF(ISNUMBER(F3766),E3766*F3766,"")</f>
        <v/>
      </c>
      <c r="H3766" s="73"/>
      <c r="I3766" s="74"/>
      <c r="J3766" s="155">
        <v>0</v>
      </c>
    </row>
    <row r="3767" spans="1:10" ht="15.75" hidden="1" thickBot="1" x14ac:dyDescent="0.3">
      <c r="A3767" s="173"/>
      <c r="B3767" s="175"/>
      <c r="C3767" s="48" t="s">
        <v>808</v>
      </c>
      <c r="D3767" s="47"/>
      <c r="E3767" s="37"/>
      <c r="F3767" s="54" t="s">
        <v>568</v>
      </c>
      <c r="G3767" s="54" t="str">
        <f>IF(ISNUMBER(F3767),E3767*F3767,"")</f>
        <v/>
      </c>
      <c r="H3767" s="73"/>
      <c r="I3767" s="74"/>
      <c r="J3767" s="155">
        <v>0</v>
      </c>
    </row>
    <row r="3768" spans="1:10" ht="15.75" hidden="1" thickBot="1" x14ac:dyDescent="0.3">
      <c r="A3768" s="185"/>
      <c r="B3768" s="178"/>
      <c r="C3768" s="48"/>
      <c r="D3768" s="47"/>
      <c r="E3768" s="37"/>
      <c r="F3768" s="54" t="s">
        <v>568</v>
      </c>
      <c r="G3768" s="54" t="str">
        <f>IF(ISNUMBER(F3768),E3768*F3768,"")</f>
        <v/>
      </c>
      <c r="H3768" s="73"/>
      <c r="I3768" s="74"/>
      <c r="J3768" s="155">
        <v>0</v>
      </c>
    </row>
    <row r="3769" spans="1:10" ht="15.75" hidden="1" thickBot="1" x14ac:dyDescent="0.3">
      <c r="A3769" s="172" t="s">
        <v>1204</v>
      </c>
      <c r="B3769" s="174" t="str">
        <f>INDEX(Orçamentária!A:B,MATCH(Composições!A3769,Orçamentária!A:A,0),2)</f>
        <v>Medidor de Gás</v>
      </c>
      <c r="C3769" s="41"/>
      <c r="D3769" s="26" t="str">
        <f>TRIM(INDEX(Orçamentária!C:C,MATCH(Composições!A3769,Orçamentária!A:A,0),1))</f>
        <v>un</v>
      </c>
      <c r="E3769" s="27"/>
      <c r="F3769" s="49" t="s">
        <v>568</v>
      </c>
      <c r="G3769" s="28" t="str">
        <f>IF(ISNUMBER(F3769),E3769*F3769,"")</f>
        <v/>
      </c>
      <c r="H3769" s="29"/>
      <c r="I3769" s="30"/>
      <c r="J3769" s="155">
        <v>0</v>
      </c>
    </row>
    <row r="3770" spans="1:10" ht="15.75" hidden="1" thickBot="1" x14ac:dyDescent="0.3">
      <c r="A3770" s="173"/>
      <c r="B3770" s="175"/>
      <c r="C3770" s="32"/>
      <c r="D3770" s="32"/>
      <c r="E3770" s="33"/>
      <c r="F3770" s="54" t="s">
        <v>568</v>
      </c>
      <c r="G3770" s="54" t="str">
        <f>IF(ISNUMBER(F3770),E3770*F3770,"")</f>
        <v/>
      </c>
      <c r="H3770" s="73"/>
      <c r="I3770" s="74"/>
      <c r="J3770" s="155">
        <v>0</v>
      </c>
    </row>
    <row r="3771" spans="1:10" ht="15.75" hidden="1" thickBot="1" x14ac:dyDescent="0.3">
      <c r="A3771" s="173"/>
      <c r="B3771" s="175"/>
      <c r="C3771" s="36" t="s">
        <v>346</v>
      </c>
      <c r="D3771" s="47" t="s">
        <v>297</v>
      </c>
      <c r="E3771" s="37">
        <v>0.20519999999999999</v>
      </c>
      <c r="F3771" s="54">
        <v>13.661</v>
      </c>
      <c r="G3771" s="54">
        <f>IF(ISNUMBER(F3771),E3771*F3771,"")</f>
        <v>2.8032371999999999</v>
      </c>
      <c r="H3771" s="39">
        <f>SUM(G3771:G3782)</f>
        <v>555.61619250000001</v>
      </c>
      <c r="I3771" s="40"/>
      <c r="J3771" s="155">
        <v>0</v>
      </c>
    </row>
    <row r="3772" spans="1:10" ht="26.25" hidden="1" thickBot="1" x14ac:dyDescent="0.3">
      <c r="A3772" s="173"/>
      <c r="B3772" s="175"/>
      <c r="C3772" s="36" t="s">
        <v>1205</v>
      </c>
      <c r="D3772" s="47" t="s">
        <v>297</v>
      </c>
      <c r="E3772" s="37">
        <v>2</v>
      </c>
      <c r="F3772" s="54">
        <v>9.31</v>
      </c>
      <c r="G3772" s="54">
        <f>IF(ISNUMBER(F3772),E3772*F3772,"")</f>
        <v>18.62</v>
      </c>
      <c r="H3772" s="73"/>
      <c r="I3772" s="74"/>
      <c r="J3772" s="155">
        <v>0</v>
      </c>
    </row>
    <row r="3773" spans="1:10" ht="15.75" hidden="1" thickBot="1" x14ac:dyDescent="0.3">
      <c r="A3773" s="173"/>
      <c r="B3773" s="175"/>
      <c r="C3773" s="36" t="s">
        <v>1206</v>
      </c>
      <c r="D3773" s="47" t="s">
        <v>297</v>
      </c>
      <c r="E3773" s="37">
        <v>4</v>
      </c>
      <c r="F3773" s="54">
        <v>6.9064999999999994</v>
      </c>
      <c r="G3773" s="54">
        <f>IF(ISNUMBER(F3773),E3773*F3773,"")</f>
        <v>27.625999999999998</v>
      </c>
      <c r="H3773" s="73"/>
      <c r="I3773" s="74"/>
      <c r="J3773" s="155">
        <v>0</v>
      </c>
    </row>
    <row r="3774" spans="1:10" ht="15.75" hidden="1" thickBot="1" x14ac:dyDescent="0.3">
      <c r="A3774" s="173"/>
      <c r="B3774" s="175"/>
      <c r="C3774" s="36" t="s">
        <v>1207</v>
      </c>
      <c r="D3774" s="47" t="s">
        <v>297</v>
      </c>
      <c r="E3774" s="37">
        <v>2</v>
      </c>
      <c r="F3774" s="54">
        <v>2.4604999999999997</v>
      </c>
      <c r="G3774" s="54">
        <f>IF(ISNUMBER(F3774),E3774*F3774,"")</f>
        <v>4.9209999999999994</v>
      </c>
      <c r="H3774" s="73"/>
      <c r="I3774" s="74"/>
      <c r="J3774" s="155">
        <v>0</v>
      </c>
    </row>
    <row r="3775" spans="1:10" ht="26.25" hidden="1" thickBot="1" x14ac:dyDescent="0.3">
      <c r="A3775" s="173"/>
      <c r="B3775" s="175"/>
      <c r="C3775" s="36" t="s">
        <v>1208</v>
      </c>
      <c r="D3775" s="47" t="s">
        <v>297</v>
      </c>
      <c r="E3775" s="37">
        <v>2</v>
      </c>
      <c r="F3775" s="54">
        <v>15.152499999999998</v>
      </c>
      <c r="G3775" s="54">
        <f>IF(ISNUMBER(F3775),E3775*F3775,"")</f>
        <v>30.304999999999996</v>
      </c>
      <c r="H3775" s="73"/>
      <c r="I3775" s="74"/>
      <c r="J3775" s="155">
        <v>0</v>
      </c>
    </row>
    <row r="3776" spans="1:10" ht="26.25" hidden="1" thickBot="1" x14ac:dyDescent="0.3">
      <c r="A3776" s="173"/>
      <c r="B3776" s="175"/>
      <c r="C3776" s="36" t="s">
        <v>1209</v>
      </c>
      <c r="D3776" s="47" t="s">
        <v>297</v>
      </c>
      <c r="E3776" s="37">
        <v>1</v>
      </c>
      <c r="F3776" s="54">
        <v>19.893000000000001</v>
      </c>
      <c r="G3776" s="54">
        <f>IF(ISNUMBER(F3776),E3776*F3776,"")</f>
        <v>19.893000000000001</v>
      </c>
      <c r="H3776" s="73"/>
      <c r="I3776" s="74"/>
      <c r="J3776" s="155">
        <v>0</v>
      </c>
    </row>
    <row r="3777" spans="1:10" ht="15.75" hidden="1" thickBot="1" x14ac:dyDescent="0.3">
      <c r="A3777" s="173"/>
      <c r="B3777" s="175"/>
      <c r="C3777" s="36" t="s">
        <v>1210</v>
      </c>
      <c r="D3777" s="47" t="s">
        <v>297</v>
      </c>
      <c r="E3777" s="37">
        <v>3</v>
      </c>
      <c r="F3777" s="54">
        <v>64.676000000000002</v>
      </c>
      <c r="G3777" s="54">
        <f>IF(ISNUMBER(F3777),E3777*F3777,"")</f>
        <v>194.02800000000002</v>
      </c>
      <c r="H3777" s="73"/>
      <c r="I3777" s="74"/>
      <c r="J3777" s="155">
        <v>0</v>
      </c>
    </row>
    <row r="3778" spans="1:10" ht="15.75" hidden="1" thickBot="1" x14ac:dyDescent="0.3">
      <c r="A3778" s="173"/>
      <c r="B3778" s="175"/>
      <c r="C3778" s="36" t="s">
        <v>1211</v>
      </c>
      <c r="D3778" s="47" t="s">
        <v>297</v>
      </c>
      <c r="E3778" s="37">
        <v>2</v>
      </c>
      <c r="F3778" s="54">
        <v>41.505499999999998</v>
      </c>
      <c r="G3778" s="54">
        <f>IF(ISNUMBER(F3778),E3778*F3778,"")</f>
        <v>83.010999999999996</v>
      </c>
      <c r="H3778" s="73"/>
      <c r="I3778" s="74"/>
      <c r="J3778" s="155">
        <v>0</v>
      </c>
    </row>
    <row r="3779" spans="1:10" ht="26.25" hidden="1" thickBot="1" x14ac:dyDescent="0.3">
      <c r="A3779" s="173"/>
      <c r="B3779" s="175"/>
      <c r="C3779" s="36" t="s">
        <v>1212</v>
      </c>
      <c r="D3779" s="47" t="s">
        <v>523</v>
      </c>
      <c r="E3779" s="37">
        <v>0.72729999999999995</v>
      </c>
      <c r="F3779" s="54">
        <v>40.070999999999998</v>
      </c>
      <c r="G3779" s="54">
        <f>IF(ISNUMBER(F3779),E3779*F3779,"")</f>
        <v>29.143638299999996</v>
      </c>
      <c r="H3779" s="73"/>
      <c r="I3779" s="74"/>
      <c r="J3779" s="155">
        <v>0</v>
      </c>
    </row>
    <row r="3780" spans="1:10" ht="26.25" hidden="1" thickBot="1" x14ac:dyDescent="0.3">
      <c r="A3780" s="173"/>
      <c r="B3780" s="175"/>
      <c r="C3780" s="36" t="s">
        <v>1008</v>
      </c>
      <c r="D3780" s="47" t="s">
        <v>755</v>
      </c>
      <c r="E3780" s="37">
        <v>1.6462000000000001</v>
      </c>
      <c r="F3780" s="54">
        <v>16.891000000000002</v>
      </c>
      <c r="G3780" s="54">
        <f>IF(ISNUMBER(F3780),E3780*F3780,"")</f>
        <v>27.805964200000005</v>
      </c>
      <c r="H3780" s="73"/>
      <c r="I3780" s="74"/>
      <c r="J3780" s="155">
        <v>0</v>
      </c>
    </row>
    <row r="3781" spans="1:10" ht="26.25" hidden="1" thickBot="1" x14ac:dyDescent="0.3">
      <c r="A3781" s="173"/>
      <c r="B3781" s="175"/>
      <c r="C3781" s="36" t="s">
        <v>1009</v>
      </c>
      <c r="D3781" s="47" t="s">
        <v>755</v>
      </c>
      <c r="E3781" s="37">
        <v>5.4324000000000003</v>
      </c>
      <c r="F3781" s="54">
        <v>21.622</v>
      </c>
      <c r="G3781" s="54">
        <f>IF(ISNUMBER(F3781),E3781*F3781,"")</f>
        <v>117.4593528</v>
      </c>
      <c r="H3781" s="73"/>
      <c r="I3781" s="74"/>
      <c r="J3781" s="155">
        <v>0</v>
      </c>
    </row>
    <row r="3782" spans="1:10" ht="15.75" hidden="1" thickBot="1" x14ac:dyDescent="0.3">
      <c r="A3782" s="173"/>
      <c r="B3782" s="175"/>
      <c r="C3782" s="36" t="s">
        <v>1213</v>
      </c>
      <c r="D3782" s="47" t="s">
        <v>297</v>
      </c>
      <c r="E3782" s="37">
        <v>1</v>
      </c>
      <c r="F3782" s="54" t="s">
        <v>568</v>
      </c>
      <c r="G3782" s="54" t="str">
        <f>IF(ISNUMBER(F3782),E3782*F3782,"")</f>
        <v/>
      </c>
      <c r="H3782" s="73"/>
      <c r="I3782" s="74"/>
      <c r="J3782" s="155">
        <v>0</v>
      </c>
    </row>
    <row r="3783" spans="1:10" ht="15.75" hidden="1" thickBot="1" x14ac:dyDescent="0.3">
      <c r="A3783" s="173"/>
      <c r="B3783" s="175"/>
      <c r="C3783" s="55"/>
      <c r="D3783" s="55"/>
      <c r="E3783" s="66"/>
      <c r="F3783" s="76" t="s">
        <v>568</v>
      </c>
      <c r="G3783" s="76" t="str">
        <f>IF(ISNUMBER(F3783),E3783*F3783,"")</f>
        <v/>
      </c>
      <c r="H3783" s="77"/>
      <c r="I3783" s="74"/>
      <c r="J3783" s="155">
        <v>0</v>
      </c>
    </row>
    <row r="3784" spans="1:10" ht="15.75" hidden="1" thickBot="1" x14ac:dyDescent="0.3">
      <c r="A3784" s="172" t="s">
        <v>1214</v>
      </c>
      <c r="B3784" s="174" t="str">
        <f>INDEX(Orçamentária!A:B,MATCH(Composições!A3784,Orçamentária!A:A,0),2)</f>
        <v>Registro Esfera para Gás 3/4”</v>
      </c>
      <c r="C3784" s="41"/>
      <c r="D3784" s="26" t="str">
        <f>TRIM(INDEX(Orçamentária!C:C,MATCH(Composições!A3784,Orçamentária!A:A,0),1))</f>
        <v>un</v>
      </c>
      <c r="E3784" s="27"/>
      <c r="F3784" s="49" t="s">
        <v>568</v>
      </c>
      <c r="G3784" s="28" t="str">
        <f>IF(ISNUMBER(F3784),E3784*F3784,"")</f>
        <v/>
      </c>
      <c r="H3784" s="29"/>
      <c r="I3784" s="30"/>
      <c r="J3784" s="155">
        <v>0</v>
      </c>
    </row>
    <row r="3785" spans="1:10" ht="15.75" hidden="1" thickBot="1" x14ac:dyDescent="0.3">
      <c r="A3785" s="173"/>
      <c r="B3785" s="175"/>
      <c r="C3785" s="32"/>
      <c r="D3785" s="32"/>
      <c r="E3785" s="33"/>
      <c r="F3785" s="54" t="s">
        <v>568</v>
      </c>
      <c r="G3785" s="54" t="str">
        <f>IF(ISNUMBER(F3785),E3785*F3785,"")</f>
        <v/>
      </c>
      <c r="H3785" s="73"/>
      <c r="I3785" s="74"/>
      <c r="J3785" s="155">
        <v>0</v>
      </c>
    </row>
    <row r="3786" spans="1:10" ht="15.75" hidden="1" thickBot="1" x14ac:dyDescent="0.3">
      <c r="A3786" s="173"/>
      <c r="B3786" s="175"/>
      <c r="C3786" s="36" t="s">
        <v>346</v>
      </c>
      <c r="D3786" s="36" t="s">
        <v>297</v>
      </c>
      <c r="E3786" s="37">
        <v>1.2999999999999999E-2</v>
      </c>
      <c r="F3786" s="54">
        <v>13.661</v>
      </c>
      <c r="G3786" s="54">
        <f>IF(ISNUMBER(F3786),E3786*F3786,"")</f>
        <v>0.17759299999999997</v>
      </c>
      <c r="H3786" s="39">
        <f>SUM(G3786:G3789)</f>
        <v>7.8801930000000002</v>
      </c>
      <c r="I3786" s="40"/>
      <c r="J3786" s="155">
        <v>0</v>
      </c>
    </row>
    <row r="3787" spans="1:10" ht="15.75" hidden="1" thickBot="1" x14ac:dyDescent="0.3">
      <c r="A3787" s="173"/>
      <c r="B3787" s="175"/>
      <c r="C3787" s="36" t="s">
        <v>1215</v>
      </c>
      <c r="D3787" s="36" t="s">
        <v>297</v>
      </c>
      <c r="E3787" s="37">
        <v>1</v>
      </c>
      <c r="F3787" s="54" t="s">
        <v>568</v>
      </c>
      <c r="G3787" s="54" t="str">
        <f>IF(ISNUMBER(F3787),E3787*F3787,"")</f>
        <v/>
      </c>
      <c r="H3787" s="73"/>
      <c r="I3787" s="74"/>
      <c r="J3787" s="155">
        <v>0</v>
      </c>
    </row>
    <row r="3788" spans="1:10" ht="26.25" hidden="1" thickBot="1" x14ac:dyDescent="0.3">
      <c r="A3788" s="173"/>
      <c r="B3788" s="175"/>
      <c r="C3788" s="36" t="s">
        <v>1008</v>
      </c>
      <c r="D3788" s="36" t="s">
        <v>755</v>
      </c>
      <c r="E3788" s="37">
        <v>0.2</v>
      </c>
      <c r="F3788" s="54">
        <v>16.891000000000002</v>
      </c>
      <c r="G3788" s="54">
        <f>IF(ISNUMBER(F3788),E3788*F3788,"")</f>
        <v>3.3782000000000005</v>
      </c>
      <c r="H3788" s="73"/>
      <c r="I3788" s="74"/>
      <c r="J3788" s="155">
        <v>0</v>
      </c>
    </row>
    <row r="3789" spans="1:10" ht="26.25" hidden="1" thickBot="1" x14ac:dyDescent="0.3">
      <c r="A3789" s="173"/>
      <c r="B3789" s="175"/>
      <c r="C3789" s="36" t="s">
        <v>1009</v>
      </c>
      <c r="D3789" s="36" t="s">
        <v>755</v>
      </c>
      <c r="E3789" s="37">
        <v>0.2</v>
      </c>
      <c r="F3789" s="54">
        <v>21.622</v>
      </c>
      <c r="G3789" s="54">
        <f>IF(ISNUMBER(F3789),E3789*F3789,"")</f>
        <v>4.3243999999999998</v>
      </c>
      <c r="H3789" s="73"/>
      <c r="I3789" s="74"/>
      <c r="J3789" s="155">
        <v>0</v>
      </c>
    </row>
    <row r="3790" spans="1:10" ht="15.75" hidden="1" thickBot="1" x14ac:dyDescent="0.3">
      <c r="A3790" s="173"/>
      <c r="B3790" s="175"/>
      <c r="C3790" s="55"/>
      <c r="D3790" s="55"/>
      <c r="E3790" s="66"/>
      <c r="F3790" s="76" t="s">
        <v>568</v>
      </c>
      <c r="G3790" s="76" t="str">
        <f>IF(ISNUMBER(F3790),E3790*F3790,"")</f>
        <v/>
      </c>
      <c r="H3790" s="77"/>
      <c r="I3790" s="74"/>
      <c r="J3790" s="155">
        <v>0</v>
      </c>
    </row>
    <row r="3791" spans="1:10" ht="15.75" hidden="1" thickBot="1" x14ac:dyDescent="0.3">
      <c r="A3791" s="172" t="s">
        <v>1216</v>
      </c>
      <c r="B3791" s="174" t="str">
        <f>INDEX(Orçamentária!A:B,MATCH(Composições!A3791,Orçamentária!A:A,0),2)</f>
        <v>Placa de Concreto Pré-Moldado 15 Mpa</v>
      </c>
      <c r="C3791" s="41"/>
      <c r="D3791" s="26" t="str">
        <f>TRIM(INDEX(Orçamentária!C:C,MATCH(Composições!A3791,Orçamentária!A:A,0),1))</f>
        <v>m3</v>
      </c>
      <c r="E3791" s="27"/>
      <c r="F3791" s="49" t="s">
        <v>568</v>
      </c>
      <c r="G3791" s="28" t="str">
        <f>IF(ISNUMBER(F3791),E3791*F3791,"")</f>
        <v/>
      </c>
      <c r="H3791" s="29"/>
      <c r="I3791" s="30"/>
      <c r="J3791" s="155">
        <v>0</v>
      </c>
    </row>
    <row r="3792" spans="1:10" ht="15.75" hidden="1" thickBot="1" x14ac:dyDescent="0.3">
      <c r="A3792" s="173"/>
      <c r="B3792" s="175"/>
      <c r="C3792" s="32"/>
      <c r="D3792" s="32"/>
      <c r="E3792" s="33"/>
      <c r="F3792" s="54" t="s">
        <v>568</v>
      </c>
      <c r="G3792" s="54" t="str">
        <f>IF(ISNUMBER(F3792),E3792*F3792,"")</f>
        <v/>
      </c>
      <c r="H3792" s="73"/>
      <c r="I3792" s="74"/>
      <c r="J3792" s="155">
        <v>0</v>
      </c>
    </row>
    <row r="3793" spans="1:10" ht="26.25" hidden="1" thickBot="1" x14ac:dyDescent="0.3">
      <c r="A3793" s="173"/>
      <c r="B3793" s="175"/>
      <c r="C3793" s="36" t="s">
        <v>1217</v>
      </c>
      <c r="D3793" s="36" t="s">
        <v>1049</v>
      </c>
      <c r="E3793" s="37">
        <v>2.9790000000000001</v>
      </c>
      <c r="F3793" s="54">
        <v>40.650499999999994</v>
      </c>
      <c r="G3793" s="54">
        <f>IF(ISNUMBER(F3793),E3793*F3793,"")</f>
        <v>121.09783949999999</v>
      </c>
      <c r="H3793" s="39">
        <f>SUM(G3793:G3805)</f>
        <v>2846.2037836488848</v>
      </c>
      <c r="I3793" s="40"/>
      <c r="J3793" s="155">
        <v>0</v>
      </c>
    </row>
    <row r="3794" spans="1:10" ht="26.25" hidden="1" thickBot="1" x14ac:dyDescent="0.3">
      <c r="A3794" s="173"/>
      <c r="B3794" s="175"/>
      <c r="C3794" s="36" t="s">
        <v>1218</v>
      </c>
      <c r="D3794" s="36" t="s">
        <v>104</v>
      </c>
      <c r="E3794" s="37">
        <v>0.12</v>
      </c>
      <c r="F3794" s="54">
        <v>5.6144999999999996</v>
      </c>
      <c r="G3794" s="54">
        <f>IF(ISNUMBER(F3794),E3794*F3794,"")</f>
        <v>0.67373999999999989</v>
      </c>
      <c r="H3794" s="73"/>
      <c r="I3794" s="74"/>
      <c r="J3794" s="155">
        <v>0</v>
      </c>
    </row>
    <row r="3795" spans="1:10" ht="15.75" hidden="1" thickBot="1" x14ac:dyDescent="0.3">
      <c r="A3795" s="173"/>
      <c r="B3795" s="175"/>
      <c r="C3795" s="36" t="s">
        <v>1219</v>
      </c>
      <c r="D3795" s="36" t="s">
        <v>953</v>
      </c>
      <c r="E3795" s="37">
        <v>0.64449999999999996</v>
      </c>
      <c r="F3795" s="54">
        <v>19.256499999999999</v>
      </c>
      <c r="G3795" s="54">
        <f>IF(ISNUMBER(F3795),E3795*F3795,"")</f>
        <v>12.410814249999998</v>
      </c>
      <c r="H3795" s="73"/>
      <c r="I3795" s="74"/>
      <c r="J3795" s="155">
        <v>0</v>
      </c>
    </row>
    <row r="3796" spans="1:10" ht="15.75" hidden="1" thickBot="1" x14ac:dyDescent="0.3">
      <c r="A3796" s="173"/>
      <c r="B3796" s="175"/>
      <c r="C3796" s="36" t="s">
        <v>839</v>
      </c>
      <c r="D3796" s="36" t="s">
        <v>755</v>
      </c>
      <c r="E3796" s="37">
        <v>1.8137000000000001</v>
      </c>
      <c r="F3796" s="54">
        <v>18.468</v>
      </c>
      <c r="G3796" s="54">
        <f>IF(ISNUMBER(F3796),E3796*F3796,"")</f>
        <v>33.495411600000004</v>
      </c>
      <c r="H3796" s="73"/>
      <c r="I3796" s="74"/>
      <c r="J3796" s="155">
        <v>0</v>
      </c>
    </row>
    <row r="3797" spans="1:10" ht="15.75" hidden="1" thickBot="1" x14ac:dyDescent="0.3">
      <c r="A3797" s="173"/>
      <c r="B3797" s="175"/>
      <c r="C3797" s="36" t="s">
        <v>754</v>
      </c>
      <c r="D3797" s="36" t="s">
        <v>755</v>
      </c>
      <c r="E3797" s="37">
        <v>9.0685000000000002</v>
      </c>
      <c r="F3797" s="54">
        <v>21.916499999999999</v>
      </c>
      <c r="G3797" s="54">
        <f>IF(ISNUMBER(F3797),E3797*F3797,"")</f>
        <v>198.74978024999999</v>
      </c>
      <c r="H3797" s="73"/>
      <c r="I3797" s="74"/>
      <c r="J3797" s="155">
        <v>0</v>
      </c>
    </row>
    <row r="3798" spans="1:10" ht="15.75" hidden="1" thickBot="1" x14ac:dyDescent="0.3">
      <c r="A3798" s="173"/>
      <c r="B3798" s="175"/>
      <c r="C3798" s="36" t="s">
        <v>764</v>
      </c>
      <c r="D3798" s="36" t="s">
        <v>755</v>
      </c>
      <c r="E3798" s="37">
        <v>32.192999999999998</v>
      </c>
      <c r="F3798" s="54">
        <v>22.087499999999999</v>
      </c>
      <c r="G3798" s="54">
        <f>IF(ISNUMBER(F3798),E3798*F3798,"")</f>
        <v>711.06288749999987</v>
      </c>
      <c r="H3798" s="73"/>
      <c r="I3798" s="74"/>
      <c r="J3798" s="155">
        <v>0</v>
      </c>
    </row>
    <row r="3799" spans="1:10" ht="15.75" hidden="1" thickBot="1" x14ac:dyDescent="0.3">
      <c r="A3799" s="173"/>
      <c r="B3799" s="175"/>
      <c r="C3799" s="36" t="s">
        <v>756</v>
      </c>
      <c r="D3799" s="36" t="s">
        <v>755</v>
      </c>
      <c r="E3799" s="37">
        <v>32.192999999999998</v>
      </c>
      <c r="F3799" s="54">
        <v>16.311500000000002</v>
      </c>
      <c r="G3799" s="54">
        <f>IF(ISNUMBER(F3799),E3799*F3799,"")</f>
        <v>525.11611950000008</v>
      </c>
      <c r="H3799" s="73"/>
      <c r="I3799" s="74"/>
      <c r="J3799" s="155">
        <v>0</v>
      </c>
    </row>
    <row r="3800" spans="1:10" ht="26.25" hidden="1" thickBot="1" x14ac:dyDescent="0.3">
      <c r="A3800" s="173"/>
      <c r="B3800" s="175"/>
      <c r="C3800" s="36" t="s">
        <v>1220</v>
      </c>
      <c r="D3800" s="36" t="s">
        <v>997</v>
      </c>
      <c r="E3800" s="37">
        <v>6.6319999999999997</v>
      </c>
      <c r="F3800" s="54">
        <v>1.4249999999999998</v>
      </c>
      <c r="G3800" s="54">
        <f>IF(ISNUMBER(F3800),E3800*F3800,"")</f>
        <v>9.4505999999999979</v>
      </c>
      <c r="H3800" s="73"/>
      <c r="I3800" s="74"/>
      <c r="J3800" s="155">
        <v>0</v>
      </c>
    </row>
    <row r="3801" spans="1:10" ht="26.25" hidden="1" thickBot="1" x14ac:dyDescent="0.3">
      <c r="A3801" s="173"/>
      <c r="B3801" s="175"/>
      <c r="C3801" s="36" t="s">
        <v>1221</v>
      </c>
      <c r="D3801" s="36" t="s">
        <v>999</v>
      </c>
      <c r="E3801" s="37">
        <v>18.246200000000002</v>
      </c>
      <c r="F3801" s="54">
        <v>0.41799999999999998</v>
      </c>
      <c r="G3801" s="54">
        <f>IF(ISNUMBER(F3801),E3801*F3801,"")</f>
        <v>7.6269116000000006</v>
      </c>
      <c r="H3801" s="73"/>
      <c r="I3801" s="74"/>
      <c r="J3801" s="155">
        <v>0</v>
      </c>
    </row>
    <row r="3802" spans="1:10" ht="26.25" hidden="1" thickBot="1" x14ac:dyDescent="0.3">
      <c r="A3802" s="173"/>
      <c r="B3802" s="175"/>
      <c r="C3802" s="36" t="s">
        <v>1222</v>
      </c>
      <c r="D3802" s="36" t="s">
        <v>997</v>
      </c>
      <c r="E3802" s="37">
        <v>0.77359999999999995</v>
      </c>
      <c r="F3802" s="54">
        <v>19.180499999999999</v>
      </c>
      <c r="G3802" s="54">
        <f>IF(ISNUMBER(F3802),E3802*F3802,"")</f>
        <v>14.838034799999997</v>
      </c>
      <c r="H3802" s="73"/>
      <c r="I3802" s="74"/>
      <c r="J3802" s="155">
        <v>0</v>
      </c>
    </row>
    <row r="3803" spans="1:10" ht="26.25" hidden="1" thickBot="1" x14ac:dyDescent="0.3">
      <c r="A3803" s="173"/>
      <c r="B3803" s="175"/>
      <c r="C3803" s="36" t="s">
        <v>1223</v>
      </c>
      <c r="D3803" s="36" t="s">
        <v>999</v>
      </c>
      <c r="E3803" s="37">
        <v>1.0401</v>
      </c>
      <c r="F3803" s="54">
        <v>17.327999999999999</v>
      </c>
      <c r="G3803" s="54">
        <f>IF(ISNUMBER(F3803),E3803*F3803,"")</f>
        <v>18.022852799999999</v>
      </c>
      <c r="H3803" s="73"/>
      <c r="I3803" s="74"/>
      <c r="J3803" s="155">
        <v>0</v>
      </c>
    </row>
    <row r="3804" spans="1:10" ht="39" hidden="1" thickBot="1" x14ac:dyDescent="0.3">
      <c r="A3804" s="173"/>
      <c r="B3804" s="175"/>
      <c r="C3804" s="36" t="s">
        <v>1224</v>
      </c>
      <c r="D3804" s="36" t="s">
        <v>953</v>
      </c>
      <c r="E3804" s="37">
        <v>42.646299999999997</v>
      </c>
      <c r="F3804" s="54">
        <v>17.080738749999998</v>
      </c>
      <c r="G3804" s="54">
        <f>IF(ISNUMBER(F3804),E3804*F3804,"")</f>
        <v>728.43030895412483</v>
      </c>
      <c r="H3804" s="73"/>
      <c r="I3804" s="74"/>
      <c r="J3804" s="155">
        <v>0</v>
      </c>
    </row>
    <row r="3805" spans="1:10" ht="26.25" hidden="1" thickBot="1" x14ac:dyDescent="0.3">
      <c r="A3805" s="173"/>
      <c r="B3805" s="175"/>
      <c r="C3805" s="36" t="s">
        <v>1225</v>
      </c>
      <c r="D3805" s="36" t="s">
        <v>123</v>
      </c>
      <c r="E3805" s="37">
        <v>1.2</v>
      </c>
      <c r="F3805" s="54">
        <v>387.69040241229999</v>
      </c>
      <c r="G3805" s="54">
        <f>IF(ISNUMBER(F3805),E3805*F3805,"")</f>
        <v>465.22848289475996</v>
      </c>
      <c r="H3805" s="73"/>
      <c r="I3805" s="74"/>
      <c r="J3805" s="155">
        <v>0</v>
      </c>
    </row>
    <row r="3806" spans="1:10" ht="15.75" hidden="1" thickBot="1" x14ac:dyDescent="0.3">
      <c r="A3806" s="185"/>
      <c r="B3806" s="178"/>
      <c r="C3806" s="55"/>
      <c r="D3806" s="55"/>
      <c r="E3806" s="66"/>
      <c r="F3806" s="76" t="s">
        <v>568</v>
      </c>
      <c r="G3806" s="76" t="str">
        <f>IF(ISNUMBER(F3806),E3806*F3806,"")</f>
        <v/>
      </c>
      <c r="H3806" s="77"/>
      <c r="I3806" s="74"/>
      <c r="J3806" s="155">
        <v>0</v>
      </c>
    </row>
    <row r="3807" spans="1:10" ht="15.75" hidden="1" thickBot="1" x14ac:dyDescent="0.3">
      <c r="A3807" s="172" t="s">
        <v>1226</v>
      </c>
      <c r="B3807" s="174" t="str">
        <f>INDEX(Orçamentária!A:B,MATCH(Composições!A3807,Orçamentária!A:A,0),2)</f>
        <v>Eletroduto PEAD 3”</v>
      </c>
      <c r="C3807" s="41"/>
      <c r="D3807" s="26" t="str">
        <f>TRIM(INDEX(Orçamentária!C:C,MATCH(Composições!A3807,Orçamentária!A:A,0),1))</f>
        <v>m</v>
      </c>
      <c r="E3807" s="27"/>
      <c r="F3807" s="49" t="s">
        <v>568</v>
      </c>
      <c r="G3807" s="28" t="str">
        <f>IF(ISNUMBER(F3807),E3807*F3807,"")</f>
        <v/>
      </c>
      <c r="H3807" s="29"/>
      <c r="I3807" s="30"/>
      <c r="J3807" s="155">
        <v>0</v>
      </c>
    </row>
    <row r="3808" spans="1:10" ht="15.75" hidden="1" thickBot="1" x14ac:dyDescent="0.3">
      <c r="A3808" s="173"/>
      <c r="B3808" s="175"/>
      <c r="C3808" s="32"/>
      <c r="D3808" s="32"/>
      <c r="E3808" s="33"/>
      <c r="F3808" s="54" t="s">
        <v>568</v>
      </c>
      <c r="G3808" s="54" t="str">
        <f>IF(ISNUMBER(F3808),E3808*F3808,"")</f>
        <v/>
      </c>
      <c r="H3808" s="73"/>
      <c r="I3808" s="74"/>
      <c r="J3808" s="155">
        <v>0</v>
      </c>
    </row>
    <row r="3809" spans="1:10" ht="39" hidden="1" thickBot="1" x14ac:dyDescent="0.3">
      <c r="A3809" s="173"/>
      <c r="B3809" s="175"/>
      <c r="C3809" s="36" t="s">
        <v>1227</v>
      </c>
      <c r="D3809" s="36" t="s">
        <v>523</v>
      </c>
      <c r="E3809" s="37">
        <v>1.1000000000000001</v>
      </c>
      <c r="F3809" s="54">
        <v>7.8469999999999995</v>
      </c>
      <c r="G3809" s="54">
        <f>IF(ISNUMBER(F3809),E3809*F3809,"")</f>
        <v>8.6317000000000004</v>
      </c>
      <c r="H3809" s="39">
        <f>SUM(G3809:G3811)</f>
        <v>16.399964000000001</v>
      </c>
      <c r="I3809" s="40"/>
      <c r="J3809" s="155">
        <v>0</v>
      </c>
    </row>
    <row r="3810" spans="1:10" ht="15.75" hidden="1" thickBot="1" x14ac:dyDescent="0.3">
      <c r="A3810" s="173"/>
      <c r="B3810" s="175"/>
      <c r="C3810" s="36" t="s">
        <v>1228</v>
      </c>
      <c r="D3810" s="36" t="s">
        <v>755</v>
      </c>
      <c r="E3810" s="37">
        <v>0.19600000000000001</v>
      </c>
      <c r="F3810" s="54">
        <v>17.366</v>
      </c>
      <c r="G3810" s="54">
        <f>IF(ISNUMBER(F3810),E3810*F3810,"")</f>
        <v>3.4037359999999999</v>
      </c>
      <c r="H3810" s="73"/>
      <c r="I3810" s="74"/>
      <c r="J3810" s="155">
        <v>0</v>
      </c>
    </row>
    <row r="3811" spans="1:10" ht="15.75" hidden="1" thickBot="1" x14ac:dyDescent="0.3">
      <c r="A3811" s="173"/>
      <c r="B3811" s="175"/>
      <c r="C3811" s="36" t="s">
        <v>1229</v>
      </c>
      <c r="D3811" s="36" t="s">
        <v>755</v>
      </c>
      <c r="E3811" s="37">
        <v>0.19600000000000001</v>
      </c>
      <c r="F3811" s="54">
        <v>22.268000000000001</v>
      </c>
      <c r="G3811" s="54">
        <f>IF(ISNUMBER(F3811),E3811*F3811,"")</f>
        <v>4.364528</v>
      </c>
      <c r="H3811" s="73"/>
      <c r="I3811" s="74"/>
      <c r="J3811" s="155">
        <v>0</v>
      </c>
    </row>
    <row r="3812" spans="1:10" ht="15.75" hidden="1" thickBot="1" x14ac:dyDescent="0.3">
      <c r="A3812" s="173"/>
      <c r="B3812" s="175"/>
      <c r="C3812" s="55"/>
      <c r="D3812" s="55"/>
      <c r="E3812" s="66"/>
      <c r="F3812" s="76" t="s">
        <v>568</v>
      </c>
      <c r="G3812" s="76" t="str">
        <f>IF(ISNUMBER(F3812),E3812*F3812,"")</f>
        <v/>
      </c>
      <c r="H3812" s="77"/>
      <c r="I3812" s="74"/>
      <c r="J3812" s="155">
        <v>0</v>
      </c>
    </row>
    <row r="3813" spans="1:10" ht="15.75" hidden="1" thickBot="1" x14ac:dyDescent="0.3">
      <c r="A3813" s="172" t="s">
        <v>1230</v>
      </c>
      <c r="B3813" s="174" t="str">
        <f>INDEX(Orçamentária!A:B,MATCH(Composições!A3813,Orçamentária!A:A,0),2)</f>
        <v>Eletroduto de aço galvanizado de 3”</v>
      </c>
      <c r="C3813" s="41"/>
      <c r="D3813" s="26" t="str">
        <f>TRIM(INDEX(Orçamentária!C:C,MATCH(Composições!A3813,Orçamentária!A:A,0),1))</f>
        <v>m</v>
      </c>
      <c r="E3813" s="27"/>
      <c r="F3813" s="49" t="s">
        <v>568</v>
      </c>
      <c r="G3813" s="28" t="str">
        <f>IF(ISNUMBER(F3813),E3813*F3813,"")</f>
        <v/>
      </c>
      <c r="H3813" s="29"/>
      <c r="I3813" s="30"/>
      <c r="J3813" s="155">
        <v>0</v>
      </c>
    </row>
    <row r="3814" spans="1:10" ht="15.75" hidden="1" thickBot="1" x14ac:dyDescent="0.3">
      <c r="A3814" s="173"/>
      <c r="B3814" s="175"/>
      <c r="C3814" s="32"/>
      <c r="D3814" s="32"/>
      <c r="E3814" s="33"/>
      <c r="F3814" s="54" t="s">
        <v>568</v>
      </c>
      <c r="G3814" s="54" t="str">
        <f>IF(ISNUMBER(F3814),E3814*F3814,"")</f>
        <v/>
      </c>
      <c r="H3814" s="73"/>
      <c r="I3814" s="74"/>
      <c r="J3814" s="155">
        <v>0</v>
      </c>
    </row>
    <row r="3815" spans="1:10" ht="15.75" hidden="1" thickBot="1" x14ac:dyDescent="0.3">
      <c r="A3815" s="173"/>
      <c r="B3815" s="175"/>
      <c r="C3815" s="36" t="s">
        <v>1231</v>
      </c>
      <c r="D3815" s="36" t="s">
        <v>93</v>
      </c>
      <c r="E3815" s="37">
        <v>1.05</v>
      </c>
      <c r="F3815" s="54">
        <v>0</v>
      </c>
      <c r="G3815" s="54">
        <f>IF(ISNUMBER(F3815),E3815*F3815,"")</f>
        <v>0</v>
      </c>
      <c r="H3815" s="39">
        <f>SUM(G3815:G3817)</f>
        <v>39.634</v>
      </c>
      <c r="I3815" s="40"/>
      <c r="J3815" s="155">
        <v>0</v>
      </c>
    </row>
    <row r="3816" spans="1:10" ht="15.75" hidden="1" thickBot="1" x14ac:dyDescent="0.3">
      <c r="A3816" s="173"/>
      <c r="B3816" s="175"/>
      <c r="C3816" s="36" t="s">
        <v>1228</v>
      </c>
      <c r="D3816" s="36" t="s">
        <v>755</v>
      </c>
      <c r="E3816" s="37">
        <v>1</v>
      </c>
      <c r="F3816" s="54">
        <v>17.366</v>
      </c>
      <c r="G3816" s="54">
        <f>IF(ISNUMBER(F3816),E3816*F3816,"")</f>
        <v>17.366</v>
      </c>
      <c r="H3816" s="73"/>
      <c r="I3816" s="74"/>
      <c r="J3816" s="155">
        <v>0</v>
      </c>
    </row>
    <row r="3817" spans="1:10" ht="15.75" hidden="1" thickBot="1" x14ac:dyDescent="0.3">
      <c r="A3817" s="173"/>
      <c r="B3817" s="175"/>
      <c r="C3817" s="36" t="s">
        <v>1229</v>
      </c>
      <c r="D3817" s="36" t="s">
        <v>755</v>
      </c>
      <c r="E3817" s="37">
        <v>1</v>
      </c>
      <c r="F3817" s="54">
        <v>22.268000000000001</v>
      </c>
      <c r="G3817" s="54">
        <f>IF(ISNUMBER(F3817),E3817*F3817,"")</f>
        <v>22.268000000000001</v>
      </c>
      <c r="H3817" s="73"/>
      <c r="I3817" s="74"/>
      <c r="J3817" s="155">
        <v>0</v>
      </c>
    </row>
    <row r="3818" spans="1:10" ht="15.75" hidden="1" thickBot="1" x14ac:dyDescent="0.3">
      <c r="A3818" s="173"/>
      <c r="B3818" s="175"/>
      <c r="C3818" s="55"/>
      <c r="D3818" s="55"/>
      <c r="E3818" s="66"/>
      <c r="F3818" s="76" t="s">
        <v>568</v>
      </c>
      <c r="G3818" s="76" t="str">
        <f>IF(ISNUMBER(F3818),E3818*F3818,"")</f>
        <v/>
      </c>
      <c r="H3818" s="77"/>
      <c r="I3818" s="74"/>
      <c r="J3818" s="155">
        <v>0</v>
      </c>
    </row>
    <row r="3819" spans="1:10" ht="15.75" hidden="1" thickBot="1" x14ac:dyDescent="0.3">
      <c r="A3819" s="172" t="s">
        <v>1232</v>
      </c>
      <c r="B3819" s="174" t="str">
        <f>INDEX(Orçamentária!A:B,MATCH(Composições!A3819,Orçamentária!A:A,0),2)</f>
        <v>Grelha reta para ralo</v>
      </c>
      <c r="C3819" s="41"/>
      <c r="D3819" s="26" t="str">
        <f>TRIM(INDEX(Orçamentária!C:C,MATCH(Composições!A3819,Orçamentária!A:A,0),1))</f>
        <v>m</v>
      </c>
      <c r="E3819" s="27"/>
      <c r="F3819" s="49" t="s">
        <v>568</v>
      </c>
      <c r="G3819" s="28" t="str">
        <f>IF(ISNUMBER(F3819),E3819*F3819,"")</f>
        <v/>
      </c>
      <c r="H3819" s="29"/>
      <c r="I3819" s="30"/>
      <c r="J3819" s="155">
        <v>0</v>
      </c>
    </row>
    <row r="3820" spans="1:10" ht="15.75" hidden="1" thickBot="1" x14ac:dyDescent="0.3">
      <c r="A3820" s="173"/>
      <c r="B3820" s="175"/>
      <c r="C3820" s="32"/>
      <c r="D3820" s="32"/>
      <c r="E3820" s="33"/>
      <c r="F3820" s="54" t="s">
        <v>568</v>
      </c>
      <c r="G3820" s="54" t="str">
        <f>IF(ISNUMBER(F3820),E3820*F3820,"")</f>
        <v/>
      </c>
      <c r="H3820" s="73"/>
      <c r="I3820" s="74"/>
      <c r="J3820" s="155">
        <v>0</v>
      </c>
    </row>
    <row r="3821" spans="1:10" ht="26.25" hidden="1" thickBot="1" x14ac:dyDescent="0.3">
      <c r="A3821" s="173"/>
      <c r="B3821" s="175"/>
      <c r="C3821" s="36" t="s">
        <v>1233</v>
      </c>
      <c r="D3821" s="36" t="s">
        <v>93</v>
      </c>
      <c r="E3821" s="37">
        <v>1</v>
      </c>
      <c r="F3821" s="54">
        <v>0</v>
      </c>
      <c r="G3821" s="54">
        <f>IF(ISNUMBER(F3821),E3821*F3821,"")</f>
        <v>0</v>
      </c>
      <c r="H3821" s="39">
        <f>SUM(G3821:G3823)</f>
        <v>25.727330000000002</v>
      </c>
      <c r="I3821" s="40"/>
      <c r="J3821" s="155">
        <v>0</v>
      </c>
    </row>
    <row r="3822" spans="1:10" ht="15.75" hidden="1" thickBot="1" x14ac:dyDescent="0.3">
      <c r="A3822" s="173"/>
      <c r="B3822" s="175"/>
      <c r="C3822" s="36" t="s">
        <v>764</v>
      </c>
      <c r="D3822" s="36" t="s">
        <v>755</v>
      </c>
      <c r="E3822" s="37">
        <v>0.67</v>
      </c>
      <c r="F3822" s="54">
        <v>22.087499999999999</v>
      </c>
      <c r="G3822" s="54">
        <f>IF(ISNUMBER(F3822),E3822*F3822,"")</f>
        <v>14.798624999999999</v>
      </c>
      <c r="H3822" s="73"/>
      <c r="I3822" s="74"/>
      <c r="J3822" s="155">
        <v>0</v>
      </c>
    </row>
    <row r="3823" spans="1:10" ht="15.75" hidden="1" thickBot="1" x14ac:dyDescent="0.3">
      <c r="A3823" s="173"/>
      <c r="B3823" s="175"/>
      <c r="C3823" s="36" t="s">
        <v>756</v>
      </c>
      <c r="D3823" s="36" t="s">
        <v>755</v>
      </c>
      <c r="E3823" s="37">
        <v>0.67</v>
      </c>
      <c r="F3823" s="54">
        <v>16.311500000000002</v>
      </c>
      <c r="G3823" s="54">
        <f>IF(ISNUMBER(F3823),E3823*F3823,"")</f>
        <v>10.928705000000003</v>
      </c>
      <c r="H3823" s="73"/>
      <c r="I3823" s="74"/>
      <c r="J3823" s="155">
        <v>0</v>
      </c>
    </row>
    <row r="3824" spans="1:10" ht="15.75" hidden="1" thickBot="1" x14ac:dyDescent="0.3">
      <c r="A3824" s="173"/>
      <c r="B3824" s="175"/>
      <c r="C3824" s="55"/>
      <c r="D3824" s="55"/>
      <c r="E3824" s="66"/>
      <c r="F3824" s="76" t="s">
        <v>568</v>
      </c>
      <c r="G3824" s="76" t="str">
        <f>IF(ISNUMBER(F3824),E3824*F3824,"")</f>
        <v/>
      </c>
      <c r="H3824" s="77"/>
      <c r="I3824" s="74"/>
      <c r="J3824" s="155">
        <v>0</v>
      </c>
    </row>
    <row r="3825" spans="1:10" ht="15.75" hidden="1" thickBot="1" x14ac:dyDescent="0.3">
      <c r="A3825" s="172" t="s">
        <v>1234</v>
      </c>
      <c r="B3825" s="174" t="str">
        <f>INDEX(Orçamentária!A:B,MATCH(Composições!A3825,Orçamentária!A:A,0),2)</f>
        <v>Granito Vermelho Brasília para soleira e peitoril</v>
      </c>
      <c r="C3825" s="41"/>
      <c r="D3825" s="26" t="str">
        <f>TRIM(INDEX(Orçamentária!C:C,MATCH(Composições!A3825,Orçamentária!A:A,0),1))</f>
        <v>m2</v>
      </c>
      <c r="E3825" s="27"/>
      <c r="F3825" s="49" t="s">
        <v>568</v>
      </c>
      <c r="G3825" s="28" t="str">
        <f>IF(ISNUMBER(F3825),E3825*F3825,"")</f>
        <v/>
      </c>
      <c r="H3825" s="29"/>
      <c r="I3825" s="30"/>
      <c r="J3825" s="155">
        <v>0</v>
      </c>
    </row>
    <row r="3826" spans="1:10" ht="15.75" hidden="1" thickBot="1" x14ac:dyDescent="0.3">
      <c r="A3826" s="173"/>
      <c r="B3826" s="175"/>
      <c r="C3826" s="32"/>
      <c r="D3826" s="32"/>
      <c r="E3826" s="33"/>
      <c r="F3826" s="54" t="s">
        <v>568</v>
      </c>
      <c r="G3826" s="54" t="str">
        <f>IF(ISNUMBER(F3826),E3826*F3826,"")</f>
        <v/>
      </c>
      <c r="H3826" s="73"/>
      <c r="I3826" s="74"/>
      <c r="J3826" s="155">
        <v>0</v>
      </c>
    </row>
    <row r="3827" spans="1:10" ht="26.25" hidden="1" thickBot="1" x14ac:dyDescent="0.3">
      <c r="A3827" s="173"/>
      <c r="B3827" s="175"/>
      <c r="C3827" s="36" t="s">
        <v>1235</v>
      </c>
      <c r="D3827" s="36" t="s">
        <v>93</v>
      </c>
      <c r="E3827" s="37">
        <f>ROUND(1/0.15,4)</f>
        <v>6.6666999999999996</v>
      </c>
      <c r="F3827" s="54" t="s">
        <v>568</v>
      </c>
      <c r="G3827" s="54" t="str">
        <f>IF(ISNUMBER(F3827),E3827*F3827,"")</f>
        <v/>
      </c>
      <c r="H3827" s="39">
        <f>SUM(G3827:G3830)</f>
        <v>108.13556735000002</v>
      </c>
      <c r="I3827" s="40"/>
      <c r="J3827" s="155">
        <v>0</v>
      </c>
    </row>
    <row r="3828" spans="1:10" ht="15.75" hidden="1" thickBot="1" x14ac:dyDescent="0.3">
      <c r="A3828" s="173"/>
      <c r="B3828" s="175"/>
      <c r="C3828" s="36" t="s">
        <v>3613</v>
      </c>
      <c r="D3828" s="36" t="s">
        <v>42</v>
      </c>
      <c r="E3828" s="37">
        <f>1.29/0.15</f>
        <v>8.6000000000000014</v>
      </c>
      <c r="F3828" s="54">
        <v>1.3109999999999999</v>
      </c>
      <c r="G3828" s="54">
        <f>IF(ISNUMBER(F3828),E3828*F3828,"")</f>
        <v>11.274600000000001</v>
      </c>
      <c r="H3828" s="73"/>
      <c r="I3828" s="74"/>
      <c r="J3828" s="155">
        <v>0</v>
      </c>
    </row>
    <row r="3829" spans="1:10" ht="15.75" hidden="1" thickBot="1" x14ac:dyDescent="0.3">
      <c r="A3829" s="173"/>
      <c r="B3829" s="175"/>
      <c r="C3829" s="36" t="s">
        <v>54</v>
      </c>
      <c r="D3829" s="36" t="s">
        <v>12</v>
      </c>
      <c r="E3829" s="37">
        <f>ROUND(0.547/0.15,4)</f>
        <v>3.6467000000000001</v>
      </c>
      <c r="F3829" s="54">
        <v>18.420500000000001</v>
      </c>
      <c r="G3829" s="54">
        <f>IF(ISNUMBER(F3829),E3829*F3829,"")</f>
        <v>67.174037350000006</v>
      </c>
      <c r="H3829" s="73"/>
      <c r="I3829" s="74"/>
      <c r="J3829" s="155">
        <v>0</v>
      </c>
    </row>
    <row r="3830" spans="1:10" ht="15.75" hidden="1" thickBot="1" x14ac:dyDescent="0.3">
      <c r="A3830" s="173"/>
      <c r="B3830" s="175"/>
      <c r="C3830" s="36" t="s">
        <v>23</v>
      </c>
      <c r="D3830" s="36" t="s">
        <v>12</v>
      </c>
      <c r="E3830" s="37">
        <f>0.273/0.15</f>
        <v>1.8200000000000003</v>
      </c>
      <c r="F3830" s="54">
        <v>16.311500000000002</v>
      </c>
      <c r="G3830" s="54">
        <f>IF(ISNUMBER(F3830),E3830*F3830,"")</f>
        <v>29.686930000000007</v>
      </c>
      <c r="H3830" s="73"/>
      <c r="I3830" s="74"/>
      <c r="J3830" s="155">
        <v>0</v>
      </c>
    </row>
    <row r="3831" spans="1:10" ht="15.75" hidden="1" thickBot="1" x14ac:dyDescent="0.3">
      <c r="A3831" s="173"/>
      <c r="B3831" s="175"/>
      <c r="C3831" s="36"/>
      <c r="D3831" s="36"/>
      <c r="E3831" s="37"/>
      <c r="F3831" s="54" t="s">
        <v>568</v>
      </c>
      <c r="G3831" s="54" t="str">
        <f>IF(ISNUMBER(F3831),E3831*F3831,"")</f>
        <v/>
      </c>
      <c r="H3831" s="73"/>
      <c r="I3831" s="74"/>
      <c r="J3831" s="155">
        <v>0</v>
      </c>
    </row>
    <row r="3832" spans="1:10" ht="15.75" hidden="1" thickBot="1" x14ac:dyDescent="0.3">
      <c r="A3832" s="172" t="s">
        <v>1236</v>
      </c>
      <c r="B3832" s="174" t="str">
        <f>INDEX(Orçamentária!A:B,MATCH(Composições!A3832,Orçamentária!A:A,0),2)</f>
        <v>Luminária LED redonda de embutir</v>
      </c>
      <c r="C3832" s="41"/>
      <c r="D3832" s="26" t="str">
        <f>TRIM(INDEX(Orçamentária!C:C,MATCH(Composições!A3832,Orçamentária!A:A,0),1))</f>
        <v>un</v>
      </c>
      <c r="E3832" s="27"/>
      <c r="F3832" s="49" t="s">
        <v>568</v>
      </c>
      <c r="G3832" s="28" t="str">
        <f>IF(ISNUMBER(F3832),E3832*F3832,"")</f>
        <v/>
      </c>
      <c r="H3832" s="29"/>
      <c r="I3832" s="30"/>
      <c r="J3832" s="155">
        <v>0</v>
      </c>
    </row>
    <row r="3833" spans="1:10" ht="15.75" hidden="1" thickBot="1" x14ac:dyDescent="0.3">
      <c r="A3833" s="173"/>
      <c r="B3833" s="175"/>
      <c r="C3833" s="32"/>
      <c r="D3833" s="32"/>
      <c r="E3833" s="33"/>
      <c r="F3833" s="54" t="s">
        <v>568</v>
      </c>
      <c r="G3833" s="54" t="str">
        <f>IF(ISNUMBER(F3833),E3833*F3833,"")</f>
        <v/>
      </c>
      <c r="H3833" s="73"/>
      <c r="I3833" s="74"/>
      <c r="J3833" s="155">
        <v>0</v>
      </c>
    </row>
    <row r="3834" spans="1:10" ht="39" hidden="1" thickBot="1" x14ac:dyDescent="0.3">
      <c r="A3834" s="173"/>
      <c r="B3834" s="175"/>
      <c r="C3834" s="36" t="s">
        <v>1237</v>
      </c>
      <c r="D3834" s="36" t="s">
        <v>149</v>
      </c>
      <c r="E3834" s="37">
        <v>1</v>
      </c>
      <c r="F3834" s="54" t="s">
        <v>568</v>
      </c>
      <c r="G3834" s="54" t="str">
        <f>IF(ISNUMBER(F3834),E3834*F3834,"")</f>
        <v/>
      </c>
      <c r="H3834" s="39">
        <f>SUM(G3834:G3839)</f>
        <v>38.167534799999999</v>
      </c>
      <c r="I3834" s="40"/>
      <c r="J3834" s="155">
        <v>0</v>
      </c>
    </row>
    <row r="3835" spans="1:10" ht="26.25" hidden="1" thickBot="1" x14ac:dyDescent="0.3">
      <c r="A3835" s="173"/>
      <c r="B3835" s="175"/>
      <c r="C3835" s="36" t="s">
        <v>586</v>
      </c>
      <c r="D3835" s="36" t="s">
        <v>93</v>
      </c>
      <c r="E3835" s="37">
        <v>1.5</v>
      </c>
      <c r="F3835" s="54">
        <v>9.34</v>
      </c>
      <c r="G3835" s="54">
        <f>IF(ISNUMBER(F3835),E3835*F3835,"")</f>
        <v>14.01</v>
      </c>
      <c r="H3835" s="73"/>
      <c r="I3835" s="74"/>
      <c r="J3835" s="155">
        <v>0</v>
      </c>
    </row>
    <row r="3836" spans="1:10" ht="15.75" hidden="1" thickBot="1" x14ac:dyDescent="0.3">
      <c r="A3836" s="173"/>
      <c r="B3836" s="175"/>
      <c r="C3836" s="36" t="s">
        <v>587</v>
      </c>
      <c r="D3836" s="36" t="s">
        <v>149</v>
      </c>
      <c r="E3836" s="37">
        <v>1</v>
      </c>
      <c r="F3836" s="54">
        <v>6.64</v>
      </c>
      <c r="G3836" s="54">
        <f>IF(ISNUMBER(F3836),E3836*F3836,"")</f>
        <v>6.64</v>
      </c>
      <c r="H3836" s="73"/>
      <c r="I3836" s="74"/>
      <c r="J3836" s="155">
        <v>0</v>
      </c>
    </row>
    <row r="3837" spans="1:10" ht="15.75" hidden="1" thickBot="1" x14ac:dyDescent="0.3">
      <c r="A3837" s="173"/>
      <c r="B3837" s="175"/>
      <c r="C3837" s="36" t="s">
        <v>588</v>
      </c>
      <c r="D3837" s="36" t="s">
        <v>149</v>
      </c>
      <c r="E3837" s="37">
        <v>1</v>
      </c>
      <c r="F3837" s="54">
        <v>7.04</v>
      </c>
      <c r="G3837" s="54">
        <f>IF(ISNUMBER(F3837),E3837*F3837,"")</f>
        <v>7.04</v>
      </c>
      <c r="H3837" s="73"/>
      <c r="I3837" s="74"/>
      <c r="J3837" s="155">
        <v>0</v>
      </c>
    </row>
    <row r="3838" spans="1:10" ht="15.75" hidden="1" thickBot="1" x14ac:dyDescent="0.3">
      <c r="A3838" s="173"/>
      <c r="B3838" s="175"/>
      <c r="C3838" s="36" t="s">
        <v>74</v>
      </c>
      <c r="D3838" s="36" t="s">
        <v>12</v>
      </c>
      <c r="E3838" s="37">
        <v>0.14799999999999999</v>
      </c>
      <c r="F3838" s="54">
        <v>17.366</v>
      </c>
      <c r="G3838" s="54">
        <f>IF(ISNUMBER(F3838),E3838*F3838,"")</f>
        <v>2.5701679999999998</v>
      </c>
      <c r="H3838" s="73"/>
      <c r="I3838" s="74"/>
      <c r="J3838" s="155">
        <v>0</v>
      </c>
    </row>
    <row r="3839" spans="1:10" ht="15.75" hidden="1" thickBot="1" x14ac:dyDescent="0.3">
      <c r="A3839" s="173"/>
      <c r="B3839" s="175"/>
      <c r="C3839" s="36" t="s">
        <v>30</v>
      </c>
      <c r="D3839" s="36" t="s">
        <v>12</v>
      </c>
      <c r="E3839" s="37">
        <v>0.35510000000000003</v>
      </c>
      <c r="F3839" s="54">
        <v>22.268000000000001</v>
      </c>
      <c r="G3839" s="54">
        <f>IF(ISNUMBER(F3839),E3839*F3839,"")</f>
        <v>7.907366800000001</v>
      </c>
      <c r="H3839" s="73"/>
      <c r="I3839" s="74"/>
      <c r="J3839" s="155">
        <v>0</v>
      </c>
    </row>
    <row r="3840" spans="1:10" ht="15.75" hidden="1" thickBot="1" x14ac:dyDescent="0.3">
      <c r="A3840" s="173"/>
      <c r="B3840" s="175"/>
      <c r="C3840" s="36"/>
      <c r="D3840" s="47"/>
      <c r="E3840" s="37"/>
      <c r="F3840" s="54" t="s">
        <v>568</v>
      </c>
      <c r="G3840" s="54" t="str">
        <f>IF(ISNUMBER(F3840),E3840*F3840,"")</f>
        <v/>
      </c>
      <c r="H3840" s="73"/>
      <c r="I3840" s="74"/>
      <c r="J3840" s="155">
        <v>0</v>
      </c>
    </row>
    <row r="3841" spans="1:10" ht="15.75" hidden="1" thickBot="1" x14ac:dyDescent="0.3">
      <c r="A3841" s="172" t="s">
        <v>1238</v>
      </c>
      <c r="B3841" s="174" t="str">
        <f>INDEX(Orçamentária!A:B,MATCH(Composições!A3841,Orçamentária!A:A,0),2)</f>
        <v>Piso tátil de borracha</v>
      </c>
      <c r="C3841" s="41"/>
      <c r="D3841" s="26" t="str">
        <f>TRIM(INDEX(Orçamentária!C:C,MATCH(Composições!A3841,Orçamentária!A:A,0),1))</f>
        <v>m2</v>
      </c>
      <c r="E3841" s="27"/>
      <c r="F3841" s="49" t="s">
        <v>568</v>
      </c>
      <c r="G3841" s="28" t="str">
        <f>IF(ISNUMBER(F3841),E3841*F3841,"")</f>
        <v/>
      </c>
      <c r="H3841" s="29"/>
      <c r="I3841" s="30"/>
      <c r="J3841" s="155">
        <v>0</v>
      </c>
    </row>
    <row r="3842" spans="1:10" ht="15.75" hidden="1" thickBot="1" x14ac:dyDescent="0.3">
      <c r="A3842" s="173"/>
      <c r="B3842" s="175"/>
      <c r="C3842" s="32"/>
      <c r="D3842" s="32"/>
      <c r="E3842" s="33"/>
      <c r="F3842" s="54" t="s">
        <v>568</v>
      </c>
      <c r="G3842" s="54" t="str">
        <f>IF(ISNUMBER(F3842),E3842*F3842,"")</f>
        <v/>
      </c>
      <c r="H3842" s="73"/>
      <c r="I3842" s="74"/>
      <c r="J3842" s="155">
        <v>0</v>
      </c>
    </row>
    <row r="3843" spans="1:10" ht="15.75" hidden="1" thickBot="1" x14ac:dyDescent="0.3">
      <c r="A3843" s="173"/>
      <c r="B3843" s="175"/>
      <c r="C3843" s="36" t="s">
        <v>303</v>
      </c>
      <c r="D3843" s="36" t="s">
        <v>953</v>
      </c>
      <c r="E3843" s="37">
        <v>9.5000000000000001E-2</v>
      </c>
      <c r="F3843" s="54">
        <v>25.478999999999999</v>
      </c>
      <c r="G3843" s="54">
        <f>IF(ISNUMBER(F3843),E3843*F3843,"")</f>
        <v>2.4205049999999999</v>
      </c>
      <c r="H3843" s="39">
        <f>SUM(G3843:G3846)</f>
        <v>28.499524999999998</v>
      </c>
      <c r="I3843" s="40"/>
      <c r="J3843" s="155">
        <v>0</v>
      </c>
    </row>
    <row r="3844" spans="1:10" ht="26.25" hidden="1" thickBot="1" x14ac:dyDescent="0.3">
      <c r="A3844" s="173"/>
      <c r="B3844" s="175"/>
      <c r="C3844" s="36" t="s">
        <v>1239</v>
      </c>
      <c r="D3844" s="36" t="s">
        <v>1049</v>
      </c>
      <c r="E3844" s="37">
        <f>1*0.25*0.25</f>
        <v>6.25E-2</v>
      </c>
      <c r="F3844" s="54">
        <v>291.09899999999999</v>
      </c>
      <c r="G3844" s="54">
        <f>IF(ISNUMBER(F3844),E3844*F3844,"")</f>
        <v>18.193687499999999</v>
      </c>
      <c r="H3844" s="73"/>
      <c r="I3844" s="74"/>
      <c r="J3844" s="155">
        <v>0</v>
      </c>
    </row>
    <row r="3845" spans="1:10" ht="15.75" hidden="1" thickBot="1" x14ac:dyDescent="0.3">
      <c r="A3845" s="173"/>
      <c r="B3845" s="175"/>
      <c r="C3845" s="36" t="s">
        <v>764</v>
      </c>
      <c r="D3845" s="36" t="s">
        <v>755</v>
      </c>
      <c r="E3845" s="37">
        <v>0.26100000000000001</v>
      </c>
      <c r="F3845" s="54">
        <v>22.087499999999999</v>
      </c>
      <c r="G3845" s="54">
        <f>IF(ISNUMBER(F3845),E3845*F3845,"")</f>
        <v>5.7648374999999996</v>
      </c>
      <c r="H3845" s="73"/>
      <c r="I3845" s="74"/>
      <c r="J3845" s="155">
        <v>0</v>
      </c>
    </row>
    <row r="3846" spans="1:10" ht="15.75" hidden="1" thickBot="1" x14ac:dyDescent="0.3">
      <c r="A3846" s="173"/>
      <c r="B3846" s="175"/>
      <c r="C3846" s="36" t="s">
        <v>756</v>
      </c>
      <c r="D3846" s="36" t="s">
        <v>755</v>
      </c>
      <c r="E3846" s="37">
        <v>0.13</v>
      </c>
      <c r="F3846" s="54">
        <v>16.311500000000002</v>
      </c>
      <c r="G3846" s="54">
        <f>IF(ISNUMBER(F3846),E3846*F3846,"")</f>
        <v>2.1204950000000005</v>
      </c>
      <c r="H3846" s="73"/>
      <c r="I3846" s="74"/>
      <c r="J3846" s="155">
        <v>0</v>
      </c>
    </row>
    <row r="3847" spans="1:10" ht="15.75" hidden="1" thickBot="1" x14ac:dyDescent="0.3">
      <c r="A3847" s="173"/>
      <c r="B3847" s="175"/>
      <c r="C3847" s="55"/>
      <c r="D3847" s="55"/>
      <c r="E3847" s="66"/>
      <c r="F3847" s="76" t="s">
        <v>568</v>
      </c>
      <c r="G3847" s="76" t="str">
        <f>IF(ISNUMBER(F3847),E3847*F3847,"")</f>
        <v/>
      </c>
      <c r="H3847" s="77"/>
      <c r="I3847" s="74"/>
      <c r="J3847" s="155">
        <v>0</v>
      </c>
    </row>
    <row r="3848" spans="1:10" ht="15.75" hidden="1" thickBot="1" x14ac:dyDescent="0.3">
      <c r="A3848" s="172" t="s">
        <v>1240</v>
      </c>
      <c r="B3848" s="174" t="str">
        <f>INDEX(Orçamentária!A:B,MATCH(Composições!A3848,Orçamentária!A:A,0),2)</f>
        <v>Granito Vermelho Brasília 20 mm para divisória</v>
      </c>
      <c r="C3848" s="41"/>
      <c r="D3848" s="26" t="str">
        <f>TRIM(INDEX(Orçamentária!C:C,MATCH(Composições!A3848,Orçamentária!A:A,0),1))</f>
        <v>m2</v>
      </c>
      <c r="E3848" s="27"/>
      <c r="F3848" s="49" t="s">
        <v>568</v>
      </c>
      <c r="G3848" s="28" t="str">
        <f>IF(ISNUMBER(F3848),E3848*F3848,"")</f>
        <v/>
      </c>
      <c r="H3848" s="29"/>
      <c r="I3848" s="30"/>
      <c r="J3848" s="155">
        <v>0</v>
      </c>
    </row>
    <row r="3849" spans="1:10" ht="15.75" hidden="1" thickBot="1" x14ac:dyDescent="0.3">
      <c r="A3849" s="173"/>
      <c r="B3849" s="175"/>
      <c r="C3849" s="32"/>
      <c r="D3849" s="32"/>
      <c r="E3849" s="33"/>
      <c r="F3849" s="54" t="s">
        <v>568</v>
      </c>
      <c r="G3849" s="54" t="str">
        <f>IF(ISNUMBER(F3849),E3849*F3849,"")</f>
        <v/>
      </c>
      <c r="H3849" s="73"/>
      <c r="I3849" s="74"/>
      <c r="J3849" s="155">
        <v>0</v>
      </c>
    </row>
    <row r="3850" spans="1:10" ht="15.75" hidden="1" thickBot="1" x14ac:dyDescent="0.3">
      <c r="A3850" s="173"/>
      <c r="B3850" s="175"/>
      <c r="C3850" s="36" t="s">
        <v>261</v>
      </c>
      <c r="D3850" s="36" t="s">
        <v>42</v>
      </c>
      <c r="E3850" s="37">
        <v>0.7</v>
      </c>
      <c r="F3850" s="54">
        <v>1.4915</v>
      </c>
      <c r="G3850" s="54">
        <f>IF(ISNUMBER(F3850),E3850*F3850,"")</f>
        <v>1.0440499999999999</v>
      </c>
      <c r="H3850" s="39">
        <f>SUM(G3850:G3854)</f>
        <v>128.53956739885652</v>
      </c>
      <c r="I3850" s="40"/>
      <c r="J3850" s="155">
        <v>0</v>
      </c>
    </row>
    <row r="3851" spans="1:10" ht="26.25" hidden="1" thickBot="1" x14ac:dyDescent="0.3">
      <c r="A3851" s="173"/>
      <c r="B3851" s="175"/>
      <c r="C3851" s="36" t="s">
        <v>1241</v>
      </c>
      <c r="D3851" s="36" t="s">
        <v>95</v>
      </c>
      <c r="E3851" s="37">
        <v>1</v>
      </c>
      <c r="F3851" s="54" t="s">
        <v>568</v>
      </c>
      <c r="G3851" s="54" t="str">
        <f>IF(ISNUMBER(F3851),E3851*F3851,"")</f>
        <v/>
      </c>
      <c r="H3851" s="73"/>
      <c r="I3851" s="74"/>
      <c r="J3851" s="155">
        <v>0</v>
      </c>
    </row>
    <row r="3852" spans="1:10" ht="15.75" hidden="1" thickBot="1" x14ac:dyDescent="0.3">
      <c r="A3852" s="173"/>
      <c r="B3852" s="175"/>
      <c r="C3852" s="36" t="s">
        <v>54</v>
      </c>
      <c r="D3852" s="36" t="s">
        <v>12</v>
      </c>
      <c r="E3852" s="37">
        <v>4.8</v>
      </c>
      <c r="F3852" s="54">
        <v>18.420500000000001</v>
      </c>
      <c r="G3852" s="54">
        <f>IF(ISNUMBER(F3852),E3852*F3852,"")</f>
        <v>88.418400000000005</v>
      </c>
      <c r="H3852" s="73"/>
      <c r="I3852" s="74"/>
      <c r="J3852" s="155">
        <v>0</v>
      </c>
    </row>
    <row r="3853" spans="1:10" ht="15.75" hidden="1" thickBot="1" x14ac:dyDescent="0.3">
      <c r="A3853" s="173"/>
      <c r="B3853" s="175"/>
      <c r="C3853" s="36" t="s">
        <v>23</v>
      </c>
      <c r="D3853" s="36" t="s">
        <v>12</v>
      </c>
      <c r="E3853" s="37">
        <v>2.2999999999999998</v>
      </c>
      <c r="F3853" s="54">
        <v>16.311500000000002</v>
      </c>
      <c r="G3853" s="54">
        <f>IF(ISNUMBER(F3853),E3853*F3853,"")</f>
        <v>37.516449999999999</v>
      </c>
      <c r="H3853" s="73"/>
      <c r="I3853" s="74"/>
      <c r="J3853" s="155">
        <v>0</v>
      </c>
    </row>
    <row r="3854" spans="1:10" ht="26.25" hidden="1" thickBot="1" x14ac:dyDescent="0.3">
      <c r="A3854" s="173"/>
      <c r="B3854" s="175"/>
      <c r="C3854" s="36" t="s">
        <v>263</v>
      </c>
      <c r="D3854" s="36" t="s">
        <v>111</v>
      </c>
      <c r="E3854" s="37">
        <v>3.3E-3</v>
      </c>
      <c r="F3854" s="54">
        <v>472.92951480499994</v>
      </c>
      <c r="G3854" s="54">
        <f>IF(ISNUMBER(F3854),E3854*F3854,"")</f>
        <v>1.5606673988564999</v>
      </c>
      <c r="H3854" s="73"/>
      <c r="I3854" s="74"/>
      <c r="J3854" s="155">
        <v>0</v>
      </c>
    </row>
    <row r="3855" spans="1:10" ht="15.75" hidden="1" thickBot="1" x14ac:dyDescent="0.3">
      <c r="A3855" s="173"/>
      <c r="B3855" s="175"/>
      <c r="C3855" s="36"/>
      <c r="D3855" s="36"/>
      <c r="E3855" s="37"/>
      <c r="F3855" s="54" t="s">
        <v>568</v>
      </c>
      <c r="G3855" s="54" t="str">
        <f>IF(ISNUMBER(F3855),E3855*F3855,"")</f>
        <v/>
      </c>
      <c r="H3855" s="73"/>
      <c r="I3855" s="74"/>
      <c r="J3855" s="155">
        <v>0</v>
      </c>
    </row>
    <row r="3856" spans="1:10" ht="15.75" hidden="1" thickBot="1" x14ac:dyDescent="0.3">
      <c r="A3856" s="172" t="s">
        <v>1242</v>
      </c>
      <c r="B3856" s="174" t="str">
        <f>INDEX(Orçamentária!A:B,MATCH(Composições!A3856,Orçamentária!A:A,0),2)</f>
        <v>Tampa em ferro fundido 20x20 cm</v>
      </c>
      <c r="C3856" s="41"/>
      <c r="D3856" s="26" t="str">
        <f>TRIM(INDEX(Orçamentária!C:C,MATCH(Composições!A3856,Orçamentária!A:A,0),1))</f>
        <v>un</v>
      </c>
      <c r="E3856" s="27"/>
      <c r="F3856" s="49" t="s">
        <v>568</v>
      </c>
      <c r="G3856" s="28" t="str">
        <f>IF(ISNUMBER(F3856),E3856*F3856,"")</f>
        <v/>
      </c>
      <c r="H3856" s="29"/>
      <c r="I3856" s="30"/>
      <c r="J3856" s="155">
        <v>0</v>
      </c>
    </row>
    <row r="3857" spans="1:10" ht="15.75" hidden="1" thickBot="1" x14ac:dyDescent="0.3">
      <c r="A3857" s="173"/>
      <c r="B3857" s="175"/>
      <c r="C3857" s="32"/>
      <c r="D3857" s="32"/>
      <c r="E3857" s="33"/>
      <c r="F3857" s="54" t="s">
        <v>568</v>
      </c>
      <c r="G3857" s="54" t="str">
        <f>IF(ISNUMBER(F3857),E3857*F3857,"")</f>
        <v/>
      </c>
      <c r="H3857" s="73"/>
      <c r="I3857" s="74"/>
      <c r="J3857" s="155">
        <v>0</v>
      </c>
    </row>
    <row r="3858" spans="1:10" ht="26.25" hidden="1" thickBot="1" x14ac:dyDescent="0.3">
      <c r="A3858" s="173"/>
      <c r="B3858" s="175"/>
      <c r="C3858" s="36" t="s">
        <v>1243</v>
      </c>
      <c r="D3858" s="47" t="s">
        <v>297</v>
      </c>
      <c r="E3858" s="37">
        <v>1</v>
      </c>
      <c r="F3858" s="54">
        <v>98.971000000000004</v>
      </c>
      <c r="G3858" s="54">
        <f>IF(ISNUMBER(F3858),E3858*F3858,"")</f>
        <v>98.971000000000004</v>
      </c>
      <c r="H3858" s="39">
        <f>SUM(G3858:G3861)</f>
        <v>167.05094688939801</v>
      </c>
      <c r="I3858" s="40"/>
      <c r="J3858" s="155">
        <v>0</v>
      </c>
    </row>
    <row r="3859" spans="1:10" ht="39" hidden="1" thickBot="1" x14ac:dyDescent="0.3">
      <c r="A3859" s="173"/>
      <c r="B3859" s="175"/>
      <c r="C3859" s="36" t="s">
        <v>1059</v>
      </c>
      <c r="D3859" s="47" t="s">
        <v>123</v>
      </c>
      <c r="E3859" s="37">
        <v>7.0000000000000001E-3</v>
      </c>
      <c r="F3859" s="54">
        <v>400.23526991400001</v>
      </c>
      <c r="G3859" s="54">
        <f>IF(ISNUMBER(F3859),E3859*F3859,"")</f>
        <v>2.801646889398</v>
      </c>
      <c r="H3859" s="73"/>
      <c r="I3859" s="74"/>
      <c r="J3859" s="155">
        <v>0</v>
      </c>
    </row>
    <row r="3860" spans="1:10" ht="15.75" hidden="1" thickBot="1" x14ac:dyDescent="0.3">
      <c r="A3860" s="173"/>
      <c r="B3860" s="175"/>
      <c r="C3860" s="36" t="s">
        <v>22</v>
      </c>
      <c r="D3860" s="36" t="s">
        <v>12</v>
      </c>
      <c r="E3860" s="37">
        <v>1.7</v>
      </c>
      <c r="F3860" s="54">
        <v>22.087499999999999</v>
      </c>
      <c r="G3860" s="54">
        <f>IF(ISNUMBER(F3860),E3860*F3860,"")</f>
        <v>37.548749999999998</v>
      </c>
      <c r="H3860" s="73"/>
      <c r="I3860" s="74"/>
      <c r="J3860" s="155">
        <v>0</v>
      </c>
    </row>
    <row r="3861" spans="1:10" ht="15.75" hidden="1" thickBot="1" x14ac:dyDescent="0.3">
      <c r="A3861" s="173"/>
      <c r="B3861" s="175"/>
      <c r="C3861" s="36" t="s">
        <v>23</v>
      </c>
      <c r="D3861" s="36" t="s">
        <v>12</v>
      </c>
      <c r="E3861" s="37">
        <v>1.7</v>
      </c>
      <c r="F3861" s="54">
        <v>16.311500000000002</v>
      </c>
      <c r="G3861" s="54">
        <f>IF(ISNUMBER(F3861),E3861*F3861,"")</f>
        <v>27.729550000000003</v>
      </c>
      <c r="H3861" s="73"/>
      <c r="I3861" s="74"/>
      <c r="J3861" s="155">
        <v>0</v>
      </c>
    </row>
    <row r="3862" spans="1:10" ht="15.75" hidden="1" thickBot="1" x14ac:dyDescent="0.3">
      <c r="A3862" s="173"/>
      <c r="B3862" s="175"/>
      <c r="C3862" s="55"/>
      <c r="D3862" s="55"/>
      <c r="E3862" s="66"/>
      <c r="F3862" s="76" t="s">
        <v>568</v>
      </c>
      <c r="G3862" s="76" t="str">
        <f>IF(ISNUMBER(F3862),E3862*F3862,"")</f>
        <v/>
      </c>
      <c r="H3862" s="77"/>
      <c r="I3862" s="74"/>
      <c r="J3862" s="155">
        <v>0</v>
      </c>
    </row>
    <row r="3863" spans="1:10" ht="15.75" hidden="1" thickBot="1" x14ac:dyDescent="0.3">
      <c r="A3863" s="172" t="s">
        <v>1244</v>
      </c>
      <c r="B3863" s="174" t="str">
        <f>INDEX(Orçamentária!A:B,MATCH(Composições!A3863,Orçamentária!A:A,0),2)</f>
        <v>Cerâmica para revestimento de superfícies internas ou externas – Linha GAIL</v>
      </c>
      <c r="C3863" s="41"/>
      <c r="D3863" s="26" t="str">
        <f>TRIM(INDEX(Orçamentária!C:C,MATCH(Composições!A3863,Orçamentária!A:A,0),1))</f>
        <v>m2</v>
      </c>
      <c r="E3863" s="27"/>
      <c r="F3863" s="49" t="s">
        <v>568</v>
      </c>
      <c r="G3863" s="28" t="str">
        <f>IF(ISNUMBER(F3863),E3863*F3863,"")</f>
        <v/>
      </c>
      <c r="H3863" s="29"/>
      <c r="I3863" s="30"/>
      <c r="J3863" s="155">
        <v>0</v>
      </c>
    </row>
    <row r="3864" spans="1:10" ht="15.75" hidden="1" thickBot="1" x14ac:dyDescent="0.3">
      <c r="A3864" s="173"/>
      <c r="B3864" s="175"/>
      <c r="C3864" s="32"/>
      <c r="D3864" s="32"/>
      <c r="E3864" s="33"/>
      <c r="F3864" s="54" t="s">
        <v>568</v>
      </c>
      <c r="G3864" s="54" t="str">
        <f>IF(ISNUMBER(F3864),E3864*F3864,"")</f>
        <v/>
      </c>
      <c r="H3864" s="73"/>
      <c r="I3864" s="74"/>
      <c r="J3864" s="155">
        <v>0</v>
      </c>
    </row>
    <row r="3865" spans="1:10" ht="26.25" hidden="1" thickBot="1" x14ac:dyDescent="0.3">
      <c r="A3865" s="173"/>
      <c r="B3865" s="175"/>
      <c r="C3865" s="36" t="s">
        <v>1245</v>
      </c>
      <c r="D3865" s="36" t="s">
        <v>95</v>
      </c>
      <c r="E3865" s="37">
        <v>1.08</v>
      </c>
      <c r="F3865" s="54" t="s">
        <v>568</v>
      </c>
      <c r="G3865" s="54" t="str">
        <f>IF(ISNUMBER(F3865),E3865*F3865,"")</f>
        <v/>
      </c>
      <c r="H3865" s="39">
        <f>SUM(G3865:G3869)</f>
        <v>25.792880000000004</v>
      </c>
      <c r="I3865" s="40"/>
      <c r="J3865" s="155">
        <v>0</v>
      </c>
    </row>
    <row r="3866" spans="1:10" ht="15.75" hidden="1" thickBot="1" x14ac:dyDescent="0.3">
      <c r="A3866" s="173"/>
      <c r="B3866" s="175"/>
      <c r="C3866" s="36" t="s">
        <v>3614</v>
      </c>
      <c r="D3866" s="36" t="s">
        <v>42</v>
      </c>
      <c r="E3866" s="37">
        <v>6.14</v>
      </c>
      <c r="F3866" s="54">
        <v>0.78849999999999998</v>
      </c>
      <c r="G3866" s="54">
        <f>IF(ISNUMBER(F3866),E3866*F3866,"")</f>
        <v>4.8413899999999996</v>
      </c>
      <c r="H3866" s="73"/>
      <c r="I3866" s="74"/>
      <c r="J3866" s="155">
        <v>0</v>
      </c>
    </row>
    <row r="3867" spans="1:10" ht="15.75" hidden="1" thickBot="1" x14ac:dyDescent="0.3">
      <c r="A3867" s="173"/>
      <c r="B3867" s="175"/>
      <c r="C3867" s="36" t="s">
        <v>3612</v>
      </c>
      <c r="D3867" s="36" t="s">
        <v>42</v>
      </c>
      <c r="E3867" s="37">
        <v>0.22</v>
      </c>
      <c r="F3867" s="54">
        <v>2.508</v>
      </c>
      <c r="G3867" s="54">
        <f>IF(ISNUMBER(F3867),E3867*F3867,"")</f>
        <v>0.55176000000000003</v>
      </c>
      <c r="H3867" s="73"/>
      <c r="I3867" s="74"/>
      <c r="J3867" s="155">
        <v>0</v>
      </c>
    </row>
    <row r="3868" spans="1:10" ht="15.75" hidden="1" thickBot="1" x14ac:dyDescent="0.3">
      <c r="A3868" s="173"/>
      <c r="B3868" s="175"/>
      <c r="C3868" s="36" t="s">
        <v>36</v>
      </c>
      <c r="D3868" s="36" t="s">
        <v>12</v>
      </c>
      <c r="E3868" s="37">
        <v>0.66</v>
      </c>
      <c r="F3868" s="54">
        <v>22.011500000000002</v>
      </c>
      <c r="G3868" s="54">
        <f>IF(ISNUMBER(F3868),E3868*F3868,"")</f>
        <v>14.527590000000002</v>
      </c>
      <c r="H3868" s="73"/>
      <c r="I3868" s="74"/>
      <c r="J3868" s="155">
        <v>0</v>
      </c>
    </row>
    <row r="3869" spans="1:10" ht="15.75" hidden="1" thickBot="1" x14ac:dyDescent="0.3">
      <c r="A3869" s="173"/>
      <c r="B3869" s="175"/>
      <c r="C3869" s="36" t="s">
        <v>23</v>
      </c>
      <c r="D3869" s="36" t="s">
        <v>12</v>
      </c>
      <c r="E3869" s="37">
        <v>0.36</v>
      </c>
      <c r="F3869" s="54">
        <v>16.311500000000002</v>
      </c>
      <c r="G3869" s="54">
        <f>IF(ISNUMBER(F3869),E3869*F3869,"")</f>
        <v>5.8721400000000008</v>
      </c>
      <c r="H3869" s="73"/>
      <c r="I3869" s="74"/>
      <c r="J3869" s="155">
        <v>0</v>
      </c>
    </row>
    <row r="3870" spans="1:10" ht="15.75" hidden="1" thickBot="1" x14ac:dyDescent="0.3">
      <c r="A3870" s="173"/>
      <c r="B3870" s="175"/>
      <c r="C3870" s="36"/>
      <c r="D3870" s="47"/>
      <c r="E3870" s="37"/>
      <c r="F3870" s="54" t="s">
        <v>568</v>
      </c>
      <c r="G3870" s="54" t="str">
        <f>IF(ISNUMBER(F3870),E3870*F3870,"")</f>
        <v/>
      </c>
      <c r="H3870" s="73"/>
      <c r="I3870" s="74"/>
      <c r="J3870" s="155">
        <v>0</v>
      </c>
    </row>
    <row r="3871" spans="1:10" ht="15.75" hidden="1" thickBot="1" x14ac:dyDescent="0.3">
      <c r="A3871" s="172" t="s">
        <v>1246</v>
      </c>
      <c r="B3871" s="174" t="str">
        <f>INDEX(Orçamentária!A:B,MATCH(Composições!A3871,Orçamentária!A:A,0),2)</f>
        <v>Aterro de vala com areia média e compactação mecanizada</v>
      </c>
      <c r="C3871" s="41"/>
      <c r="D3871" s="26" t="str">
        <f>TRIM(INDEX(Orçamentária!C:C,MATCH(Composições!A3871,Orçamentária!A:A,0),1))</f>
        <v>m3</v>
      </c>
      <c r="E3871" s="27"/>
      <c r="F3871" s="49" t="s">
        <v>568</v>
      </c>
      <c r="G3871" s="28" t="str">
        <f>IF(ISNUMBER(F3871),E3871*F3871,"")</f>
        <v/>
      </c>
      <c r="H3871" s="29"/>
      <c r="I3871" s="30"/>
      <c r="J3871" s="155">
        <v>0</v>
      </c>
    </row>
    <row r="3872" spans="1:10" ht="15.75" hidden="1" thickBot="1" x14ac:dyDescent="0.3">
      <c r="A3872" s="173"/>
      <c r="B3872" s="175"/>
      <c r="C3872" s="32"/>
      <c r="D3872" s="32"/>
      <c r="E3872" s="33"/>
      <c r="F3872" s="54" t="s">
        <v>568</v>
      </c>
      <c r="G3872" s="54" t="str">
        <f>IF(ISNUMBER(F3872),E3872*F3872,"")</f>
        <v/>
      </c>
      <c r="H3872" s="73"/>
      <c r="I3872" s="74"/>
      <c r="J3872" s="155">
        <v>0</v>
      </c>
    </row>
    <row r="3873" spans="1:10" ht="26.25" hidden="1" thickBot="1" x14ac:dyDescent="0.3">
      <c r="A3873" s="173"/>
      <c r="B3873" s="175"/>
      <c r="C3873" s="36" t="s">
        <v>1247</v>
      </c>
      <c r="D3873" s="47" t="s">
        <v>123</v>
      </c>
      <c r="E3873" s="37">
        <v>1.25</v>
      </c>
      <c r="F3873" s="54">
        <v>84.474000000000004</v>
      </c>
      <c r="G3873" s="54">
        <f>IF(ISNUMBER(F3873),E3873*F3873,"")</f>
        <v>105.5925</v>
      </c>
      <c r="H3873" s="39">
        <f>SUM(G3873:G3880)</f>
        <v>181.9203366875</v>
      </c>
      <c r="I3873" s="40"/>
      <c r="J3873" s="155">
        <v>0</v>
      </c>
    </row>
    <row r="3874" spans="1:10" ht="51.75" hidden="1" thickBot="1" x14ac:dyDescent="0.3">
      <c r="A3874" s="173"/>
      <c r="B3874" s="175"/>
      <c r="C3874" s="36" t="s">
        <v>1002</v>
      </c>
      <c r="D3874" s="47" t="s">
        <v>997</v>
      </c>
      <c r="E3874" s="37">
        <v>6.0000000000000001E-3</v>
      </c>
      <c r="F3874" s="54">
        <v>195.83299999999997</v>
      </c>
      <c r="G3874" s="54">
        <f>IF(ISNUMBER(F3874),E3874*F3874,"")</f>
        <v>1.1749979999999998</v>
      </c>
      <c r="H3874" s="73"/>
      <c r="I3874" s="74"/>
      <c r="J3874" s="155">
        <v>0</v>
      </c>
    </row>
    <row r="3875" spans="1:10" ht="51.75" hidden="1" thickBot="1" x14ac:dyDescent="0.3">
      <c r="A3875" s="173"/>
      <c r="B3875" s="175"/>
      <c r="C3875" s="36" t="s">
        <v>1003</v>
      </c>
      <c r="D3875" s="36" t="s">
        <v>999</v>
      </c>
      <c r="E3875" s="37">
        <v>3.0000000000000001E-3</v>
      </c>
      <c r="F3875" s="54">
        <v>37.287500000000001</v>
      </c>
      <c r="G3875" s="54">
        <f>IF(ISNUMBER(F3875),E3875*F3875,"")</f>
        <v>0.1118625</v>
      </c>
      <c r="H3875" s="73"/>
      <c r="I3875" s="74"/>
      <c r="J3875" s="155">
        <v>0</v>
      </c>
    </row>
    <row r="3876" spans="1:10" ht="15.75" hidden="1" thickBot="1" x14ac:dyDescent="0.3">
      <c r="A3876" s="173"/>
      <c r="B3876" s="175"/>
      <c r="C3876" s="36" t="s">
        <v>756</v>
      </c>
      <c r="D3876" s="36" t="s">
        <v>755</v>
      </c>
      <c r="E3876" s="37">
        <v>0.65900000000000003</v>
      </c>
      <c r="F3876" s="54">
        <v>16.311500000000002</v>
      </c>
      <c r="G3876" s="54">
        <f>IF(ISNUMBER(F3876),E3876*F3876,"")</f>
        <v>10.749278500000003</v>
      </c>
      <c r="H3876" s="73"/>
      <c r="I3876" s="74"/>
      <c r="J3876" s="155">
        <v>0</v>
      </c>
    </row>
    <row r="3877" spans="1:10" ht="26.25" hidden="1" thickBot="1" x14ac:dyDescent="0.3">
      <c r="A3877" s="173"/>
      <c r="B3877" s="175"/>
      <c r="C3877" s="36" t="s">
        <v>996</v>
      </c>
      <c r="D3877" s="47" t="s">
        <v>997</v>
      </c>
      <c r="E3877" s="37">
        <v>0.27400000000000002</v>
      </c>
      <c r="F3877" s="54">
        <v>24.291499999999999</v>
      </c>
      <c r="G3877" s="54">
        <f>IF(ISNUMBER(F3877),E3877*F3877,"")</f>
        <v>6.6558710000000003</v>
      </c>
      <c r="H3877" s="73"/>
      <c r="I3877" s="74"/>
      <c r="J3877" s="155">
        <v>0</v>
      </c>
    </row>
    <row r="3878" spans="1:10" ht="26.25" hidden="1" thickBot="1" x14ac:dyDescent="0.3">
      <c r="A3878" s="173"/>
      <c r="B3878" s="175"/>
      <c r="C3878" s="36" t="s">
        <v>998</v>
      </c>
      <c r="D3878" s="47" t="s">
        <v>999</v>
      </c>
      <c r="E3878" s="37">
        <v>0.254</v>
      </c>
      <c r="F3878" s="54">
        <v>17.974</v>
      </c>
      <c r="G3878" s="54">
        <f>IF(ISNUMBER(F3878),E3878*F3878,"")</f>
        <v>4.5653959999999998</v>
      </c>
      <c r="H3878" s="73"/>
      <c r="I3878" s="74"/>
      <c r="J3878" s="155">
        <v>0</v>
      </c>
    </row>
    <row r="3879" spans="1:10" ht="51.75" hidden="1" thickBot="1" x14ac:dyDescent="0.3">
      <c r="A3879" s="173"/>
      <c r="B3879" s="175"/>
      <c r="C3879" s="36" t="s">
        <v>3611</v>
      </c>
      <c r="D3879" s="36" t="s">
        <v>111</v>
      </c>
      <c r="E3879" s="37">
        <f>1*E3873</f>
        <v>1.25</v>
      </c>
      <c r="F3879" s="34">
        <v>5.5686425499999999</v>
      </c>
      <c r="G3879" s="34">
        <f>IF(ISNUMBER(F3879),E3879*F3879,"")</f>
        <v>6.9608031874999998</v>
      </c>
      <c r="H3879" s="35"/>
      <c r="I3879" s="31"/>
      <c r="J3879" s="155">
        <v>0</v>
      </c>
    </row>
    <row r="3880" spans="1:10" ht="39" hidden="1" thickBot="1" x14ac:dyDescent="0.3">
      <c r="A3880" s="173"/>
      <c r="B3880" s="175"/>
      <c r="C3880" s="36" t="s">
        <v>124</v>
      </c>
      <c r="D3880" s="47" t="s">
        <v>125</v>
      </c>
      <c r="E3880" s="37">
        <f>E3873*20</f>
        <v>25</v>
      </c>
      <c r="F3880" s="54">
        <v>1.8443850999999998</v>
      </c>
      <c r="G3880" s="54">
        <f>IF(ISNUMBER(F3880),E3880*F3880,"")</f>
        <v>46.109627499999995</v>
      </c>
      <c r="H3880" s="73"/>
      <c r="I3880" s="74"/>
      <c r="J3880" s="155">
        <v>0</v>
      </c>
    </row>
    <row r="3881" spans="1:10" ht="15.75" hidden="1" thickBot="1" x14ac:dyDescent="0.3">
      <c r="A3881" s="173"/>
      <c r="B3881" s="175"/>
      <c r="C3881" s="51"/>
      <c r="D3881" s="47"/>
      <c r="E3881" s="37"/>
      <c r="F3881" s="54" t="s">
        <v>568</v>
      </c>
      <c r="G3881" s="54" t="str">
        <f>IF(ISNUMBER(F3881),E3881*F3881,"")</f>
        <v/>
      </c>
      <c r="H3881" s="73"/>
      <c r="I3881" s="74"/>
      <c r="J3881" s="155">
        <v>0</v>
      </c>
    </row>
    <row r="3882" spans="1:10" ht="15.75" hidden="1" thickBot="1" x14ac:dyDescent="0.3">
      <c r="A3882" s="173"/>
      <c r="B3882" s="175"/>
      <c r="C3882" s="48" t="s">
        <v>808</v>
      </c>
      <c r="D3882" s="47"/>
      <c r="E3882" s="37"/>
      <c r="F3882" s="54" t="s">
        <v>568</v>
      </c>
      <c r="G3882" s="54" t="str">
        <f>IF(ISNUMBER(F3882),E3882*F3882,"")</f>
        <v/>
      </c>
      <c r="H3882" s="73"/>
      <c r="I3882" s="74"/>
      <c r="J3882" s="155">
        <v>0</v>
      </c>
    </row>
    <row r="3883" spans="1:10" ht="15.75" hidden="1" thickBot="1" x14ac:dyDescent="0.3">
      <c r="A3883" s="173"/>
      <c r="B3883" s="175"/>
      <c r="C3883" s="55"/>
      <c r="D3883" s="55"/>
      <c r="E3883" s="66"/>
      <c r="F3883" s="76" t="s">
        <v>568</v>
      </c>
      <c r="G3883" s="76" t="str">
        <f>IF(ISNUMBER(F3883),E3883*F3883,"")</f>
        <v/>
      </c>
      <c r="H3883" s="77"/>
      <c r="I3883" s="74"/>
      <c r="J3883" s="155">
        <v>0</v>
      </c>
    </row>
    <row r="3884" spans="1:10" ht="15.75" hidden="1" thickBot="1" x14ac:dyDescent="0.3">
      <c r="A3884" s="172" t="s">
        <v>1248</v>
      </c>
      <c r="B3884" s="174" t="str">
        <f>INDEX(Orçamentária!A:B,MATCH(Composições!A3884,Orçamentária!A:A,0),2)</f>
        <v>Guarda-corpo panorâmico</v>
      </c>
      <c r="C3884" s="41"/>
      <c r="D3884" s="26" t="str">
        <f>TRIM(INDEX(Orçamentária!C:C,MATCH(Composições!A3884,Orçamentária!A:A,0),1))</f>
        <v>m</v>
      </c>
      <c r="E3884" s="27"/>
      <c r="F3884" s="49" t="s">
        <v>568</v>
      </c>
      <c r="G3884" s="28" t="str">
        <f>IF(ISNUMBER(F3884),E3884*F3884,"")</f>
        <v/>
      </c>
      <c r="H3884" s="29"/>
      <c r="I3884" s="30"/>
      <c r="J3884" s="155">
        <v>0</v>
      </c>
    </row>
    <row r="3885" spans="1:10" ht="15.75" hidden="1" thickBot="1" x14ac:dyDescent="0.3">
      <c r="A3885" s="173"/>
      <c r="B3885" s="175"/>
      <c r="C3885" s="32"/>
      <c r="D3885" s="32"/>
      <c r="E3885" s="33"/>
      <c r="F3885" s="54" t="s">
        <v>568</v>
      </c>
      <c r="G3885" s="54" t="str">
        <f>IF(ISNUMBER(F3885),E3885*F3885,"")</f>
        <v/>
      </c>
      <c r="H3885" s="73"/>
      <c r="I3885" s="74"/>
      <c r="J3885" s="155">
        <v>0</v>
      </c>
    </row>
    <row r="3886" spans="1:10" ht="15.75" hidden="1" thickBot="1" x14ac:dyDescent="0.3">
      <c r="A3886" s="173"/>
      <c r="B3886" s="175"/>
      <c r="C3886" s="36" t="s">
        <v>1249</v>
      </c>
      <c r="D3886" s="47" t="s">
        <v>953</v>
      </c>
      <c r="E3886" s="37">
        <v>1.4</v>
      </c>
      <c r="F3886" s="54">
        <v>9.5759999999999987</v>
      </c>
      <c r="G3886" s="54">
        <f>IF(ISNUMBER(F3886),E3886*F3886,"")</f>
        <v>13.406399999999998</v>
      </c>
      <c r="H3886" s="39">
        <f>SUM(G3886:G3895)</f>
        <v>802.80633499999999</v>
      </c>
      <c r="I3886" s="40"/>
      <c r="J3886" s="155">
        <v>0</v>
      </c>
    </row>
    <row r="3887" spans="1:10" ht="15.75" hidden="1" thickBot="1" x14ac:dyDescent="0.3">
      <c r="A3887" s="173"/>
      <c r="B3887" s="175"/>
      <c r="C3887" s="36" t="s">
        <v>1250</v>
      </c>
      <c r="D3887" s="47" t="s">
        <v>953</v>
      </c>
      <c r="E3887" s="37">
        <v>3.0000000000000001E-3</v>
      </c>
      <c r="F3887" s="54">
        <v>18.1355</v>
      </c>
      <c r="G3887" s="54">
        <f>IF(ISNUMBER(F3887),E3887*F3887,"")</f>
        <v>5.4406500000000003E-2</v>
      </c>
      <c r="H3887" s="73"/>
      <c r="I3887" s="74"/>
      <c r="J3887" s="155">
        <v>0</v>
      </c>
    </row>
    <row r="3888" spans="1:10" ht="26.25" hidden="1" thickBot="1" x14ac:dyDescent="0.3">
      <c r="A3888" s="173"/>
      <c r="B3888" s="175"/>
      <c r="C3888" s="36" t="s">
        <v>1094</v>
      </c>
      <c r="D3888" s="36" t="s">
        <v>297</v>
      </c>
      <c r="E3888" s="37">
        <v>3.3330000000000002</v>
      </c>
      <c r="F3888" s="54">
        <v>1.159</v>
      </c>
      <c r="G3888" s="54">
        <f>IF(ISNUMBER(F3888),E3888*F3888,"")</f>
        <v>3.8629470000000001</v>
      </c>
      <c r="H3888" s="73"/>
      <c r="I3888" s="74"/>
      <c r="J3888" s="155">
        <v>0</v>
      </c>
    </row>
    <row r="3889" spans="1:10" ht="39" hidden="1" thickBot="1" x14ac:dyDescent="0.3">
      <c r="A3889" s="173"/>
      <c r="B3889" s="175"/>
      <c r="C3889" s="36" t="s">
        <v>1251</v>
      </c>
      <c r="D3889" s="36" t="s">
        <v>297</v>
      </c>
      <c r="E3889" s="37">
        <v>5</v>
      </c>
      <c r="F3889" s="54">
        <v>0.2185</v>
      </c>
      <c r="G3889" s="54">
        <f>IF(ISNUMBER(F3889),E3889*F3889,"")</f>
        <v>1.0925</v>
      </c>
      <c r="H3889" s="73"/>
      <c r="I3889" s="74"/>
      <c r="J3889" s="155">
        <v>0</v>
      </c>
    </row>
    <row r="3890" spans="1:10" ht="26.25" hidden="1" thickBot="1" x14ac:dyDescent="0.3">
      <c r="A3890" s="173"/>
      <c r="B3890" s="175"/>
      <c r="C3890" s="36" t="s">
        <v>1252</v>
      </c>
      <c r="D3890" s="36" t="s">
        <v>523</v>
      </c>
      <c r="E3890" s="37">
        <v>3.149</v>
      </c>
      <c r="F3890" s="54">
        <v>10.26</v>
      </c>
      <c r="G3890" s="54">
        <f>IF(ISNUMBER(F3890),E3890*F3890,"")</f>
        <v>32.30874</v>
      </c>
      <c r="H3890" s="73"/>
      <c r="I3890" s="74"/>
      <c r="J3890" s="155">
        <v>0</v>
      </c>
    </row>
    <row r="3891" spans="1:10" ht="15.75" hidden="1" thickBot="1" x14ac:dyDescent="0.3">
      <c r="A3891" s="173"/>
      <c r="B3891" s="175"/>
      <c r="C3891" s="36" t="s">
        <v>889</v>
      </c>
      <c r="D3891" s="36" t="s">
        <v>953</v>
      </c>
      <c r="E3891" s="37">
        <v>3.4089999999999998</v>
      </c>
      <c r="F3891" s="54">
        <v>36.128500000000003</v>
      </c>
      <c r="G3891" s="54">
        <f>IF(ISNUMBER(F3891),E3891*F3891,"")</f>
        <v>123.16205650000001</v>
      </c>
      <c r="H3891" s="73"/>
      <c r="I3891" s="74"/>
      <c r="J3891" s="155">
        <v>0</v>
      </c>
    </row>
    <row r="3892" spans="1:10" ht="26.25" hidden="1" thickBot="1" x14ac:dyDescent="0.3">
      <c r="A3892" s="173"/>
      <c r="B3892" s="175"/>
      <c r="C3892" s="36" t="s">
        <v>1253</v>
      </c>
      <c r="D3892" s="36" t="s">
        <v>1049</v>
      </c>
      <c r="E3892" s="37">
        <v>0.998</v>
      </c>
      <c r="F3892" s="54">
        <v>491.10250000000002</v>
      </c>
      <c r="G3892" s="54">
        <f>IF(ISNUMBER(F3892),E3892*F3892,"")</f>
        <v>490.120295</v>
      </c>
      <c r="H3892" s="73"/>
      <c r="I3892" s="74"/>
      <c r="J3892" s="155">
        <v>0</v>
      </c>
    </row>
    <row r="3893" spans="1:10" ht="15.75" hidden="1" thickBot="1" x14ac:dyDescent="0.3">
      <c r="A3893" s="173"/>
      <c r="B3893" s="175"/>
      <c r="C3893" s="36" t="s">
        <v>1190</v>
      </c>
      <c r="D3893" s="47" t="s">
        <v>297</v>
      </c>
      <c r="E3893" s="37">
        <v>0.85499999999999998</v>
      </c>
      <c r="F3893" s="54">
        <v>18.515499999999999</v>
      </c>
      <c r="G3893" s="54">
        <f>IF(ISNUMBER(F3893),E3893*F3893,"")</f>
        <v>15.830752499999999</v>
      </c>
      <c r="H3893" s="73"/>
      <c r="I3893" s="74"/>
      <c r="J3893" s="155">
        <v>0</v>
      </c>
    </row>
    <row r="3894" spans="1:10" ht="15.75" hidden="1" thickBot="1" x14ac:dyDescent="0.3">
      <c r="A3894" s="173"/>
      <c r="B3894" s="175"/>
      <c r="C3894" s="36" t="s">
        <v>841</v>
      </c>
      <c r="D3894" s="47" t="s">
        <v>755</v>
      </c>
      <c r="E3894" s="37">
        <v>2.754</v>
      </c>
      <c r="F3894" s="54">
        <v>17.898</v>
      </c>
      <c r="G3894" s="54">
        <f>IF(ISNUMBER(F3894),E3894*F3894,"")</f>
        <v>49.291091999999999</v>
      </c>
      <c r="H3894" s="73"/>
      <c r="I3894" s="74"/>
      <c r="J3894" s="155">
        <v>0</v>
      </c>
    </row>
    <row r="3895" spans="1:10" ht="15.75" hidden="1" thickBot="1" x14ac:dyDescent="0.3">
      <c r="A3895" s="173"/>
      <c r="B3895" s="175"/>
      <c r="C3895" s="36" t="s">
        <v>1254</v>
      </c>
      <c r="D3895" s="47" t="s">
        <v>755</v>
      </c>
      <c r="E3895" s="37">
        <v>3.3530000000000002</v>
      </c>
      <c r="F3895" s="54">
        <v>21.973499999999998</v>
      </c>
      <c r="G3895" s="54">
        <f>IF(ISNUMBER(F3895),E3895*F3895,"")</f>
        <v>73.677145499999995</v>
      </c>
      <c r="H3895" s="73"/>
      <c r="I3895" s="74"/>
      <c r="J3895" s="155">
        <v>0</v>
      </c>
    </row>
    <row r="3896" spans="1:10" ht="15.75" hidden="1" thickBot="1" x14ac:dyDescent="0.3">
      <c r="A3896" s="185"/>
      <c r="B3896" s="178"/>
      <c r="C3896" s="55"/>
      <c r="D3896" s="55"/>
      <c r="E3896" s="66"/>
      <c r="F3896" s="76" t="s">
        <v>568</v>
      </c>
      <c r="G3896" s="76" t="str">
        <f>IF(ISNUMBER(F3896),E3896*F3896,"")</f>
        <v/>
      </c>
      <c r="H3896" s="77"/>
      <c r="I3896" s="74"/>
      <c r="J3896" s="155">
        <v>0</v>
      </c>
    </row>
    <row r="3897" spans="1:10" ht="15.75" hidden="1" thickBot="1" x14ac:dyDescent="0.3">
      <c r="A3897" s="172" t="s">
        <v>1255</v>
      </c>
      <c r="B3897" s="174" t="str">
        <f>INDEX(Orçamentária!A:B,MATCH(Composições!A3897,Orçamentária!A:A,0),2)</f>
        <v>Perfil “U” em aço 25 x 25mm</v>
      </c>
      <c r="C3897" s="41"/>
      <c r="D3897" s="26" t="str">
        <f>TRIM(INDEX(Orçamentária!C:C,MATCH(Composições!A3897,Orçamentária!A:A,0),1))</f>
        <v>m</v>
      </c>
      <c r="E3897" s="27"/>
      <c r="F3897" s="42" t="s">
        <v>568</v>
      </c>
      <c r="G3897" s="28" t="str">
        <f>IF(ISNUMBER(F3897),E3897*F3897,"")</f>
        <v/>
      </c>
      <c r="H3897" s="29"/>
      <c r="I3897" s="30"/>
      <c r="J3897" s="155">
        <v>0</v>
      </c>
    </row>
    <row r="3898" spans="1:10" ht="15.75" hidden="1" thickBot="1" x14ac:dyDescent="0.3">
      <c r="A3898" s="173"/>
      <c r="B3898" s="175"/>
      <c r="C3898" s="32"/>
      <c r="D3898" s="32"/>
      <c r="E3898" s="33"/>
      <c r="F3898" s="43" t="s">
        <v>568</v>
      </c>
      <c r="G3898" s="31" t="str">
        <f>IF(ISNUMBER(F3898),E3898*F3898,"")</f>
        <v/>
      </c>
      <c r="H3898" s="35"/>
      <c r="I3898" s="31"/>
      <c r="J3898" s="155">
        <v>0</v>
      </c>
    </row>
    <row r="3899" spans="1:10" ht="15.75" hidden="1" thickBot="1" x14ac:dyDescent="0.3">
      <c r="A3899" s="173"/>
      <c r="B3899" s="175"/>
      <c r="C3899" s="36" t="s">
        <v>68</v>
      </c>
      <c r="D3899" s="47" t="s">
        <v>12</v>
      </c>
      <c r="E3899" s="37">
        <f>1/10</f>
        <v>0.1</v>
      </c>
      <c r="F3899" s="31">
        <v>20.539000000000001</v>
      </c>
      <c r="G3899" s="34">
        <f>IF(ISNUMBER(F3899),E3899*F3899,"")</f>
        <v>2.0539000000000001</v>
      </c>
      <c r="H3899" s="39">
        <f>SUM(G3899:G3900)</f>
        <v>2.0539000000000001</v>
      </c>
      <c r="I3899" s="40"/>
      <c r="J3899" s="155">
        <v>0</v>
      </c>
    </row>
    <row r="3900" spans="1:10" ht="15.75" hidden="1" thickBot="1" x14ac:dyDescent="0.3">
      <c r="A3900" s="173"/>
      <c r="B3900" s="175"/>
      <c r="C3900" s="36" t="s">
        <v>1256</v>
      </c>
      <c r="D3900" s="47" t="s">
        <v>93</v>
      </c>
      <c r="E3900" s="37">
        <v>1.05</v>
      </c>
      <c r="F3900" s="34" t="s">
        <v>568</v>
      </c>
      <c r="G3900" s="34" t="str">
        <f>IF(ISNUMBER(F3900),E3900*F3900,"")</f>
        <v/>
      </c>
      <c r="H3900" s="35"/>
      <c r="I3900" s="31"/>
      <c r="J3900" s="155">
        <v>0</v>
      </c>
    </row>
    <row r="3901" spans="1:10" ht="15.75" hidden="1" thickBot="1" x14ac:dyDescent="0.3">
      <c r="A3901" s="185"/>
      <c r="B3901" s="178"/>
      <c r="C3901" s="36"/>
      <c r="D3901" s="47"/>
      <c r="E3901" s="37"/>
      <c r="F3901" s="34" t="s">
        <v>568</v>
      </c>
      <c r="G3901" s="34" t="str">
        <f>IF(ISNUMBER(F3901),E3901*F3901,"")</f>
        <v/>
      </c>
      <c r="H3901" s="35"/>
      <c r="I3901" s="31"/>
      <c r="J3901" s="155">
        <v>0</v>
      </c>
    </row>
    <row r="3902" spans="1:10" ht="15.75" thickBot="1" x14ac:dyDescent="0.3">
      <c r="A3902" s="172" t="s">
        <v>1257</v>
      </c>
      <c r="B3902" s="174" t="str">
        <f>INDEX(Orçamentária!A:B,MATCH(Composições!A3902,Orçamentária!A:A,0),2)</f>
        <v>Alimentação para mão-de-obra indireta</v>
      </c>
      <c r="C3902" s="41"/>
      <c r="D3902" s="26" t="str">
        <f>TRIM(INDEX(Orçamentária!C:C,MATCH(Composições!A3902,Orçamentária!A:A,0),1))</f>
        <v>h</v>
      </c>
      <c r="E3902" s="27"/>
      <c r="F3902" s="49" t="s">
        <v>568</v>
      </c>
      <c r="G3902" s="28" t="str">
        <f>IF(ISNUMBER(F3902),E3902*F3902,"")</f>
        <v/>
      </c>
      <c r="H3902" s="29"/>
      <c r="I3902" s="30"/>
      <c r="J3902" s="155">
        <v>738</v>
      </c>
    </row>
    <row r="3903" spans="1:10" x14ac:dyDescent="0.25">
      <c r="A3903" s="173"/>
      <c r="B3903" s="175"/>
      <c r="C3903" s="32"/>
      <c r="D3903" s="32"/>
      <c r="E3903" s="33"/>
      <c r="F3903" s="54" t="s">
        <v>568</v>
      </c>
      <c r="G3903" s="54" t="str">
        <f>IF(ISNUMBER(F3903),E3903*F3903,"")</f>
        <v/>
      </c>
      <c r="H3903" s="73"/>
      <c r="I3903" s="74"/>
      <c r="J3903" s="155">
        <v>738</v>
      </c>
    </row>
    <row r="3904" spans="1:10" x14ac:dyDescent="0.25">
      <c r="A3904" s="173"/>
      <c r="B3904" s="175"/>
      <c r="C3904" s="36" t="s">
        <v>1258</v>
      </c>
      <c r="D3904" s="36" t="s">
        <v>12</v>
      </c>
      <c r="E3904" s="37">
        <v>1</v>
      </c>
      <c r="F3904" s="54">
        <v>2.4889999999999999</v>
      </c>
      <c r="G3904" s="54">
        <f>IF(ISNUMBER(F3904),E3904*F3904,"")</f>
        <v>2.4889999999999999</v>
      </c>
      <c r="H3904" s="39">
        <f>SUM(G3904:G3904)</f>
        <v>2.4889999999999999</v>
      </c>
      <c r="I3904" s="40"/>
      <c r="J3904" s="155">
        <v>738</v>
      </c>
    </row>
    <row r="3905" spans="1:10" ht="15.75" thickBot="1" x14ac:dyDescent="0.3">
      <c r="A3905" s="173"/>
      <c r="B3905" s="175"/>
      <c r="C3905" s="55"/>
      <c r="D3905" s="55"/>
      <c r="E3905" s="66"/>
      <c r="F3905" s="76" t="s">
        <v>568</v>
      </c>
      <c r="G3905" s="76" t="str">
        <f>IF(ISNUMBER(F3905),E3905*F3905,"")</f>
        <v/>
      </c>
      <c r="H3905" s="77"/>
      <c r="I3905" s="74"/>
      <c r="J3905" s="155">
        <v>738</v>
      </c>
    </row>
    <row r="3906" spans="1:10" ht="15.75" thickBot="1" x14ac:dyDescent="0.3">
      <c r="A3906" s="172" t="s">
        <v>1259</v>
      </c>
      <c r="B3906" s="174" t="str">
        <f>INDEX(Orçamentária!A:B,MATCH(Composições!A3906,Orçamentária!A:A,0),2)</f>
        <v>Transporte para mão-de-obra indireta</v>
      </c>
      <c r="C3906" s="41"/>
      <c r="D3906" s="26" t="str">
        <f>TRIM(INDEX(Orçamentária!C:C,MATCH(Composições!A3906,Orçamentária!A:A,0),1))</f>
        <v>h</v>
      </c>
      <c r="E3906" s="27"/>
      <c r="F3906" s="49" t="s">
        <v>568</v>
      </c>
      <c r="G3906" s="28" t="str">
        <f>IF(ISNUMBER(F3906),E3906*F3906,"")</f>
        <v/>
      </c>
      <c r="H3906" s="29"/>
      <c r="I3906" s="30"/>
      <c r="J3906" s="155">
        <v>738</v>
      </c>
    </row>
    <row r="3907" spans="1:10" x14ac:dyDescent="0.25">
      <c r="A3907" s="173"/>
      <c r="B3907" s="175"/>
      <c r="C3907" s="32"/>
      <c r="D3907" s="32"/>
      <c r="E3907" s="33"/>
      <c r="F3907" s="54" t="s">
        <v>568</v>
      </c>
      <c r="G3907" s="54" t="str">
        <f>IF(ISNUMBER(F3907),E3907*F3907,"")</f>
        <v/>
      </c>
      <c r="H3907" s="73"/>
      <c r="I3907" s="74"/>
      <c r="J3907" s="155">
        <v>738</v>
      </c>
    </row>
    <row r="3908" spans="1:10" x14ac:dyDescent="0.25">
      <c r="A3908" s="173"/>
      <c r="B3908" s="175"/>
      <c r="C3908" s="36" t="s">
        <v>1260</v>
      </c>
      <c r="D3908" s="36" t="s">
        <v>755</v>
      </c>
      <c r="E3908" s="37">
        <v>1.05</v>
      </c>
      <c r="F3908" s="54">
        <v>1.292</v>
      </c>
      <c r="G3908" s="54">
        <f>IF(ISNUMBER(F3908),E3908*F3908,"")</f>
        <v>1.3566</v>
      </c>
      <c r="H3908" s="39">
        <f>SUM(G3908:G3908)</f>
        <v>1.3566</v>
      </c>
      <c r="I3908" s="40"/>
      <c r="J3908" s="155">
        <v>738</v>
      </c>
    </row>
    <row r="3909" spans="1:10" ht="15.75" thickBot="1" x14ac:dyDescent="0.3">
      <c r="A3909" s="185"/>
      <c r="B3909" s="178"/>
      <c r="C3909" s="55"/>
      <c r="D3909" s="55"/>
      <c r="E3909" s="66"/>
      <c r="F3909" s="76" t="s">
        <v>568</v>
      </c>
      <c r="G3909" s="76" t="str">
        <f>IF(ISNUMBER(F3909),E3909*F3909,"")</f>
        <v/>
      </c>
      <c r="H3909" s="77"/>
      <c r="I3909" s="74"/>
      <c r="J3909" s="155">
        <v>738</v>
      </c>
    </row>
    <row r="3910" spans="1:10" ht="15.75" hidden="1" thickBot="1" x14ac:dyDescent="0.3">
      <c r="A3910" s="172" t="s">
        <v>1261</v>
      </c>
      <c r="B3910" s="174" t="str">
        <f>INDEX(Orçamentária!A:B,MATCH(Composições!A3910,Orçamentária!A:A,0),2)</f>
        <v>Cotovelo bolsa–bolsa 90° para solda em tubulação de cobre diâmetro de 1 3/8"</v>
      </c>
      <c r="C3910" s="41"/>
      <c r="D3910" s="26" t="str">
        <f>TRIM(INDEX(Orçamentária!C:C,MATCH(Composições!A3910,Orçamentária!A:A,0),1))</f>
        <v>un</v>
      </c>
      <c r="E3910" s="27"/>
      <c r="F3910" s="49" t="s">
        <v>568</v>
      </c>
      <c r="G3910" s="28" t="str">
        <f>IF(ISNUMBER(F3910),E3910*F3910,"")</f>
        <v/>
      </c>
      <c r="H3910" s="29"/>
      <c r="I3910" s="30"/>
      <c r="J3910" s="155">
        <v>0</v>
      </c>
    </row>
    <row r="3911" spans="1:10" hidden="1" x14ac:dyDescent="0.25">
      <c r="A3911" s="173"/>
      <c r="B3911" s="175"/>
      <c r="C3911" s="32"/>
      <c r="D3911" s="32"/>
      <c r="E3911" s="33"/>
      <c r="F3911" s="54" t="s">
        <v>568</v>
      </c>
      <c r="G3911" s="54" t="str">
        <f>IF(ISNUMBER(F3911),E3911*F3911,"")</f>
        <v/>
      </c>
      <c r="H3911" s="73"/>
      <c r="I3911" s="74"/>
      <c r="J3911" s="155">
        <v>0</v>
      </c>
    </row>
    <row r="3912" spans="1:10" ht="25.5" hidden="1" x14ac:dyDescent="0.25">
      <c r="A3912" s="173"/>
      <c r="B3912" s="175"/>
      <c r="C3912" s="36" t="s">
        <v>1262</v>
      </c>
      <c r="D3912" s="47" t="s">
        <v>297</v>
      </c>
      <c r="E3912" s="37">
        <v>1</v>
      </c>
      <c r="F3912" s="54">
        <v>33.192999999999998</v>
      </c>
      <c r="G3912" s="54">
        <f>IF(ISNUMBER(F3912),E3912*F3912,"")</f>
        <v>33.192999999999998</v>
      </c>
      <c r="H3912" s="39">
        <f>SUM(G3912:G3917)</f>
        <v>41.014644499999996</v>
      </c>
      <c r="I3912" s="40"/>
      <c r="J3912" s="155">
        <v>0</v>
      </c>
    </row>
    <row r="3913" spans="1:10" ht="25.5" hidden="1" x14ac:dyDescent="0.25">
      <c r="A3913" s="173"/>
      <c r="B3913" s="175"/>
      <c r="C3913" s="36" t="s">
        <v>1263</v>
      </c>
      <c r="D3913" s="47" t="s">
        <v>297</v>
      </c>
      <c r="E3913" s="37">
        <v>8.3999999999999995E-3</v>
      </c>
      <c r="F3913" s="54">
        <v>245.2045</v>
      </c>
      <c r="G3913" s="54">
        <f>IF(ISNUMBER(F3913),E3913*F3913,"")</f>
        <v>2.0597178</v>
      </c>
      <c r="H3913" s="73"/>
      <c r="I3913" s="74"/>
      <c r="J3913" s="155">
        <v>0</v>
      </c>
    </row>
    <row r="3914" spans="1:10" hidden="1" x14ac:dyDescent="0.25">
      <c r="A3914" s="173"/>
      <c r="B3914" s="175"/>
      <c r="C3914" s="36" t="s">
        <v>1264</v>
      </c>
      <c r="D3914" s="36" t="s">
        <v>297</v>
      </c>
      <c r="E3914" s="37">
        <v>5.9400000000000001E-2</v>
      </c>
      <c r="F3914" s="54">
        <v>1.9474999999999998</v>
      </c>
      <c r="G3914" s="54">
        <f>IF(ISNUMBER(F3914),E3914*F3914,"")</f>
        <v>0.11568149999999999</v>
      </c>
      <c r="H3914" s="73"/>
      <c r="I3914" s="74"/>
      <c r="J3914" s="155">
        <v>0</v>
      </c>
    </row>
    <row r="3915" spans="1:10" ht="25.5" hidden="1" x14ac:dyDescent="0.25">
      <c r="A3915" s="173"/>
      <c r="B3915" s="175"/>
      <c r="C3915" s="36" t="s">
        <v>1265</v>
      </c>
      <c r="D3915" s="36" t="s">
        <v>297</v>
      </c>
      <c r="E3915" s="37">
        <v>1.0800000000000001E-2</v>
      </c>
      <c r="F3915" s="54">
        <v>44.954000000000001</v>
      </c>
      <c r="G3915" s="54">
        <f>IF(ISNUMBER(F3915),E3915*F3915,"")</f>
        <v>0.48550320000000002</v>
      </c>
      <c r="H3915" s="73"/>
      <c r="I3915" s="74"/>
      <c r="J3915" s="155">
        <v>0</v>
      </c>
    </row>
    <row r="3916" spans="1:10" ht="25.5" hidden="1" x14ac:dyDescent="0.25">
      <c r="A3916" s="173"/>
      <c r="B3916" s="175"/>
      <c r="C3916" s="36" t="s">
        <v>1008</v>
      </c>
      <c r="D3916" s="36" t="s">
        <v>755</v>
      </c>
      <c r="E3916" s="37">
        <v>0.13400000000000001</v>
      </c>
      <c r="F3916" s="54">
        <v>16.891000000000002</v>
      </c>
      <c r="G3916" s="54">
        <f>IF(ISNUMBER(F3916),E3916*F3916,"")</f>
        <v>2.2633940000000004</v>
      </c>
      <c r="H3916" s="73"/>
      <c r="I3916" s="74"/>
      <c r="J3916" s="155">
        <v>0</v>
      </c>
    </row>
    <row r="3917" spans="1:10" ht="25.5" hidden="1" x14ac:dyDescent="0.25">
      <c r="A3917" s="173"/>
      <c r="B3917" s="175"/>
      <c r="C3917" s="36" t="s">
        <v>1009</v>
      </c>
      <c r="D3917" s="36" t="s">
        <v>755</v>
      </c>
      <c r="E3917" s="37">
        <v>0.13400000000000001</v>
      </c>
      <c r="F3917" s="54">
        <v>21.622</v>
      </c>
      <c r="G3917" s="54">
        <f>IF(ISNUMBER(F3917),E3917*F3917,"")</f>
        <v>2.897348</v>
      </c>
      <c r="H3917" s="73"/>
      <c r="I3917" s="74"/>
      <c r="J3917" s="155">
        <v>0</v>
      </c>
    </row>
    <row r="3918" spans="1:10" ht="15.75" hidden="1" thickBot="1" x14ac:dyDescent="0.3">
      <c r="A3918" s="185"/>
      <c r="B3918" s="178"/>
      <c r="C3918" s="55"/>
      <c r="D3918" s="55"/>
      <c r="E3918" s="66"/>
      <c r="F3918" s="76" t="s">
        <v>568</v>
      </c>
      <c r="G3918" s="76" t="str">
        <f>IF(ISNUMBER(F3918),E3918*F3918,"")</f>
        <v/>
      </c>
      <c r="H3918" s="77"/>
      <c r="I3918" s="74"/>
      <c r="J3918" s="155">
        <v>0</v>
      </c>
    </row>
    <row r="3919" spans="1:10" ht="15.75" hidden="1" thickBot="1" x14ac:dyDescent="0.3">
      <c r="A3919" s="172" t="s">
        <v>1266</v>
      </c>
      <c r="B3919" s="174" t="str">
        <f>INDEX(Orçamentária!A:B,MATCH(Composições!A3919,Orçamentária!A:A,0),2)</f>
        <v>Cotovelo bolsa–bolsa 90° para solda em tubulação de cobre diâmetro de 1 5/8"</v>
      </c>
      <c r="C3919" s="41"/>
      <c r="D3919" s="26" t="str">
        <f>TRIM(INDEX(Orçamentária!C:C,MATCH(Composições!A3919,Orçamentária!A:A,0),1))</f>
        <v>un</v>
      </c>
      <c r="E3919" s="27"/>
      <c r="F3919" s="49" t="s">
        <v>568</v>
      </c>
      <c r="G3919" s="28" t="str">
        <f>IF(ISNUMBER(F3919),E3919*F3919,"")</f>
        <v/>
      </c>
      <c r="H3919" s="29"/>
      <c r="I3919" s="30"/>
      <c r="J3919" s="155">
        <v>0</v>
      </c>
    </row>
    <row r="3920" spans="1:10" hidden="1" x14ac:dyDescent="0.25">
      <c r="A3920" s="173"/>
      <c r="B3920" s="175"/>
      <c r="C3920" s="32"/>
      <c r="D3920" s="32"/>
      <c r="E3920" s="33"/>
      <c r="F3920" s="54" t="s">
        <v>568</v>
      </c>
      <c r="G3920" s="54" t="str">
        <f>IF(ISNUMBER(F3920),E3920*F3920,"")</f>
        <v/>
      </c>
      <c r="H3920" s="73"/>
      <c r="I3920" s="74"/>
      <c r="J3920" s="155">
        <v>0</v>
      </c>
    </row>
    <row r="3921" spans="1:10" ht="25.5" hidden="1" x14ac:dyDescent="0.25">
      <c r="A3921" s="173"/>
      <c r="B3921" s="175"/>
      <c r="C3921" s="36" t="s">
        <v>1267</v>
      </c>
      <c r="D3921" s="47" t="s">
        <v>297</v>
      </c>
      <c r="E3921" s="37">
        <v>1</v>
      </c>
      <c r="F3921" s="54">
        <v>50.948500000000003</v>
      </c>
      <c r="G3921" s="54">
        <f>IF(ISNUMBER(F3921),E3921*F3921,"")</f>
        <v>50.948500000000003</v>
      </c>
      <c r="H3921" s="39">
        <f>SUM(G3921:G3926)</f>
        <v>62.398022550000007</v>
      </c>
      <c r="I3921" s="40"/>
      <c r="J3921" s="155">
        <v>0</v>
      </c>
    </row>
    <row r="3922" spans="1:10" ht="25.5" hidden="1" x14ac:dyDescent="0.25">
      <c r="A3922" s="173"/>
      <c r="B3922" s="175"/>
      <c r="C3922" s="36" t="s">
        <v>1263</v>
      </c>
      <c r="D3922" s="47" t="s">
        <v>297</v>
      </c>
      <c r="E3922" s="37">
        <v>1.7600000000000001E-2</v>
      </c>
      <c r="F3922" s="54">
        <v>245.2045</v>
      </c>
      <c r="G3922" s="54">
        <f>IF(ISNUMBER(F3922),E3922*F3922,"")</f>
        <v>4.3155992000000003</v>
      </c>
      <c r="H3922" s="73"/>
      <c r="I3922" s="74"/>
      <c r="J3922" s="155">
        <v>0</v>
      </c>
    </row>
    <row r="3923" spans="1:10" hidden="1" x14ac:dyDescent="0.25">
      <c r="A3923" s="173"/>
      <c r="B3923" s="175"/>
      <c r="C3923" s="36" t="s">
        <v>1264</v>
      </c>
      <c r="D3923" s="36" t="s">
        <v>297</v>
      </c>
      <c r="E3923" s="37">
        <v>6.93E-2</v>
      </c>
      <c r="F3923" s="54">
        <v>1.9474999999999998</v>
      </c>
      <c r="G3923" s="54">
        <f>IF(ISNUMBER(F3923),E3923*F3923,"")</f>
        <v>0.13496174999999999</v>
      </c>
      <c r="H3923" s="73"/>
      <c r="I3923" s="74"/>
      <c r="J3923" s="155">
        <v>0</v>
      </c>
    </row>
    <row r="3924" spans="1:10" ht="25.5" hidden="1" x14ac:dyDescent="0.25">
      <c r="A3924" s="173"/>
      <c r="B3924" s="175"/>
      <c r="C3924" s="36" t="s">
        <v>1265</v>
      </c>
      <c r="D3924" s="36" t="s">
        <v>297</v>
      </c>
      <c r="E3924" s="37">
        <v>2.29E-2</v>
      </c>
      <c r="F3924" s="54">
        <v>44.954000000000001</v>
      </c>
      <c r="G3924" s="54">
        <f>IF(ISNUMBER(F3924),E3924*F3924,"")</f>
        <v>1.0294466</v>
      </c>
      <c r="H3924" s="73"/>
      <c r="I3924" s="74"/>
      <c r="J3924" s="155">
        <v>0</v>
      </c>
    </row>
    <row r="3925" spans="1:10" ht="25.5" hidden="1" x14ac:dyDescent="0.25">
      <c r="A3925" s="173"/>
      <c r="B3925" s="175"/>
      <c r="C3925" s="36" t="s">
        <v>1008</v>
      </c>
      <c r="D3925" s="36" t="s">
        <v>755</v>
      </c>
      <c r="E3925" s="37">
        <v>0.155</v>
      </c>
      <c r="F3925" s="54">
        <v>16.891000000000002</v>
      </c>
      <c r="G3925" s="54">
        <f>IF(ISNUMBER(F3925),E3925*F3925,"")</f>
        <v>2.6181050000000003</v>
      </c>
      <c r="H3925" s="73"/>
      <c r="I3925" s="74"/>
      <c r="J3925" s="155">
        <v>0</v>
      </c>
    </row>
    <row r="3926" spans="1:10" ht="25.5" hidden="1" x14ac:dyDescent="0.25">
      <c r="A3926" s="173"/>
      <c r="B3926" s="175"/>
      <c r="C3926" s="36" t="s">
        <v>1009</v>
      </c>
      <c r="D3926" s="36" t="s">
        <v>755</v>
      </c>
      <c r="E3926" s="37">
        <v>0.155</v>
      </c>
      <c r="F3926" s="54">
        <v>21.622</v>
      </c>
      <c r="G3926" s="54">
        <f>IF(ISNUMBER(F3926),E3926*F3926,"")</f>
        <v>3.35141</v>
      </c>
      <c r="H3926" s="73"/>
      <c r="I3926" s="74"/>
      <c r="J3926" s="155">
        <v>0</v>
      </c>
    </row>
    <row r="3927" spans="1:10" ht="15.75" hidden="1" thickBot="1" x14ac:dyDescent="0.3">
      <c r="A3927" s="185"/>
      <c r="B3927" s="178"/>
      <c r="C3927" s="55"/>
      <c r="D3927" s="55"/>
      <c r="E3927" s="66"/>
      <c r="F3927" s="76" t="s">
        <v>568</v>
      </c>
      <c r="G3927" s="76" t="str">
        <f>IF(ISNUMBER(F3927),E3927*F3927,"")</f>
        <v/>
      </c>
      <c r="H3927" s="77"/>
      <c r="I3927" s="74"/>
      <c r="J3927" s="155">
        <v>0</v>
      </c>
    </row>
    <row r="3928" spans="1:10" ht="15.75" hidden="1" thickBot="1" x14ac:dyDescent="0.3">
      <c r="A3928" s="172" t="s">
        <v>1268</v>
      </c>
      <c r="B3928" s="174" t="str">
        <f>INDEX(Orçamentária!A:B,MATCH(Composições!A3928,Orçamentária!A:A,0),2)</f>
        <v>Cotovelo bolsa–bolsa 90° para solda em tubulação de cobre diâmetro de 7/8"</v>
      </c>
      <c r="C3928" s="41"/>
      <c r="D3928" s="26" t="str">
        <f>TRIM(INDEX(Orçamentária!C:C,MATCH(Composições!A3928,Orçamentária!A:A,0),1))</f>
        <v>un</v>
      </c>
      <c r="E3928" s="27"/>
      <c r="F3928" s="49" t="s">
        <v>568</v>
      </c>
      <c r="G3928" s="28" t="str">
        <f>IF(ISNUMBER(F3928),E3928*F3928,"")</f>
        <v/>
      </c>
      <c r="H3928" s="29"/>
      <c r="I3928" s="30"/>
      <c r="J3928" s="155">
        <v>0</v>
      </c>
    </row>
    <row r="3929" spans="1:10" hidden="1" x14ac:dyDescent="0.25">
      <c r="A3929" s="173"/>
      <c r="B3929" s="175"/>
      <c r="C3929" s="32"/>
      <c r="D3929" s="32"/>
      <c r="E3929" s="33"/>
      <c r="F3929" s="54" t="s">
        <v>568</v>
      </c>
      <c r="G3929" s="54" t="str">
        <f>IF(ISNUMBER(F3929),E3929*F3929,"")</f>
        <v/>
      </c>
      <c r="H3929" s="73"/>
      <c r="I3929" s="74"/>
      <c r="J3929" s="155">
        <v>0</v>
      </c>
    </row>
    <row r="3930" spans="1:10" ht="25.5" hidden="1" x14ac:dyDescent="0.25">
      <c r="A3930" s="173"/>
      <c r="B3930" s="175"/>
      <c r="C3930" s="36" t="s">
        <v>1269</v>
      </c>
      <c r="D3930" s="47" t="s">
        <v>297</v>
      </c>
      <c r="E3930" s="37">
        <v>1</v>
      </c>
      <c r="F3930" s="54">
        <v>9.8324999999999996</v>
      </c>
      <c r="G3930" s="54">
        <f>IF(ISNUMBER(F3930),E3930*F3930,"")</f>
        <v>9.8324999999999996</v>
      </c>
      <c r="H3930" s="39">
        <f>SUM(G3930:G3935)</f>
        <v>15.074071799999999</v>
      </c>
      <c r="I3930" s="40"/>
      <c r="J3930" s="155">
        <v>0</v>
      </c>
    </row>
    <row r="3931" spans="1:10" ht="25.5" hidden="1" x14ac:dyDescent="0.25">
      <c r="A3931" s="173"/>
      <c r="B3931" s="175"/>
      <c r="C3931" s="36" t="s">
        <v>1263</v>
      </c>
      <c r="D3931" s="47" t="s">
        <v>297</v>
      </c>
      <c r="E3931" s="37">
        <v>4.7999999999999996E-3</v>
      </c>
      <c r="F3931" s="54">
        <v>245.2045</v>
      </c>
      <c r="G3931" s="54">
        <f>IF(ISNUMBER(F3931),E3931*F3931,"")</f>
        <v>1.1769816</v>
      </c>
      <c r="H3931" s="73"/>
      <c r="I3931" s="74"/>
      <c r="J3931" s="155">
        <v>0</v>
      </c>
    </row>
    <row r="3932" spans="1:10" hidden="1" x14ac:dyDescent="0.25">
      <c r="A3932" s="173"/>
      <c r="B3932" s="175"/>
      <c r="C3932" s="36" t="s">
        <v>1264</v>
      </c>
      <c r="D3932" s="36" t="s">
        <v>297</v>
      </c>
      <c r="E3932" s="37">
        <v>4.3200000000000002E-2</v>
      </c>
      <c r="F3932" s="54">
        <v>1.9474999999999998</v>
      </c>
      <c r="G3932" s="54">
        <f>IF(ISNUMBER(F3932),E3932*F3932,"")</f>
        <v>8.4131999999999998E-2</v>
      </c>
      <c r="H3932" s="73"/>
      <c r="I3932" s="74"/>
      <c r="J3932" s="155">
        <v>0</v>
      </c>
    </row>
    <row r="3933" spans="1:10" ht="25.5" hidden="1" x14ac:dyDescent="0.25">
      <c r="A3933" s="173"/>
      <c r="B3933" s="175"/>
      <c r="C3933" s="36" t="s">
        <v>1265</v>
      </c>
      <c r="D3933" s="36" t="s">
        <v>297</v>
      </c>
      <c r="E3933" s="37">
        <v>6.3E-3</v>
      </c>
      <c r="F3933" s="54">
        <v>44.954000000000001</v>
      </c>
      <c r="G3933" s="54">
        <f>IF(ISNUMBER(F3933),E3933*F3933,"")</f>
        <v>0.28321020000000002</v>
      </c>
      <c r="H3933" s="73"/>
      <c r="I3933" s="74"/>
      <c r="J3933" s="155">
        <v>0</v>
      </c>
    </row>
    <row r="3934" spans="1:10" ht="25.5" hidden="1" x14ac:dyDescent="0.25">
      <c r="A3934" s="173"/>
      <c r="B3934" s="175"/>
      <c r="C3934" s="36" t="s">
        <v>1008</v>
      </c>
      <c r="D3934" s="36" t="s">
        <v>755</v>
      </c>
      <c r="E3934" s="37">
        <v>9.6000000000000002E-2</v>
      </c>
      <c r="F3934" s="54">
        <v>16.891000000000002</v>
      </c>
      <c r="G3934" s="54">
        <f>IF(ISNUMBER(F3934),E3934*F3934,"")</f>
        <v>1.6215360000000003</v>
      </c>
      <c r="H3934" s="73"/>
      <c r="I3934" s="74"/>
      <c r="J3934" s="155">
        <v>0</v>
      </c>
    </row>
    <row r="3935" spans="1:10" ht="25.5" hidden="1" x14ac:dyDescent="0.25">
      <c r="A3935" s="173"/>
      <c r="B3935" s="175"/>
      <c r="C3935" s="36" t="s">
        <v>1009</v>
      </c>
      <c r="D3935" s="36" t="s">
        <v>755</v>
      </c>
      <c r="E3935" s="37">
        <v>9.6000000000000002E-2</v>
      </c>
      <c r="F3935" s="54">
        <v>21.622</v>
      </c>
      <c r="G3935" s="54">
        <f>IF(ISNUMBER(F3935),E3935*F3935,"")</f>
        <v>2.0757120000000002</v>
      </c>
      <c r="H3935" s="73"/>
      <c r="I3935" s="74"/>
      <c r="J3935" s="155">
        <v>0</v>
      </c>
    </row>
    <row r="3936" spans="1:10" ht="15.75" hidden="1" thickBot="1" x14ac:dyDescent="0.3">
      <c r="A3936" s="185"/>
      <c r="B3936" s="178"/>
      <c r="C3936" s="55"/>
      <c r="D3936" s="55"/>
      <c r="E3936" s="66"/>
      <c r="F3936" s="76" t="s">
        <v>568</v>
      </c>
      <c r="G3936" s="76" t="str">
        <f>IF(ISNUMBER(F3936),E3936*F3936,"")</f>
        <v/>
      </c>
      <c r="H3936" s="77"/>
      <c r="I3936" s="74"/>
      <c r="J3936" s="155">
        <v>0</v>
      </c>
    </row>
    <row r="3937" spans="1:10" ht="15.75" hidden="1" thickBot="1" x14ac:dyDescent="0.3">
      <c r="A3937" s="172" t="s">
        <v>1270</v>
      </c>
      <c r="B3937" s="174" t="str">
        <f>INDEX(Orçamentária!A:B,MATCH(Composições!A3937,Orçamentária!A:A,0),2)</f>
        <v>Luva bolsa–bolsa para solda em tubulação de cobre diâmetro de 1 3/8"</v>
      </c>
      <c r="C3937" s="41"/>
      <c r="D3937" s="26" t="str">
        <f>TRIM(INDEX(Orçamentária!C:C,MATCH(Composições!A3937,Orçamentária!A:A,0),1))</f>
        <v>un</v>
      </c>
      <c r="E3937" s="27"/>
      <c r="F3937" s="49" t="s">
        <v>568</v>
      </c>
      <c r="G3937" s="28" t="str">
        <f>IF(ISNUMBER(F3937),E3937*F3937,"")</f>
        <v/>
      </c>
      <c r="H3937" s="29"/>
      <c r="I3937" s="30"/>
      <c r="J3937" s="155">
        <v>0</v>
      </c>
    </row>
    <row r="3938" spans="1:10" hidden="1" x14ac:dyDescent="0.25">
      <c r="A3938" s="173"/>
      <c r="B3938" s="175"/>
      <c r="C3938" s="32"/>
      <c r="D3938" s="32"/>
      <c r="E3938" s="33"/>
      <c r="F3938" s="54" t="s">
        <v>568</v>
      </c>
      <c r="G3938" s="54" t="str">
        <f>IF(ISNUMBER(F3938),E3938*F3938,"")</f>
        <v/>
      </c>
      <c r="H3938" s="73"/>
      <c r="I3938" s="74"/>
      <c r="J3938" s="155">
        <v>0</v>
      </c>
    </row>
    <row r="3939" spans="1:10" ht="25.5" hidden="1" x14ac:dyDescent="0.25">
      <c r="A3939" s="173"/>
      <c r="B3939" s="175"/>
      <c r="C3939" s="36" t="s">
        <v>1271</v>
      </c>
      <c r="D3939" s="47" t="s">
        <v>297</v>
      </c>
      <c r="E3939" s="37">
        <v>1</v>
      </c>
      <c r="F3939" s="54">
        <v>20.624500000000001</v>
      </c>
      <c r="G3939" s="54">
        <f>IF(ISNUMBER(F3939),E3939*F3939,"")</f>
        <v>20.624500000000001</v>
      </c>
      <c r="H3939" s="39">
        <f>SUM(G3939:G3944)</f>
        <v>26.7130595</v>
      </c>
      <c r="I3939" s="40"/>
      <c r="J3939" s="155">
        <v>0</v>
      </c>
    </row>
    <row r="3940" spans="1:10" ht="25.5" hidden="1" x14ac:dyDescent="0.25">
      <c r="A3940" s="173"/>
      <c r="B3940" s="175"/>
      <c r="C3940" s="36" t="s">
        <v>1263</v>
      </c>
      <c r="D3940" s="47" t="s">
        <v>297</v>
      </c>
      <c r="E3940" s="37">
        <v>8.3999999999999995E-3</v>
      </c>
      <c r="F3940" s="54">
        <v>245.2045</v>
      </c>
      <c r="G3940" s="54">
        <f>IF(ISNUMBER(F3940),E3940*F3940,"")</f>
        <v>2.0597178</v>
      </c>
      <c r="H3940" s="73"/>
      <c r="I3940" s="74"/>
      <c r="J3940" s="155">
        <v>0</v>
      </c>
    </row>
    <row r="3941" spans="1:10" hidden="1" x14ac:dyDescent="0.25">
      <c r="A3941" s="173"/>
      <c r="B3941" s="175"/>
      <c r="C3941" s="36" t="s">
        <v>1264</v>
      </c>
      <c r="D3941" s="36" t="s">
        <v>297</v>
      </c>
      <c r="E3941" s="37">
        <v>5.9400000000000001E-2</v>
      </c>
      <c r="F3941" s="54">
        <v>1.9474999999999998</v>
      </c>
      <c r="G3941" s="54">
        <f>IF(ISNUMBER(F3941),E3941*F3941,"")</f>
        <v>0.11568149999999999</v>
      </c>
      <c r="H3941" s="73"/>
      <c r="I3941" s="74"/>
      <c r="J3941" s="155">
        <v>0</v>
      </c>
    </row>
    <row r="3942" spans="1:10" ht="25.5" hidden="1" x14ac:dyDescent="0.25">
      <c r="A3942" s="173"/>
      <c r="B3942" s="175"/>
      <c r="C3942" s="36" t="s">
        <v>1265</v>
      </c>
      <c r="D3942" s="36" t="s">
        <v>297</v>
      </c>
      <c r="E3942" s="37">
        <v>1.0800000000000001E-2</v>
      </c>
      <c r="F3942" s="54">
        <v>44.954000000000001</v>
      </c>
      <c r="G3942" s="54">
        <f>IF(ISNUMBER(F3942),E3942*F3942,"")</f>
        <v>0.48550320000000002</v>
      </c>
      <c r="H3942" s="73"/>
      <c r="I3942" s="74"/>
      <c r="J3942" s="155">
        <v>0</v>
      </c>
    </row>
    <row r="3943" spans="1:10" ht="25.5" hidden="1" x14ac:dyDescent="0.25">
      <c r="A3943" s="173"/>
      <c r="B3943" s="175"/>
      <c r="C3943" s="36" t="s">
        <v>1008</v>
      </c>
      <c r="D3943" s="36" t="s">
        <v>755</v>
      </c>
      <c r="E3943" s="37">
        <v>8.8999999999999996E-2</v>
      </c>
      <c r="F3943" s="54">
        <v>16.891000000000002</v>
      </c>
      <c r="G3943" s="54">
        <f>IF(ISNUMBER(F3943),E3943*F3943,"")</f>
        <v>1.5032990000000002</v>
      </c>
      <c r="H3943" s="73"/>
      <c r="I3943" s="74"/>
      <c r="J3943" s="155">
        <v>0</v>
      </c>
    </row>
    <row r="3944" spans="1:10" ht="25.5" hidden="1" x14ac:dyDescent="0.25">
      <c r="A3944" s="173"/>
      <c r="B3944" s="175"/>
      <c r="C3944" s="36" t="s">
        <v>1009</v>
      </c>
      <c r="D3944" s="36" t="s">
        <v>755</v>
      </c>
      <c r="E3944" s="37">
        <v>8.8999999999999996E-2</v>
      </c>
      <c r="F3944" s="54">
        <v>21.622</v>
      </c>
      <c r="G3944" s="54">
        <f>IF(ISNUMBER(F3944),E3944*F3944,"")</f>
        <v>1.9243579999999998</v>
      </c>
      <c r="H3944" s="73"/>
      <c r="I3944" s="74"/>
      <c r="J3944" s="155">
        <v>0</v>
      </c>
    </row>
    <row r="3945" spans="1:10" ht="15.75" hidden="1" thickBot="1" x14ac:dyDescent="0.3">
      <c r="A3945" s="185"/>
      <c r="B3945" s="178"/>
      <c r="C3945" s="55"/>
      <c r="D3945" s="55"/>
      <c r="E3945" s="66"/>
      <c r="F3945" s="76" t="s">
        <v>568</v>
      </c>
      <c r="G3945" s="76" t="str">
        <f>IF(ISNUMBER(F3945),E3945*F3945,"")</f>
        <v/>
      </c>
      <c r="H3945" s="77"/>
      <c r="I3945" s="74"/>
      <c r="J3945" s="155">
        <v>0</v>
      </c>
    </row>
    <row r="3946" spans="1:10" ht="15.75" hidden="1" thickBot="1" x14ac:dyDescent="0.3">
      <c r="A3946" s="172" t="s">
        <v>1272</v>
      </c>
      <c r="B3946" s="174" t="str">
        <f>INDEX(Orçamentária!A:B,MATCH(Composições!A3946,Orçamentária!A:A,0),2)</f>
        <v>Luva bolsa–bolsa para solda em tubulação de cobre diâmetro de 1 5/8"</v>
      </c>
      <c r="C3946" s="41"/>
      <c r="D3946" s="26" t="str">
        <f>TRIM(INDEX(Orçamentária!C:C,MATCH(Composições!A3946,Orçamentária!A:A,0),1))</f>
        <v>un</v>
      </c>
      <c r="E3946" s="27"/>
      <c r="F3946" s="49" t="s">
        <v>568</v>
      </c>
      <c r="G3946" s="28" t="str">
        <f>IF(ISNUMBER(F3946),E3946*F3946,"")</f>
        <v/>
      </c>
      <c r="H3946" s="29"/>
      <c r="I3946" s="30"/>
      <c r="J3946" s="155">
        <v>0</v>
      </c>
    </row>
    <row r="3947" spans="1:10" hidden="1" x14ac:dyDescent="0.25">
      <c r="A3947" s="173"/>
      <c r="B3947" s="175"/>
      <c r="C3947" s="32"/>
      <c r="D3947" s="32"/>
      <c r="E3947" s="33"/>
      <c r="F3947" s="54" t="s">
        <v>568</v>
      </c>
      <c r="G3947" s="54" t="str">
        <f>IF(ISNUMBER(F3947),E3947*F3947,"")</f>
        <v/>
      </c>
      <c r="H3947" s="73"/>
      <c r="I3947" s="74"/>
      <c r="J3947" s="155">
        <v>0</v>
      </c>
    </row>
    <row r="3948" spans="1:10" ht="25.5" hidden="1" x14ac:dyDescent="0.25">
      <c r="A3948" s="173"/>
      <c r="B3948" s="175"/>
      <c r="C3948" s="36" t="s">
        <v>1273</v>
      </c>
      <c r="D3948" s="47" t="s">
        <v>297</v>
      </c>
      <c r="E3948" s="37">
        <v>1</v>
      </c>
      <c r="F3948" s="54">
        <v>26.153500000000001</v>
      </c>
      <c r="G3948" s="54">
        <f>IF(ISNUMBER(F3948),E3948*F3948,"")</f>
        <v>26.153500000000001</v>
      </c>
      <c r="H3948" s="39">
        <f>SUM(G3948:G3953)</f>
        <v>35.600346550000005</v>
      </c>
      <c r="I3948" s="40"/>
      <c r="J3948" s="155">
        <v>0</v>
      </c>
    </row>
    <row r="3949" spans="1:10" ht="25.5" hidden="1" x14ac:dyDescent="0.25">
      <c r="A3949" s="173"/>
      <c r="B3949" s="175"/>
      <c r="C3949" s="36" t="s">
        <v>1263</v>
      </c>
      <c r="D3949" s="47" t="s">
        <v>297</v>
      </c>
      <c r="E3949" s="37">
        <v>1.7600000000000001E-2</v>
      </c>
      <c r="F3949" s="54">
        <v>245.2045</v>
      </c>
      <c r="G3949" s="54">
        <f>IF(ISNUMBER(F3949),E3949*F3949,"")</f>
        <v>4.3155992000000003</v>
      </c>
      <c r="H3949" s="73"/>
      <c r="I3949" s="74"/>
      <c r="J3949" s="155">
        <v>0</v>
      </c>
    </row>
    <row r="3950" spans="1:10" hidden="1" x14ac:dyDescent="0.25">
      <c r="A3950" s="173"/>
      <c r="B3950" s="175"/>
      <c r="C3950" s="36" t="s">
        <v>1264</v>
      </c>
      <c r="D3950" s="36" t="s">
        <v>297</v>
      </c>
      <c r="E3950" s="37">
        <v>6.93E-2</v>
      </c>
      <c r="F3950" s="54">
        <v>1.9474999999999998</v>
      </c>
      <c r="G3950" s="54">
        <f>IF(ISNUMBER(F3950),E3950*F3950,"")</f>
        <v>0.13496174999999999</v>
      </c>
      <c r="H3950" s="73"/>
      <c r="I3950" s="74"/>
      <c r="J3950" s="155">
        <v>0</v>
      </c>
    </row>
    <row r="3951" spans="1:10" ht="25.5" hidden="1" x14ac:dyDescent="0.25">
      <c r="A3951" s="173"/>
      <c r="B3951" s="175"/>
      <c r="C3951" s="36" t="s">
        <v>1265</v>
      </c>
      <c r="D3951" s="36" t="s">
        <v>297</v>
      </c>
      <c r="E3951" s="37">
        <v>2.29E-2</v>
      </c>
      <c r="F3951" s="54">
        <v>44.954000000000001</v>
      </c>
      <c r="G3951" s="54">
        <f>IF(ISNUMBER(F3951),E3951*F3951,"")</f>
        <v>1.0294466</v>
      </c>
      <c r="H3951" s="73"/>
      <c r="I3951" s="74"/>
      <c r="J3951" s="155">
        <v>0</v>
      </c>
    </row>
    <row r="3952" spans="1:10" ht="25.5" hidden="1" x14ac:dyDescent="0.25">
      <c r="A3952" s="173"/>
      <c r="B3952" s="175"/>
      <c r="C3952" s="36" t="s">
        <v>1008</v>
      </c>
      <c r="D3952" s="36" t="s">
        <v>755</v>
      </c>
      <c r="E3952" s="37">
        <v>0.10299999999999999</v>
      </c>
      <c r="F3952" s="54">
        <v>16.891000000000002</v>
      </c>
      <c r="G3952" s="54">
        <f>IF(ISNUMBER(F3952),E3952*F3952,"")</f>
        <v>1.739773</v>
      </c>
      <c r="H3952" s="73"/>
      <c r="I3952" s="74"/>
      <c r="J3952" s="155">
        <v>0</v>
      </c>
    </row>
    <row r="3953" spans="1:10" ht="25.5" hidden="1" x14ac:dyDescent="0.25">
      <c r="A3953" s="173"/>
      <c r="B3953" s="175"/>
      <c r="C3953" s="36" t="s">
        <v>1009</v>
      </c>
      <c r="D3953" s="36" t="s">
        <v>755</v>
      </c>
      <c r="E3953" s="37">
        <v>0.10299999999999999</v>
      </c>
      <c r="F3953" s="54">
        <v>21.622</v>
      </c>
      <c r="G3953" s="54">
        <f>IF(ISNUMBER(F3953),E3953*F3953,"")</f>
        <v>2.2270659999999998</v>
      </c>
      <c r="H3953" s="73"/>
      <c r="I3953" s="74"/>
      <c r="J3953" s="155">
        <v>0</v>
      </c>
    </row>
    <row r="3954" spans="1:10" ht="15.75" hidden="1" thickBot="1" x14ac:dyDescent="0.3">
      <c r="A3954" s="185"/>
      <c r="B3954" s="178"/>
      <c r="C3954" s="55"/>
      <c r="D3954" s="55"/>
      <c r="E3954" s="66"/>
      <c r="F3954" s="76" t="s">
        <v>568</v>
      </c>
      <c r="G3954" s="76" t="str">
        <f>IF(ISNUMBER(F3954),E3954*F3954,"")</f>
        <v/>
      </c>
      <c r="H3954" s="77"/>
      <c r="I3954" s="74"/>
      <c r="J3954" s="155">
        <v>0</v>
      </c>
    </row>
    <row r="3955" spans="1:10" ht="15.75" hidden="1" thickBot="1" x14ac:dyDescent="0.3">
      <c r="A3955" s="172" t="s">
        <v>1274</v>
      </c>
      <c r="B3955" s="174" t="str">
        <f>INDEX(Orçamentária!A:B,MATCH(Composições!A3955,Orçamentária!A:A,0),2)</f>
        <v>Luva bolsa–bolsa para solda em tubulação de cobre diâmetro de 7/8"</v>
      </c>
      <c r="C3955" s="41"/>
      <c r="D3955" s="26" t="str">
        <f>TRIM(INDEX(Orçamentária!C:C,MATCH(Composições!A3955,Orçamentária!A:A,0),1))</f>
        <v>un</v>
      </c>
      <c r="E3955" s="27"/>
      <c r="F3955" s="49" t="s">
        <v>568</v>
      </c>
      <c r="G3955" s="28" t="str">
        <f>IF(ISNUMBER(F3955),E3955*F3955,"")</f>
        <v/>
      </c>
      <c r="H3955" s="29"/>
      <c r="I3955" s="30"/>
      <c r="J3955" s="155">
        <v>0</v>
      </c>
    </row>
    <row r="3956" spans="1:10" hidden="1" x14ac:dyDescent="0.25">
      <c r="A3956" s="173"/>
      <c r="B3956" s="175"/>
      <c r="C3956" s="32"/>
      <c r="D3956" s="32"/>
      <c r="E3956" s="33"/>
      <c r="F3956" s="54" t="s">
        <v>568</v>
      </c>
      <c r="G3956" s="54" t="str">
        <f>IF(ISNUMBER(F3956),E3956*F3956,"")</f>
        <v/>
      </c>
      <c r="H3956" s="73"/>
      <c r="I3956" s="74"/>
      <c r="J3956" s="155">
        <v>0</v>
      </c>
    </row>
    <row r="3957" spans="1:10" ht="25.5" hidden="1" x14ac:dyDescent="0.25">
      <c r="A3957" s="173"/>
      <c r="B3957" s="175"/>
      <c r="C3957" s="36" t="s">
        <v>1275</v>
      </c>
      <c r="D3957" s="47" t="s">
        <v>297</v>
      </c>
      <c r="E3957" s="37">
        <v>1</v>
      </c>
      <c r="F3957" s="54">
        <v>4.6550000000000002</v>
      </c>
      <c r="G3957" s="54">
        <f>IF(ISNUMBER(F3957),E3957*F3957,"")</f>
        <v>4.6550000000000002</v>
      </c>
      <c r="H3957" s="39">
        <f>SUM(G3957:G3962)</f>
        <v>8.6641558000000014</v>
      </c>
      <c r="I3957" s="40"/>
      <c r="J3957" s="155">
        <v>0</v>
      </c>
    </row>
    <row r="3958" spans="1:10" ht="25.5" hidden="1" x14ac:dyDescent="0.25">
      <c r="A3958" s="173"/>
      <c r="B3958" s="175"/>
      <c r="C3958" s="36" t="s">
        <v>1263</v>
      </c>
      <c r="D3958" s="47" t="s">
        <v>297</v>
      </c>
      <c r="E3958" s="37">
        <v>4.7999999999999996E-3</v>
      </c>
      <c r="F3958" s="54">
        <v>245.2045</v>
      </c>
      <c r="G3958" s="54">
        <f>IF(ISNUMBER(F3958),E3958*F3958,"")</f>
        <v>1.1769816</v>
      </c>
      <c r="H3958" s="73"/>
      <c r="I3958" s="74"/>
      <c r="J3958" s="155">
        <v>0</v>
      </c>
    </row>
    <row r="3959" spans="1:10" hidden="1" x14ac:dyDescent="0.25">
      <c r="A3959" s="173"/>
      <c r="B3959" s="175"/>
      <c r="C3959" s="36" t="s">
        <v>1264</v>
      </c>
      <c r="D3959" s="36" t="s">
        <v>297</v>
      </c>
      <c r="E3959" s="37">
        <v>4.3200000000000002E-2</v>
      </c>
      <c r="F3959" s="54">
        <v>1.9474999999999998</v>
      </c>
      <c r="G3959" s="54">
        <f>IF(ISNUMBER(F3959),E3959*F3959,"")</f>
        <v>8.4131999999999998E-2</v>
      </c>
      <c r="H3959" s="73"/>
      <c r="I3959" s="74"/>
      <c r="J3959" s="155">
        <v>0</v>
      </c>
    </row>
    <row r="3960" spans="1:10" ht="25.5" hidden="1" x14ac:dyDescent="0.25">
      <c r="A3960" s="173"/>
      <c r="B3960" s="175"/>
      <c r="C3960" s="36" t="s">
        <v>1265</v>
      </c>
      <c r="D3960" s="36" t="s">
        <v>297</v>
      </c>
      <c r="E3960" s="37">
        <v>6.3E-3</v>
      </c>
      <c r="F3960" s="54">
        <v>44.954000000000001</v>
      </c>
      <c r="G3960" s="54">
        <f>IF(ISNUMBER(F3960),E3960*F3960,"")</f>
        <v>0.28321020000000002</v>
      </c>
      <c r="H3960" s="73"/>
      <c r="I3960" s="74"/>
      <c r="J3960" s="155">
        <v>0</v>
      </c>
    </row>
    <row r="3961" spans="1:10" ht="25.5" hidden="1" x14ac:dyDescent="0.25">
      <c r="A3961" s="173"/>
      <c r="B3961" s="175"/>
      <c r="C3961" s="36" t="s">
        <v>1008</v>
      </c>
      <c r="D3961" s="36" t="s">
        <v>755</v>
      </c>
      <c r="E3961" s="37">
        <v>6.4000000000000001E-2</v>
      </c>
      <c r="F3961" s="54">
        <v>16.891000000000002</v>
      </c>
      <c r="G3961" s="54">
        <f>IF(ISNUMBER(F3961),E3961*F3961,"")</f>
        <v>1.0810240000000002</v>
      </c>
      <c r="H3961" s="73"/>
      <c r="I3961" s="74"/>
      <c r="J3961" s="155">
        <v>0</v>
      </c>
    </row>
    <row r="3962" spans="1:10" ht="25.5" hidden="1" x14ac:dyDescent="0.25">
      <c r="A3962" s="173"/>
      <c r="B3962" s="175"/>
      <c r="C3962" s="36" t="s">
        <v>1009</v>
      </c>
      <c r="D3962" s="36" t="s">
        <v>755</v>
      </c>
      <c r="E3962" s="37">
        <v>6.4000000000000001E-2</v>
      </c>
      <c r="F3962" s="54">
        <v>21.622</v>
      </c>
      <c r="G3962" s="54">
        <f>IF(ISNUMBER(F3962),E3962*F3962,"")</f>
        <v>1.3838079999999999</v>
      </c>
      <c r="H3962" s="73"/>
      <c r="I3962" s="74"/>
      <c r="J3962" s="155">
        <v>0</v>
      </c>
    </row>
    <row r="3963" spans="1:10" ht="15.75" hidden="1" thickBot="1" x14ac:dyDescent="0.3">
      <c r="A3963" s="185"/>
      <c r="B3963" s="178"/>
      <c r="C3963" s="55"/>
      <c r="D3963" s="55"/>
      <c r="E3963" s="66"/>
      <c r="F3963" s="76" t="s">
        <v>568</v>
      </c>
      <c r="G3963" s="76" t="str">
        <f>IF(ISNUMBER(F3963),E3963*F3963,"")</f>
        <v/>
      </c>
      <c r="H3963" s="77"/>
      <c r="I3963" s="74"/>
      <c r="J3963" s="155">
        <v>0</v>
      </c>
    </row>
    <row r="3964" spans="1:10" ht="15.75" hidden="1" thickBot="1" x14ac:dyDescent="0.3">
      <c r="A3964" s="172" t="s">
        <v>1276</v>
      </c>
      <c r="B3964" s="174" t="str">
        <f>INDEX(Orçamentária!A:B,MATCH(Composições!A3964,Orçamentária!A:A,0),2)</f>
        <v>Tubo de cobre rígido 1 3/8"</v>
      </c>
      <c r="C3964" s="41"/>
      <c r="D3964" s="26" t="str">
        <f>TRIM(INDEX(Orçamentária!C:C,MATCH(Composições!A3964,Orçamentária!A:A,0),1))</f>
        <v>m</v>
      </c>
      <c r="E3964" s="27"/>
      <c r="F3964" s="49" t="s">
        <v>568</v>
      </c>
      <c r="G3964" s="28" t="str">
        <f>IF(ISNUMBER(F3964),E3964*F3964,"")</f>
        <v/>
      </c>
      <c r="H3964" s="29"/>
      <c r="I3964" s="30"/>
      <c r="J3964" s="155">
        <v>0</v>
      </c>
    </row>
    <row r="3965" spans="1:10" hidden="1" x14ac:dyDescent="0.25">
      <c r="A3965" s="173"/>
      <c r="B3965" s="175"/>
      <c r="C3965" s="32"/>
      <c r="D3965" s="32"/>
      <c r="E3965" s="33"/>
      <c r="F3965" s="54" t="s">
        <v>568</v>
      </c>
      <c r="G3965" s="54" t="str">
        <f>IF(ISNUMBER(F3965),E3965*F3965,"")</f>
        <v/>
      </c>
      <c r="H3965" s="73"/>
      <c r="I3965" s="74"/>
      <c r="J3965" s="155">
        <v>0</v>
      </c>
    </row>
    <row r="3966" spans="1:10" ht="38.25" hidden="1" x14ac:dyDescent="0.25">
      <c r="A3966" s="173"/>
      <c r="B3966" s="175"/>
      <c r="C3966" s="36" t="s">
        <v>1277</v>
      </c>
      <c r="D3966" s="36" t="s">
        <v>523</v>
      </c>
      <c r="E3966" s="37">
        <v>1.0210999999999999</v>
      </c>
      <c r="F3966" s="54">
        <v>124.83</v>
      </c>
      <c r="G3966" s="54">
        <f>IF(ISNUMBER(F3966),E3966*F3966,"")</f>
        <v>127.46391299999999</v>
      </c>
      <c r="H3966" s="39">
        <f>SUM(G3966:G3968)</f>
        <v>130.00577099999998</v>
      </c>
      <c r="I3966" s="40"/>
      <c r="J3966" s="155">
        <v>0</v>
      </c>
    </row>
    <row r="3967" spans="1:10" ht="25.5" hidden="1" x14ac:dyDescent="0.25">
      <c r="A3967" s="173"/>
      <c r="B3967" s="175"/>
      <c r="C3967" s="36" t="s">
        <v>1008</v>
      </c>
      <c r="D3967" s="36" t="s">
        <v>755</v>
      </c>
      <c r="E3967" s="37">
        <v>6.6000000000000003E-2</v>
      </c>
      <c r="F3967" s="54">
        <v>16.891000000000002</v>
      </c>
      <c r="G3967" s="54">
        <f>IF(ISNUMBER(F3967),E3967*F3967,"")</f>
        <v>1.1148060000000002</v>
      </c>
      <c r="H3967" s="73"/>
      <c r="I3967" s="74"/>
      <c r="J3967" s="155">
        <v>0</v>
      </c>
    </row>
    <row r="3968" spans="1:10" ht="25.5" hidden="1" x14ac:dyDescent="0.25">
      <c r="A3968" s="173"/>
      <c r="B3968" s="175"/>
      <c r="C3968" s="36" t="s">
        <v>1009</v>
      </c>
      <c r="D3968" s="36" t="s">
        <v>755</v>
      </c>
      <c r="E3968" s="37">
        <v>6.6000000000000003E-2</v>
      </c>
      <c r="F3968" s="54">
        <v>21.622</v>
      </c>
      <c r="G3968" s="54">
        <f>IF(ISNUMBER(F3968),E3968*F3968,"")</f>
        <v>1.427052</v>
      </c>
      <c r="H3968" s="73"/>
      <c r="I3968" s="74"/>
      <c r="J3968" s="155">
        <v>0</v>
      </c>
    </row>
    <row r="3969" spans="1:10" ht="15.75" hidden="1" thickBot="1" x14ac:dyDescent="0.3">
      <c r="A3969" s="173"/>
      <c r="B3969" s="175"/>
      <c r="C3969" s="55"/>
      <c r="D3969" s="55"/>
      <c r="E3969" s="66"/>
      <c r="F3969" s="76" t="s">
        <v>568</v>
      </c>
      <c r="G3969" s="76" t="str">
        <f>IF(ISNUMBER(F3969),E3969*F3969,"")</f>
        <v/>
      </c>
      <c r="H3969" s="77"/>
      <c r="I3969" s="74"/>
      <c r="J3969" s="155">
        <v>0</v>
      </c>
    </row>
    <row r="3970" spans="1:10" ht="15.75" hidden="1" thickBot="1" x14ac:dyDescent="0.3">
      <c r="A3970" s="172" t="s">
        <v>1278</v>
      </c>
      <c r="B3970" s="174" t="str">
        <f>INDEX(Orçamentária!A:B,MATCH(Composições!A3970,Orçamentária!A:A,0),2)</f>
        <v>Tubo de cobre rígido 1 5/8"</v>
      </c>
      <c r="C3970" s="41"/>
      <c r="D3970" s="26" t="str">
        <f>TRIM(INDEX(Orçamentária!C:C,MATCH(Composições!A3970,Orçamentária!A:A,0),1))</f>
        <v>m</v>
      </c>
      <c r="E3970" s="27"/>
      <c r="F3970" s="49" t="s">
        <v>568</v>
      </c>
      <c r="G3970" s="28" t="str">
        <f>IF(ISNUMBER(F3970),E3970*F3970,"")</f>
        <v/>
      </c>
      <c r="H3970" s="29"/>
      <c r="I3970" s="30"/>
      <c r="J3970" s="155">
        <v>0</v>
      </c>
    </row>
    <row r="3971" spans="1:10" hidden="1" x14ac:dyDescent="0.25">
      <c r="A3971" s="173"/>
      <c r="B3971" s="175"/>
      <c r="C3971" s="32"/>
      <c r="D3971" s="32"/>
      <c r="E3971" s="33"/>
      <c r="F3971" s="54" t="s">
        <v>568</v>
      </c>
      <c r="G3971" s="54" t="str">
        <f>IF(ISNUMBER(F3971),E3971*F3971,"")</f>
        <v/>
      </c>
      <c r="H3971" s="73"/>
      <c r="I3971" s="74"/>
      <c r="J3971" s="155">
        <v>0</v>
      </c>
    </row>
    <row r="3972" spans="1:10" ht="38.25" hidden="1" x14ac:dyDescent="0.25">
      <c r="A3972" s="173"/>
      <c r="B3972" s="175"/>
      <c r="C3972" s="36" t="s">
        <v>1279</v>
      </c>
      <c r="D3972" s="36" t="s">
        <v>523</v>
      </c>
      <c r="E3972" s="37">
        <v>1.0210999999999999</v>
      </c>
      <c r="F3972" s="54">
        <v>150.18549999999999</v>
      </c>
      <c r="G3972" s="54">
        <f>IF(ISNUMBER(F3972),E3972*F3972,"")</f>
        <v>153.35441404999997</v>
      </c>
      <c r="H3972" s="39">
        <f>SUM(G3972:G3974)</f>
        <v>156.28140204999997</v>
      </c>
      <c r="I3972" s="40"/>
      <c r="J3972" s="155">
        <v>0</v>
      </c>
    </row>
    <row r="3973" spans="1:10" ht="25.5" hidden="1" x14ac:dyDescent="0.25">
      <c r="A3973" s="173"/>
      <c r="B3973" s="175"/>
      <c r="C3973" s="36" t="s">
        <v>1008</v>
      </c>
      <c r="D3973" s="36" t="s">
        <v>755</v>
      </c>
      <c r="E3973" s="37">
        <v>7.5999999999999998E-2</v>
      </c>
      <c r="F3973" s="54">
        <v>16.891000000000002</v>
      </c>
      <c r="G3973" s="54">
        <f>IF(ISNUMBER(F3973),E3973*F3973,"")</f>
        <v>1.2837160000000001</v>
      </c>
      <c r="H3973" s="73"/>
      <c r="I3973" s="74"/>
      <c r="J3973" s="155">
        <v>0</v>
      </c>
    </row>
    <row r="3974" spans="1:10" ht="25.5" hidden="1" x14ac:dyDescent="0.25">
      <c r="A3974" s="173"/>
      <c r="B3974" s="175"/>
      <c r="C3974" s="36" t="s">
        <v>1009</v>
      </c>
      <c r="D3974" s="36" t="s">
        <v>755</v>
      </c>
      <c r="E3974" s="37">
        <v>7.5999999999999998E-2</v>
      </c>
      <c r="F3974" s="54">
        <v>21.622</v>
      </c>
      <c r="G3974" s="54">
        <f>IF(ISNUMBER(F3974),E3974*F3974,"")</f>
        <v>1.6432719999999998</v>
      </c>
      <c r="H3974" s="73"/>
      <c r="I3974" s="74"/>
      <c r="J3974" s="155">
        <v>0</v>
      </c>
    </row>
    <row r="3975" spans="1:10" ht="15.75" hidden="1" thickBot="1" x14ac:dyDescent="0.3">
      <c r="A3975" s="173"/>
      <c r="B3975" s="175"/>
      <c r="C3975" s="55"/>
      <c r="D3975" s="55"/>
      <c r="E3975" s="66"/>
      <c r="F3975" s="76" t="s">
        <v>568</v>
      </c>
      <c r="G3975" s="76" t="str">
        <f>IF(ISNUMBER(F3975),E3975*F3975,"")</f>
        <v/>
      </c>
      <c r="H3975" s="77"/>
      <c r="I3975" s="74"/>
      <c r="J3975" s="155">
        <v>0</v>
      </c>
    </row>
    <row r="3976" spans="1:10" ht="15.75" hidden="1" thickBot="1" x14ac:dyDescent="0.3">
      <c r="A3976" s="172" t="s">
        <v>1280</v>
      </c>
      <c r="B3976" s="174" t="str">
        <f>INDEX(Orçamentária!A:B,MATCH(Composições!A3976,Orçamentária!A:A,0),2)</f>
        <v>Eletroduto flexível metálico com capa de PVC 1 1/2"</v>
      </c>
      <c r="C3976" s="41"/>
      <c r="D3976" s="26" t="str">
        <f>TRIM(INDEX(Orçamentária!C:C,MATCH(Composições!A3976,Orçamentária!A:A,0),1))</f>
        <v>m</v>
      </c>
      <c r="E3976" s="27"/>
      <c r="F3976" s="49" t="s">
        <v>568</v>
      </c>
      <c r="G3976" s="28" t="str">
        <f>IF(ISNUMBER(F3976),E3976*F3976,"")</f>
        <v/>
      </c>
      <c r="H3976" s="29"/>
      <c r="I3976" s="30"/>
      <c r="J3976" s="155">
        <v>0</v>
      </c>
    </row>
    <row r="3977" spans="1:10" hidden="1" x14ac:dyDescent="0.25">
      <c r="A3977" s="173"/>
      <c r="B3977" s="175"/>
      <c r="C3977" s="32"/>
      <c r="D3977" s="32"/>
      <c r="E3977" s="33"/>
      <c r="F3977" s="54" t="s">
        <v>568</v>
      </c>
      <c r="G3977" s="54" t="str">
        <f>IF(ISNUMBER(F3977),E3977*F3977,"")</f>
        <v/>
      </c>
      <c r="H3977" s="73"/>
      <c r="I3977" s="74"/>
      <c r="J3977" s="155">
        <v>0</v>
      </c>
    </row>
    <row r="3978" spans="1:10" ht="38.25" hidden="1" x14ac:dyDescent="0.25">
      <c r="A3978" s="173"/>
      <c r="B3978" s="175"/>
      <c r="C3978" s="36" t="s">
        <v>1281</v>
      </c>
      <c r="D3978" s="47" t="s">
        <v>523</v>
      </c>
      <c r="E3978" s="37">
        <v>1.1000000000000001</v>
      </c>
      <c r="F3978" s="54">
        <v>26.761500000000002</v>
      </c>
      <c r="G3978" s="54">
        <f>IF(ISNUMBER(F3978),E3978*F3978,"")</f>
        <v>29.437650000000005</v>
      </c>
      <c r="H3978" s="39">
        <f>SUM(G3978:G3981)</f>
        <v>34.673032550000002</v>
      </c>
      <c r="I3978" s="40"/>
      <c r="J3978" s="155">
        <v>0</v>
      </c>
    </row>
    <row r="3979" spans="1:10" ht="25.5" hidden="1" x14ac:dyDescent="0.25">
      <c r="A3979" s="173"/>
      <c r="B3979" s="175"/>
      <c r="C3979" s="36" t="s">
        <v>3599</v>
      </c>
      <c r="D3979" s="47" t="s">
        <v>953</v>
      </c>
      <c r="E3979" s="37">
        <v>2.3E-3</v>
      </c>
      <c r="F3979" s="54">
        <v>18.838499999999996</v>
      </c>
      <c r="G3979" s="54">
        <f>IF(ISNUMBER(F3979),E3979*F3979,"")</f>
        <v>4.3328549999999993E-2</v>
      </c>
      <c r="H3979" s="73"/>
      <c r="I3979" s="74"/>
      <c r="J3979" s="155">
        <v>0</v>
      </c>
    </row>
    <row r="3980" spans="1:10" hidden="1" x14ac:dyDescent="0.25">
      <c r="A3980" s="173"/>
      <c r="B3980" s="175"/>
      <c r="C3980" s="36" t="s">
        <v>1228</v>
      </c>
      <c r="D3980" s="36" t="s">
        <v>755</v>
      </c>
      <c r="E3980" s="37">
        <v>0.13100000000000001</v>
      </c>
      <c r="F3980" s="54">
        <v>17.366</v>
      </c>
      <c r="G3980" s="54">
        <f>IF(ISNUMBER(F3980),E3980*F3980,"")</f>
        <v>2.2749459999999999</v>
      </c>
      <c r="H3980" s="73"/>
      <c r="I3980" s="74"/>
      <c r="J3980" s="155">
        <v>0</v>
      </c>
    </row>
    <row r="3981" spans="1:10" hidden="1" x14ac:dyDescent="0.25">
      <c r="A3981" s="173"/>
      <c r="B3981" s="175"/>
      <c r="C3981" s="36" t="s">
        <v>1229</v>
      </c>
      <c r="D3981" s="36" t="s">
        <v>755</v>
      </c>
      <c r="E3981" s="37">
        <v>0.13100000000000001</v>
      </c>
      <c r="F3981" s="54">
        <v>22.268000000000001</v>
      </c>
      <c r="G3981" s="54">
        <f>IF(ISNUMBER(F3981),E3981*F3981,"")</f>
        <v>2.9171080000000003</v>
      </c>
      <c r="H3981" s="73"/>
      <c r="I3981" s="74"/>
      <c r="J3981" s="155">
        <v>0</v>
      </c>
    </row>
    <row r="3982" spans="1:10" ht="15.75" hidden="1" thickBot="1" x14ac:dyDescent="0.3">
      <c r="A3982" s="173"/>
      <c r="B3982" s="175"/>
      <c r="C3982" s="55"/>
      <c r="D3982" s="55"/>
      <c r="E3982" s="66"/>
      <c r="F3982" s="76" t="s">
        <v>568</v>
      </c>
      <c r="G3982" s="76" t="str">
        <f>IF(ISNUMBER(F3982),E3982*F3982,"")</f>
        <v/>
      </c>
      <c r="H3982" s="77"/>
      <c r="I3982" s="74"/>
      <c r="J3982" s="155">
        <v>0</v>
      </c>
    </row>
    <row r="3983" spans="1:10" ht="15.75" hidden="1" thickBot="1" x14ac:dyDescent="0.3">
      <c r="A3983" s="172" t="s">
        <v>1282</v>
      </c>
      <c r="B3983" s="174" t="str">
        <f>INDEX(Orçamentária!A:B,MATCH(Composições!A3983,Orçamentária!A:A,0),2)</f>
        <v>Técnico(a) em Edificações - Planejamento de Manutenção</v>
      </c>
      <c r="C3983" s="41"/>
      <c r="D3983" s="26" t="str">
        <f>TRIM(INDEX(Orçamentária!C:C,MATCH(Composições!A3983,Orçamentária!A:A,0),1))</f>
        <v>Profissional</v>
      </c>
      <c r="E3983" s="27"/>
      <c r="F3983" s="49" t="s">
        <v>568</v>
      </c>
      <c r="G3983" s="28" t="str">
        <f>IF(ISNUMBER(F3983),E3983*F3983,"")</f>
        <v/>
      </c>
      <c r="H3983" s="29"/>
      <c r="I3983" s="30"/>
      <c r="J3983" s="155">
        <v>0</v>
      </c>
    </row>
    <row r="3984" spans="1:10" hidden="1" x14ac:dyDescent="0.25">
      <c r="A3984" s="173"/>
      <c r="B3984" s="175"/>
      <c r="C3984" s="32"/>
      <c r="D3984" s="32"/>
      <c r="E3984" s="33"/>
      <c r="F3984" s="54" t="s">
        <v>568</v>
      </c>
      <c r="G3984" s="54" t="str">
        <f>IF(ISNUMBER(F3984),E3984*F3984,"")</f>
        <v/>
      </c>
      <c r="H3984" s="73"/>
      <c r="I3984" s="74"/>
      <c r="J3984" s="155">
        <v>0</v>
      </c>
    </row>
    <row r="3985" spans="1:10" hidden="1" x14ac:dyDescent="0.25">
      <c r="A3985" s="173"/>
      <c r="B3985" s="175"/>
      <c r="C3985" s="36" t="s">
        <v>1283</v>
      </c>
      <c r="D3985" s="47" t="s">
        <v>12</v>
      </c>
      <c r="E3985" s="37">
        <f>ROUND(1/(1+72.54%),2)</f>
        <v>0.57999999999999996</v>
      </c>
      <c r="F3985" s="54">
        <v>2972.3409999999999</v>
      </c>
      <c r="G3985" s="54">
        <f>IF(ISNUMBER(F3985),E3985*F3985,"")</f>
        <v>1723.9577799999997</v>
      </c>
      <c r="H3985" s="39">
        <f>SUM(G3985:G3985)</f>
        <v>1723.9577799999997</v>
      </c>
      <c r="I3985" s="40"/>
      <c r="J3985" s="155">
        <v>0</v>
      </c>
    </row>
    <row r="3986" spans="1:10" hidden="1" x14ac:dyDescent="0.25">
      <c r="A3986" s="173"/>
      <c r="B3986" s="175"/>
      <c r="C3986" s="36"/>
      <c r="D3986" s="47"/>
      <c r="E3986" s="37"/>
      <c r="F3986" s="54" t="s">
        <v>568</v>
      </c>
      <c r="G3986" s="54" t="str">
        <f>IF(ISNUMBER(F3986),E3986*F3986,"")</f>
        <v/>
      </c>
      <c r="H3986" s="73"/>
      <c r="I3986" s="74"/>
      <c r="J3986" s="155">
        <v>0</v>
      </c>
    </row>
    <row r="3987" spans="1:10" ht="25.5" hidden="1" x14ac:dyDescent="0.25">
      <c r="A3987" s="173"/>
      <c r="B3987" s="175"/>
      <c r="C3987" s="48" t="s">
        <v>834</v>
      </c>
      <c r="D3987" s="47"/>
      <c r="E3987" s="37"/>
      <c r="F3987" s="54" t="s">
        <v>568</v>
      </c>
      <c r="G3987" s="54" t="str">
        <f>IF(ISNUMBER(F3987),E3987*F3987,"")</f>
        <v/>
      </c>
      <c r="H3987" s="73"/>
      <c r="I3987" s="74"/>
      <c r="J3987" s="155">
        <v>0</v>
      </c>
    </row>
    <row r="3988" spans="1:10" ht="15.75" hidden="1" thickBot="1" x14ac:dyDescent="0.3">
      <c r="A3988" s="173"/>
      <c r="B3988" s="175"/>
      <c r="C3988" s="55"/>
      <c r="D3988" s="55"/>
      <c r="E3988" s="66"/>
      <c r="F3988" s="76" t="s">
        <v>568</v>
      </c>
      <c r="G3988" s="76" t="str">
        <f>IF(ISNUMBER(F3988),E3988*F3988,"")</f>
        <v/>
      </c>
      <c r="H3988" s="77"/>
      <c r="I3988" s="74"/>
      <c r="J3988" s="155">
        <v>0</v>
      </c>
    </row>
    <row r="3989" spans="1:10" ht="15.75" hidden="1" thickBot="1" x14ac:dyDescent="0.3">
      <c r="A3989" s="172" t="s">
        <v>1284</v>
      </c>
      <c r="B3989" s="174" t="str">
        <f>INDEX(Orçamentária!A:B,MATCH(Composições!A3989,Orçamentária!A:A,0),2)</f>
        <v>Projeto de Impermeabilização</v>
      </c>
      <c r="C3989" s="41"/>
      <c r="D3989" s="26" t="str">
        <f>TRIM(INDEX(Orçamentária!C:C,MATCH(Composições!A3989,Orçamentária!A:A,0),1))</f>
        <v>m2</v>
      </c>
      <c r="E3989" s="27"/>
      <c r="F3989" s="49" t="s">
        <v>568</v>
      </c>
      <c r="G3989" s="28" t="str">
        <f>IF(ISNUMBER(F3989),E3989*F3989,"")</f>
        <v/>
      </c>
      <c r="H3989" s="29"/>
      <c r="I3989" s="30"/>
      <c r="J3989" s="155">
        <v>0</v>
      </c>
    </row>
    <row r="3990" spans="1:10" hidden="1" x14ac:dyDescent="0.25">
      <c r="A3990" s="173"/>
      <c r="B3990" s="175"/>
      <c r="C3990" s="32"/>
      <c r="D3990" s="32"/>
      <c r="E3990" s="33"/>
      <c r="F3990" s="54" t="s">
        <v>568</v>
      </c>
      <c r="G3990" s="54" t="str">
        <f>IF(ISNUMBER(F3990),E3990*F3990,"")</f>
        <v/>
      </c>
      <c r="H3990" s="73"/>
      <c r="I3990" s="74"/>
      <c r="J3990" s="155">
        <v>0</v>
      </c>
    </row>
    <row r="3991" spans="1:10" hidden="1" x14ac:dyDescent="0.25">
      <c r="A3991" s="173"/>
      <c r="B3991" s="175"/>
      <c r="C3991" s="36" t="s">
        <v>1285</v>
      </c>
      <c r="D3991" s="47" t="s">
        <v>12</v>
      </c>
      <c r="E3991" s="37">
        <f>ROUND(1/10,4)</f>
        <v>0.1</v>
      </c>
      <c r="F3991" s="54">
        <v>100.6525</v>
      </c>
      <c r="G3991" s="54">
        <f>IF(ISNUMBER(F3991),E3991*F3991,"")</f>
        <v>10.065250000000001</v>
      </c>
      <c r="H3991" s="39">
        <f>SUM(G3991:G3991)</f>
        <v>10.065250000000001</v>
      </c>
      <c r="I3991" s="40"/>
      <c r="J3991" s="155">
        <v>0</v>
      </c>
    </row>
    <row r="3992" spans="1:10" hidden="1" x14ac:dyDescent="0.25">
      <c r="A3992" s="173"/>
      <c r="B3992" s="175"/>
      <c r="C3992" s="36"/>
      <c r="D3992" s="47"/>
      <c r="E3992" s="37"/>
      <c r="F3992" s="54" t="s">
        <v>568</v>
      </c>
      <c r="G3992" s="54" t="str">
        <f>IF(ISNUMBER(F3992),E3992*F3992,"")</f>
        <v/>
      </c>
      <c r="H3992" s="73"/>
      <c r="I3992" s="74"/>
      <c r="J3992" s="155">
        <v>0</v>
      </c>
    </row>
    <row r="3993" spans="1:10" ht="15.75" hidden="1" thickBot="1" x14ac:dyDescent="0.3">
      <c r="A3993" s="172" t="s">
        <v>1286</v>
      </c>
      <c r="B3993" s="174" t="str">
        <f>INDEX(Orçamentária!A:B,MATCH(Composições!A3993,Orçamentária!A:A,0),2)</f>
        <v>Laminado decorativo de alta pressão (LDAP)</v>
      </c>
      <c r="C3993" s="41"/>
      <c r="D3993" s="26" t="str">
        <f>TRIM(INDEX(Orçamentária!C:C,MATCH(Composições!A3993,Orçamentária!A:A,0),1))</f>
        <v>m2</v>
      </c>
      <c r="E3993" s="27"/>
      <c r="F3993" s="49" t="s">
        <v>568</v>
      </c>
      <c r="G3993" s="28" t="str">
        <f>IF(ISNUMBER(F3993),E3993*F3993,"")</f>
        <v/>
      </c>
      <c r="H3993" s="29"/>
      <c r="I3993" s="30"/>
      <c r="J3993" s="155">
        <v>0</v>
      </c>
    </row>
    <row r="3994" spans="1:10" hidden="1" x14ac:dyDescent="0.25">
      <c r="A3994" s="173"/>
      <c r="B3994" s="175"/>
      <c r="C3994" s="32"/>
      <c r="D3994" s="32"/>
      <c r="E3994" s="33"/>
      <c r="F3994" s="54" t="s">
        <v>568</v>
      </c>
      <c r="G3994" s="54" t="str">
        <f>IF(ISNUMBER(F3994),E3994*F3994,"")</f>
        <v/>
      </c>
      <c r="H3994" s="73"/>
      <c r="I3994" s="74"/>
      <c r="J3994" s="155">
        <v>0</v>
      </c>
    </row>
    <row r="3995" spans="1:10" hidden="1" x14ac:dyDescent="0.25">
      <c r="A3995" s="173"/>
      <c r="B3995" s="175"/>
      <c r="C3995" s="36" t="s">
        <v>23</v>
      </c>
      <c r="D3995" s="47" t="s">
        <v>12</v>
      </c>
      <c r="E3995" s="37">
        <v>0.18</v>
      </c>
      <c r="F3995" s="54">
        <v>16.311500000000002</v>
      </c>
      <c r="G3995" s="54">
        <f>IF(ISNUMBER(F3995),E3995*F3995,"")</f>
        <v>2.9360700000000004</v>
      </c>
      <c r="H3995" s="39">
        <f>SUM(G3995:G3998)</f>
        <v>38.013300000000001</v>
      </c>
      <c r="I3995" s="40"/>
      <c r="J3995" s="155">
        <v>0</v>
      </c>
    </row>
    <row r="3996" spans="1:10" hidden="1" x14ac:dyDescent="0.25">
      <c r="A3996" s="173"/>
      <c r="B3996" s="175"/>
      <c r="C3996" s="36" t="s">
        <v>1287</v>
      </c>
      <c r="D3996" s="47" t="s">
        <v>12</v>
      </c>
      <c r="E3996" s="37">
        <v>0.18</v>
      </c>
      <c r="F3996" s="54">
        <v>25.535999999999998</v>
      </c>
      <c r="G3996" s="54">
        <f>IF(ISNUMBER(F3996),E3996*F3996,"")</f>
        <v>4.5964799999999997</v>
      </c>
      <c r="H3996" s="73"/>
      <c r="I3996" s="74"/>
      <c r="J3996" s="155">
        <v>0</v>
      </c>
    </row>
    <row r="3997" spans="1:10" hidden="1" x14ac:dyDescent="0.25">
      <c r="A3997" s="173"/>
      <c r="B3997" s="175"/>
      <c r="C3997" s="36" t="s">
        <v>247</v>
      </c>
      <c r="D3997" s="36" t="s">
        <v>42</v>
      </c>
      <c r="E3997" s="37">
        <v>0.9</v>
      </c>
      <c r="F3997" s="54">
        <v>33.8675</v>
      </c>
      <c r="G3997" s="54">
        <f>IF(ISNUMBER(F3997),E3997*F3997,"")</f>
        <v>30.48075</v>
      </c>
      <c r="H3997" s="73"/>
      <c r="I3997" s="74"/>
      <c r="J3997" s="155">
        <v>0</v>
      </c>
    </row>
    <row r="3998" spans="1:10" hidden="1" x14ac:dyDescent="0.25">
      <c r="A3998" s="173"/>
      <c r="B3998" s="175"/>
      <c r="C3998" s="36" t="s">
        <v>1288</v>
      </c>
      <c r="D3998" s="36" t="s">
        <v>95</v>
      </c>
      <c r="E3998" s="37">
        <v>1.05</v>
      </c>
      <c r="F3998" s="54">
        <v>0</v>
      </c>
      <c r="G3998" s="54">
        <f>IF(ISNUMBER(F3998),E3998*F3998,"")</f>
        <v>0</v>
      </c>
      <c r="H3998" s="73"/>
      <c r="I3998" s="74"/>
      <c r="J3998" s="155">
        <v>0</v>
      </c>
    </row>
    <row r="3999" spans="1:10" ht="15.75" hidden="1" thickBot="1" x14ac:dyDescent="0.3">
      <c r="A3999" s="173"/>
      <c r="B3999" s="175"/>
      <c r="C3999" s="55"/>
      <c r="D3999" s="55"/>
      <c r="E3999" s="66"/>
      <c r="F3999" s="76" t="s">
        <v>568</v>
      </c>
      <c r="G3999" s="76" t="str">
        <f>IF(ISNUMBER(F3999),E3999*F3999,"")</f>
        <v/>
      </c>
      <c r="H3999" s="77"/>
      <c r="I3999" s="74"/>
      <c r="J3999" s="155">
        <v>0</v>
      </c>
    </row>
    <row r="4000" spans="1:10" ht="15.75" hidden="1" thickBot="1" x14ac:dyDescent="0.3">
      <c r="A4000" s="172" t="s">
        <v>1289</v>
      </c>
      <c r="B4000" s="174" t="str">
        <f>INDEX(Orçamentária!A:B,MATCH(Composições!A4000,Orçamentária!A:A,0),2)</f>
        <v>Granito Preto Absoluto para revestimento de superfícies internas e externas - Linha Administrativa</v>
      </c>
      <c r="C4000" s="41"/>
      <c r="D4000" s="26" t="str">
        <f>TRIM(INDEX(Orçamentária!C:C,MATCH(Composições!A4000,Orçamentária!A:A,0),1))</f>
        <v>m2</v>
      </c>
      <c r="E4000" s="27"/>
      <c r="F4000" s="42" t="s">
        <v>568</v>
      </c>
      <c r="G4000" s="28" t="str">
        <f>IF(ISNUMBER(F4000),E4000*F4000,"")</f>
        <v/>
      </c>
      <c r="H4000" s="29"/>
      <c r="I4000" s="30"/>
      <c r="J4000" s="155">
        <v>0</v>
      </c>
    </row>
    <row r="4001" spans="1:10" hidden="1" x14ac:dyDescent="0.25">
      <c r="A4001" s="176"/>
      <c r="B4001" s="175"/>
      <c r="C4001" s="32"/>
      <c r="D4001" s="32"/>
      <c r="E4001" s="33"/>
      <c r="F4001" s="43" t="s">
        <v>568</v>
      </c>
      <c r="G4001" s="31" t="str">
        <f>IF(ISNUMBER(F4001),E4001*F4001,"")</f>
        <v/>
      </c>
      <c r="H4001" s="35"/>
      <c r="I4001" s="31"/>
      <c r="J4001" s="155">
        <v>0</v>
      </c>
    </row>
    <row r="4002" spans="1:10" hidden="1" x14ac:dyDescent="0.25">
      <c r="A4002" s="176"/>
      <c r="B4002" s="175"/>
      <c r="C4002" s="36" t="s">
        <v>3613</v>
      </c>
      <c r="D4002" s="36" t="s">
        <v>42</v>
      </c>
      <c r="E4002" s="37">
        <v>8.6199999999999992</v>
      </c>
      <c r="F4002" s="34">
        <v>1.3109999999999999</v>
      </c>
      <c r="G4002" s="34">
        <f>IF(ISNUMBER(F4002),E4002*F4002,"")</f>
        <v>11.300819999999998</v>
      </c>
      <c r="H4002" s="39">
        <f>SUM(G4002:G4006)</f>
        <v>43.224525</v>
      </c>
      <c r="I4002" s="40"/>
      <c r="J4002" s="155">
        <v>0</v>
      </c>
    </row>
    <row r="4003" spans="1:10" hidden="1" x14ac:dyDescent="0.25">
      <c r="A4003" s="176"/>
      <c r="B4003" s="175"/>
      <c r="C4003" s="36" t="s">
        <v>54</v>
      </c>
      <c r="D4003" s="36" t="s">
        <v>12</v>
      </c>
      <c r="E4003" s="37">
        <v>1.1879999999999999</v>
      </c>
      <c r="F4003" s="31">
        <v>18.420500000000001</v>
      </c>
      <c r="G4003" s="34">
        <f>IF(ISNUMBER(F4003),E4003*F4003,"")</f>
        <v>21.883554</v>
      </c>
      <c r="H4003" s="35"/>
      <c r="I4003" s="31"/>
      <c r="J4003" s="155">
        <v>0</v>
      </c>
    </row>
    <row r="4004" spans="1:10" hidden="1" x14ac:dyDescent="0.25">
      <c r="A4004" s="176"/>
      <c r="B4004" s="175"/>
      <c r="C4004" s="36" t="s">
        <v>23</v>
      </c>
      <c r="D4004" s="36" t="s">
        <v>12</v>
      </c>
      <c r="E4004" s="37">
        <v>0.59399999999999997</v>
      </c>
      <c r="F4004" s="31">
        <v>16.311500000000002</v>
      </c>
      <c r="G4004" s="34">
        <f>IF(ISNUMBER(F4004),E4004*F4004,"")</f>
        <v>9.6890310000000017</v>
      </c>
      <c r="H4004" s="35"/>
      <c r="I4004" s="31"/>
      <c r="J4004" s="155">
        <v>0</v>
      </c>
    </row>
    <row r="4005" spans="1:10" hidden="1" x14ac:dyDescent="0.25">
      <c r="A4005" s="176"/>
      <c r="B4005" s="175"/>
      <c r="C4005" s="36" t="s">
        <v>3612</v>
      </c>
      <c r="D4005" s="36" t="s">
        <v>42</v>
      </c>
      <c r="E4005" s="37">
        <v>0.14000000000000001</v>
      </c>
      <c r="F4005" s="34">
        <v>2.508</v>
      </c>
      <c r="G4005" s="34">
        <f>IF(ISNUMBER(F4005),E4005*F4005,"")</f>
        <v>0.35112000000000004</v>
      </c>
      <c r="H4005" s="35"/>
      <c r="I4005" s="31"/>
      <c r="J4005" s="155">
        <v>0</v>
      </c>
    </row>
    <row r="4006" spans="1:10" hidden="1" x14ac:dyDescent="0.25">
      <c r="A4006" s="176"/>
      <c r="B4006" s="175"/>
      <c r="C4006" s="36" t="s">
        <v>1290</v>
      </c>
      <c r="D4006" s="36" t="s">
        <v>95</v>
      </c>
      <c r="E4006" s="37">
        <v>1.1599999999999999</v>
      </c>
      <c r="F4006" s="34" t="s">
        <v>568</v>
      </c>
      <c r="G4006" s="54" t="str">
        <f>IF(ISNUMBER(F4006),E4006*F4006,"")</f>
        <v/>
      </c>
      <c r="H4006" s="35"/>
      <c r="I4006" s="31"/>
      <c r="J4006" s="155">
        <v>0</v>
      </c>
    </row>
    <row r="4007" spans="1:10" ht="15.75" hidden="1" thickBot="1" x14ac:dyDescent="0.3">
      <c r="A4007" s="177"/>
      <c r="B4007" s="178"/>
      <c r="C4007" s="36"/>
      <c r="D4007" s="36"/>
      <c r="E4007" s="37"/>
      <c r="F4007" s="31" t="s">
        <v>568</v>
      </c>
      <c r="G4007" s="31" t="str">
        <f>IF(ISNUMBER(F4007),E4007*F4007,"")</f>
        <v/>
      </c>
      <c r="H4007" s="35"/>
      <c r="I4007" s="31"/>
      <c r="J4007" s="155">
        <v>0</v>
      </c>
    </row>
    <row r="4008" spans="1:10" ht="15.75" hidden="1" thickBot="1" x14ac:dyDescent="0.3">
      <c r="A4008" s="172" t="s">
        <v>1291</v>
      </c>
      <c r="B4008" s="174" t="str">
        <f>INDEX(Orçamentária!A:B,MATCH(Composições!A4008,Orçamentária!A:A,0),2)</f>
        <v>Granito Arabesco para revestimento de superfícies internas e externas - Linha Administrativa</v>
      </c>
      <c r="C4008" s="41"/>
      <c r="D4008" s="26" t="str">
        <f>TRIM(INDEX(Orçamentária!C:C,MATCH(Composições!A4008,Orçamentária!A:A,0),1))</f>
        <v>m2</v>
      </c>
      <c r="E4008" s="27"/>
      <c r="F4008" s="42" t="s">
        <v>568</v>
      </c>
      <c r="G4008" s="28" t="str">
        <f>IF(ISNUMBER(F4008),E4008*F4008,"")</f>
        <v/>
      </c>
      <c r="H4008" s="29"/>
      <c r="I4008" s="30"/>
      <c r="J4008" s="155">
        <v>0</v>
      </c>
    </row>
    <row r="4009" spans="1:10" hidden="1" x14ac:dyDescent="0.25">
      <c r="A4009" s="176"/>
      <c r="B4009" s="175"/>
      <c r="C4009" s="32"/>
      <c r="D4009" s="32"/>
      <c r="E4009" s="33"/>
      <c r="F4009" s="43" t="s">
        <v>568</v>
      </c>
      <c r="G4009" s="31" t="str">
        <f>IF(ISNUMBER(F4009),E4009*F4009,"")</f>
        <v/>
      </c>
      <c r="H4009" s="35"/>
      <c r="I4009" s="31"/>
      <c r="J4009" s="155">
        <v>0</v>
      </c>
    </row>
    <row r="4010" spans="1:10" hidden="1" x14ac:dyDescent="0.25">
      <c r="A4010" s="176"/>
      <c r="B4010" s="175"/>
      <c r="C4010" s="36" t="s">
        <v>3613</v>
      </c>
      <c r="D4010" s="36" t="s">
        <v>42</v>
      </c>
      <c r="E4010" s="37">
        <v>8.6199999999999992</v>
      </c>
      <c r="F4010" s="34">
        <v>1.3109999999999999</v>
      </c>
      <c r="G4010" s="34">
        <f>IF(ISNUMBER(F4010),E4010*F4010,"")</f>
        <v>11.300819999999998</v>
      </c>
      <c r="H4010" s="39">
        <f>SUM(G4010:G4014)</f>
        <v>43.224525</v>
      </c>
      <c r="I4010" s="40"/>
      <c r="J4010" s="155">
        <v>0</v>
      </c>
    </row>
    <row r="4011" spans="1:10" hidden="1" x14ac:dyDescent="0.25">
      <c r="A4011" s="176"/>
      <c r="B4011" s="175"/>
      <c r="C4011" s="36" t="s">
        <v>54</v>
      </c>
      <c r="D4011" s="36" t="s">
        <v>12</v>
      </c>
      <c r="E4011" s="37">
        <v>1.1879999999999999</v>
      </c>
      <c r="F4011" s="31">
        <v>18.420500000000001</v>
      </c>
      <c r="G4011" s="34">
        <f>IF(ISNUMBER(F4011),E4011*F4011,"")</f>
        <v>21.883554</v>
      </c>
      <c r="H4011" s="35"/>
      <c r="I4011" s="31"/>
      <c r="J4011" s="155">
        <v>0</v>
      </c>
    </row>
    <row r="4012" spans="1:10" hidden="1" x14ac:dyDescent="0.25">
      <c r="A4012" s="176"/>
      <c r="B4012" s="175"/>
      <c r="C4012" s="36" t="s">
        <v>23</v>
      </c>
      <c r="D4012" s="36" t="s">
        <v>12</v>
      </c>
      <c r="E4012" s="37">
        <v>0.59399999999999997</v>
      </c>
      <c r="F4012" s="31">
        <v>16.311500000000002</v>
      </c>
      <c r="G4012" s="34">
        <f>IF(ISNUMBER(F4012),E4012*F4012,"")</f>
        <v>9.6890310000000017</v>
      </c>
      <c r="H4012" s="35"/>
      <c r="I4012" s="31"/>
      <c r="J4012" s="155">
        <v>0</v>
      </c>
    </row>
    <row r="4013" spans="1:10" hidden="1" x14ac:dyDescent="0.25">
      <c r="A4013" s="176"/>
      <c r="B4013" s="175"/>
      <c r="C4013" s="36" t="s">
        <v>3612</v>
      </c>
      <c r="D4013" s="36" t="s">
        <v>42</v>
      </c>
      <c r="E4013" s="37">
        <v>0.14000000000000001</v>
      </c>
      <c r="F4013" s="34">
        <v>2.508</v>
      </c>
      <c r="G4013" s="34">
        <f>IF(ISNUMBER(F4013),E4013*F4013,"")</f>
        <v>0.35112000000000004</v>
      </c>
      <c r="H4013" s="35"/>
      <c r="I4013" s="31"/>
      <c r="J4013" s="155">
        <v>0</v>
      </c>
    </row>
    <row r="4014" spans="1:10" hidden="1" x14ac:dyDescent="0.25">
      <c r="A4014" s="176"/>
      <c r="B4014" s="175"/>
      <c r="C4014" s="36" t="s">
        <v>1292</v>
      </c>
      <c r="D4014" s="36" t="s">
        <v>95</v>
      </c>
      <c r="E4014" s="37">
        <v>1.1599999999999999</v>
      </c>
      <c r="F4014" s="34" t="s">
        <v>568</v>
      </c>
      <c r="G4014" s="54" t="str">
        <f>IF(ISNUMBER(F4014),E4014*F4014,"")</f>
        <v/>
      </c>
      <c r="H4014" s="35"/>
      <c r="I4014" s="31"/>
      <c r="J4014" s="155">
        <v>0</v>
      </c>
    </row>
    <row r="4015" spans="1:10" ht="15.75" hidden="1" thickBot="1" x14ac:dyDescent="0.3">
      <c r="A4015" s="177"/>
      <c r="B4015" s="178"/>
      <c r="C4015" s="36"/>
      <c r="D4015" s="36"/>
      <c r="E4015" s="37"/>
      <c r="F4015" s="31" t="s">
        <v>568</v>
      </c>
      <c r="G4015" s="31" t="str">
        <f>IF(ISNUMBER(F4015),E4015*F4015,"")</f>
        <v/>
      </c>
      <c r="H4015" s="35"/>
      <c r="I4015" s="31"/>
      <c r="J4015" s="155">
        <v>0</v>
      </c>
    </row>
    <row r="4016" spans="1:10" ht="15.75" hidden="1" thickBot="1" x14ac:dyDescent="0.3">
      <c r="A4016" s="172" t="s">
        <v>1293</v>
      </c>
      <c r="B4016" s="174" t="str">
        <f>INDEX(Orçamentária!A:B,MATCH(Composições!A4016,Orçamentária!A:A,0),2)</f>
        <v>Porcelanato para revestimento de superfícies internas e externas - Linha Residencial</v>
      </c>
      <c r="C4016" s="41"/>
      <c r="D4016" s="26" t="str">
        <f>TRIM(INDEX(Orçamentária!C:C,MATCH(Composições!A4016,Orçamentária!A:A,0),1))</f>
        <v>m2</v>
      </c>
      <c r="E4016" s="27"/>
      <c r="F4016" s="49" t="s">
        <v>568</v>
      </c>
      <c r="G4016" s="28" t="str">
        <f>IF(ISNUMBER(F4016),E4016*F4016,"")</f>
        <v/>
      </c>
      <c r="H4016" s="29"/>
      <c r="I4016" s="30"/>
      <c r="J4016" s="155">
        <v>0</v>
      </c>
    </row>
    <row r="4017" spans="1:10" hidden="1" x14ac:dyDescent="0.25">
      <c r="A4017" s="173"/>
      <c r="B4017" s="175"/>
      <c r="C4017" s="32"/>
      <c r="D4017" s="32"/>
      <c r="E4017" s="33"/>
      <c r="F4017" s="54" t="s">
        <v>568</v>
      </c>
      <c r="G4017" s="54" t="str">
        <f>IF(ISNUMBER(F4017),E4017*F4017,"")</f>
        <v/>
      </c>
      <c r="H4017" s="73"/>
      <c r="I4017" s="74"/>
      <c r="J4017" s="155">
        <v>0</v>
      </c>
    </row>
    <row r="4018" spans="1:10" ht="25.5" hidden="1" x14ac:dyDescent="0.25">
      <c r="A4018" s="173"/>
      <c r="B4018" s="175"/>
      <c r="C4018" s="36" t="s">
        <v>1294</v>
      </c>
      <c r="D4018" s="36" t="s">
        <v>1049</v>
      </c>
      <c r="E4018" s="37">
        <v>1.07</v>
      </c>
      <c r="F4018" s="54">
        <v>58.358499999999999</v>
      </c>
      <c r="G4018" s="54">
        <f>IF(ISNUMBER(F4018),E4018*F4018,"")</f>
        <v>62.443595000000002</v>
      </c>
      <c r="H4018" s="39">
        <f>SUM(G4018:G4022)</f>
        <v>91.851224999999999</v>
      </c>
      <c r="I4018" s="40"/>
      <c r="J4018" s="155">
        <v>0</v>
      </c>
    </row>
    <row r="4019" spans="1:10" hidden="1" x14ac:dyDescent="0.25">
      <c r="A4019" s="173"/>
      <c r="B4019" s="175"/>
      <c r="C4019" s="36" t="s">
        <v>3612</v>
      </c>
      <c r="D4019" s="36" t="s">
        <v>953</v>
      </c>
      <c r="E4019" s="37">
        <v>0.24</v>
      </c>
      <c r="F4019" s="54">
        <v>2.508</v>
      </c>
      <c r="G4019" s="54">
        <f>IF(ISNUMBER(F4019),E4019*F4019,"")</f>
        <v>0.60192000000000001</v>
      </c>
      <c r="H4019" s="73"/>
      <c r="I4019" s="74"/>
      <c r="J4019" s="155">
        <v>0</v>
      </c>
    </row>
    <row r="4020" spans="1:10" hidden="1" x14ac:dyDescent="0.25">
      <c r="A4020" s="173"/>
      <c r="B4020" s="175"/>
      <c r="C4020" s="36" t="s">
        <v>3613</v>
      </c>
      <c r="D4020" s="36" t="s">
        <v>953</v>
      </c>
      <c r="E4020" s="37">
        <v>8.6199999999999992</v>
      </c>
      <c r="F4020" s="54">
        <v>1.3109999999999999</v>
      </c>
      <c r="G4020" s="54">
        <f>IF(ISNUMBER(F4020),E4020*F4020,"")</f>
        <v>11.300819999999998</v>
      </c>
      <c r="H4020" s="73"/>
      <c r="I4020" s="74"/>
      <c r="J4020" s="155">
        <v>0</v>
      </c>
    </row>
    <row r="4021" spans="1:10" hidden="1" x14ac:dyDescent="0.25">
      <c r="A4021" s="173"/>
      <c r="B4021" s="175"/>
      <c r="C4021" s="36" t="s">
        <v>1295</v>
      </c>
      <c r="D4021" s="36" t="s">
        <v>755</v>
      </c>
      <c r="E4021" s="37">
        <v>0.61</v>
      </c>
      <c r="F4021" s="54">
        <v>22.011500000000002</v>
      </c>
      <c r="G4021" s="54">
        <f>IF(ISNUMBER(F4021),E4021*F4021,"")</f>
        <v>13.427015000000001</v>
      </c>
      <c r="H4021" s="73"/>
      <c r="I4021" s="74"/>
      <c r="J4021" s="155">
        <v>0</v>
      </c>
    </row>
    <row r="4022" spans="1:10" hidden="1" x14ac:dyDescent="0.25">
      <c r="A4022" s="173"/>
      <c r="B4022" s="175"/>
      <c r="C4022" s="36" t="s">
        <v>756</v>
      </c>
      <c r="D4022" s="36" t="s">
        <v>755</v>
      </c>
      <c r="E4022" s="37">
        <v>0.25</v>
      </c>
      <c r="F4022" s="54">
        <v>16.311500000000002</v>
      </c>
      <c r="G4022" s="54">
        <f>IF(ISNUMBER(F4022),E4022*F4022,"")</f>
        <v>4.0778750000000006</v>
      </c>
      <c r="H4022" s="73"/>
      <c r="I4022" s="74"/>
      <c r="J4022" s="155">
        <v>0</v>
      </c>
    </row>
    <row r="4023" spans="1:10" hidden="1" x14ac:dyDescent="0.25">
      <c r="A4023" s="173"/>
      <c r="B4023" s="175"/>
      <c r="C4023" s="36"/>
      <c r="D4023" s="47"/>
      <c r="E4023" s="37"/>
      <c r="F4023" s="54" t="s">
        <v>568</v>
      </c>
      <c r="G4023" s="54" t="str">
        <f>IF(ISNUMBER(F4023),E4023*F4023,"")</f>
        <v/>
      </c>
      <c r="H4023" s="73"/>
      <c r="I4023" s="74"/>
      <c r="J4023" s="155">
        <v>0</v>
      </c>
    </row>
    <row r="4024" spans="1:10" ht="15.75" hidden="1" thickBot="1" x14ac:dyDescent="0.3">
      <c r="A4024" s="172" t="s">
        <v>1296</v>
      </c>
      <c r="B4024" s="174" t="str">
        <f>INDEX(Orçamentária!A:B,MATCH(Composições!A4024,Orçamentária!A:A,0),2)</f>
        <v>Granitina para revestimento de pisos</v>
      </c>
      <c r="C4024" s="41"/>
      <c r="D4024" s="26" t="str">
        <f>TRIM(INDEX(Orçamentária!C:C,MATCH(Composições!A4024,Orçamentária!A:A,0),1))</f>
        <v>m2</v>
      </c>
      <c r="E4024" s="27"/>
      <c r="F4024" s="49" t="s">
        <v>568</v>
      </c>
      <c r="G4024" s="28" t="str">
        <f>IF(ISNUMBER(F4024),E4024*F4024,"")</f>
        <v/>
      </c>
      <c r="H4024" s="29"/>
      <c r="I4024" s="30"/>
      <c r="J4024" s="155">
        <v>0</v>
      </c>
    </row>
    <row r="4025" spans="1:10" hidden="1" x14ac:dyDescent="0.25">
      <c r="A4025" s="173"/>
      <c r="B4025" s="175"/>
      <c r="C4025" s="32"/>
      <c r="D4025" s="32"/>
      <c r="E4025" s="33"/>
      <c r="F4025" s="54" t="s">
        <v>568</v>
      </c>
      <c r="G4025" s="54" t="str">
        <f>IF(ISNUMBER(F4025),E4025*F4025,"")</f>
        <v/>
      </c>
      <c r="H4025" s="73"/>
      <c r="I4025" s="74"/>
      <c r="J4025" s="155">
        <v>0</v>
      </c>
    </row>
    <row r="4026" spans="1:10" ht="25.5" hidden="1" x14ac:dyDescent="0.25">
      <c r="A4026" s="173"/>
      <c r="B4026" s="175"/>
      <c r="C4026" s="36" t="s">
        <v>1297</v>
      </c>
      <c r="D4026" s="36" t="s">
        <v>523</v>
      </c>
      <c r="E4026" s="37">
        <v>1.67</v>
      </c>
      <c r="F4026" s="54">
        <v>1.026</v>
      </c>
      <c r="G4026" s="54">
        <f>IF(ISNUMBER(F4026),E4026*F4026,"")</f>
        <v>1.7134199999999999</v>
      </c>
      <c r="H4026" s="39">
        <f>SUM(G4026:G4032)</f>
        <v>36.249486467477404</v>
      </c>
      <c r="I4026" s="40"/>
      <c r="J4026" s="155">
        <v>0</v>
      </c>
    </row>
    <row r="4027" spans="1:10" ht="25.5" hidden="1" x14ac:dyDescent="0.25">
      <c r="A4027" s="173"/>
      <c r="B4027" s="175"/>
      <c r="C4027" s="36" t="s">
        <v>3454</v>
      </c>
      <c r="D4027" s="36" t="s">
        <v>953</v>
      </c>
      <c r="E4027" s="37">
        <v>23.24</v>
      </c>
      <c r="F4027" s="54">
        <v>0.36099999999999999</v>
      </c>
      <c r="G4027" s="54">
        <f>IF(ISNUMBER(F4027),E4027*F4027,"")</f>
        <v>8.38964</v>
      </c>
      <c r="H4027" s="73"/>
      <c r="I4027" s="74"/>
      <c r="J4027" s="155">
        <v>0</v>
      </c>
    </row>
    <row r="4028" spans="1:10" ht="38.25" hidden="1" x14ac:dyDescent="0.25">
      <c r="A4028" s="173"/>
      <c r="B4028" s="175"/>
      <c r="C4028" s="36" t="s">
        <v>3424</v>
      </c>
      <c r="D4028" s="36" t="s">
        <v>123</v>
      </c>
      <c r="E4028" s="37">
        <v>1.66E-2</v>
      </c>
      <c r="F4028" s="54">
        <v>544.57801008900003</v>
      </c>
      <c r="G4028" s="54">
        <f>IF(ISNUMBER(F4028),E4028*F4028,"")</f>
        <v>9.0399949674774014</v>
      </c>
      <c r="H4028" s="73"/>
      <c r="I4028" s="74"/>
      <c r="J4028" s="155">
        <v>0</v>
      </c>
    </row>
    <row r="4029" spans="1:10" hidden="1" x14ac:dyDescent="0.25">
      <c r="A4029" s="173"/>
      <c r="B4029" s="175"/>
      <c r="C4029" s="36" t="s">
        <v>764</v>
      </c>
      <c r="D4029" s="36" t="s">
        <v>755</v>
      </c>
      <c r="E4029" s="37">
        <v>0.55100000000000005</v>
      </c>
      <c r="F4029" s="54">
        <v>22.087499999999999</v>
      </c>
      <c r="G4029" s="54">
        <f>IF(ISNUMBER(F4029),E4029*F4029,"")</f>
        <v>12.1702125</v>
      </c>
      <c r="H4029" s="73"/>
      <c r="I4029" s="74"/>
      <c r="J4029" s="155">
        <v>0</v>
      </c>
    </row>
    <row r="4030" spans="1:10" hidden="1" x14ac:dyDescent="0.25">
      <c r="A4030" s="173"/>
      <c r="B4030" s="175"/>
      <c r="C4030" s="36" t="s">
        <v>756</v>
      </c>
      <c r="D4030" s="36" t="s">
        <v>755</v>
      </c>
      <c r="E4030" s="37">
        <v>0.27500000000000002</v>
      </c>
      <c r="F4030" s="54">
        <v>16.311500000000002</v>
      </c>
      <c r="G4030" s="54">
        <f>IF(ISNUMBER(F4030),E4030*F4030,"")</f>
        <v>4.485662500000001</v>
      </c>
      <c r="H4030" s="73"/>
      <c r="I4030" s="74"/>
      <c r="J4030" s="155">
        <v>0</v>
      </c>
    </row>
    <row r="4031" spans="1:10" ht="25.5" hidden="1" x14ac:dyDescent="0.25">
      <c r="A4031" s="173"/>
      <c r="B4031" s="175"/>
      <c r="C4031" s="36" t="s">
        <v>1176</v>
      </c>
      <c r="D4031" s="36" t="s">
        <v>997</v>
      </c>
      <c r="E4031" s="37">
        <v>0.123</v>
      </c>
      <c r="F4031" s="54">
        <v>2.1755</v>
      </c>
      <c r="G4031" s="54">
        <f>IF(ISNUMBER(F4031),E4031*F4031,"")</f>
        <v>0.2675865</v>
      </c>
      <c r="H4031" s="73"/>
      <c r="I4031" s="74"/>
      <c r="J4031" s="155">
        <v>0</v>
      </c>
    </row>
    <row r="4032" spans="1:10" ht="25.5" hidden="1" x14ac:dyDescent="0.25">
      <c r="A4032" s="173"/>
      <c r="B4032" s="175"/>
      <c r="C4032" s="36" t="s">
        <v>1177</v>
      </c>
      <c r="D4032" s="36" t="s">
        <v>999</v>
      </c>
      <c r="E4032" s="37">
        <v>0.42799999999999999</v>
      </c>
      <c r="F4032" s="54">
        <v>0.42749999999999999</v>
      </c>
      <c r="G4032" s="54">
        <f>IF(ISNUMBER(F4032),E4032*F4032,"")</f>
        <v>0.18296999999999999</v>
      </c>
      <c r="H4032" s="73"/>
      <c r="I4032" s="74"/>
      <c r="J4032" s="155">
        <v>0</v>
      </c>
    </row>
    <row r="4033" spans="1:10" hidden="1" x14ac:dyDescent="0.25">
      <c r="A4033" s="173"/>
      <c r="B4033" s="175"/>
      <c r="C4033" s="36"/>
      <c r="D4033" s="47"/>
      <c r="E4033" s="37"/>
      <c r="F4033" s="54" t="s">
        <v>568</v>
      </c>
      <c r="G4033" s="54" t="str">
        <f>IF(ISNUMBER(F4033),E4033*F4033,"")</f>
        <v/>
      </c>
      <c r="H4033" s="73"/>
      <c r="I4033" s="74"/>
      <c r="J4033" s="155">
        <v>0</v>
      </c>
    </row>
    <row r="4034" spans="1:10" ht="15.75" hidden="1" thickBot="1" x14ac:dyDescent="0.3">
      <c r="A4034" s="172" t="s">
        <v>1298</v>
      </c>
      <c r="B4034" s="174" t="str">
        <f>INDEX(Orçamentária!A:B,MATCH(Composições!A4034,Orçamentária!A:A,0),2)</f>
        <v>Piso vinílico flexível em manta</v>
      </c>
      <c r="C4034" s="41"/>
      <c r="D4034" s="26" t="str">
        <f>TRIM(INDEX(Orçamentária!C:C,MATCH(Composições!A4034,Orçamentária!A:A,0),1))</f>
        <v>m2</v>
      </c>
      <c r="E4034" s="27"/>
      <c r="F4034" s="49" t="s">
        <v>568</v>
      </c>
      <c r="G4034" s="28" t="str">
        <f>IF(ISNUMBER(F4034),E4034*F4034,"")</f>
        <v/>
      </c>
      <c r="H4034" s="29"/>
      <c r="I4034" s="30"/>
      <c r="J4034" s="155">
        <v>0</v>
      </c>
    </row>
    <row r="4035" spans="1:10" hidden="1" x14ac:dyDescent="0.25">
      <c r="A4035" s="173"/>
      <c r="B4035" s="175"/>
      <c r="C4035" s="32"/>
      <c r="D4035" s="32"/>
      <c r="E4035" s="33"/>
      <c r="F4035" s="54" t="s">
        <v>568</v>
      </c>
      <c r="G4035" s="54" t="str">
        <f>IF(ISNUMBER(F4035),E4035*F4035,"")</f>
        <v/>
      </c>
      <c r="H4035" s="73"/>
      <c r="I4035" s="74"/>
      <c r="J4035" s="155">
        <v>0</v>
      </c>
    </row>
    <row r="4036" spans="1:10" hidden="1" x14ac:dyDescent="0.25">
      <c r="A4036" s="173"/>
      <c r="B4036" s="175"/>
      <c r="C4036" s="36" t="s">
        <v>1299</v>
      </c>
      <c r="D4036" s="47" t="s">
        <v>95</v>
      </c>
      <c r="E4036" s="37">
        <v>1.05</v>
      </c>
      <c r="F4036" s="54" t="s">
        <v>568</v>
      </c>
      <c r="G4036" s="54" t="str">
        <f>IF(ISNUMBER(F4036),E4036*F4036,"")</f>
        <v/>
      </c>
      <c r="H4036" s="39">
        <f>SUM(G4036:G4039)</f>
        <v>14.677499999999998</v>
      </c>
      <c r="I4036" s="40"/>
      <c r="J4036" s="155">
        <v>0</v>
      </c>
    </row>
    <row r="4037" spans="1:10" hidden="1" x14ac:dyDescent="0.25">
      <c r="A4037" s="173"/>
      <c r="B4037" s="175"/>
      <c r="C4037" s="36" t="s">
        <v>303</v>
      </c>
      <c r="D4037" s="47" t="s">
        <v>42</v>
      </c>
      <c r="E4037" s="37">
        <v>0.35</v>
      </c>
      <c r="F4037" s="54">
        <v>25.478999999999999</v>
      </c>
      <c r="G4037" s="54">
        <f>IF(ISNUMBER(F4037),E4037*F4037,"")</f>
        <v>8.9176499999999983</v>
      </c>
      <c r="H4037" s="73"/>
      <c r="I4037" s="74"/>
      <c r="J4037" s="155">
        <v>0</v>
      </c>
    </row>
    <row r="4038" spans="1:10" hidden="1" x14ac:dyDescent="0.25">
      <c r="A4038" s="173"/>
      <c r="B4038" s="175"/>
      <c r="C4038" s="36" t="s">
        <v>22</v>
      </c>
      <c r="D4038" s="36" t="s">
        <v>12</v>
      </c>
      <c r="E4038" s="37">
        <v>0.15</v>
      </c>
      <c r="F4038" s="54">
        <v>22.087499999999999</v>
      </c>
      <c r="G4038" s="54">
        <f>IF(ISNUMBER(F4038),E4038*F4038,"")</f>
        <v>3.3131249999999999</v>
      </c>
      <c r="H4038" s="73"/>
      <c r="I4038" s="74"/>
      <c r="J4038" s="155">
        <v>0</v>
      </c>
    </row>
    <row r="4039" spans="1:10" hidden="1" x14ac:dyDescent="0.25">
      <c r="A4039" s="173"/>
      <c r="B4039" s="175"/>
      <c r="C4039" s="36" t="s">
        <v>23</v>
      </c>
      <c r="D4039" s="36" t="s">
        <v>12</v>
      </c>
      <c r="E4039" s="37">
        <v>0.15</v>
      </c>
      <c r="F4039" s="54">
        <v>16.311500000000002</v>
      </c>
      <c r="G4039" s="54">
        <f>IF(ISNUMBER(F4039),E4039*F4039,"")</f>
        <v>2.4467250000000003</v>
      </c>
      <c r="H4039" s="73"/>
      <c r="I4039" s="74"/>
      <c r="J4039" s="155">
        <v>0</v>
      </c>
    </row>
    <row r="4040" spans="1:10" ht="15.75" hidden="1" thickBot="1" x14ac:dyDescent="0.3">
      <c r="A4040" s="173"/>
      <c r="B4040" s="175"/>
      <c r="C4040" s="55"/>
      <c r="D4040" s="55"/>
      <c r="E4040" s="66"/>
      <c r="F4040" s="76" t="s">
        <v>568</v>
      </c>
      <c r="G4040" s="76" t="str">
        <f>IF(ISNUMBER(F4040),E4040*F4040,"")</f>
        <v/>
      </c>
      <c r="H4040" s="77"/>
      <c r="I4040" s="74"/>
      <c r="J4040" s="155">
        <v>0</v>
      </c>
    </row>
    <row r="4041" spans="1:10" ht="15.75" hidden="1" thickBot="1" x14ac:dyDescent="0.3">
      <c r="A4041" s="172" t="s">
        <v>1300</v>
      </c>
      <c r="B4041" s="174" t="str">
        <f>INDEX(Orçamentária!A:B,MATCH(Composições!A4041,Orçamentária!A:A,0),2)</f>
        <v>Tratamento de juntas de dilatação ou movimentação</v>
      </c>
      <c r="C4041" s="41"/>
      <c r="D4041" s="26" t="str">
        <f>TRIM(INDEX(Orçamentária!C:C,MATCH(Composições!A4041,Orçamentária!A:A,0),1))</f>
        <v>m</v>
      </c>
      <c r="E4041" s="27"/>
      <c r="F4041" s="49" t="s">
        <v>568</v>
      </c>
      <c r="G4041" s="28" t="str">
        <f>IF(ISNUMBER(F4041),E4041*F4041,"")</f>
        <v/>
      </c>
      <c r="H4041" s="29"/>
      <c r="I4041" s="30"/>
      <c r="J4041" s="155">
        <v>0</v>
      </c>
    </row>
    <row r="4042" spans="1:10" hidden="1" x14ac:dyDescent="0.25">
      <c r="A4042" s="173"/>
      <c r="B4042" s="175"/>
      <c r="C4042" s="32"/>
      <c r="D4042" s="32"/>
      <c r="E4042" s="33"/>
      <c r="F4042" s="54" t="s">
        <v>568</v>
      </c>
      <c r="G4042" s="54" t="str">
        <f>IF(ISNUMBER(F4042),E4042*F4042,"")</f>
        <v/>
      </c>
      <c r="H4042" s="73"/>
      <c r="I4042" s="74"/>
      <c r="J4042" s="155">
        <v>0</v>
      </c>
    </row>
    <row r="4043" spans="1:10" hidden="1" x14ac:dyDescent="0.25">
      <c r="A4043" s="173"/>
      <c r="B4043" s="175"/>
      <c r="C4043" s="36" t="s">
        <v>22</v>
      </c>
      <c r="D4043" s="36" t="s">
        <v>12</v>
      </c>
      <c r="E4043" s="37">
        <v>0.35</v>
      </c>
      <c r="F4043" s="54">
        <v>22.087499999999999</v>
      </c>
      <c r="G4043" s="54">
        <f>IF(ISNUMBER(F4043),E4043*F4043,"")</f>
        <v>7.730624999999999</v>
      </c>
      <c r="H4043" s="39">
        <f>SUM(G4043:G4047)</f>
        <v>52.225110000000001</v>
      </c>
      <c r="I4043" s="40"/>
      <c r="J4043" s="155">
        <v>0</v>
      </c>
    </row>
    <row r="4044" spans="1:10" hidden="1" x14ac:dyDescent="0.25">
      <c r="A4044" s="173"/>
      <c r="B4044" s="175"/>
      <c r="C4044" s="36" t="s">
        <v>23</v>
      </c>
      <c r="D4044" s="36" t="s">
        <v>12</v>
      </c>
      <c r="E4044" s="37">
        <v>0.35</v>
      </c>
      <c r="F4044" s="54">
        <v>16.311500000000002</v>
      </c>
      <c r="G4044" s="54">
        <f>IF(ISNUMBER(F4044),E4044*F4044,"")</f>
        <v>5.7090250000000005</v>
      </c>
      <c r="H4044" s="73"/>
      <c r="I4044" s="74"/>
      <c r="J4044" s="155">
        <v>0</v>
      </c>
    </row>
    <row r="4045" spans="1:10" ht="25.5" hidden="1" x14ac:dyDescent="0.25">
      <c r="A4045" s="173"/>
      <c r="B4045" s="175"/>
      <c r="C4045" s="36" t="s">
        <v>1301</v>
      </c>
      <c r="D4045" s="36" t="s">
        <v>104</v>
      </c>
      <c r="E4045" s="37">
        <v>0.2</v>
      </c>
      <c r="F4045" s="54">
        <v>127.27149999999999</v>
      </c>
      <c r="G4045" s="54">
        <f>IF(ISNUMBER(F4045),E4045*F4045,"")</f>
        <v>25.4543</v>
      </c>
      <c r="H4045" s="73"/>
      <c r="I4045" s="74"/>
      <c r="J4045" s="155">
        <v>0</v>
      </c>
    </row>
    <row r="4046" spans="1:10" hidden="1" x14ac:dyDescent="0.25">
      <c r="A4046" s="173"/>
      <c r="B4046" s="175"/>
      <c r="C4046" s="36" t="s">
        <v>1119</v>
      </c>
      <c r="D4046" s="36" t="s">
        <v>93</v>
      </c>
      <c r="E4046" s="37">
        <v>1</v>
      </c>
      <c r="F4046" s="54">
        <v>0</v>
      </c>
      <c r="G4046" s="54">
        <f>IF(ISNUMBER(F4046),E4046*F4046,"")</f>
        <v>0</v>
      </c>
      <c r="H4046" s="73"/>
      <c r="I4046" s="74"/>
      <c r="J4046" s="155">
        <v>0</v>
      </c>
    </row>
    <row r="4047" spans="1:10" ht="25.5" hidden="1" x14ac:dyDescent="0.25">
      <c r="A4047" s="173"/>
      <c r="B4047" s="175"/>
      <c r="C4047" s="36" t="s">
        <v>829</v>
      </c>
      <c r="D4047" s="36" t="s">
        <v>42</v>
      </c>
      <c r="E4047" s="37">
        <f>1.8*1*(0.01+0.01)*10</f>
        <v>0.36000000000000004</v>
      </c>
      <c r="F4047" s="54">
        <v>37.030999999999999</v>
      </c>
      <c r="G4047" s="54">
        <f>IF(ISNUMBER(F4047),E4047*F4047,"")</f>
        <v>13.331160000000001</v>
      </c>
      <c r="H4047" s="73"/>
      <c r="I4047" s="74"/>
      <c r="J4047" s="155">
        <v>0</v>
      </c>
    </row>
    <row r="4048" spans="1:10" hidden="1" x14ac:dyDescent="0.25">
      <c r="A4048" s="173"/>
      <c r="B4048" s="175"/>
      <c r="C4048" s="36"/>
      <c r="D4048" s="36"/>
      <c r="E4048" s="37"/>
      <c r="F4048" s="54"/>
      <c r="G4048" s="54"/>
      <c r="H4048" s="73"/>
      <c r="I4048" s="74"/>
      <c r="J4048" s="155">
        <v>0</v>
      </c>
    </row>
    <row r="4049" spans="1:10" hidden="1" x14ac:dyDescent="0.25">
      <c r="A4049" s="173"/>
      <c r="B4049" s="175"/>
      <c r="C4049" s="48" t="s">
        <v>3623</v>
      </c>
      <c r="D4049" s="36"/>
      <c r="E4049" s="37"/>
      <c r="F4049" s="54"/>
      <c r="G4049" s="54"/>
      <c r="H4049" s="73"/>
      <c r="I4049" s="74"/>
      <c r="J4049" s="155">
        <v>0</v>
      </c>
    </row>
    <row r="4050" spans="1:10" hidden="1" x14ac:dyDescent="0.25">
      <c r="A4050" s="173"/>
      <c r="B4050" s="175"/>
      <c r="C4050" s="48" t="s">
        <v>3624</v>
      </c>
      <c r="D4050" s="36"/>
      <c r="E4050" s="37"/>
      <c r="F4050" s="54"/>
      <c r="G4050" s="54"/>
      <c r="H4050" s="73"/>
      <c r="I4050" s="74"/>
      <c r="J4050" s="155">
        <v>0</v>
      </c>
    </row>
    <row r="4051" spans="1:10" ht="15.75" hidden="1" thickBot="1" x14ac:dyDescent="0.3">
      <c r="A4051" s="185"/>
      <c r="B4051" s="178"/>
      <c r="C4051" s="55"/>
      <c r="D4051" s="55"/>
      <c r="E4051" s="66"/>
      <c r="F4051" s="76" t="s">
        <v>568</v>
      </c>
      <c r="G4051" s="76" t="str">
        <f>IF(ISNUMBER(F4051),E4051*F4051,"")</f>
        <v/>
      </c>
      <c r="H4051" s="77"/>
      <c r="I4051" s="74"/>
      <c r="J4051" s="155">
        <v>0</v>
      </c>
    </row>
    <row r="4052" spans="1:10" ht="15.75" hidden="1" thickBot="1" x14ac:dyDescent="0.3">
      <c r="A4052" s="172" t="s">
        <v>1302</v>
      </c>
      <c r="B4052" s="174" t="str">
        <f>INDEX(Orçamentária!A:B,MATCH(Composições!A4052,Orçamentária!A:A,0),2)</f>
        <v>Recuperação superficial de preparação para pintura epóxi de alto desempenho</v>
      </c>
      <c r="C4052" s="41"/>
      <c r="D4052" s="26" t="str">
        <f>TRIM(INDEX(Orçamentária!C:C,MATCH(Composições!A4052,Orçamentária!A:A,0),1))</f>
        <v>m2</v>
      </c>
      <c r="E4052" s="27"/>
      <c r="F4052" s="49" t="s">
        <v>568</v>
      </c>
      <c r="G4052" s="28" t="str">
        <f>IF(ISNUMBER(F4052),E4052*F4052,"")</f>
        <v/>
      </c>
      <c r="H4052" s="29"/>
      <c r="I4052" s="30"/>
      <c r="J4052" s="155">
        <v>0</v>
      </c>
    </row>
    <row r="4053" spans="1:10" hidden="1" x14ac:dyDescent="0.25">
      <c r="A4053" s="173"/>
      <c r="B4053" s="175"/>
      <c r="C4053" s="32"/>
      <c r="D4053" s="32"/>
      <c r="E4053" s="33"/>
      <c r="F4053" s="54" t="s">
        <v>568</v>
      </c>
      <c r="G4053" s="54" t="str">
        <f>IF(ISNUMBER(F4053),E4053*F4053,"")</f>
        <v/>
      </c>
      <c r="H4053" s="73"/>
      <c r="I4053" s="74"/>
      <c r="J4053" s="155">
        <v>0</v>
      </c>
    </row>
    <row r="4054" spans="1:10" hidden="1" x14ac:dyDescent="0.25">
      <c r="A4054" s="173"/>
      <c r="B4054" s="175"/>
      <c r="C4054" s="36" t="s">
        <v>22</v>
      </c>
      <c r="D4054" s="36" t="s">
        <v>12</v>
      </c>
      <c r="E4054" s="37">
        <v>0.3</v>
      </c>
      <c r="F4054" s="54">
        <v>22.087499999999999</v>
      </c>
      <c r="G4054" s="54">
        <f>IF(ISNUMBER(F4054),E4054*F4054,"")</f>
        <v>6.6262499999999998</v>
      </c>
      <c r="H4054" s="39">
        <f>SUM(G4054:G4059)</f>
        <v>15.597575000000003</v>
      </c>
      <c r="I4054" s="40"/>
      <c r="J4054" s="155">
        <v>0</v>
      </c>
    </row>
    <row r="4055" spans="1:10" hidden="1" x14ac:dyDescent="0.25">
      <c r="A4055" s="173"/>
      <c r="B4055" s="175"/>
      <c r="C4055" s="36" t="s">
        <v>23</v>
      </c>
      <c r="D4055" s="36" t="s">
        <v>12</v>
      </c>
      <c r="E4055" s="37">
        <f>0.3+0.25</f>
        <v>0.55000000000000004</v>
      </c>
      <c r="F4055" s="54">
        <v>16.311500000000002</v>
      </c>
      <c r="G4055" s="54">
        <f>IF(ISNUMBER(F4055),E4055*F4055,"")</f>
        <v>8.971325000000002</v>
      </c>
      <c r="H4055" s="73"/>
      <c r="I4055" s="74"/>
      <c r="J4055" s="155">
        <v>0</v>
      </c>
    </row>
    <row r="4056" spans="1:10" hidden="1" x14ac:dyDescent="0.25">
      <c r="A4056" s="173"/>
      <c r="B4056" s="175"/>
      <c r="C4056" s="36" t="s">
        <v>3617</v>
      </c>
      <c r="D4056" s="36" t="s">
        <v>42</v>
      </c>
      <c r="E4056" s="37">
        <v>5</v>
      </c>
      <c r="F4056" s="54" t="s">
        <v>568</v>
      </c>
      <c r="G4056" s="54" t="str">
        <f>IF(ISNUMBER(F4056),E4056*F4056,"")</f>
        <v/>
      </c>
      <c r="H4056" s="73"/>
      <c r="I4056" s="74"/>
      <c r="J4056" s="155">
        <v>0</v>
      </c>
    </row>
    <row r="4057" spans="1:10" hidden="1" x14ac:dyDescent="0.25">
      <c r="A4057" s="173"/>
      <c r="B4057" s="175"/>
      <c r="C4057" s="36" t="s">
        <v>3618</v>
      </c>
      <c r="D4057" s="36" t="s">
        <v>42</v>
      </c>
      <c r="E4057" s="37">
        <v>0.5</v>
      </c>
      <c r="F4057" s="54" t="s">
        <v>568</v>
      </c>
      <c r="G4057" s="54" t="str">
        <f>IF(ISNUMBER(F4057),E4057*F4057,"")</f>
        <v/>
      </c>
      <c r="H4057" s="73"/>
      <c r="I4057" s="74"/>
      <c r="J4057" s="155">
        <v>0</v>
      </c>
    </row>
    <row r="4058" spans="1:10" hidden="1" x14ac:dyDescent="0.25">
      <c r="A4058" s="173"/>
      <c r="B4058" s="175"/>
      <c r="C4058" s="36" t="s">
        <v>3619</v>
      </c>
      <c r="D4058" s="36" t="s">
        <v>42</v>
      </c>
      <c r="E4058" s="37">
        <v>0.1</v>
      </c>
      <c r="F4058" s="54" t="s">
        <v>568</v>
      </c>
      <c r="G4058" s="54" t="str">
        <f>IF(ISNUMBER(F4058),E4058*F4058,"")</f>
        <v/>
      </c>
      <c r="H4058" s="73"/>
      <c r="I4058" s="74"/>
      <c r="J4058" s="155">
        <v>0</v>
      </c>
    </row>
    <row r="4059" spans="1:10" hidden="1" x14ac:dyDescent="0.25">
      <c r="A4059" s="173"/>
      <c r="B4059" s="175"/>
      <c r="C4059" s="36" t="s">
        <v>1303</v>
      </c>
      <c r="D4059" s="36" t="s">
        <v>297</v>
      </c>
      <c r="E4059" s="37">
        <v>0.5</v>
      </c>
      <c r="F4059" s="54">
        <v>0</v>
      </c>
      <c r="G4059" s="54">
        <f>IF(ISNUMBER(F4059),E4059*F4059,"")</f>
        <v>0</v>
      </c>
      <c r="H4059" s="73"/>
      <c r="I4059" s="74"/>
      <c r="J4059" s="155">
        <v>0</v>
      </c>
    </row>
    <row r="4060" spans="1:10" hidden="1" x14ac:dyDescent="0.25">
      <c r="A4060" s="173"/>
      <c r="B4060" s="175"/>
      <c r="C4060" s="36"/>
      <c r="D4060" s="36"/>
      <c r="E4060" s="37"/>
      <c r="F4060" s="54" t="s">
        <v>568</v>
      </c>
      <c r="G4060" s="54" t="str">
        <f>IF(ISNUMBER(F4060),E4060*F4060,"")</f>
        <v/>
      </c>
      <c r="H4060" s="73"/>
      <c r="I4060" s="74"/>
      <c r="J4060" s="155">
        <v>0</v>
      </c>
    </row>
    <row r="4061" spans="1:10" hidden="1" x14ac:dyDescent="0.25">
      <c r="A4061" s="173"/>
      <c r="B4061" s="175"/>
      <c r="C4061" s="48" t="s">
        <v>1304</v>
      </c>
      <c r="D4061" s="36"/>
      <c r="E4061" s="37"/>
      <c r="F4061" s="54" t="s">
        <v>568</v>
      </c>
      <c r="G4061" s="54" t="str">
        <f>IF(ISNUMBER(F4061),E4061*F4061,"")</f>
        <v/>
      </c>
      <c r="H4061" s="73"/>
      <c r="I4061" s="74"/>
      <c r="J4061" s="155">
        <v>0</v>
      </c>
    </row>
    <row r="4062" spans="1:10" ht="15.75" hidden="1" thickBot="1" x14ac:dyDescent="0.3">
      <c r="A4062" s="185"/>
      <c r="B4062" s="178"/>
      <c r="C4062" s="55"/>
      <c r="D4062" s="55"/>
      <c r="E4062" s="66"/>
      <c r="F4062" s="54" t="s">
        <v>568</v>
      </c>
      <c r="G4062" s="54" t="str">
        <f>IF(ISNUMBER(F4062),E4062*F4062,"")</f>
        <v/>
      </c>
      <c r="H4062" s="77"/>
      <c r="I4062" s="74"/>
      <c r="J4062" s="155">
        <v>0</v>
      </c>
    </row>
    <row r="4063" spans="1:10" ht="15.75" hidden="1" thickBot="1" x14ac:dyDescent="0.3">
      <c r="A4063" s="172" t="s">
        <v>1305</v>
      </c>
      <c r="B4063" s="174" t="str">
        <f>INDEX(Orçamentária!A:B,MATCH(Composições!A4063,Orçamentária!A:A,0),2)</f>
        <v>Lixamento, calafetação e aplicação de sinteco em piso de madeira - Linha Residencial</v>
      </c>
      <c r="C4063" s="41"/>
      <c r="D4063" s="26" t="str">
        <f>TRIM(INDEX(Orçamentária!C:C,MATCH(Composições!A4063,Orçamentária!A:A,0),1))</f>
        <v>m2</v>
      </c>
      <c r="E4063" s="27"/>
      <c r="F4063" s="49" t="s">
        <v>568</v>
      </c>
      <c r="G4063" s="28" t="str">
        <f>IF(ISNUMBER(F4063),E4063*F4063,"")</f>
        <v/>
      </c>
      <c r="H4063" s="29"/>
      <c r="I4063" s="30"/>
      <c r="J4063" s="155">
        <v>0</v>
      </c>
    </row>
    <row r="4064" spans="1:10" hidden="1" x14ac:dyDescent="0.25">
      <c r="A4064" s="173"/>
      <c r="B4064" s="175"/>
      <c r="C4064" s="32"/>
      <c r="D4064" s="32"/>
      <c r="E4064" s="33"/>
      <c r="F4064" s="54" t="s">
        <v>568</v>
      </c>
      <c r="G4064" s="54" t="str">
        <f>IF(ISNUMBER(F4064),E4064*F4064,"")</f>
        <v/>
      </c>
      <c r="H4064" s="73"/>
      <c r="I4064" s="74"/>
      <c r="J4064" s="155">
        <v>0</v>
      </c>
    </row>
    <row r="4065" spans="1:10" ht="25.5" hidden="1" x14ac:dyDescent="0.25">
      <c r="A4065" s="173"/>
      <c r="B4065" s="175"/>
      <c r="C4065" s="36" t="s">
        <v>1306</v>
      </c>
      <c r="D4065" s="36" t="s">
        <v>95</v>
      </c>
      <c r="E4065" s="37">
        <v>1</v>
      </c>
      <c r="F4065" s="54">
        <v>0</v>
      </c>
      <c r="G4065" s="54">
        <f>IF(ISNUMBER(F4065),E4065*F4065,"")</f>
        <v>0</v>
      </c>
      <c r="H4065" s="39">
        <f>SUM(G4065:G4065)</f>
        <v>0</v>
      </c>
      <c r="I4065" s="40"/>
      <c r="J4065" s="155">
        <v>0</v>
      </c>
    </row>
    <row r="4066" spans="1:10" ht="15.75" hidden="1" thickBot="1" x14ac:dyDescent="0.3">
      <c r="A4066" s="185"/>
      <c r="B4066" s="178"/>
      <c r="C4066" s="55"/>
      <c r="D4066" s="55"/>
      <c r="E4066" s="66"/>
      <c r="F4066" s="76" t="s">
        <v>568</v>
      </c>
      <c r="G4066" s="76" t="str">
        <f>IF(ISNUMBER(F4066),E4066*F4066,"")</f>
        <v/>
      </c>
      <c r="H4066" s="77"/>
      <c r="I4066" s="74"/>
      <c r="J4066" s="155">
        <v>0</v>
      </c>
    </row>
    <row r="4067" spans="1:10" ht="15.75" hidden="1" thickBot="1" x14ac:dyDescent="0.3">
      <c r="A4067" s="172" t="s">
        <v>1307</v>
      </c>
      <c r="B4067" s="174" t="str">
        <f>INDEX(Orçamentária!A:B,MATCH(Composições!A4067,Orçamentária!A:A,0),2)</f>
        <v>Piso em taco de madeira - Linha Residencial</v>
      </c>
      <c r="C4067" s="41"/>
      <c r="D4067" s="26" t="str">
        <f>TRIM(INDEX(Orçamentária!C:C,MATCH(Composições!A4067,Orçamentária!A:A,0),1))</f>
        <v>m2</v>
      </c>
      <c r="E4067" s="27"/>
      <c r="F4067" s="49" t="s">
        <v>568</v>
      </c>
      <c r="G4067" s="28" t="str">
        <f>IF(ISNUMBER(F4067),E4067*F4067,"")</f>
        <v/>
      </c>
      <c r="H4067" s="29"/>
      <c r="I4067" s="30"/>
      <c r="J4067" s="155">
        <v>0</v>
      </c>
    </row>
    <row r="4068" spans="1:10" hidden="1" x14ac:dyDescent="0.25">
      <c r="A4068" s="173"/>
      <c r="B4068" s="175"/>
      <c r="C4068" s="32"/>
      <c r="D4068" s="32"/>
      <c r="E4068" s="33"/>
      <c r="F4068" s="54" t="s">
        <v>568</v>
      </c>
      <c r="G4068" s="54" t="str">
        <f>IF(ISNUMBER(F4068),E4068*F4068,"")</f>
        <v/>
      </c>
      <c r="H4068" s="73"/>
      <c r="I4068" s="74"/>
      <c r="J4068" s="155">
        <v>0</v>
      </c>
    </row>
    <row r="4069" spans="1:10" ht="25.5" hidden="1" x14ac:dyDescent="0.25">
      <c r="A4069" s="173"/>
      <c r="B4069" s="175"/>
      <c r="C4069" s="36" t="s">
        <v>1308</v>
      </c>
      <c r="D4069" s="47" t="s">
        <v>1049</v>
      </c>
      <c r="E4069" s="37">
        <v>1.05</v>
      </c>
      <c r="F4069" s="54">
        <v>123.68049999999999</v>
      </c>
      <c r="G4069" s="54">
        <f>IF(ISNUMBER(F4069),E4069*F4069,"")</f>
        <v>129.86452499999999</v>
      </c>
      <c r="H4069" s="39">
        <f>SUM(G4069:G4072)</f>
        <v>158.54576124999997</v>
      </c>
      <c r="I4069" s="40"/>
      <c r="J4069" s="155">
        <v>0</v>
      </c>
    </row>
    <row r="4070" spans="1:10" hidden="1" x14ac:dyDescent="0.25">
      <c r="A4070" s="173"/>
      <c r="B4070" s="175"/>
      <c r="C4070" s="36" t="s">
        <v>1309</v>
      </c>
      <c r="D4070" s="47" t="s">
        <v>104</v>
      </c>
      <c r="E4070" s="37">
        <v>0.57499999999999996</v>
      </c>
      <c r="F4070" s="54">
        <v>17.499000000000002</v>
      </c>
      <c r="G4070" s="54">
        <f>IF(ISNUMBER(F4070),E4070*F4070,"")</f>
        <v>10.061925</v>
      </c>
      <c r="H4070" s="73"/>
      <c r="I4070" s="74"/>
      <c r="J4070" s="155">
        <v>0</v>
      </c>
    </row>
    <row r="4071" spans="1:10" hidden="1" x14ac:dyDescent="0.25">
      <c r="A4071" s="173"/>
      <c r="B4071" s="175"/>
      <c r="C4071" s="36" t="s">
        <v>756</v>
      </c>
      <c r="D4071" s="36" t="s">
        <v>755</v>
      </c>
      <c r="E4071" s="37">
        <v>0.2399</v>
      </c>
      <c r="F4071" s="54">
        <v>16.311500000000002</v>
      </c>
      <c r="G4071" s="54">
        <f>IF(ISNUMBER(F4071),E4071*F4071,"")</f>
        <v>3.9131288500000005</v>
      </c>
      <c r="H4071" s="73"/>
      <c r="I4071" s="74"/>
      <c r="J4071" s="155">
        <v>0</v>
      </c>
    </row>
    <row r="4072" spans="1:10" hidden="1" x14ac:dyDescent="0.25">
      <c r="A4072" s="173"/>
      <c r="B4072" s="175"/>
      <c r="C4072" s="36" t="s">
        <v>1287</v>
      </c>
      <c r="D4072" s="36" t="s">
        <v>755</v>
      </c>
      <c r="E4072" s="37">
        <v>0.57589999999999997</v>
      </c>
      <c r="F4072" s="54">
        <v>25.535999999999998</v>
      </c>
      <c r="G4072" s="54">
        <f>IF(ISNUMBER(F4072),E4072*F4072,"")</f>
        <v>14.706182399999998</v>
      </c>
      <c r="H4072" s="73"/>
      <c r="I4072" s="74"/>
      <c r="J4072" s="155">
        <v>0</v>
      </c>
    </row>
    <row r="4073" spans="1:10" ht="15.75" hidden="1" thickBot="1" x14ac:dyDescent="0.3">
      <c r="A4073" s="173"/>
      <c r="B4073" s="175"/>
      <c r="C4073" s="55"/>
      <c r="D4073" s="55"/>
      <c r="E4073" s="66"/>
      <c r="F4073" s="76" t="s">
        <v>568</v>
      </c>
      <c r="G4073" s="76" t="str">
        <f>IF(ISNUMBER(F4073),E4073*F4073,"")</f>
        <v/>
      </c>
      <c r="H4073" s="77"/>
      <c r="I4073" s="74"/>
      <c r="J4073" s="155">
        <v>0</v>
      </c>
    </row>
    <row r="4074" spans="1:10" ht="15.75" hidden="1" thickBot="1" x14ac:dyDescent="0.3">
      <c r="A4074" s="172" t="s">
        <v>1310</v>
      </c>
      <c r="B4074" s="174" t="str">
        <f>INDEX(Orçamentária!A:B,MATCH(Composições!A4074,Orçamentária!A:A,0),2)</f>
        <v>Piso de borracha antiderrapante tipo moeda</v>
      </c>
      <c r="C4074" s="41"/>
      <c r="D4074" s="26" t="str">
        <f>TRIM(INDEX(Orçamentária!C:C,MATCH(Composições!A4074,Orçamentária!A:A,0),1))</f>
        <v>m2</v>
      </c>
      <c r="E4074" s="27"/>
      <c r="F4074" s="49" t="s">
        <v>568</v>
      </c>
      <c r="G4074" s="28" t="str">
        <f>IF(ISNUMBER(F4074),E4074*F4074,"")</f>
        <v/>
      </c>
      <c r="H4074" s="29"/>
      <c r="I4074" s="30"/>
      <c r="J4074" s="155">
        <v>0</v>
      </c>
    </row>
    <row r="4075" spans="1:10" hidden="1" x14ac:dyDescent="0.25">
      <c r="A4075" s="173"/>
      <c r="B4075" s="175"/>
      <c r="C4075" s="32"/>
      <c r="D4075" s="32"/>
      <c r="E4075" s="33"/>
      <c r="F4075" s="54" t="s">
        <v>568</v>
      </c>
      <c r="G4075" s="54" t="str">
        <f>IF(ISNUMBER(F4075),E4075*F4075,"")</f>
        <v/>
      </c>
      <c r="H4075" s="73"/>
      <c r="I4075" s="74"/>
      <c r="J4075" s="155">
        <v>0</v>
      </c>
    </row>
    <row r="4076" spans="1:10" hidden="1" x14ac:dyDescent="0.25">
      <c r="A4076" s="173"/>
      <c r="B4076" s="175"/>
      <c r="C4076" s="36" t="s">
        <v>303</v>
      </c>
      <c r="D4076" s="47" t="s">
        <v>953</v>
      </c>
      <c r="E4076" s="37">
        <v>0.56369999999999998</v>
      </c>
      <c r="F4076" s="54">
        <v>25.478999999999999</v>
      </c>
      <c r="G4076" s="54">
        <f>IF(ISNUMBER(F4076),E4076*F4076,"")</f>
        <v>14.362512299999999</v>
      </c>
      <c r="H4076" s="39">
        <f>SUM(G4076:G4079)</f>
        <v>105.53748455</v>
      </c>
      <c r="I4076" s="40"/>
      <c r="J4076" s="155">
        <v>0</v>
      </c>
    </row>
    <row r="4077" spans="1:10" ht="25.5" hidden="1" x14ac:dyDescent="0.25">
      <c r="A4077" s="173"/>
      <c r="B4077" s="175"/>
      <c r="C4077" s="36" t="s">
        <v>3461</v>
      </c>
      <c r="D4077" s="47" t="s">
        <v>1049</v>
      </c>
      <c r="E4077" s="37">
        <v>1.06</v>
      </c>
      <c r="F4077" s="54">
        <v>72.836500000000001</v>
      </c>
      <c r="G4077" s="54">
        <f>IF(ISNUMBER(F4077),E4077*F4077,"")</f>
        <v>77.206690000000009</v>
      </c>
      <c r="H4077" s="73"/>
      <c r="I4077" s="74"/>
      <c r="J4077" s="155">
        <v>0</v>
      </c>
    </row>
    <row r="4078" spans="1:10" hidden="1" x14ac:dyDescent="0.25">
      <c r="A4078" s="173"/>
      <c r="B4078" s="175"/>
      <c r="C4078" s="36" t="s">
        <v>764</v>
      </c>
      <c r="D4078" s="36" t="s">
        <v>755</v>
      </c>
      <c r="E4078" s="37">
        <v>0.48359999999999997</v>
      </c>
      <c r="F4078" s="54">
        <v>22.087499999999999</v>
      </c>
      <c r="G4078" s="54">
        <f>IF(ISNUMBER(F4078),E4078*F4078,"")</f>
        <v>10.681514999999999</v>
      </c>
      <c r="H4078" s="73"/>
      <c r="I4078" s="74"/>
      <c r="J4078" s="155">
        <v>0</v>
      </c>
    </row>
    <row r="4079" spans="1:10" hidden="1" x14ac:dyDescent="0.25">
      <c r="A4079" s="173"/>
      <c r="B4079" s="175"/>
      <c r="C4079" s="36" t="s">
        <v>756</v>
      </c>
      <c r="D4079" s="36" t="s">
        <v>755</v>
      </c>
      <c r="E4079" s="37">
        <v>0.20150000000000001</v>
      </c>
      <c r="F4079" s="54">
        <v>16.311500000000002</v>
      </c>
      <c r="G4079" s="54">
        <f>IF(ISNUMBER(F4079),E4079*F4079,"")</f>
        <v>3.2867672500000005</v>
      </c>
      <c r="H4079" s="73"/>
      <c r="I4079" s="74"/>
      <c r="J4079" s="155">
        <v>0</v>
      </c>
    </row>
    <row r="4080" spans="1:10" ht="15.75" hidden="1" thickBot="1" x14ac:dyDescent="0.3">
      <c r="A4080" s="173"/>
      <c r="B4080" s="175"/>
      <c r="C4080" s="55"/>
      <c r="D4080" s="55"/>
      <c r="E4080" s="66"/>
      <c r="F4080" s="76" t="s">
        <v>568</v>
      </c>
      <c r="G4080" s="76" t="str">
        <f>IF(ISNUMBER(F4080),E4080*F4080,"")</f>
        <v/>
      </c>
      <c r="H4080" s="77"/>
      <c r="I4080" s="74"/>
      <c r="J4080" s="155">
        <v>0</v>
      </c>
    </row>
    <row r="4081" spans="1:10" ht="15.75" hidden="1" thickBot="1" x14ac:dyDescent="0.3">
      <c r="A4081" s="172" t="s">
        <v>1311</v>
      </c>
      <c r="B4081" s="174" t="str">
        <f>INDEX(Orçamentária!A:B,MATCH(Composições!A4081,Orçamentária!A:A,0),2)</f>
        <v>Piso sintético flutuante - Linha Residencial</v>
      </c>
      <c r="C4081" s="41"/>
      <c r="D4081" s="26" t="str">
        <f>TRIM(INDEX(Orçamentária!C:C,MATCH(Composições!A4081,Orçamentária!A:A,0),1))</f>
        <v>m2</v>
      </c>
      <c r="E4081" s="27"/>
      <c r="F4081" s="49" t="s">
        <v>568</v>
      </c>
      <c r="G4081" s="28" t="str">
        <f>IF(ISNUMBER(F4081),E4081*F4081,"")</f>
        <v/>
      </c>
      <c r="H4081" s="29"/>
      <c r="I4081" s="30"/>
      <c r="J4081" s="155">
        <v>0</v>
      </c>
    </row>
    <row r="4082" spans="1:10" hidden="1" x14ac:dyDescent="0.25">
      <c r="A4082" s="173"/>
      <c r="B4082" s="175"/>
      <c r="C4082" s="32"/>
      <c r="D4082" s="32"/>
      <c r="E4082" s="33"/>
      <c r="F4082" s="54" t="s">
        <v>568</v>
      </c>
      <c r="G4082" s="54" t="str">
        <f>IF(ISNUMBER(F4082),E4082*F4082,"")</f>
        <v/>
      </c>
      <c r="H4082" s="73"/>
      <c r="I4082" s="74"/>
      <c r="J4082" s="155">
        <v>0</v>
      </c>
    </row>
    <row r="4083" spans="1:10" ht="25.5" hidden="1" x14ac:dyDescent="0.25">
      <c r="A4083" s="173"/>
      <c r="B4083" s="175"/>
      <c r="C4083" s="36" t="s">
        <v>1312</v>
      </c>
      <c r="D4083" s="47" t="s">
        <v>1049</v>
      </c>
      <c r="E4083" s="37">
        <v>1.05</v>
      </c>
      <c r="F4083" s="54" t="s">
        <v>568</v>
      </c>
      <c r="G4083" s="54" t="str">
        <f>IF(ISNUMBER(F4083),E4083*F4083,"")</f>
        <v/>
      </c>
      <c r="H4083" s="39">
        <f>SUM(G4083:G4085)</f>
        <v>14.207456529999998</v>
      </c>
      <c r="I4083" s="40"/>
      <c r="J4083" s="155">
        <v>0</v>
      </c>
    </row>
    <row r="4084" spans="1:10" hidden="1" x14ac:dyDescent="0.25">
      <c r="A4084" s="173"/>
      <c r="B4084" s="175"/>
      <c r="C4084" s="36" t="s">
        <v>756</v>
      </c>
      <c r="D4084" s="36" t="s">
        <v>755</v>
      </c>
      <c r="E4084" s="37">
        <v>0.2399</v>
      </c>
      <c r="F4084" s="54">
        <v>16.311500000000002</v>
      </c>
      <c r="G4084" s="54">
        <f>IF(ISNUMBER(F4084),E4084*F4084,"")</f>
        <v>3.9131288500000005</v>
      </c>
      <c r="H4084" s="73"/>
      <c r="I4084" s="74"/>
      <c r="J4084" s="155">
        <v>0</v>
      </c>
    </row>
    <row r="4085" spans="1:10" hidden="1" x14ac:dyDescent="0.25">
      <c r="A4085" s="173"/>
      <c r="B4085" s="175"/>
      <c r="C4085" s="36" t="s">
        <v>1287</v>
      </c>
      <c r="D4085" s="36" t="s">
        <v>755</v>
      </c>
      <c r="E4085" s="37">
        <f>0.5759*0.7</f>
        <v>0.40312999999999993</v>
      </c>
      <c r="F4085" s="54">
        <v>25.535999999999998</v>
      </c>
      <c r="G4085" s="54">
        <f>IF(ISNUMBER(F4085),E4085*F4085,"")</f>
        <v>10.294327679999997</v>
      </c>
      <c r="H4085" s="73"/>
      <c r="I4085" s="74"/>
      <c r="J4085" s="155">
        <v>0</v>
      </c>
    </row>
    <row r="4086" spans="1:10" ht="15.75" hidden="1" thickBot="1" x14ac:dyDescent="0.3">
      <c r="A4086" s="173"/>
      <c r="B4086" s="175"/>
      <c r="C4086" s="55"/>
      <c r="D4086" s="55"/>
      <c r="E4086" s="66"/>
      <c r="F4086" s="76" t="s">
        <v>568</v>
      </c>
      <c r="G4086" s="76" t="str">
        <f>IF(ISNUMBER(F4086),E4086*F4086,"")</f>
        <v/>
      </c>
      <c r="H4086" s="77"/>
      <c r="I4086" s="74"/>
      <c r="J4086" s="155">
        <v>0</v>
      </c>
    </row>
    <row r="4087" spans="1:10" ht="15.75" hidden="1" thickBot="1" x14ac:dyDescent="0.3">
      <c r="A4087" s="172" t="s">
        <v>1313</v>
      </c>
      <c r="B4087" s="174" t="str">
        <f>INDEX(Orçamentária!A:B,MATCH(Composições!A4087,Orçamentária!A:A,0),2)</f>
        <v>Revestimento acústico perfilado - Linha Administrativa</v>
      </c>
      <c r="C4087" s="41"/>
      <c r="D4087" s="26" t="str">
        <f>TRIM(INDEX(Orçamentária!C:C,MATCH(Composições!A4087,Orçamentária!A:A,0),1))</f>
        <v>m2</v>
      </c>
      <c r="E4087" s="27"/>
      <c r="F4087" s="49" t="s">
        <v>568</v>
      </c>
      <c r="G4087" s="28" t="str">
        <f>IF(ISNUMBER(F4087),E4087*F4087,"")</f>
        <v/>
      </c>
      <c r="H4087" s="29"/>
      <c r="I4087" s="30"/>
      <c r="J4087" s="155">
        <v>0</v>
      </c>
    </row>
    <row r="4088" spans="1:10" hidden="1" x14ac:dyDescent="0.25">
      <c r="A4088" s="173"/>
      <c r="B4088" s="175"/>
      <c r="C4088" s="32"/>
      <c r="D4088" s="32"/>
      <c r="E4088" s="33"/>
      <c r="F4088" s="54" t="s">
        <v>568</v>
      </c>
      <c r="G4088" s="54" t="str">
        <f>IF(ISNUMBER(F4088),E4088*F4088,"")</f>
        <v/>
      </c>
      <c r="H4088" s="73"/>
      <c r="I4088" s="74"/>
      <c r="J4088" s="155">
        <v>0</v>
      </c>
    </row>
    <row r="4089" spans="1:10" ht="25.5" hidden="1" x14ac:dyDescent="0.25">
      <c r="A4089" s="173"/>
      <c r="B4089" s="175"/>
      <c r="C4089" s="36" t="s">
        <v>1314</v>
      </c>
      <c r="D4089" s="36" t="s">
        <v>95</v>
      </c>
      <c r="E4089" s="37">
        <v>1.05</v>
      </c>
      <c r="F4089" s="54" t="s">
        <v>568</v>
      </c>
      <c r="G4089" s="54" t="str">
        <f>IF(ISNUMBER(F4089),E4089*F4089,"")</f>
        <v/>
      </c>
      <c r="H4089" s="39">
        <f>SUM(G4089:G4091)</f>
        <v>8.1618300000000001</v>
      </c>
      <c r="I4089" s="40"/>
      <c r="J4089" s="155">
        <v>0</v>
      </c>
    </row>
    <row r="4090" spans="1:10" hidden="1" x14ac:dyDescent="0.25">
      <c r="A4090" s="173"/>
      <c r="B4090" s="175"/>
      <c r="C4090" s="36" t="s">
        <v>1287</v>
      </c>
      <c r="D4090" s="36" t="s">
        <v>755</v>
      </c>
      <c r="E4090" s="37">
        <v>0.15</v>
      </c>
      <c r="F4090" s="54">
        <v>25.535999999999998</v>
      </c>
      <c r="G4090" s="54">
        <f>IF(ISNUMBER(F4090),E4090*F4090,"")</f>
        <v>3.8303999999999996</v>
      </c>
      <c r="H4090" s="73"/>
      <c r="I4090" s="74"/>
      <c r="J4090" s="155">
        <v>0</v>
      </c>
    </row>
    <row r="4091" spans="1:10" hidden="1" x14ac:dyDescent="0.25">
      <c r="A4091" s="173"/>
      <c r="B4091" s="175"/>
      <c r="C4091" s="36" t="s">
        <v>303</v>
      </c>
      <c r="D4091" s="36" t="s">
        <v>42</v>
      </c>
      <c r="E4091" s="37">
        <v>0.17</v>
      </c>
      <c r="F4091" s="54">
        <v>25.478999999999999</v>
      </c>
      <c r="G4091" s="54">
        <f>IF(ISNUMBER(F4091),E4091*F4091,"")</f>
        <v>4.3314300000000001</v>
      </c>
      <c r="H4091" s="73"/>
      <c r="I4091" s="74"/>
      <c r="J4091" s="155">
        <v>0</v>
      </c>
    </row>
    <row r="4092" spans="1:10" ht="15.75" hidden="1" thickBot="1" x14ac:dyDescent="0.3">
      <c r="A4092" s="173"/>
      <c r="B4092" s="175"/>
      <c r="C4092" s="55"/>
      <c r="D4092" s="55"/>
      <c r="E4092" s="66"/>
      <c r="F4092" s="76" t="s">
        <v>568</v>
      </c>
      <c r="G4092" s="76" t="str">
        <f>IF(ISNUMBER(F4092),E4092*F4092,"")</f>
        <v/>
      </c>
      <c r="H4092" s="77"/>
      <c r="I4092" s="74"/>
      <c r="J4092" s="155">
        <v>0</v>
      </c>
    </row>
    <row r="4093" spans="1:10" ht="15.75" hidden="1" thickBot="1" x14ac:dyDescent="0.3">
      <c r="A4093" s="172" t="s">
        <v>1315</v>
      </c>
      <c r="B4093" s="174" t="str">
        <f>INDEX(Orçamentária!A:B,MATCH(Composições!A4093,Orçamentária!A:A,0),2)</f>
        <v>Revestimento acústico plano - Linha Administrativa</v>
      </c>
      <c r="C4093" s="41"/>
      <c r="D4093" s="26" t="str">
        <f>TRIM(INDEX(Orçamentária!C:C,MATCH(Composições!A4093,Orçamentária!A:A,0),1))</f>
        <v>m2</v>
      </c>
      <c r="E4093" s="27"/>
      <c r="F4093" s="49" t="s">
        <v>568</v>
      </c>
      <c r="G4093" s="28" t="str">
        <f>IF(ISNUMBER(F4093),E4093*F4093,"")</f>
        <v/>
      </c>
      <c r="H4093" s="29"/>
      <c r="I4093" s="30"/>
      <c r="J4093" s="155">
        <v>0</v>
      </c>
    </row>
    <row r="4094" spans="1:10" hidden="1" x14ac:dyDescent="0.25">
      <c r="A4094" s="173"/>
      <c r="B4094" s="175"/>
      <c r="C4094" s="32"/>
      <c r="D4094" s="32"/>
      <c r="E4094" s="33"/>
      <c r="F4094" s="54" t="s">
        <v>568</v>
      </c>
      <c r="G4094" s="54" t="str">
        <f>IF(ISNUMBER(F4094),E4094*F4094,"")</f>
        <v/>
      </c>
      <c r="H4094" s="73"/>
      <c r="I4094" s="74"/>
      <c r="J4094" s="155">
        <v>0</v>
      </c>
    </row>
    <row r="4095" spans="1:10" ht="25.5" hidden="1" x14ac:dyDescent="0.25">
      <c r="A4095" s="173"/>
      <c r="B4095" s="175"/>
      <c r="C4095" s="36" t="s">
        <v>1316</v>
      </c>
      <c r="D4095" s="36" t="s">
        <v>95</v>
      </c>
      <c r="E4095" s="37">
        <v>1.05</v>
      </c>
      <c r="F4095" s="54" t="s">
        <v>568</v>
      </c>
      <c r="G4095" s="54" t="str">
        <f>IF(ISNUMBER(F4095),E4095*F4095,"")</f>
        <v/>
      </c>
      <c r="H4095" s="39">
        <f>SUM(G4095:G4097)</f>
        <v>8.1618300000000001</v>
      </c>
      <c r="I4095" s="40"/>
      <c r="J4095" s="155">
        <v>0</v>
      </c>
    </row>
    <row r="4096" spans="1:10" hidden="1" x14ac:dyDescent="0.25">
      <c r="A4096" s="173"/>
      <c r="B4096" s="175"/>
      <c r="C4096" s="36" t="s">
        <v>1287</v>
      </c>
      <c r="D4096" s="36" t="s">
        <v>755</v>
      </c>
      <c r="E4096" s="37">
        <v>0.15</v>
      </c>
      <c r="F4096" s="54">
        <v>25.535999999999998</v>
      </c>
      <c r="G4096" s="54">
        <f>IF(ISNUMBER(F4096),E4096*F4096,"")</f>
        <v>3.8303999999999996</v>
      </c>
      <c r="H4096" s="73"/>
      <c r="I4096" s="74"/>
      <c r="J4096" s="155">
        <v>0</v>
      </c>
    </row>
    <row r="4097" spans="1:10" hidden="1" x14ac:dyDescent="0.25">
      <c r="A4097" s="173"/>
      <c r="B4097" s="175"/>
      <c r="C4097" s="36" t="s">
        <v>303</v>
      </c>
      <c r="D4097" s="36" t="s">
        <v>42</v>
      </c>
      <c r="E4097" s="37">
        <v>0.17</v>
      </c>
      <c r="F4097" s="54">
        <v>25.478999999999999</v>
      </c>
      <c r="G4097" s="54">
        <f>IF(ISNUMBER(F4097),E4097*F4097,"")</f>
        <v>4.3314300000000001</v>
      </c>
      <c r="H4097" s="73"/>
      <c r="I4097" s="74"/>
      <c r="J4097" s="155">
        <v>0</v>
      </c>
    </row>
    <row r="4098" spans="1:10" ht="15.75" hidden="1" thickBot="1" x14ac:dyDescent="0.3">
      <c r="A4098" s="173"/>
      <c r="B4098" s="175"/>
      <c r="C4098" s="55"/>
      <c r="D4098" s="55"/>
      <c r="E4098" s="66"/>
      <c r="F4098" s="76" t="s">
        <v>568</v>
      </c>
      <c r="G4098" s="76" t="str">
        <f>IF(ISNUMBER(F4098),E4098*F4098,"")</f>
        <v/>
      </c>
      <c r="H4098" s="77"/>
      <c r="I4098" s="74"/>
      <c r="J4098" s="155">
        <v>0</v>
      </c>
    </row>
    <row r="4099" spans="1:10" ht="15.75" hidden="1" thickBot="1" x14ac:dyDescent="0.3">
      <c r="A4099" s="172" t="s">
        <v>1317</v>
      </c>
      <c r="B4099" s="174" t="str">
        <f>INDEX(Orçamentária!A:B,MATCH(Composições!A4099,Orçamentária!A:A,0),2)</f>
        <v>Forro monolítico de gesso em placas</v>
      </c>
      <c r="C4099" s="41"/>
      <c r="D4099" s="26" t="str">
        <f>TRIM(INDEX(Orçamentária!C:C,MATCH(Composições!A4099,Orçamentária!A:A,0),1))</f>
        <v>m2</v>
      </c>
      <c r="E4099" s="27"/>
      <c r="F4099" s="49" t="s">
        <v>568</v>
      </c>
      <c r="G4099" s="28" t="str">
        <f>IF(ISNUMBER(F4099),E4099*F4099,"")</f>
        <v/>
      </c>
      <c r="H4099" s="29"/>
      <c r="I4099" s="30"/>
      <c r="J4099" s="155">
        <v>0</v>
      </c>
    </row>
    <row r="4100" spans="1:10" hidden="1" x14ac:dyDescent="0.25">
      <c r="A4100" s="173"/>
      <c r="B4100" s="175"/>
      <c r="C4100" s="32"/>
      <c r="D4100" s="32"/>
      <c r="E4100" s="33"/>
      <c r="F4100" s="54" t="s">
        <v>568</v>
      </c>
      <c r="G4100" s="54" t="str">
        <f>IF(ISNUMBER(F4100),E4100*F4100,"")</f>
        <v/>
      </c>
      <c r="H4100" s="73"/>
      <c r="I4100" s="74"/>
      <c r="J4100" s="155">
        <v>0</v>
      </c>
    </row>
    <row r="4101" spans="1:10" hidden="1" x14ac:dyDescent="0.25">
      <c r="A4101" s="173"/>
      <c r="B4101" s="175"/>
      <c r="C4101" s="36" t="s">
        <v>1318</v>
      </c>
      <c r="D4101" s="47" t="s">
        <v>953</v>
      </c>
      <c r="E4101" s="37">
        <v>2.5000000000000001E-2</v>
      </c>
      <c r="F4101" s="54">
        <v>26.866</v>
      </c>
      <c r="G4101" s="54">
        <f>IF(ISNUMBER(F4101),E4101*F4101,"")</f>
        <v>0.67165000000000008</v>
      </c>
      <c r="H4101" s="39">
        <f>SUM(G4101:G4107)</f>
        <v>33.537937399999997</v>
      </c>
      <c r="I4101" s="40"/>
      <c r="J4101" s="155">
        <v>0</v>
      </c>
    </row>
    <row r="4102" spans="1:10" ht="25.5" hidden="1" x14ac:dyDescent="0.25">
      <c r="A4102" s="173"/>
      <c r="B4102" s="175"/>
      <c r="C4102" s="36" t="s">
        <v>3774</v>
      </c>
      <c r="D4102" s="47" t="s">
        <v>953</v>
      </c>
      <c r="E4102" s="37">
        <v>0.99639999999999995</v>
      </c>
      <c r="F4102" s="54">
        <v>0.33249999999999996</v>
      </c>
      <c r="G4102" s="54">
        <f>IF(ISNUMBER(F4102),E4102*F4102,"")</f>
        <v>0.33130299999999996</v>
      </c>
      <c r="H4102" s="73"/>
      <c r="I4102" s="74"/>
      <c r="J4102" s="155">
        <v>0</v>
      </c>
    </row>
    <row r="4103" spans="1:10" ht="25.5" hidden="1" x14ac:dyDescent="0.25">
      <c r="A4103" s="173"/>
      <c r="B4103" s="175"/>
      <c r="C4103" s="36" t="s">
        <v>3779</v>
      </c>
      <c r="D4103" s="36" t="s">
        <v>1049</v>
      </c>
      <c r="E4103" s="37">
        <v>1.0293000000000001</v>
      </c>
      <c r="F4103" s="54">
        <v>7.7614999999999998</v>
      </c>
      <c r="G4103" s="54">
        <f>IF(ISNUMBER(F4103),E4103*F4103,"")</f>
        <v>7.9889119500000003</v>
      </c>
      <c r="H4103" s="73"/>
      <c r="I4103" s="74"/>
      <c r="J4103" s="155">
        <v>0</v>
      </c>
    </row>
    <row r="4104" spans="1:10" hidden="1" x14ac:dyDescent="0.25">
      <c r="A4104" s="173"/>
      <c r="B4104" s="175"/>
      <c r="C4104" s="36" t="s">
        <v>1319</v>
      </c>
      <c r="D4104" s="36" t="s">
        <v>953</v>
      </c>
      <c r="E4104" s="37">
        <v>7.7999999999999996E-3</v>
      </c>
      <c r="F4104" s="54">
        <v>14.240499999999999</v>
      </c>
      <c r="G4104" s="54">
        <f>IF(ISNUMBER(F4104),E4104*F4104,"")</f>
        <v>0.11107589999999999</v>
      </c>
      <c r="H4104" s="73"/>
      <c r="I4104" s="74"/>
      <c r="J4104" s="155">
        <v>0</v>
      </c>
    </row>
    <row r="4105" spans="1:10" ht="25.5" hidden="1" x14ac:dyDescent="0.25">
      <c r="A4105" s="173"/>
      <c r="B4105" s="175"/>
      <c r="C4105" s="36" t="s">
        <v>283</v>
      </c>
      <c r="D4105" s="47" t="s">
        <v>1320</v>
      </c>
      <c r="E4105" s="37">
        <v>3.0800000000000001E-2</v>
      </c>
      <c r="F4105" s="54">
        <v>13.3095</v>
      </c>
      <c r="G4105" s="54">
        <f>IF(ISNUMBER(F4105),E4105*F4105,"")</f>
        <v>0.40993260000000004</v>
      </c>
      <c r="H4105" s="73"/>
      <c r="I4105" s="74"/>
      <c r="J4105" s="155">
        <v>0</v>
      </c>
    </row>
    <row r="4106" spans="1:10" hidden="1" x14ac:dyDescent="0.25">
      <c r="A4106" s="173"/>
      <c r="B4106" s="175"/>
      <c r="C4106" s="36" t="s">
        <v>1321</v>
      </c>
      <c r="D4106" s="36" t="s">
        <v>755</v>
      </c>
      <c r="E4106" s="37">
        <v>0.7974</v>
      </c>
      <c r="F4106" s="54">
        <v>21.973499999999998</v>
      </c>
      <c r="G4106" s="54">
        <f>IF(ISNUMBER(F4106),E4106*F4106,"")</f>
        <v>17.521668899999998</v>
      </c>
      <c r="H4106" s="73"/>
      <c r="I4106" s="74"/>
      <c r="J4106" s="155">
        <v>0</v>
      </c>
    </row>
    <row r="4107" spans="1:10" hidden="1" x14ac:dyDescent="0.25">
      <c r="A4107" s="173"/>
      <c r="B4107" s="175"/>
      <c r="C4107" s="36" t="s">
        <v>756</v>
      </c>
      <c r="D4107" s="36" t="s">
        <v>755</v>
      </c>
      <c r="E4107" s="37">
        <v>0.3987</v>
      </c>
      <c r="F4107" s="54">
        <v>16.311500000000002</v>
      </c>
      <c r="G4107" s="54">
        <f>IF(ISNUMBER(F4107),E4107*F4107,"")</f>
        <v>6.5033950500000008</v>
      </c>
      <c r="H4107" s="73"/>
      <c r="I4107" s="74"/>
      <c r="J4107" s="155">
        <v>0</v>
      </c>
    </row>
    <row r="4108" spans="1:10" ht="15.75" hidden="1" thickBot="1" x14ac:dyDescent="0.3">
      <c r="A4108" s="173"/>
      <c r="B4108" s="175"/>
      <c r="C4108" s="55"/>
      <c r="D4108" s="55"/>
      <c r="E4108" s="66"/>
      <c r="F4108" s="76" t="s">
        <v>568</v>
      </c>
      <c r="G4108" s="76" t="str">
        <f>IF(ISNUMBER(F4108),E4108*F4108,"")</f>
        <v/>
      </c>
      <c r="H4108" s="77"/>
      <c r="I4108" s="74"/>
      <c r="J4108" s="155">
        <v>0</v>
      </c>
    </row>
    <row r="4109" spans="1:10" ht="15.75" hidden="1" thickBot="1" x14ac:dyDescent="0.3">
      <c r="A4109" s="172" t="s">
        <v>1322</v>
      </c>
      <c r="B4109" s="174" t="str">
        <f>INDEX(Orçamentária!A:B,MATCH(Composições!A4109,Orçamentária!A:A,0),2)</f>
        <v>Textura acrílica - Linha Administrativa</v>
      </c>
      <c r="C4109" s="41"/>
      <c r="D4109" s="26" t="str">
        <f>TRIM(INDEX(Orçamentária!C:C,MATCH(Composições!A4109,Orçamentária!A:A,0),1))</f>
        <v>m2</v>
      </c>
      <c r="E4109" s="27"/>
      <c r="F4109" s="49" t="s">
        <v>568</v>
      </c>
      <c r="G4109" s="28" t="str">
        <f>IF(ISNUMBER(F4109),E4109*F4109,"")</f>
        <v/>
      </c>
      <c r="H4109" s="29"/>
      <c r="I4109" s="30"/>
      <c r="J4109" s="155">
        <v>0</v>
      </c>
    </row>
    <row r="4110" spans="1:10" hidden="1" x14ac:dyDescent="0.25">
      <c r="A4110" s="173"/>
      <c r="B4110" s="175"/>
      <c r="C4110" s="32"/>
      <c r="D4110" s="32"/>
      <c r="E4110" s="33"/>
      <c r="F4110" s="54" t="s">
        <v>568</v>
      </c>
      <c r="G4110" s="54" t="str">
        <f>IF(ISNUMBER(F4110),E4110*F4110,"")</f>
        <v/>
      </c>
      <c r="H4110" s="73"/>
      <c r="I4110" s="74"/>
      <c r="J4110" s="155">
        <v>0</v>
      </c>
    </row>
    <row r="4111" spans="1:10" ht="25.5" hidden="1" x14ac:dyDescent="0.25">
      <c r="A4111" s="173"/>
      <c r="B4111" s="175"/>
      <c r="C4111" s="36" t="s">
        <v>1323</v>
      </c>
      <c r="D4111" s="36" t="s">
        <v>953</v>
      </c>
      <c r="E4111" s="37">
        <v>1.1399999999999999</v>
      </c>
      <c r="F4111" s="54">
        <v>5.9184999999999999</v>
      </c>
      <c r="G4111" s="54">
        <f>IF(ISNUMBER(F4111),E4111*F4111,"")</f>
        <v>6.7470899999999991</v>
      </c>
      <c r="H4111" s="39">
        <f>SUM(G4111:G4113)</f>
        <v>12.2018475</v>
      </c>
      <c r="I4111" s="40"/>
      <c r="J4111" s="155">
        <v>0</v>
      </c>
    </row>
    <row r="4112" spans="1:10" hidden="1" x14ac:dyDescent="0.25">
      <c r="A4112" s="173"/>
      <c r="B4112" s="175"/>
      <c r="C4112" s="36" t="s">
        <v>1152</v>
      </c>
      <c r="D4112" s="36" t="s">
        <v>755</v>
      </c>
      <c r="E4112" s="37">
        <v>0.188</v>
      </c>
      <c r="F4112" s="54">
        <v>23.027999999999999</v>
      </c>
      <c r="G4112" s="54">
        <f>IF(ISNUMBER(F4112),E4112*F4112,"")</f>
        <v>4.3292639999999993</v>
      </c>
      <c r="H4112" s="73"/>
      <c r="I4112" s="74"/>
      <c r="J4112" s="155">
        <v>0</v>
      </c>
    </row>
    <row r="4113" spans="1:10" hidden="1" x14ac:dyDescent="0.25">
      <c r="A4113" s="173"/>
      <c r="B4113" s="175"/>
      <c r="C4113" s="36" t="s">
        <v>756</v>
      </c>
      <c r="D4113" s="36" t="s">
        <v>755</v>
      </c>
      <c r="E4113" s="37">
        <v>6.9000000000000006E-2</v>
      </c>
      <c r="F4113" s="54">
        <v>16.311500000000002</v>
      </c>
      <c r="G4113" s="54">
        <f>IF(ISNUMBER(F4113),E4113*F4113,"")</f>
        <v>1.1254935000000001</v>
      </c>
      <c r="H4113" s="73"/>
      <c r="I4113" s="74"/>
      <c r="J4113" s="155">
        <v>0</v>
      </c>
    </row>
    <row r="4114" spans="1:10" ht="15.75" hidden="1" thickBot="1" x14ac:dyDescent="0.3">
      <c r="A4114" s="173"/>
      <c r="B4114" s="175"/>
      <c r="C4114" s="55"/>
      <c r="D4114" s="55"/>
      <c r="E4114" s="66"/>
      <c r="F4114" s="76" t="s">
        <v>568</v>
      </c>
      <c r="G4114" s="76" t="str">
        <f>IF(ISNUMBER(F4114),E4114*F4114,"")</f>
        <v/>
      </c>
      <c r="H4114" s="77"/>
      <c r="I4114" s="74"/>
      <c r="J4114" s="155">
        <v>0</v>
      </c>
    </row>
    <row r="4115" spans="1:10" ht="15.75" hidden="1" thickBot="1" x14ac:dyDescent="0.3">
      <c r="A4115" s="172" t="s">
        <v>1324</v>
      </c>
      <c r="B4115" s="174" t="str">
        <f>INDEX(Orçamentária!A:B,MATCH(Composições!A4115,Orçamentária!A:A,0),2)</f>
        <v>Pintura com tinta látex acrílica Premium - cores especiais (sistema tintométrico)</v>
      </c>
      <c r="C4115" s="41"/>
      <c r="D4115" s="26" t="str">
        <f>TRIM(INDEX(Orçamentária!C:C,MATCH(Composições!A4115,Orçamentária!A:A,0),1))</f>
        <v>m2</v>
      </c>
      <c r="E4115" s="27"/>
      <c r="F4115" s="49" t="s">
        <v>568</v>
      </c>
      <c r="G4115" s="28" t="str">
        <f>IF(ISNUMBER(F4115),E4115*F4115,"")</f>
        <v/>
      </c>
      <c r="H4115" s="29"/>
      <c r="I4115" s="30"/>
      <c r="J4115" s="155">
        <v>0</v>
      </c>
    </row>
    <row r="4116" spans="1:10" hidden="1" x14ac:dyDescent="0.25">
      <c r="A4116" s="173"/>
      <c r="B4116" s="175"/>
      <c r="C4116" s="32"/>
      <c r="D4116" s="32"/>
      <c r="E4116" s="33"/>
      <c r="F4116" s="54" t="s">
        <v>568</v>
      </c>
      <c r="G4116" s="54" t="str">
        <f>IF(ISNUMBER(F4116),E4116*F4116,"")</f>
        <v/>
      </c>
      <c r="H4116" s="73"/>
      <c r="I4116" s="74"/>
      <c r="J4116" s="155">
        <v>0</v>
      </c>
    </row>
    <row r="4117" spans="1:10" hidden="1" x14ac:dyDescent="0.25">
      <c r="A4117" s="173"/>
      <c r="B4117" s="175"/>
      <c r="C4117" s="36" t="s">
        <v>1325</v>
      </c>
      <c r="D4117" s="36" t="s">
        <v>104</v>
      </c>
      <c r="E4117" s="37">
        <f>ROUND(0.33*1.15,4)</f>
        <v>0.3795</v>
      </c>
      <c r="F4117" s="54">
        <v>19.227999999999998</v>
      </c>
      <c r="G4117" s="54">
        <f>IF(ISNUMBER(F4117),E4117*F4117,"")</f>
        <v>7.2970259999999989</v>
      </c>
      <c r="H4117" s="39">
        <f>SUM(G4117:G4119)</f>
        <v>12.728755499999998</v>
      </c>
      <c r="I4117" s="40"/>
      <c r="J4117" s="155">
        <v>0</v>
      </c>
    </row>
    <row r="4118" spans="1:10" hidden="1" x14ac:dyDescent="0.25">
      <c r="A4118" s="173"/>
      <c r="B4118" s="175"/>
      <c r="C4118" s="36" t="s">
        <v>1152</v>
      </c>
      <c r="D4118" s="36" t="s">
        <v>755</v>
      </c>
      <c r="E4118" s="37">
        <v>0.187</v>
      </c>
      <c r="F4118" s="54">
        <v>23.027999999999999</v>
      </c>
      <c r="G4118" s="54">
        <f>IF(ISNUMBER(F4118),E4118*F4118,"")</f>
        <v>4.3062360000000002</v>
      </c>
      <c r="H4118" s="73"/>
      <c r="I4118" s="74"/>
      <c r="J4118" s="155">
        <v>0</v>
      </c>
    </row>
    <row r="4119" spans="1:10" hidden="1" x14ac:dyDescent="0.25">
      <c r="A4119" s="173"/>
      <c r="B4119" s="175"/>
      <c r="C4119" s="36" t="s">
        <v>756</v>
      </c>
      <c r="D4119" s="36" t="s">
        <v>755</v>
      </c>
      <c r="E4119" s="37">
        <v>6.9000000000000006E-2</v>
      </c>
      <c r="F4119" s="54">
        <v>16.311500000000002</v>
      </c>
      <c r="G4119" s="54">
        <f>IF(ISNUMBER(F4119),E4119*F4119,"")</f>
        <v>1.1254935000000001</v>
      </c>
      <c r="H4119" s="73"/>
      <c r="I4119" s="74"/>
      <c r="J4119" s="155">
        <v>0</v>
      </c>
    </row>
    <row r="4120" spans="1:10" hidden="1" x14ac:dyDescent="0.25">
      <c r="A4120" s="173"/>
      <c r="B4120" s="175"/>
      <c r="C4120" s="36"/>
      <c r="D4120" s="36"/>
      <c r="E4120" s="37"/>
      <c r="F4120" s="54" t="s">
        <v>568</v>
      </c>
      <c r="G4120" s="54" t="str">
        <f>IF(ISNUMBER(F4120),E4120*F4120,"")</f>
        <v/>
      </c>
      <c r="H4120" s="73"/>
      <c r="I4120" s="74"/>
      <c r="J4120" s="155">
        <v>0</v>
      </c>
    </row>
    <row r="4121" spans="1:10" ht="25.5" hidden="1" x14ac:dyDescent="0.25">
      <c r="A4121" s="173"/>
      <c r="B4121" s="175"/>
      <c r="C4121" s="36" t="s">
        <v>1326</v>
      </c>
      <c r="D4121" s="36"/>
      <c r="E4121" s="37"/>
      <c r="F4121" s="54" t="s">
        <v>568</v>
      </c>
      <c r="G4121" s="54" t="str">
        <f>IF(ISNUMBER(F4121),E4121*F4121,"")</f>
        <v/>
      </c>
      <c r="H4121" s="73"/>
      <c r="I4121" s="74"/>
      <c r="J4121" s="155">
        <v>0</v>
      </c>
    </row>
    <row r="4122" spans="1:10" ht="15.75" hidden="1" thickBot="1" x14ac:dyDescent="0.3">
      <c r="A4122" s="173"/>
      <c r="B4122" s="175"/>
      <c r="C4122" s="55"/>
      <c r="D4122" s="55"/>
      <c r="E4122" s="66"/>
      <c r="F4122" s="76" t="s">
        <v>568</v>
      </c>
      <c r="G4122" s="76" t="str">
        <f>IF(ISNUMBER(F4122),E4122*F4122,"")</f>
        <v/>
      </c>
      <c r="H4122" s="77"/>
      <c r="I4122" s="74"/>
      <c r="J4122" s="155">
        <v>0</v>
      </c>
    </row>
    <row r="4123" spans="1:10" ht="15.75" hidden="1" thickBot="1" x14ac:dyDescent="0.3">
      <c r="A4123" s="172" t="s">
        <v>1328</v>
      </c>
      <c r="B4123" s="174" t="str">
        <f>INDEX(Orçamentária!A:B,MATCH(Composições!A4123,Orçamentária!A:A,0),2)</f>
        <v>Pintura com tinta acrílica (pisos)</v>
      </c>
      <c r="C4123" s="41"/>
      <c r="D4123" s="26" t="str">
        <f>TRIM(INDEX(Orçamentária!C:C,MATCH(Composições!A4123,Orçamentária!A:A,0),1))</f>
        <v>m2</v>
      </c>
      <c r="E4123" s="27"/>
      <c r="F4123" s="49" t="s">
        <v>568</v>
      </c>
      <c r="G4123" s="28" t="str">
        <f>IF(ISNUMBER(F4123),E4123*F4123,"")</f>
        <v/>
      </c>
      <c r="H4123" s="29"/>
      <c r="I4123" s="30"/>
      <c r="J4123" s="155">
        <v>0</v>
      </c>
    </row>
    <row r="4124" spans="1:10" hidden="1" x14ac:dyDescent="0.25">
      <c r="A4124" s="173"/>
      <c r="B4124" s="175"/>
      <c r="C4124" s="32"/>
      <c r="D4124" s="32"/>
      <c r="E4124" s="33"/>
      <c r="F4124" s="54" t="s">
        <v>568</v>
      </c>
      <c r="G4124" s="54" t="str">
        <f>IF(ISNUMBER(F4124),E4124*F4124,"")</f>
        <v/>
      </c>
      <c r="H4124" s="73"/>
      <c r="I4124" s="74"/>
      <c r="J4124" s="155">
        <v>0</v>
      </c>
    </row>
    <row r="4125" spans="1:10" hidden="1" x14ac:dyDescent="0.25">
      <c r="A4125" s="173"/>
      <c r="B4125" s="175"/>
      <c r="C4125" s="36" t="s">
        <v>1151</v>
      </c>
      <c r="D4125" s="36" t="s">
        <v>104</v>
      </c>
      <c r="E4125" s="37">
        <v>0.17</v>
      </c>
      <c r="F4125" s="54">
        <v>12.824999999999999</v>
      </c>
      <c r="G4125" s="54">
        <f>IF(ISNUMBER(F4125),E4125*F4125,"")</f>
        <v>2.18025</v>
      </c>
      <c r="H4125" s="39">
        <f>SUM(G4125:G4127)</f>
        <v>14.317925000000001</v>
      </c>
      <c r="I4125" s="40"/>
      <c r="J4125" s="155">
        <v>0</v>
      </c>
    </row>
    <row r="4126" spans="1:10" hidden="1" x14ac:dyDescent="0.25">
      <c r="A4126" s="173"/>
      <c r="B4126" s="175"/>
      <c r="C4126" s="36" t="s">
        <v>1152</v>
      </c>
      <c r="D4126" s="36" t="s">
        <v>755</v>
      </c>
      <c r="E4126" s="37">
        <v>0.35</v>
      </c>
      <c r="F4126" s="54">
        <v>23.027999999999999</v>
      </c>
      <c r="G4126" s="54">
        <f>IF(ISNUMBER(F4126),E4126*F4126,"")</f>
        <v>8.0597999999999992</v>
      </c>
      <c r="H4126" s="73"/>
      <c r="I4126" s="74"/>
      <c r="J4126" s="155">
        <v>0</v>
      </c>
    </row>
    <row r="4127" spans="1:10" hidden="1" x14ac:dyDescent="0.25">
      <c r="A4127" s="173"/>
      <c r="B4127" s="175"/>
      <c r="C4127" s="36" t="s">
        <v>756</v>
      </c>
      <c r="D4127" s="36" t="s">
        <v>755</v>
      </c>
      <c r="E4127" s="37">
        <v>0.25</v>
      </c>
      <c r="F4127" s="54">
        <v>16.311500000000002</v>
      </c>
      <c r="G4127" s="54">
        <f>IF(ISNUMBER(F4127),E4127*F4127,"")</f>
        <v>4.0778750000000006</v>
      </c>
      <c r="H4127" s="73"/>
      <c r="I4127" s="74"/>
      <c r="J4127" s="155">
        <v>0</v>
      </c>
    </row>
    <row r="4128" spans="1:10" ht="15.75" hidden="1" thickBot="1" x14ac:dyDescent="0.3">
      <c r="A4128" s="173"/>
      <c r="B4128" s="175"/>
      <c r="C4128" s="55"/>
      <c r="D4128" s="55"/>
      <c r="E4128" s="66"/>
      <c r="F4128" s="76" t="s">
        <v>568</v>
      </c>
      <c r="G4128" s="76" t="str">
        <f>IF(ISNUMBER(F4128),E4128*F4128,"")</f>
        <v/>
      </c>
      <c r="H4128" s="77"/>
      <c r="I4128" s="74"/>
      <c r="J4128" s="155">
        <v>0</v>
      </c>
    </row>
    <row r="4129" spans="1:10" ht="15.75" hidden="1" thickBot="1" x14ac:dyDescent="0.3">
      <c r="A4129" s="172" t="s">
        <v>1329</v>
      </c>
      <c r="B4129" s="174" t="str">
        <f>INDEX(Orçamentária!A:B,MATCH(Composições!A4129,Orçamentária!A:A,0),2)</f>
        <v>Pintura com tinta epóxi de alto desempenho (pisos)</v>
      </c>
      <c r="C4129" s="41"/>
      <c r="D4129" s="26" t="str">
        <f>TRIM(INDEX(Orçamentária!C:C,MATCH(Composições!A4129,Orçamentária!A:A,0),1))</f>
        <v>m2</v>
      </c>
      <c r="E4129" s="27"/>
      <c r="F4129" s="49" t="s">
        <v>568</v>
      </c>
      <c r="G4129" s="28" t="str">
        <f>IF(ISNUMBER(F4129),E4129*F4129,"")</f>
        <v/>
      </c>
      <c r="H4129" s="29"/>
      <c r="I4129" s="30"/>
      <c r="J4129" s="155">
        <v>0</v>
      </c>
    </row>
    <row r="4130" spans="1:10" hidden="1" x14ac:dyDescent="0.25">
      <c r="A4130" s="173"/>
      <c r="B4130" s="175"/>
      <c r="C4130" s="32"/>
      <c r="D4130" s="32"/>
      <c r="E4130" s="33"/>
      <c r="F4130" s="54" t="s">
        <v>568</v>
      </c>
      <c r="G4130" s="54" t="str">
        <f>IF(ISNUMBER(F4130),E4130*F4130,"")</f>
        <v/>
      </c>
      <c r="H4130" s="73"/>
      <c r="I4130" s="74"/>
      <c r="J4130" s="155">
        <v>0</v>
      </c>
    </row>
    <row r="4131" spans="1:10" hidden="1" x14ac:dyDescent="0.25">
      <c r="A4131" s="173"/>
      <c r="B4131" s="175"/>
      <c r="C4131" s="36" t="s">
        <v>3814</v>
      </c>
      <c r="D4131" s="36" t="s">
        <v>104</v>
      </c>
      <c r="E4131" s="37">
        <v>0.52559999999999996</v>
      </c>
      <c r="F4131" s="54">
        <v>58.719499999999996</v>
      </c>
      <c r="G4131" s="54">
        <f>IF(ISNUMBER(F4131),E4131*F4131,"")</f>
        <v>30.862969199999995</v>
      </c>
      <c r="H4131" s="39">
        <f>SUM(G4131:G4134)</f>
        <v>56.399972399999996</v>
      </c>
      <c r="I4131" s="40"/>
      <c r="J4131" s="155">
        <v>0</v>
      </c>
    </row>
    <row r="4132" spans="1:10" hidden="1" x14ac:dyDescent="0.25">
      <c r="A4132" s="173"/>
      <c r="B4132" s="175"/>
      <c r="C4132" s="36" t="s">
        <v>764</v>
      </c>
      <c r="D4132" s="36" t="s">
        <v>755</v>
      </c>
      <c r="E4132" s="37">
        <v>0.5</v>
      </c>
      <c r="F4132" s="54">
        <v>22.087499999999999</v>
      </c>
      <c r="G4132" s="54">
        <f>IF(ISNUMBER(F4132),E4132*F4132,"")</f>
        <v>11.043749999999999</v>
      </c>
      <c r="H4132" s="73"/>
      <c r="I4132" s="74"/>
      <c r="J4132" s="155">
        <v>0</v>
      </c>
    </row>
    <row r="4133" spans="1:10" hidden="1" x14ac:dyDescent="0.25">
      <c r="A4133" s="173"/>
      <c r="B4133" s="175"/>
      <c r="C4133" s="36" t="s">
        <v>756</v>
      </c>
      <c r="D4133" s="36" t="s">
        <v>755</v>
      </c>
      <c r="E4133" s="37">
        <v>0.5</v>
      </c>
      <c r="F4133" s="54">
        <v>16.311500000000002</v>
      </c>
      <c r="G4133" s="54">
        <f>IF(ISNUMBER(F4133),E4133*F4133,"")</f>
        <v>8.1557500000000012</v>
      </c>
      <c r="H4133" s="73"/>
      <c r="I4133" s="74"/>
      <c r="J4133" s="155">
        <v>0</v>
      </c>
    </row>
    <row r="4134" spans="1:10" hidden="1" x14ac:dyDescent="0.25">
      <c r="A4134" s="173"/>
      <c r="B4134" s="175"/>
      <c r="C4134" s="36" t="s">
        <v>1330</v>
      </c>
      <c r="D4134" s="36" t="s">
        <v>1331</v>
      </c>
      <c r="E4134" s="37">
        <v>3.9199999999999999E-2</v>
      </c>
      <c r="F4134" s="54">
        <v>161.67099999999999</v>
      </c>
      <c r="G4134" s="54">
        <f>IF(ISNUMBER(F4134),E4134*F4134,"")</f>
        <v>6.3375031999999996</v>
      </c>
      <c r="H4134" s="73"/>
      <c r="I4134" s="74"/>
      <c r="J4134" s="155">
        <v>0</v>
      </c>
    </row>
    <row r="4135" spans="1:10" ht="15.75" hidden="1" thickBot="1" x14ac:dyDescent="0.3">
      <c r="A4135" s="173"/>
      <c r="B4135" s="175"/>
      <c r="C4135" s="55"/>
      <c r="D4135" s="55"/>
      <c r="E4135" s="66"/>
      <c r="F4135" s="76" t="s">
        <v>568</v>
      </c>
      <c r="G4135" s="76" t="str">
        <f>IF(ISNUMBER(F4135),E4135*F4135,"")</f>
        <v/>
      </c>
      <c r="H4135" s="77"/>
      <c r="I4135" s="74"/>
      <c r="J4135" s="155">
        <v>0</v>
      </c>
    </row>
    <row r="4136" spans="1:10" ht="15.75" hidden="1" thickBot="1" x14ac:dyDescent="0.3">
      <c r="A4136" s="172" t="s">
        <v>1332</v>
      </c>
      <c r="B4136" s="174" t="str">
        <f>INDEX(Orçamentária!A:B,MATCH(Composições!A4136,Orçamentária!A:A,0),2)</f>
        <v>Verniz de poliuretano sobre pintura epóxi de alto desempenho</v>
      </c>
      <c r="C4136" s="41"/>
      <c r="D4136" s="26" t="str">
        <f>TRIM(INDEX(Orçamentária!C:C,MATCH(Composições!A4136,Orçamentária!A:A,0),1))</f>
        <v>m2</v>
      </c>
      <c r="E4136" s="27"/>
      <c r="F4136" s="49" t="s">
        <v>568</v>
      </c>
      <c r="G4136" s="28" t="str">
        <f>IF(ISNUMBER(F4136),E4136*F4136,"")</f>
        <v/>
      </c>
      <c r="H4136" s="29"/>
      <c r="I4136" s="30"/>
      <c r="J4136" s="155">
        <v>0</v>
      </c>
    </row>
    <row r="4137" spans="1:10" hidden="1" x14ac:dyDescent="0.25">
      <c r="A4137" s="173"/>
      <c r="B4137" s="175"/>
      <c r="C4137" s="32"/>
      <c r="D4137" s="32"/>
      <c r="E4137" s="33"/>
      <c r="F4137" s="54" t="s">
        <v>568</v>
      </c>
      <c r="G4137" s="54" t="str">
        <f>IF(ISNUMBER(F4137),E4137*F4137,"")</f>
        <v/>
      </c>
      <c r="H4137" s="73"/>
      <c r="I4137" s="74"/>
      <c r="J4137" s="155">
        <v>0</v>
      </c>
    </row>
    <row r="4138" spans="1:10" ht="25.5" hidden="1" x14ac:dyDescent="0.25">
      <c r="A4138" s="173"/>
      <c r="B4138" s="175"/>
      <c r="C4138" s="36" t="s">
        <v>1333</v>
      </c>
      <c r="D4138" s="36" t="s">
        <v>297</v>
      </c>
      <c r="E4138" s="37">
        <v>0.4</v>
      </c>
      <c r="F4138" s="54">
        <v>0.61749999999999994</v>
      </c>
      <c r="G4138" s="54">
        <f>IF(ISNUMBER(F4138),E4138*F4138,"")</f>
        <v>0.247</v>
      </c>
      <c r="H4138" s="39">
        <f>SUM(G4138:G4142)</f>
        <v>19.004645500000002</v>
      </c>
      <c r="I4138" s="40"/>
      <c r="J4138" s="155">
        <v>0</v>
      </c>
    </row>
    <row r="4139" spans="1:10" hidden="1" x14ac:dyDescent="0.25">
      <c r="A4139" s="173"/>
      <c r="B4139" s="175"/>
      <c r="C4139" s="36" t="s">
        <v>1334</v>
      </c>
      <c r="D4139" s="36" t="s">
        <v>104</v>
      </c>
      <c r="E4139" s="37">
        <v>3.3000000000000002E-2</v>
      </c>
      <c r="F4139" s="54">
        <v>11.4285</v>
      </c>
      <c r="G4139" s="54">
        <f>IF(ISNUMBER(F4139),E4139*F4139,"")</f>
        <v>0.37714049999999999</v>
      </c>
      <c r="H4139" s="73"/>
      <c r="I4139" s="74"/>
      <c r="J4139" s="155">
        <v>0</v>
      </c>
    </row>
    <row r="4140" spans="1:10" ht="25.5" hidden="1" x14ac:dyDescent="0.25">
      <c r="A4140" s="173"/>
      <c r="B4140" s="175"/>
      <c r="C4140" s="36" t="s">
        <v>1335</v>
      </c>
      <c r="D4140" s="36" t="s">
        <v>104</v>
      </c>
      <c r="E4140" s="37">
        <v>0.22</v>
      </c>
      <c r="F4140" s="54">
        <v>28.3765</v>
      </c>
      <c r="G4140" s="54">
        <f>IF(ISNUMBER(F4140),E4140*F4140,"")</f>
        <v>6.2428299999999997</v>
      </c>
      <c r="H4140" s="73"/>
      <c r="I4140" s="74"/>
      <c r="J4140" s="155">
        <v>0</v>
      </c>
    </row>
    <row r="4141" spans="1:10" hidden="1" x14ac:dyDescent="0.25">
      <c r="A4141" s="173"/>
      <c r="B4141" s="175"/>
      <c r="C4141" s="36" t="s">
        <v>1152</v>
      </c>
      <c r="D4141" s="36" t="s">
        <v>755</v>
      </c>
      <c r="E4141" s="37">
        <v>0.35</v>
      </c>
      <c r="F4141" s="54">
        <v>23.027999999999999</v>
      </c>
      <c r="G4141" s="54">
        <f>IF(ISNUMBER(F4141),E4141*F4141,"")</f>
        <v>8.0597999999999992</v>
      </c>
      <c r="H4141" s="73"/>
      <c r="I4141" s="74"/>
      <c r="J4141" s="155">
        <v>0</v>
      </c>
    </row>
    <row r="4142" spans="1:10" hidden="1" x14ac:dyDescent="0.25">
      <c r="A4142" s="173"/>
      <c r="B4142" s="175"/>
      <c r="C4142" s="36" t="s">
        <v>756</v>
      </c>
      <c r="D4142" s="36" t="s">
        <v>755</v>
      </c>
      <c r="E4142" s="37">
        <v>0.25</v>
      </c>
      <c r="F4142" s="54">
        <v>16.311500000000002</v>
      </c>
      <c r="G4142" s="54">
        <f>IF(ISNUMBER(F4142),E4142*F4142,"")</f>
        <v>4.0778750000000006</v>
      </c>
      <c r="H4142" s="73"/>
      <c r="I4142" s="74"/>
      <c r="J4142" s="155">
        <v>0</v>
      </c>
    </row>
    <row r="4143" spans="1:10" ht="15.75" hidden="1" thickBot="1" x14ac:dyDescent="0.3">
      <c r="A4143" s="185"/>
      <c r="B4143" s="178"/>
      <c r="C4143" s="55"/>
      <c r="D4143" s="55"/>
      <c r="E4143" s="66"/>
      <c r="F4143" s="76" t="s">
        <v>568</v>
      </c>
      <c r="G4143" s="76" t="str">
        <f>IF(ISNUMBER(F4143),E4143*F4143,"")</f>
        <v/>
      </c>
      <c r="H4143" s="77"/>
      <c r="I4143" s="74"/>
      <c r="J4143" s="155">
        <v>0</v>
      </c>
    </row>
    <row r="4144" spans="1:10" ht="15.75" hidden="1" thickBot="1" x14ac:dyDescent="0.3">
      <c r="A4144" s="172" t="s">
        <v>1336</v>
      </c>
      <c r="B4144" s="174" t="str">
        <f>INDEX(Orçamentária!A:B,MATCH(Composições!A4144,Orçamentária!A:A,0),2)</f>
        <v>Tratamento antiderrapante em verniz de poliuretano sobre pintura epóxi</v>
      </c>
      <c r="C4144" s="41"/>
      <c r="D4144" s="26" t="str">
        <f>TRIM(INDEX(Orçamentária!C:C,MATCH(Composições!A4144,Orçamentária!A:A,0),1))</f>
        <v>m2</v>
      </c>
      <c r="E4144" s="27"/>
      <c r="F4144" s="49" t="s">
        <v>568</v>
      </c>
      <c r="G4144" s="28" t="str">
        <f>IF(ISNUMBER(F4144),E4144*F4144,"")</f>
        <v/>
      </c>
      <c r="H4144" s="29"/>
      <c r="I4144" s="30"/>
      <c r="J4144" s="155">
        <v>0</v>
      </c>
    </row>
    <row r="4145" spans="1:10" hidden="1" x14ac:dyDescent="0.25">
      <c r="A4145" s="173"/>
      <c r="B4145" s="175"/>
      <c r="C4145" s="32"/>
      <c r="D4145" s="32"/>
      <c r="E4145" s="33"/>
      <c r="F4145" s="54" t="s">
        <v>568</v>
      </c>
      <c r="G4145" s="54" t="str">
        <f>IF(ISNUMBER(F4145),E4145*F4145,"")</f>
        <v/>
      </c>
      <c r="H4145" s="73"/>
      <c r="I4145" s="74"/>
      <c r="J4145" s="155">
        <v>0</v>
      </c>
    </row>
    <row r="4146" spans="1:10" ht="25.5" hidden="1" x14ac:dyDescent="0.25">
      <c r="A4146" s="173"/>
      <c r="B4146" s="175"/>
      <c r="C4146" s="36" t="s">
        <v>1337</v>
      </c>
      <c r="D4146" s="36" t="s">
        <v>953</v>
      </c>
      <c r="E4146" s="37">
        <v>2</v>
      </c>
      <c r="F4146" s="54" t="s">
        <v>568</v>
      </c>
      <c r="G4146" s="54" t="str">
        <f>IF(ISNUMBER(F4146),E4146*F4146,"")</f>
        <v/>
      </c>
      <c r="H4146" s="39">
        <f>SUM(G4146:G4147)</f>
        <v>1.1254935000000001</v>
      </c>
      <c r="I4146" s="40"/>
      <c r="J4146" s="155">
        <v>0</v>
      </c>
    </row>
    <row r="4147" spans="1:10" hidden="1" x14ac:dyDescent="0.25">
      <c r="A4147" s="173"/>
      <c r="B4147" s="175"/>
      <c r="C4147" s="36" t="s">
        <v>756</v>
      </c>
      <c r="D4147" s="36" t="s">
        <v>755</v>
      </c>
      <c r="E4147" s="37">
        <v>6.9000000000000006E-2</v>
      </c>
      <c r="F4147" s="54">
        <v>16.311500000000002</v>
      </c>
      <c r="G4147" s="54">
        <f>IF(ISNUMBER(F4147),E4147*F4147,"")</f>
        <v>1.1254935000000001</v>
      </c>
      <c r="H4147" s="73"/>
      <c r="I4147" s="74"/>
      <c r="J4147" s="155">
        <v>0</v>
      </c>
    </row>
    <row r="4148" spans="1:10" ht="15.75" hidden="1" thickBot="1" x14ac:dyDescent="0.3">
      <c r="A4148" s="173"/>
      <c r="B4148" s="175"/>
      <c r="C4148" s="55"/>
      <c r="D4148" s="55"/>
      <c r="E4148" s="66"/>
      <c r="F4148" s="76" t="s">
        <v>568</v>
      </c>
      <c r="G4148" s="76" t="str">
        <f>IF(ISNUMBER(F4148),E4148*F4148,"")</f>
        <v/>
      </c>
      <c r="H4148" s="77"/>
      <c r="I4148" s="74"/>
      <c r="J4148" s="155">
        <v>0</v>
      </c>
    </row>
    <row r="4149" spans="1:10" ht="15.75" hidden="1" thickBot="1" x14ac:dyDescent="0.3">
      <c r="A4149" s="172" t="s">
        <v>1338</v>
      </c>
      <c r="B4149" s="174" t="str">
        <f>INDEX(Orçamentária!A:B,MATCH(Composições!A4149,Orçamentária!A:A,0),2)</f>
        <v>Pintura para superfícies galvanizadas</v>
      </c>
      <c r="C4149" s="41"/>
      <c r="D4149" s="26" t="str">
        <f>TRIM(INDEX(Orçamentária!C:C,MATCH(Composições!A4149,Orçamentária!A:A,0),1))</f>
        <v>m2</v>
      </c>
      <c r="E4149" s="27"/>
      <c r="F4149" s="49" t="s">
        <v>568</v>
      </c>
      <c r="G4149" s="28" t="str">
        <f>IF(ISNUMBER(F4149),E4149*F4149,"")</f>
        <v/>
      </c>
      <c r="H4149" s="29"/>
      <c r="I4149" s="30"/>
      <c r="J4149" s="155">
        <v>0</v>
      </c>
    </row>
    <row r="4150" spans="1:10" hidden="1" x14ac:dyDescent="0.25">
      <c r="A4150" s="173"/>
      <c r="B4150" s="175"/>
      <c r="C4150" s="32"/>
      <c r="D4150" s="32"/>
      <c r="E4150" s="33"/>
      <c r="F4150" s="54" t="s">
        <v>568</v>
      </c>
      <c r="G4150" s="54" t="str">
        <f>IF(ISNUMBER(F4150),E4150*F4150,"")</f>
        <v/>
      </c>
      <c r="H4150" s="73"/>
      <c r="I4150" s="74"/>
      <c r="J4150" s="155">
        <v>0</v>
      </c>
    </row>
    <row r="4151" spans="1:10" hidden="1" x14ac:dyDescent="0.25">
      <c r="A4151" s="173"/>
      <c r="B4151" s="175"/>
      <c r="C4151" s="36" t="s">
        <v>1334</v>
      </c>
      <c r="D4151" s="36" t="s">
        <v>104</v>
      </c>
      <c r="E4151" s="37">
        <v>6.1899999999999997E-2</v>
      </c>
      <c r="F4151" s="54">
        <v>11.4285</v>
      </c>
      <c r="G4151" s="54">
        <f>IF(ISNUMBER(F4151),E4151*F4151,"")</f>
        <v>0.70742414999999992</v>
      </c>
      <c r="H4151" s="39">
        <f>SUM(G4151:G4157)</f>
        <v>20.710909149999999</v>
      </c>
      <c r="I4151" s="40"/>
      <c r="J4151" s="155">
        <v>0</v>
      </c>
    </row>
    <row r="4152" spans="1:10" hidden="1" x14ac:dyDescent="0.25">
      <c r="A4152" s="173"/>
      <c r="B4152" s="175"/>
      <c r="C4152" s="36" t="s">
        <v>1339</v>
      </c>
      <c r="D4152" s="36" t="s">
        <v>213</v>
      </c>
      <c r="E4152" s="37">
        <v>1.15E-2</v>
      </c>
      <c r="F4152" s="54" t="s">
        <v>568</v>
      </c>
      <c r="G4152" s="54" t="str">
        <f>IF(ISNUMBER(F4152),E4152*F4152,"")</f>
        <v/>
      </c>
      <c r="H4152" s="73"/>
      <c r="I4152" s="74"/>
      <c r="J4152" s="155">
        <v>0</v>
      </c>
    </row>
    <row r="4153" spans="1:10" hidden="1" x14ac:dyDescent="0.25">
      <c r="A4153" s="173"/>
      <c r="B4153" s="175"/>
      <c r="C4153" s="36" t="s">
        <v>1152</v>
      </c>
      <c r="D4153" s="36" t="s">
        <v>755</v>
      </c>
      <c r="E4153" s="37">
        <v>0.52659999999999996</v>
      </c>
      <c r="F4153" s="54">
        <v>23.027999999999999</v>
      </c>
      <c r="G4153" s="54">
        <f>IF(ISNUMBER(F4153),E4153*F4153,"")</f>
        <v>12.126544799999998</v>
      </c>
      <c r="H4153" s="73"/>
      <c r="I4153" s="74"/>
      <c r="J4153" s="155">
        <v>0</v>
      </c>
    </row>
    <row r="4154" spans="1:10" ht="38.25" hidden="1" x14ac:dyDescent="0.25">
      <c r="A4154" s="173"/>
      <c r="B4154" s="175"/>
      <c r="C4154" s="36" t="s">
        <v>1340</v>
      </c>
      <c r="D4154" s="36" t="s">
        <v>999</v>
      </c>
      <c r="E4154" s="37">
        <v>0.37319999999999998</v>
      </c>
      <c r="F4154" s="54">
        <v>0.152</v>
      </c>
      <c r="G4154" s="54">
        <f>IF(ISNUMBER(F4154),E4154*F4154,"")</f>
        <v>5.6726399999999996E-2</v>
      </c>
      <c r="H4154" s="73"/>
      <c r="I4154" s="74"/>
      <c r="J4154" s="155">
        <v>0</v>
      </c>
    </row>
    <row r="4155" spans="1:10" ht="38.25" hidden="1" x14ac:dyDescent="0.25">
      <c r="A4155" s="173"/>
      <c r="B4155" s="175"/>
      <c r="C4155" s="36" t="s">
        <v>1341</v>
      </c>
      <c r="D4155" s="36" t="s">
        <v>997</v>
      </c>
      <c r="E4155" s="37">
        <v>0.15340000000000001</v>
      </c>
      <c r="F4155" s="54">
        <v>1.0449999999999999</v>
      </c>
      <c r="G4155" s="54">
        <f>IF(ISNUMBER(F4155),E4155*F4155,"")</f>
        <v>0.160303</v>
      </c>
      <c r="H4155" s="73"/>
      <c r="I4155" s="74"/>
      <c r="J4155" s="155">
        <v>0</v>
      </c>
    </row>
    <row r="4156" spans="1:10" hidden="1" x14ac:dyDescent="0.25">
      <c r="A4156" s="173"/>
      <c r="B4156" s="175"/>
      <c r="C4156" s="36" t="s">
        <v>1342</v>
      </c>
      <c r="D4156" s="36" t="s">
        <v>297</v>
      </c>
      <c r="E4156" s="37">
        <v>0.3</v>
      </c>
      <c r="F4156" s="54">
        <v>2.6124999999999998</v>
      </c>
      <c r="G4156" s="54">
        <f>IF(ISNUMBER(F4156),E4156*F4156,"")</f>
        <v>0.78374999999999995</v>
      </c>
      <c r="H4156" s="73"/>
      <c r="I4156" s="74"/>
      <c r="J4156" s="155">
        <v>0</v>
      </c>
    </row>
    <row r="4157" spans="1:10" hidden="1" x14ac:dyDescent="0.25">
      <c r="A4157" s="173"/>
      <c r="B4157" s="175"/>
      <c r="C4157" s="36" t="s">
        <v>1152</v>
      </c>
      <c r="D4157" s="36" t="s">
        <v>755</v>
      </c>
      <c r="E4157" s="37">
        <v>0.29859999999999998</v>
      </c>
      <c r="F4157" s="54">
        <v>23.027999999999999</v>
      </c>
      <c r="G4157" s="54">
        <f>IF(ISNUMBER(F4157),E4157*F4157,"")</f>
        <v>6.8761607999999992</v>
      </c>
      <c r="H4157" s="73"/>
      <c r="I4157" s="74"/>
      <c r="J4157" s="155">
        <v>0</v>
      </c>
    </row>
    <row r="4158" spans="1:10" ht="15.75" hidden="1" thickBot="1" x14ac:dyDescent="0.3">
      <c r="A4158" s="185"/>
      <c r="B4158" s="178"/>
      <c r="C4158" s="55"/>
      <c r="D4158" s="55"/>
      <c r="E4158" s="66"/>
      <c r="F4158" s="76" t="s">
        <v>568</v>
      </c>
      <c r="G4158" s="76" t="str">
        <f>IF(ISNUMBER(F4158),E4158*F4158,"")</f>
        <v/>
      </c>
      <c r="H4158" s="77"/>
      <c r="I4158" s="74"/>
      <c r="J4158" s="155">
        <v>0</v>
      </c>
    </row>
    <row r="4159" spans="1:10" ht="15.75" hidden="1" thickBot="1" x14ac:dyDescent="0.3">
      <c r="A4159" s="172" t="s">
        <v>1343</v>
      </c>
      <c r="B4159" s="174" t="str">
        <f>INDEX(Orçamentária!A:B,MATCH(Composições!A4159,Orçamentária!A:A,0),2)</f>
        <v>Selagem ou resselagem de juntas em pavimentação de concreto armado</v>
      </c>
      <c r="C4159" s="41"/>
      <c r="D4159" s="26" t="str">
        <f>TRIM(INDEX(Orçamentária!C:C,MATCH(Composições!A4159,Orçamentária!A:A,0),1))</f>
        <v>m</v>
      </c>
      <c r="E4159" s="27"/>
      <c r="F4159" s="49" t="s">
        <v>568</v>
      </c>
      <c r="G4159" s="28" t="str">
        <f>IF(ISNUMBER(F4159),E4159*F4159,"")</f>
        <v/>
      </c>
      <c r="H4159" s="29"/>
      <c r="I4159" s="30"/>
      <c r="J4159" s="155">
        <v>0</v>
      </c>
    </row>
    <row r="4160" spans="1:10" hidden="1" x14ac:dyDescent="0.25">
      <c r="A4160" s="173"/>
      <c r="B4160" s="175"/>
      <c r="C4160" s="32"/>
      <c r="D4160" s="32"/>
      <c r="E4160" s="33"/>
      <c r="F4160" s="54" t="s">
        <v>568</v>
      </c>
      <c r="G4160" s="54" t="str">
        <f>IF(ISNUMBER(F4160),E4160*F4160,"")</f>
        <v/>
      </c>
      <c r="H4160" s="73"/>
      <c r="I4160" s="74"/>
      <c r="J4160" s="155">
        <v>0</v>
      </c>
    </row>
    <row r="4161" spans="1:10" hidden="1" x14ac:dyDescent="0.25">
      <c r="A4161" s="173"/>
      <c r="B4161" s="175"/>
      <c r="C4161" s="36" t="s">
        <v>756</v>
      </c>
      <c r="D4161" s="36" t="s">
        <v>12</v>
      </c>
      <c r="E4161" s="37">
        <f>ROUND(4/74.7,4)</f>
        <v>5.3499999999999999E-2</v>
      </c>
      <c r="F4161" s="54">
        <v>16.311500000000002</v>
      </c>
      <c r="G4161" s="54">
        <f>IF(ISNUMBER(F4161),E4161*F4161,"")</f>
        <v>0.87266525000000006</v>
      </c>
      <c r="H4161" s="39">
        <f>SUM(G4161:G4166)</f>
        <v>7.8848527499999994</v>
      </c>
      <c r="I4161" s="40"/>
      <c r="J4161" s="155">
        <v>0</v>
      </c>
    </row>
    <row r="4162" spans="1:10" hidden="1" x14ac:dyDescent="0.25">
      <c r="A4162" s="173"/>
      <c r="B4162" s="175"/>
      <c r="C4162" s="36" t="s">
        <v>1344</v>
      </c>
      <c r="D4162" s="36" t="s">
        <v>997</v>
      </c>
      <c r="E4162" s="37">
        <f>ROUND(1/74.7,4)</f>
        <v>1.34E-2</v>
      </c>
      <c r="F4162" s="54">
        <v>0</v>
      </c>
      <c r="G4162" s="54">
        <f>IF(ISNUMBER(F4162),E4162*F4162,"")</f>
        <v>0</v>
      </c>
      <c r="H4162" s="73"/>
      <c r="I4162" s="74"/>
      <c r="J4162" s="155">
        <v>0</v>
      </c>
    </row>
    <row r="4163" spans="1:10" hidden="1" x14ac:dyDescent="0.25">
      <c r="A4163" s="173"/>
      <c r="B4163" s="175"/>
      <c r="C4163" s="36" t="s">
        <v>1345</v>
      </c>
      <c r="D4163" s="36" t="s">
        <v>997</v>
      </c>
      <c r="E4163" s="37">
        <f>ROUND(1/74.7,4)</f>
        <v>1.34E-2</v>
      </c>
      <c r="F4163" s="54">
        <v>0</v>
      </c>
      <c r="G4163" s="54">
        <f>IF(ISNUMBER(F4163),E4163*F4163,"")</f>
        <v>0</v>
      </c>
      <c r="H4163" s="73"/>
      <c r="I4163" s="74"/>
      <c r="J4163" s="155">
        <v>0</v>
      </c>
    </row>
    <row r="4164" spans="1:10" hidden="1" x14ac:dyDescent="0.25">
      <c r="A4164" s="173"/>
      <c r="B4164" s="175"/>
      <c r="C4164" s="36" t="s">
        <v>1346</v>
      </c>
      <c r="D4164" s="36" t="s">
        <v>93</v>
      </c>
      <c r="E4164" s="37">
        <v>1</v>
      </c>
      <c r="F4164" s="54">
        <v>0</v>
      </c>
      <c r="G4164" s="54">
        <f>IF(ISNUMBER(F4164),E4164*F4164,"")</f>
        <v>0</v>
      </c>
      <c r="H4164" s="73"/>
      <c r="I4164" s="74"/>
      <c r="J4164" s="155">
        <v>0</v>
      </c>
    </row>
    <row r="4165" spans="1:10" hidden="1" x14ac:dyDescent="0.25">
      <c r="A4165" s="173"/>
      <c r="B4165" s="175"/>
      <c r="C4165" s="36" t="s">
        <v>1347</v>
      </c>
      <c r="D4165" s="36" t="s">
        <v>297</v>
      </c>
      <c r="E4165" s="37">
        <v>3.3E-3</v>
      </c>
      <c r="F4165" s="54">
        <v>0</v>
      </c>
      <c r="G4165" s="54">
        <f>IF(ISNUMBER(F4165),E4165*F4165,"")</f>
        <v>0</v>
      </c>
      <c r="H4165" s="73"/>
      <c r="I4165" s="74"/>
      <c r="J4165" s="155">
        <v>0</v>
      </c>
    </row>
    <row r="4166" spans="1:10" ht="25.5" hidden="1" x14ac:dyDescent="0.25">
      <c r="A4166" s="173"/>
      <c r="B4166" s="175"/>
      <c r="C4166" s="36" t="s">
        <v>1348</v>
      </c>
      <c r="D4166" s="36" t="s">
        <v>42</v>
      </c>
      <c r="E4166" s="37">
        <v>0.1181</v>
      </c>
      <c r="F4166" s="54">
        <v>59.375</v>
      </c>
      <c r="G4166" s="54">
        <f>IF(ISNUMBER(F4166),E4166*F4166,"")</f>
        <v>7.0121874999999996</v>
      </c>
      <c r="H4166" s="73"/>
      <c r="I4166" s="74"/>
      <c r="J4166" s="155">
        <v>0</v>
      </c>
    </row>
    <row r="4167" spans="1:10" ht="15.75" hidden="1" thickBot="1" x14ac:dyDescent="0.3">
      <c r="A4167" s="185"/>
      <c r="B4167" s="178"/>
      <c r="C4167" s="55"/>
      <c r="D4167" s="55"/>
      <c r="E4167" s="66"/>
      <c r="F4167" s="76" t="s">
        <v>568</v>
      </c>
      <c r="G4167" s="76" t="str">
        <f>IF(ISNUMBER(F4167),E4167*F4167,"")</f>
        <v/>
      </c>
      <c r="H4167" s="77"/>
      <c r="I4167" s="74"/>
      <c r="J4167" s="155">
        <v>0</v>
      </c>
    </row>
    <row r="4168" spans="1:10" ht="15.75" hidden="1" thickBot="1" x14ac:dyDescent="0.3">
      <c r="A4168" s="172" t="s">
        <v>1349</v>
      </c>
      <c r="B4168" s="174" t="str">
        <f>INDEX(Orçamentária!A:B,MATCH(Composições!A4168,Orçamentária!A:A,0),2)</f>
        <v>Pavimentação em elementos intertravados de concreto</v>
      </c>
      <c r="C4168" s="41"/>
      <c r="D4168" s="26" t="str">
        <f>TRIM(INDEX(Orçamentária!C:C,MATCH(Composições!A4168,Orçamentária!A:A,0),1))</f>
        <v>m2</v>
      </c>
      <c r="E4168" s="27"/>
      <c r="F4168" s="49" t="s">
        <v>568</v>
      </c>
      <c r="G4168" s="28" t="str">
        <f>IF(ISNUMBER(F4168),E4168*F4168,"")</f>
        <v/>
      </c>
      <c r="H4168" s="29"/>
      <c r="I4168" s="30"/>
      <c r="J4168" s="155">
        <v>0</v>
      </c>
    </row>
    <row r="4169" spans="1:10" hidden="1" x14ac:dyDescent="0.25">
      <c r="A4169" s="173"/>
      <c r="B4169" s="175"/>
      <c r="C4169" s="32"/>
      <c r="D4169" s="32"/>
      <c r="E4169" s="33"/>
      <c r="F4169" s="54" t="s">
        <v>568</v>
      </c>
      <c r="G4169" s="54" t="str">
        <f>IF(ISNUMBER(F4169),E4169*F4169,"")</f>
        <v/>
      </c>
      <c r="H4169" s="73"/>
      <c r="I4169" s="74"/>
      <c r="J4169" s="155">
        <v>0</v>
      </c>
    </row>
    <row r="4170" spans="1:10" ht="25.5" hidden="1" x14ac:dyDescent="0.25">
      <c r="A4170" s="173"/>
      <c r="B4170" s="175"/>
      <c r="C4170" s="36" t="s">
        <v>805</v>
      </c>
      <c r="D4170" s="36" t="s">
        <v>123</v>
      </c>
      <c r="E4170" s="37">
        <v>5.6800000000000003E-2</v>
      </c>
      <c r="F4170" s="54">
        <v>90.25</v>
      </c>
      <c r="G4170" s="54">
        <f>IF(ISNUMBER(F4170),E4170*F4170,"")</f>
        <v>5.1261999999999999</v>
      </c>
      <c r="H4170" s="39">
        <f>SUM(G4170:G4180)</f>
        <v>53.751169760819977</v>
      </c>
      <c r="I4170" s="40"/>
      <c r="J4170" s="155">
        <v>0</v>
      </c>
    </row>
    <row r="4171" spans="1:10" hidden="1" x14ac:dyDescent="0.25">
      <c r="A4171" s="173"/>
      <c r="B4171" s="175"/>
      <c r="C4171" s="36" t="s">
        <v>1350</v>
      </c>
      <c r="D4171" s="36" t="s">
        <v>123</v>
      </c>
      <c r="E4171" s="37">
        <v>3.5999999999999999E-3</v>
      </c>
      <c r="F4171" s="54">
        <v>111.1215</v>
      </c>
      <c r="G4171" s="54">
        <f>IF(ISNUMBER(F4171),E4171*F4171,"")</f>
        <v>0.40003739999999999</v>
      </c>
      <c r="H4171" s="73"/>
      <c r="I4171" s="74"/>
      <c r="J4171" s="155">
        <v>0</v>
      </c>
    </row>
    <row r="4172" spans="1:10" ht="38.25" hidden="1" x14ac:dyDescent="0.25">
      <c r="A4172" s="173"/>
      <c r="B4172" s="175"/>
      <c r="C4172" s="36" t="s">
        <v>1351</v>
      </c>
      <c r="D4172" s="36" t="s">
        <v>1049</v>
      </c>
      <c r="E4172" s="37">
        <v>1.0042</v>
      </c>
      <c r="F4172" s="54">
        <v>41.723999999999997</v>
      </c>
      <c r="G4172" s="54">
        <f>IF(ISNUMBER(F4172),E4172*F4172,"")</f>
        <v>41.899240799999994</v>
      </c>
      <c r="H4172" s="73"/>
      <c r="I4172" s="74"/>
      <c r="J4172" s="155">
        <v>0</v>
      </c>
    </row>
    <row r="4173" spans="1:10" hidden="1" x14ac:dyDescent="0.25">
      <c r="A4173" s="173"/>
      <c r="B4173" s="175"/>
      <c r="C4173" s="36" t="s">
        <v>1352</v>
      </c>
      <c r="D4173" s="36" t="s">
        <v>755</v>
      </c>
      <c r="E4173" s="37">
        <v>9.7000000000000003E-2</v>
      </c>
      <c r="F4173" s="54">
        <v>20.766999999999999</v>
      </c>
      <c r="G4173" s="54">
        <f>IF(ISNUMBER(F4173),E4173*F4173,"")</f>
        <v>2.0143990000000001</v>
      </c>
      <c r="H4173" s="73"/>
      <c r="I4173" s="74"/>
      <c r="J4173" s="155">
        <v>0</v>
      </c>
    </row>
    <row r="4174" spans="1:10" hidden="1" x14ac:dyDescent="0.25">
      <c r="A4174" s="173"/>
      <c r="B4174" s="175"/>
      <c r="C4174" s="36" t="s">
        <v>756</v>
      </c>
      <c r="D4174" s="36" t="s">
        <v>755</v>
      </c>
      <c r="E4174" s="37">
        <v>9.7000000000000003E-2</v>
      </c>
      <c r="F4174" s="54">
        <v>16.311500000000002</v>
      </c>
      <c r="G4174" s="54">
        <f>IF(ISNUMBER(F4174),E4174*F4174,"")</f>
        <v>1.5822155000000002</v>
      </c>
      <c r="H4174" s="73"/>
      <c r="I4174" s="74"/>
      <c r="J4174" s="155">
        <v>0</v>
      </c>
    </row>
    <row r="4175" spans="1:10" ht="38.25" hidden="1" x14ac:dyDescent="0.25">
      <c r="A4175" s="173"/>
      <c r="B4175" s="175"/>
      <c r="C4175" s="36" t="s">
        <v>1160</v>
      </c>
      <c r="D4175" s="36" t="s">
        <v>997</v>
      </c>
      <c r="E4175" s="37">
        <v>4.1000000000000003E-3</v>
      </c>
      <c r="F4175" s="54">
        <v>8.6449999999999996</v>
      </c>
      <c r="G4175" s="54">
        <f>IF(ISNUMBER(F4175),E4175*F4175,"")</f>
        <v>3.5444500000000004E-2</v>
      </c>
      <c r="H4175" s="73"/>
      <c r="I4175" s="74"/>
      <c r="J4175" s="155">
        <v>0</v>
      </c>
    </row>
    <row r="4176" spans="1:10" ht="38.25" hidden="1" x14ac:dyDescent="0.25">
      <c r="A4176" s="173"/>
      <c r="B4176" s="175"/>
      <c r="C4176" s="36" t="s">
        <v>1353</v>
      </c>
      <c r="D4176" s="36" t="s">
        <v>999</v>
      </c>
      <c r="E4176" s="37">
        <v>4.4400000000000002E-2</v>
      </c>
      <c r="F4176" s="54">
        <v>0.49399999999999999</v>
      </c>
      <c r="G4176" s="54">
        <f>IF(ISNUMBER(F4176),E4176*F4176,"")</f>
        <v>2.1933600000000001E-2</v>
      </c>
      <c r="H4176" s="73"/>
      <c r="I4176" s="74"/>
      <c r="J4176" s="155">
        <v>0</v>
      </c>
    </row>
    <row r="4177" spans="1:10" ht="51" hidden="1" x14ac:dyDescent="0.25">
      <c r="A4177" s="173"/>
      <c r="B4177" s="175"/>
      <c r="C4177" s="36" t="s">
        <v>1354</v>
      </c>
      <c r="D4177" s="36" t="s">
        <v>997</v>
      </c>
      <c r="E4177" s="37">
        <v>3.7000000000000002E-3</v>
      </c>
      <c r="F4177" s="54">
        <v>19.807500000000001</v>
      </c>
      <c r="G4177" s="54">
        <f>IF(ISNUMBER(F4177),E4177*F4177,"")</f>
        <v>7.3287750000000013E-2</v>
      </c>
      <c r="H4177" s="73"/>
      <c r="I4177" s="74"/>
      <c r="J4177" s="155">
        <v>0</v>
      </c>
    </row>
    <row r="4178" spans="1:10" ht="51" hidden="1" x14ac:dyDescent="0.25">
      <c r="A4178" s="173"/>
      <c r="B4178" s="175"/>
      <c r="C4178" s="36" t="s">
        <v>1355</v>
      </c>
      <c r="D4178" s="36" t="s">
        <v>999</v>
      </c>
      <c r="E4178" s="37">
        <v>4.48E-2</v>
      </c>
      <c r="F4178" s="54">
        <v>0.76</v>
      </c>
      <c r="G4178" s="54">
        <f>IF(ISNUMBER(F4178),E4178*F4178,"")</f>
        <v>3.4048000000000002E-2</v>
      </c>
      <c r="H4178" s="73"/>
      <c r="I4178" s="74"/>
      <c r="J4178" s="155">
        <v>0</v>
      </c>
    </row>
    <row r="4179" spans="1:10" ht="51" hidden="1" x14ac:dyDescent="0.25">
      <c r="A4179" s="173"/>
      <c r="B4179" s="175"/>
      <c r="C4179" s="36" t="s">
        <v>3611</v>
      </c>
      <c r="D4179" s="36" t="s">
        <v>111</v>
      </c>
      <c r="E4179" s="37">
        <f>1*(E4170+E4171)</f>
        <v>6.0400000000000002E-2</v>
      </c>
      <c r="F4179" s="34">
        <v>5.5686425499999999</v>
      </c>
      <c r="G4179" s="34">
        <f>IF(ISNUMBER(F4179),E4179*F4179,"")</f>
        <v>0.33634601002000003</v>
      </c>
      <c r="H4179" s="35"/>
      <c r="I4179" s="31"/>
      <c r="J4179" s="155">
        <v>0</v>
      </c>
    </row>
    <row r="4180" spans="1:10" ht="38.25" hidden="1" x14ac:dyDescent="0.25">
      <c r="A4180" s="173"/>
      <c r="B4180" s="175"/>
      <c r="C4180" s="36" t="s">
        <v>124</v>
      </c>
      <c r="D4180" s="36" t="s">
        <v>125</v>
      </c>
      <c r="E4180" s="37">
        <f>20*(E4170+E4171)</f>
        <v>1.208</v>
      </c>
      <c r="F4180" s="54">
        <v>1.8443850999999998</v>
      </c>
      <c r="G4180" s="54">
        <f>IF(ISNUMBER(F4180),E4180*F4180,"")</f>
        <v>2.2280172007999997</v>
      </c>
      <c r="H4180" s="73"/>
      <c r="I4180" s="74"/>
      <c r="J4180" s="155">
        <v>0</v>
      </c>
    </row>
    <row r="4181" spans="1:10" hidden="1" x14ac:dyDescent="0.25">
      <c r="A4181" s="173"/>
      <c r="B4181" s="175"/>
      <c r="C4181" s="36"/>
      <c r="D4181" s="36"/>
      <c r="E4181" s="37"/>
      <c r="F4181" s="54" t="s">
        <v>568</v>
      </c>
      <c r="G4181" s="54" t="str">
        <f>IF(ISNUMBER(F4181),E4181*F4181,"")</f>
        <v/>
      </c>
      <c r="H4181" s="73"/>
      <c r="I4181" s="74"/>
      <c r="J4181" s="155">
        <v>0</v>
      </c>
    </row>
    <row r="4182" spans="1:10" ht="25.5" hidden="1" x14ac:dyDescent="0.25">
      <c r="A4182" s="173"/>
      <c r="B4182" s="175"/>
      <c r="C4182" s="48" t="s">
        <v>1356</v>
      </c>
      <c r="D4182" s="36"/>
      <c r="E4182" s="37"/>
      <c r="F4182" s="54" t="s">
        <v>568</v>
      </c>
      <c r="G4182" s="54" t="str">
        <f>IF(ISNUMBER(F4182),E4182*F4182,"")</f>
        <v/>
      </c>
      <c r="H4182" s="73"/>
      <c r="I4182" s="74"/>
      <c r="J4182" s="155">
        <v>0</v>
      </c>
    </row>
    <row r="4183" spans="1:10" ht="15.75" hidden="1" thickBot="1" x14ac:dyDescent="0.3">
      <c r="A4183" s="185"/>
      <c r="B4183" s="178"/>
      <c r="C4183" s="55"/>
      <c r="D4183" s="55"/>
      <c r="E4183" s="66"/>
      <c r="F4183" s="76" t="s">
        <v>568</v>
      </c>
      <c r="G4183" s="76" t="str">
        <f>IF(ISNUMBER(F4183),E4183*F4183,"")</f>
        <v/>
      </c>
      <c r="H4183" s="77"/>
      <c r="I4183" s="74"/>
      <c r="J4183" s="155">
        <v>0</v>
      </c>
    </row>
    <row r="4184" spans="1:10" ht="15.75" hidden="1" thickBot="1" x14ac:dyDescent="0.3">
      <c r="A4184" s="172" t="s">
        <v>1357</v>
      </c>
      <c r="B4184" s="174" t="str">
        <f>INDEX(Orçamentária!A:B,MATCH(Composições!A4184,Orçamentária!A:A,0),2)</f>
        <v>Pavimentação com Asfalto Pré-Misturado a Frio (PMF)</v>
      </c>
      <c r="C4184" s="41"/>
      <c r="D4184" s="26" t="str">
        <f>TRIM(INDEX(Orçamentária!C:C,MATCH(Composições!A4184,Orçamentária!A:A,0),1))</f>
        <v>m3</v>
      </c>
      <c r="E4184" s="27"/>
      <c r="F4184" s="49" t="s">
        <v>568</v>
      </c>
      <c r="G4184" s="28" t="str">
        <f>IF(ISNUMBER(F4184),E4184*F4184,"")</f>
        <v/>
      </c>
      <c r="H4184" s="29"/>
      <c r="I4184" s="30"/>
      <c r="J4184" s="155">
        <v>0</v>
      </c>
    </row>
    <row r="4185" spans="1:10" hidden="1" x14ac:dyDescent="0.25">
      <c r="A4185" s="173"/>
      <c r="B4185" s="175"/>
      <c r="C4185" s="32"/>
      <c r="D4185" s="32"/>
      <c r="E4185" s="33"/>
      <c r="F4185" s="54" t="s">
        <v>568</v>
      </c>
      <c r="G4185" s="54" t="str">
        <f>IF(ISNUMBER(F4185),E4185*F4185,"")</f>
        <v/>
      </c>
      <c r="H4185" s="73"/>
      <c r="I4185" s="74"/>
      <c r="J4185" s="155">
        <v>0</v>
      </c>
    </row>
    <row r="4186" spans="1:10" hidden="1" x14ac:dyDescent="0.25">
      <c r="A4186" s="173"/>
      <c r="B4186" s="175"/>
      <c r="C4186" s="36" t="s">
        <v>756</v>
      </c>
      <c r="D4186" s="36" t="s">
        <v>755</v>
      </c>
      <c r="E4186" s="37">
        <v>0.4</v>
      </c>
      <c r="F4186" s="54">
        <v>16.311500000000002</v>
      </c>
      <c r="G4186" s="54">
        <f>IF(ISNUMBER(F4186),E4186*F4186,"")</f>
        <v>6.5246000000000013</v>
      </c>
      <c r="H4186" s="39">
        <f>SUM(G4186:G4207)</f>
        <v>644.32411655200008</v>
      </c>
      <c r="I4186" s="40"/>
      <c r="J4186" s="155">
        <v>0</v>
      </c>
    </row>
    <row r="4187" spans="1:10" ht="38.25" hidden="1" x14ac:dyDescent="0.25">
      <c r="A4187" s="173"/>
      <c r="B4187" s="175"/>
      <c r="C4187" s="36" t="s">
        <v>1358</v>
      </c>
      <c r="D4187" s="36" t="s">
        <v>999</v>
      </c>
      <c r="E4187" s="37">
        <v>6.0000000000000001E-3</v>
      </c>
      <c r="F4187" s="54">
        <v>51.841499999999996</v>
      </c>
      <c r="G4187" s="54">
        <f>IF(ISNUMBER(F4187),E4187*F4187,"")</f>
        <v>0.31104899999999996</v>
      </c>
      <c r="H4187" s="73"/>
      <c r="I4187" s="74"/>
      <c r="J4187" s="155">
        <v>0</v>
      </c>
    </row>
    <row r="4188" spans="1:10" ht="38.25" hidden="1" x14ac:dyDescent="0.25">
      <c r="A4188" s="173"/>
      <c r="B4188" s="175"/>
      <c r="C4188" s="36" t="s">
        <v>1359</v>
      </c>
      <c r="D4188" s="36" t="s">
        <v>997</v>
      </c>
      <c r="E4188" s="37">
        <v>1.0699999999999999E-2</v>
      </c>
      <c r="F4188" s="54">
        <v>133.18999999999997</v>
      </c>
      <c r="G4188" s="54">
        <f>IF(ISNUMBER(F4188),E4188*F4188,"")</f>
        <v>1.4251329999999995</v>
      </c>
      <c r="H4188" s="73"/>
      <c r="I4188" s="74"/>
      <c r="J4188" s="155">
        <v>0</v>
      </c>
    </row>
    <row r="4189" spans="1:10" ht="38.25" hidden="1" x14ac:dyDescent="0.25">
      <c r="A4189" s="173"/>
      <c r="B4189" s="175"/>
      <c r="C4189" s="36" t="s">
        <v>1360</v>
      </c>
      <c r="D4189" s="36" t="s">
        <v>997</v>
      </c>
      <c r="E4189" s="37">
        <v>6.1999999999999998E-3</v>
      </c>
      <c r="F4189" s="54">
        <v>143.33599999999998</v>
      </c>
      <c r="G4189" s="54">
        <f>IF(ISNUMBER(F4189),E4189*F4189,"")</f>
        <v>0.8886831999999999</v>
      </c>
      <c r="H4189" s="73"/>
      <c r="I4189" s="74"/>
      <c r="J4189" s="155">
        <v>0</v>
      </c>
    </row>
    <row r="4190" spans="1:10" ht="38.25" hidden="1" x14ac:dyDescent="0.25">
      <c r="A4190" s="173"/>
      <c r="B4190" s="175"/>
      <c r="C4190" s="36" t="s">
        <v>1361</v>
      </c>
      <c r="D4190" s="36" t="s">
        <v>999</v>
      </c>
      <c r="E4190" s="37">
        <v>1.0500000000000001E-2</v>
      </c>
      <c r="F4190" s="54">
        <v>48.4405</v>
      </c>
      <c r="G4190" s="54">
        <f>IF(ISNUMBER(F4190),E4190*F4190,"")</f>
        <v>0.50862525000000003</v>
      </c>
      <c r="H4190" s="73"/>
      <c r="I4190" s="74"/>
      <c r="J4190" s="155">
        <v>0</v>
      </c>
    </row>
    <row r="4191" spans="1:10" ht="25.5" hidden="1" x14ac:dyDescent="0.25">
      <c r="A4191" s="173"/>
      <c r="B4191" s="175"/>
      <c r="C4191" s="36" t="s">
        <v>1362</v>
      </c>
      <c r="D4191" s="36" t="s">
        <v>999</v>
      </c>
      <c r="E4191" s="37">
        <v>1.2200000000000001E-2</v>
      </c>
      <c r="F4191" s="54">
        <v>27.302999999999997</v>
      </c>
      <c r="G4191" s="54">
        <f>IF(ISNUMBER(F4191),E4191*F4191,"")</f>
        <v>0.33309659999999996</v>
      </c>
      <c r="H4191" s="73"/>
      <c r="I4191" s="74"/>
      <c r="J4191" s="155">
        <v>0</v>
      </c>
    </row>
    <row r="4192" spans="1:10" ht="25.5" hidden="1" x14ac:dyDescent="0.25">
      <c r="A4192" s="173"/>
      <c r="B4192" s="175"/>
      <c r="C4192" s="36" t="s">
        <v>1363</v>
      </c>
      <c r="D4192" s="36" t="s">
        <v>997</v>
      </c>
      <c r="E4192" s="37">
        <v>4.4999999999999997E-3</v>
      </c>
      <c r="F4192" s="54">
        <v>118.389</v>
      </c>
      <c r="G4192" s="54">
        <f>IF(ISNUMBER(F4192),E4192*F4192,"")</f>
        <v>0.5327504999999999</v>
      </c>
      <c r="H4192" s="73"/>
      <c r="I4192" s="74"/>
      <c r="J4192" s="155">
        <v>0</v>
      </c>
    </row>
    <row r="4193" spans="1:10" ht="25.5" hidden="1" x14ac:dyDescent="0.25">
      <c r="A4193" s="173"/>
      <c r="B4193" s="175"/>
      <c r="C4193" s="36" t="s">
        <v>1364</v>
      </c>
      <c r="D4193" s="36" t="s">
        <v>999</v>
      </c>
      <c r="E4193" s="37">
        <v>1.2200000000000001E-2</v>
      </c>
      <c r="F4193" s="54">
        <v>3.0969999999999995</v>
      </c>
      <c r="G4193" s="54">
        <f>IF(ISNUMBER(F4193),E4193*F4193,"")</f>
        <v>3.7783399999999995E-2</v>
      </c>
      <c r="H4193" s="73"/>
      <c r="I4193" s="74"/>
      <c r="J4193" s="155">
        <v>0</v>
      </c>
    </row>
    <row r="4194" spans="1:10" ht="25.5" hidden="1" x14ac:dyDescent="0.25">
      <c r="A4194" s="173"/>
      <c r="B4194" s="175"/>
      <c r="C4194" s="36" t="s">
        <v>1365</v>
      </c>
      <c r="D4194" s="36" t="s">
        <v>997</v>
      </c>
      <c r="E4194" s="37">
        <v>4.4999999999999997E-3</v>
      </c>
      <c r="F4194" s="54">
        <v>6.5074999999999994</v>
      </c>
      <c r="G4194" s="54">
        <f>IF(ISNUMBER(F4194),E4194*F4194,"")</f>
        <v>2.9283749999999994E-2</v>
      </c>
      <c r="H4194" s="73"/>
      <c r="I4194" s="74"/>
      <c r="J4194" s="155">
        <v>0</v>
      </c>
    </row>
    <row r="4195" spans="1:10" ht="38.25" hidden="1" x14ac:dyDescent="0.25">
      <c r="A4195" s="173"/>
      <c r="B4195" s="175"/>
      <c r="C4195" s="36" t="s">
        <v>1366</v>
      </c>
      <c r="D4195" s="36" t="s">
        <v>997</v>
      </c>
      <c r="E4195" s="37">
        <v>1.67E-2</v>
      </c>
      <c r="F4195" s="54">
        <v>239.79899999999998</v>
      </c>
      <c r="G4195" s="54">
        <f>IF(ISNUMBER(F4195),E4195*F4195,"")</f>
        <v>4.0046432999999997</v>
      </c>
      <c r="H4195" s="73"/>
      <c r="I4195" s="74"/>
      <c r="J4195" s="155">
        <v>0</v>
      </c>
    </row>
    <row r="4196" spans="1:10" ht="38.25" hidden="1" x14ac:dyDescent="0.25">
      <c r="A4196" s="173"/>
      <c r="B4196" s="175"/>
      <c r="C4196" s="36" t="s">
        <v>1367</v>
      </c>
      <c r="D4196" s="36" t="s">
        <v>997</v>
      </c>
      <c r="E4196" s="37">
        <v>2.7199999999999998E-2</v>
      </c>
      <c r="F4196" s="54">
        <v>174.42950000000002</v>
      </c>
      <c r="G4196" s="54">
        <f>IF(ISNUMBER(F4196),E4196*F4196,"")</f>
        <v>4.7444823999999999</v>
      </c>
      <c r="H4196" s="73"/>
      <c r="I4196" s="74"/>
      <c r="J4196" s="155">
        <v>0</v>
      </c>
    </row>
    <row r="4197" spans="1:10" hidden="1" x14ac:dyDescent="0.25">
      <c r="A4197" s="173"/>
      <c r="B4197" s="175"/>
      <c r="C4197" s="36" t="s">
        <v>756</v>
      </c>
      <c r="D4197" s="36" t="s">
        <v>755</v>
      </c>
      <c r="E4197" s="37">
        <v>0.3</v>
      </c>
      <c r="F4197" s="54">
        <v>16.311500000000002</v>
      </c>
      <c r="G4197" s="54">
        <f>IF(ISNUMBER(F4197),E4197*F4197,"")</f>
        <v>4.8934500000000005</v>
      </c>
      <c r="H4197" s="73"/>
      <c r="I4197" s="74"/>
      <c r="J4197" s="155">
        <v>0</v>
      </c>
    </row>
    <row r="4198" spans="1:10" ht="25.5" hidden="1" x14ac:dyDescent="0.25">
      <c r="A4198" s="173"/>
      <c r="B4198" s="175"/>
      <c r="C4198" s="36" t="s">
        <v>1368</v>
      </c>
      <c r="D4198" s="36" t="s">
        <v>111</v>
      </c>
      <c r="E4198" s="37">
        <v>0.18</v>
      </c>
      <c r="F4198" s="54">
        <v>112.63199999999999</v>
      </c>
      <c r="G4198" s="54">
        <f>IF(ISNUMBER(F4198),E4198*F4198,"")</f>
        <v>20.273759999999999</v>
      </c>
      <c r="H4198" s="73"/>
      <c r="I4198" s="74"/>
      <c r="J4198" s="155">
        <v>0</v>
      </c>
    </row>
    <row r="4199" spans="1:10" ht="25.5" hidden="1" x14ac:dyDescent="0.25">
      <c r="A4199" s="173"/>
      <c r="B4199" s="175"/>
      <c r="C4199" s="36" t="s">
        <v>810</v>
      </c>
      <c r="D4199" s="36" t="s">
        <v>111</v>
      </c>
      <c r="E4199" s="37">
        <v>1.26</v>
      </c>
      <c r="F4199" s="54">
        <v>135.81200000000001</v>
      </c>
      <c r="G4199" s="54">
        <f>IF(ISNUMBER(F4199),E4199*F4199,"")</f>
        <v>171.12312000000003</v>
      </c>
      <c r="H4199" s="73"/>
      <c r="I4199" s="74"/>
      <c r="J4199" s="155">
        <v>0</v>
      </c>
    </row>
    <row r="4200" spans="1:10" ht="38.25" hidden="1" x14ac:dyDescent="0.25">
      <c r="A4200" s="173"/>
      <c r="B4200" s="175"/>
      <c r="C4200" s="36" t="s">
        <v>1369</v>
      </c>
      <c r="D4200" s="36" t="s">
        <v>1370</v>
      </c>
      <c r="E4200" s="37">
        <v>0.14000000000000001</v>
      </c>
      <c r="F4200" s="54">
        <v>2398.2559999999999</v>
      </c>
      <c r="G4200" s="54">
        <f>IF(ISNUMBER(F4200),E4200*F4200,"")</f>
        <v>335.75584000000003</v>
      </c>
      <c r="H4200" s="73"/>
      <c r="I4200" s="74"/>
      <c r="J4200" s="155">
        <v>0</v>
      </c>
    </row>
    <row r="4201" spans="1:10" ht="25.5" hidden="1" x14ac:dyDescent="0.25">
      <c r="A4201" s="173"/>
      <c r="B4201" s="175"/>
      <c r="C4201" s="36" t="s">
        <v>1371</v>
      </c>
      <c r="D4201" s="36" t="s">
        <v>997</v>
      </c>
      <c r="E4201" s="37">
        <v>0.05</v>
      </c>
      <c r="F4201" s="54">
        <v>115.634</v>
      </c>
      <c r="G4201" s="54">
        <f>IF(ISNUMBER(F4201),E4201*F4201,"")</f>
        <v>5.7817000000000007</v>
      </c>
      <c r="H4201" s="73"/>
      <c r="I4201" s="74"/>
      <c r="J4201" s="155">
        <v>0</v>
      </c>
    </row>
    <row r="4202" spans="1:10" ht="38.25" hidden="1" x14ac:dyDescent="0.25">
      <c r="A4202" s="173"/>
      <c r="B4202" s="175"/>
      <c r="C4202" s="36" t="s">
        <v>1372</v>
      </c>
      <c r="D4202" s="36" t="s">
        <v>997</v>
      </c>
      <c r="E4202" s="37">
        <v>2.1000000000000001E-2</v>
      </c>
      <c r="F4202" s="54">
        <v>140.30549999999999</v>
      </c>
      <c r="G4202" s="54">
        <f>IF(ISNUMBER(F4202),E4202*F4202,"")</f>
        <v>2.9464155000000001</v>
      </c>
      <c r="H4202" s="73"/>
      <c r="I4202" s="74"/>
      <c r="J4202" s="155">
        <v>0</v>
      </c>
    </row>
    <row r="4203" spans="1:10" ht="38.25" hidden="1" x14ac:dyDescent="0.25">
      <c r="A4203" s="173"/>
      <c r="B4203" s="175"/>
      <c r="C4203" s="36" t="s">
        <v>1373</v>
      </c>
      <c r="D4203" s="36" t="s">
        <v>999</v>
      </c>
      <c r="E4203" s="37">
        <v>2.9000000000000001E-2</v>
      </c>
      <c r="F4203" s="54">
        <v>53.950499999999998</v>
      </c>
      <c r="G4203" s="54">
        <f>IF(ISNUMBER(F4203),E4203*F4203,"")</f>
        <v>1.5645645000000001</v>
      </c>
      <c r="H4203" s="73"/>
      <c r="I4203" s="74"/>
      <c r="J4203" s="155">
        <v>0</v>
      </c>
    </row>
    <row r="4204" spans="1:10" ht="25.5" hidden="1" x14ac:dyDescent="0.25">
      <c r="A4204" s="173"/>
      <c r="B4204" s="175"/>
      <c r="C4204" s="36" t="s">
        <v>1374</v>
      </c>
      <c r="D4204" s="36" t="s">
        <v>997</v>
      </c>
      <c r="E4204" s="37">
        <v>0.05</v>
      </c>
      <c r="F4204" s="54">
        <v>115.04499999999999</v>
      </c>
      <c r="G4204" s="54">
        <f>IF(ISNUMBER(F4204),E4204*F4204,"")</f>
        <v>5.7522500000000001</v>
      </c>
      <c r="H4204" s="73"/>
      <c r="I4204" s="74"/>
      <c r="J4204" s="155">
        <v>0</v>
      </c>
    </row>
    <row r="4205" spans="1:10" ht="25.5" hidden="1" x14ac:dyDescent="0.25">
      <c r="A4205" s="173"/>
      <c r="B4205" s="175"/>
      <c r="C4205" s="36" t="s">
        <v>1375</v>
      </c>
      <c r="D4205" s="36" t="s">
        <v>997</v>
      </c>
      <c r="E4205" s="37">
        <v>0.1</v>
      </c>
      <c r="F4205" s="54">
        <v>157.55749999999998</v>
      </c>
      <c r="G4205" s="54">
        <f>IF(ISNUMBER(F4205),E4205*F4205,"")</f>
        <v>15.755749999999999</v>
      </c>
      <c r="H4205" s="73"/>
      <c r="I4205" s="74"/>
      <c r="J4205" s="155">
        <v>0</v>
      </c>
    </row>
    <row r="4206" spans="1:10" ht="51" hidden="1" x14ac:dyDescent="0.25">
      <c r="A4206" s="173"/>
      <c r="B4206" s="175"/>
      <c r="C4206" s="36" t="s">
        <v>3611</v>
      </c>
      <c r="D4206" s="36" t="s">
        <v>111</v>
      </c>
      <c r="E4206" s="37">
        <f>1*(E4198+E4199)</f>
        <v>1.44</v>
      </c>
      <c r="F4206" s="34">
        <v>5.5686425499999999</v>
      </c>
      <c r="G4206" s="34">
        <f>IF(ISNUMBER(F4206),E4206*F4206,"")</f>
        <v>8.0188452720000001</v>
      </c>
      <c r="H4206" s="35"/>
      <c r="I4206" s="31"/>
      <c r="J4206" s="155">
        <v>0</v>
      </c>
    </row>
    <row r="4207" spans="1:10" ht="38.25" hidden="1" x14ac:dyDescent="0.25">
      <c r="A4207" s="173"/>
      <c r="B4207" s="175"/>
      <c r="C4207" s="36" t="s">
        <v>124</v>
      </c>
      <c r="D4207" s="36" t="s">
        <v>125</v>
      </c>
      <c r="E4207" s="37">
        <f>20*(E4199+E4198)</f>
        <v>28.799999999999997</v>
      </c>
      <c r="F4207" s="54">
        <v>1.8443850999999998</v>
      </c>
      <c r="G4207" s="54">
        <f>IF(ISNUMBER(F4207),E4207*F4207,"")</f>
        <v>53.118290879999989</v>
      </c>
      <c r="H4207" s="73"/>
      <c r="I4207" s="74"/>
      <c r="J4207" s="155">
        <v>0</v>
      </c>
    </row>
    <row r="4208" spans="1:10" hidden="1" x14ac:dyDescent="0.25">
      <c r="A4208" s="173"/>
      <c r="B4208" s="175"/>
      <c r="C4208" s="36"/>
      <c r="D4208" s="36"/>
      <c r="E4208" s="37"/>
      <c r="F4208" s="54" t="s">
        <v>568</v>
      </c>
      <c r="G4208" s="54" t="str">
        <f>IF(ISNUMBER(F4208),E4208*F4208,"")</f>
        <v/>
      </c>
      <c r="H4208" s="73"/>
      <c r="I4208" s="74"/>
      <c r="J4208" s="155">
        <v>0</v>
      </c>
    </row>
    <row r="4209" spans="1:10" ht="25.5" hidden="1" x14ac:dyDescent="0.25">
      <c r="A4209" s="173"/>
      <c r="B4209" s="175"/>
      <c r="C4209" s="48" t="s">
        <v>1356</v>
      </c>
      <c r="D4209" s="36"/>
      <c r="E4209" s="37"/>
      <c r="F4209" s="54" t="s">
        <v>568</v>
      </c>
      <c r="G4209" s="54" t="str">
        <f>IF(ISNUMBER(F4209),E4209*F4209,"")</f>
        <v/>
      </c>
      <c r="H4209" s="73"/>
      <c r="I4209" s="74"/>
      <c r="J4209" s="155">
        <v>0</v>
      </c>
    </row>
    <row r="4210" spans="1:10" ht="15.75" hidden="1" thickBot="1" x14ac:dyDescent="0.3">
      <c r="A4210" s="185"/>
      <c r="B4210" s="178"/>
      <c r="C4210" s="55"/>
      <c r="D4210" s="55"/>
      <c r="E4210" s="66"/>
      <c r="F4210" s="76" t="s">
        <v>568</v>
      </c>
      <c r="G4210" s="76" t="str">
        <f>IF(ISNUMBER(F4210),E4210*F4210,"")</f>
        <v/>
      </c>
      <c r="H4210" s="77"/>
      <c r="I4210" s="74"/>
      <c r="J4210" s="155">
        <v>0</v>
      </c>
    </row>
    <row r="4211" spans="1:10" ht="15.75" hidden="1" thickBot="1" x14ac:dyDescent="0.3">
      <c r="A4211" s="172" t="s">
        <v>1376</v>
      </c>
      <c r="B4211" s="174" t="str">
        <f>INDEX(Orçamentária!A:B,MATCH(Composições!A4211,Orçamentária!A:A,0),2)</f>
        <v>Pavimentação asfáltica com CBUQ para aplicação a frio (remendo)</v>
      </c>
      <c r="C4211" s="41"/>
      <c r="D4211" s="26" t="str">
        <f>TRIM(INDEX(Orçamentária!C:C,MATCH(Composições!A4211,Orçamentária!A:A,0),1))</f>
        <v>m3</v>
      </c>
      <c r="E4211" s="27"/>
      <c r="F4211" s="49" t="s">
        <v>568</v>
      </c>
      <c r="G4211" s="28" t="str">
        <f>IF(ISNUMBER(F4211),E4211*F4211,"")</f>
        <v/>
      </c>
      <c r="H4211" s="29"/>
      <c r="I4211" s="30"/>
      <c r="J4211" s="155">
        <v>0</v>
      </c>
    </row>
    <row r="4212" spans="1:10" hidden="1" x14ac:dyDescent="0.25">
      <c r="A4212" s="173"/>
      <c r="B4212" s="175"/>
      <c r="C4212" s="32"/>
      <c r="D4212" s="32"/>
      <c r="E4212" s="33"/>
      <c r="F4212" s="54" t="s">
        <v>568</v>
      </c>
      <c r="G4212" s="54" t="str">
        <f>IF(ISNUMBER(F4212),E4212*F4212,"")</f>
        <v/>
      </c>
      <c r="H4212" s="73"/>
      <c r="I4212" s="74"/>
      <c r="J4212" s="155">
        <v>0</v>
      </c>
    </row>
    <row r="4213" spans="1:10" hidden="1" x14ac:dyDescent="0.25">
      <c r="A4213" s="173"/>
      <c r="B4213" s="175"/>
      <c r="C4213" s="36" t="s">
        <v>756</v>
      </c>
      <c r="D4213" s="36" t="s">
        <v>755</v>
      </c>
      <c r="E4213" s="37">
        <f>6/0.5</f>
        <v>12</v>
      </c>
      <c r="F4213" s="54">
        <v>16.311500000000002</v>
      </c>
      <c r="G4213" s="54">
        <f>IF(ISNUMBER(F4213),E4213*F4213,"")</f>
        <v>195.73800000000003</v>
      </c>
      <c r="H4213" s="39">
        <f>SUM(G4213:G4216)</f>
        <v>195.73800000000003</v>
      </c>
      <c r="I4213" s="40"/>
      <c r="J4213" s="155">
        <v>0</v>
      </c>
    </row>
    <row r="4214" spans="1:10" hidden="1" x14ac:dyDescent="0.25">
      <c r="A4214" s="173"/>
      <c r="B4214" s="175"/>
      <c r="C4214" s="36" t="s">
        <v>1377</v>
      </c>
      <c r="D4214" s="36" t="s">
        <v>997</v>
      </c>
      <c r="E4214" s="37">
        <f>0.2/0.5</f>
        <v>0.4</v>
      </c>
      <c r="F4214" s="54">
        <v>0</v>
      </c>
      <c r="G4214" s="54">
        <f>IF(ISNUMBER(F4214),E4214*F4214,"")</f>
        <v>0</v>
      </c>
      <c r="H4214" s="73"/>
      <c r="I4214" s="74"/>
      <c r="J4214" s="155">
        <v>0</v>
      </c>
    </row>
    <row r="4215" spans="1:10" hidden="1" x14ac:dyDescent="0.25">
      <c r="A4215" s="173"/>
      <c r="B4215" s="175"/>
      <c r="C4215" s="36" t="s">
        <v>1378</v>
      </c>
      <c r="D4215" s="36" t="s">
        <v>999</v>
      </c>
      <c r="E4215" s="37">
        <f>0.8/0.5</f>
        <v>1.6</v>
      </c>
      <c r="F4215" s="54">
        <v>0</v>
      </c>
      <c r="G4215" s="54">
        <f>IF(ISNUMBER(F4215),E4215*F4215,"")</f>
        <v>0</v>
      </c>
      <c r="H4215" s="73"/>
      <c r="I4215" s="74"/>
      <c r="J4215" s="155">
        <v>0</v>
      </c>
    </row>
    <row r="4216" spans="1:10" hidden="1" x14ac:dyDescent="0.25">
      <c r="A4216" s="173"/>
      <c r="B4216" s="175"/>
      <c r="C4216" s="36" t="s">
        <v>1379</v>
      </c>
      <c r="D4216" s="36" t="s">
        <v>42</v>
      </c>
      <c r="E4216" s="37">
        <v>2500</v>
      </c>
      <c r="F4216" s="54" t="s">
        <v>568</v>
      </c>
      <c r="G4216" s="54" t="str">
        <f>IF(ISNUMBER(F4216),E4216*F4216,"")</f>
        <v/>
      </c>
      <c r="H4216" s="73"/>
      <c r="I4216" s="74"/>
      <c r="J4216" s="155">
        <v>0</v>
      </c>
    </row>
    <row r="4217" spans="1:10" ht="15.75" hidden="1" thickBot="1" x14ac:dyDescent="0.3">
      <c r="A4217" s="185"/>
      <c r="B4217" s="178"/>
      <c r="C4217" s="55"/>
      <c r="D4217" s="55"/>
      <c r="E4217" s="66"/>
      <c r="F4217" s="76" t="s">
        <v>568</v>
      </c>
      <c r="G4217" s="76" t="str">
        <f>IF(ISNUMBER(F4217),E4217*F4217,"")</f>
        <v/>
      </c>
      <c r="H4217" s="77"/>
      <c r="I4217" s="74"/>
      <c r="J4217" s="155">
        <v>0</v>
      </c>
    </row>
    <row r="4218" spans="1:10" ht="15.75" hidden="1" thickBot="1" x14ac:dyDescent="0.3">
      <c r="A4218" s="172" t="s">
        <v>1380</v>
      </c>
      <c r="B4218" s="174" t="str">
        <f>INDEX(Orçamentária!A:B,MATCH(Composições!A4218,Orçamentária!A:A,0),2)</f>
        <v>Pintura para sinalização e demarcação viária horizontal</v>
      </c>
      <c r="C4218" s="41"/>
      <c r="D4218" s="26" t="str">
        <f>TRIM(INDEX(Orçamentária!C:C,MATCH(Composições!A4218,Orçamentária!A:A,0),1))</f>
        <v>m2</v>
      </c>
      <c r="E4218" s="27"/>
      <c r="F4218" s="49" t="s">
        <v>568</v>
      </c>
      <c r="G4218" s="28" t="str">
        <f>IF(ISNUMBER(F4218),E4218*F4218,"")</f>
        <v/>
      </c>
      <c r="H4218" s="29"/>
      <c r="I4218" s="30"/>
      <c r="J4218" s="155">
        <v>0</v>
      </c>
    </row>
    <row r="4219" spans="1:10" hidden="1" x14ac:dyDescent="0.25">
      <c r="A4219" s="173"/>
      <c r="B4219" s="175"/>
      <c r="C4219" s="32"/>
      <c r="D4219" s="32"/>
      <c r="E4219" s="33"/>
      <c r="F4219" s="54" t="s">
        <v>568</v>
      </c>
      <c r="G4219" s="54" t="str">
        <f>IF(ISNUMBER(F4219),E4219*F4219,"")</f>
        <v/>
      </c>
      <c r="H4219" s="73"/>
      <c r="I4219" s="74"/>
      <c r="J4219" s="155">
        <v>0</v>
      </c>
    </row>
    <row r="4220" spans="1:10" hidden="1" x14ac:dyDescent="0.25">
      <c r="A4220" s="173"/>
      <c r="B4220" s="175"/>
      <c r="C4220" s="36" t="s">
        <v>1334</v>
      </c>
      <c r="D4220" s="36" t="s">
        <v>104</v>
      </c>
      <c r="E4220" s="37">
        <v>0.13</v>
      </c>
      <c r="F4220" s="54">
        <v>11.4285</v>
      </c>
      <c r="G4220" s="54">
        <f>IF(ISNUMBER(F4220),E4220*F4220,"")</f>
        <v>1.4857050000000001</v>
      </c>
      <c r="H4220" s="39">
        <f>SUM(G4220:G4226)</f>
        <v>15.290722150000001</v>
      </c>
      <c r="I4220" s="40"/>
      <c r="J4220" s="155">
        <v>0</v>
      </c>
    </row>
    <row r="4221" spans="1:10" ht="51" hidden="1" x14ac:dyDescent="0.25">
      <c r="A4221" s="173"/>
      <c r="B4221" s="175"/>
      <c r="C4221" s="36" t="s">
        <v>1381</v>
      </c>
      <c r="D4221" s="36" t="s">
        <v>997</v>
      </c>
      <c r="E4221" s="37">
        <v>3.3E-3</v>
      </c>
      <c r="F4221" s="54">
        <v>126.56849999999999</v>
      </c>
      <c r="G4221" s="54">
        <f>IF(ISNUMBER(F4221),E4221*F4221,"")</f>
        <v>0.41767604999999997</v>
      </c>
      <c r="H4221" s="73"/>
      <c r="I4221" s="74"/>
      <c r="J4221" s="155">
        <v>0</v>
      </c>
    </row>
    <row r="4222" spans="1:10" ht="25.5" hidden="1" x14ac:dyDescent="0.25">
      <c r="A4222" s="173"/>
      <c r="B4222" s="175"/>
      <c r="C4222" s="36" t="s">
        <v>1382</v>
      </c>
      <c r="D4222" s="36" t="s">
        <v>104</v>
      </c>
      <c r="E4222" s="37">
        <v>0.6</v>
      </c>
      <c r="F4222" s="54">
        <v>14.478</v>
      </c>
      <c r="G4222" s="54">
        <f>IF(ISNUMBER(F4222),E4222*F4222,"")</f>
        <v>8.6867999999999999</v>
      </c>
      <c r="H4222" s="73"/>
      <c r="I4222" s="74"/>
      <c r="J4222" s="155">
        <v>0</v>
      </c>
    </row>
    <row r="4223" spans="1:10" hidden="1" x14ac:dyDescent="0.25">
      <c r="A4223" s="173"/>
      <c r="B4223" s="175"/>
      <c r="C4223" s="36" t="s">
        <v>1151</v>
      </c>
      <c r="D4223" s="36" t="s">
        <v>104</v>
      </c>
      <c r="E4223" s="37">
        <v>0.03</v>
      </c>
      <c r="F4223" s="54">
        <v>12.824999999999999</v>
      </c>
      <c r="G4223" s="54">
        <f>IF(ISNUMBER(F4223),E4223*F4223,"")</f>
        <v>0.38474999999999998</v>
      </c>
      <c r="H4223" s="73"/>
      <c r="I4223" s="74"/>
      <c r="J4223" s="155">
        <v>0</v>
      </c>
    </row>
    <row r="4224" spans="1:10" ht="25.5" hidden="1" x14ac:dyDescent="0.25">
      <c r="A4224" s="173"/>
      <c r="B4224" s="175"/>
      <c r="C4224" s="36" t="s">
        <v>1383</v>
      </c>
      <c r="D4224" s="36" t="s">
        <v>953</v>
      </c>
      <c r="E4224" s="37">
        <v>0.4</v>
      </c>
      <c r="F4224" s="54">
        <v>8.5404999999999998</v>
      </c>
      <c r="G4224" s="54">
        <f>IF(ISNUMBER(F4224),E4224*F4224,"")</f>
        <v>3.4161999999999999</v>
      </c>
      <c r="H4224" s="73"/>
      <c r="I4224" s="74"/>
      <c r="J4224" s="155">
        <v>0</v>
      </c>
    </row>
    <row r="4225" spans="1:10" hidden="1" x14ac:dyDescent="0.25">
      <c r="A4225" s="173"/>
      <c r="B4225" s="175"/>
      <c r="C4225" s="36" t="s">
        <v>756</v>
      </c>
      <c r="D4225" s="36" t="s">
        <v>755</v>
      </c>
      <c r="E4225" s="37">
        <v>3.3300000000000003E-2</v>
      </c>
      <c r="F4225" s="54">
        <v>16.311500000000002</v>
      </c>
      <c r="G4225" s="54">
        <f>IF(ISNUMBER(F4225),E4225*F4225,"")</f>
        <v>0.5431729500000001</v>
      </c>
      <c r="H4225" s="73"/>
      <c r="I4225" s="74"/>
      <c r="J4225" s="155">
        <v>0</v>
      </c>
    </row>
    <row r="4226" spans="1:10" ht="25.5" hidden="1" x14ac:dyDescent="0.25">
      <c r="A4226" s="173"/>
      <c r="B4226" s="175"/>
      <c r="C4226" s="36" t="s">
        <v>1384</v>
      </c>
      <c r="D4226" s="36" t="s">
        <v>997</v>
      </c>
      <c r="E4226" s="37">
        <v>3.3E-3</v>
      </c>
      <c r="F4226" s="54">
        <v>108.0055</v>
      </c>
      <c r="G4226" s="54">
        <f>IF(ISNUMBER(F4226),E4226*F4226,"")</f>
        <v>0.35641814999999999</v>
      </c>
      <c r="H4226" s="73"/>
      <c r="I4226" s="74"/>
      <c r="J4226" s="155">
        <v>0</v>
      </c>
    </row>
    <row r="4227" spans="1:10" ht="15.75" hidden="1" thickBot="1" x14ac:dyDescent="0.3">
      <c r="A4227" s="185"/>
      <c r="B4227" s="178"/>
      <c r="C4227" s="55"/>
      <c r="D4227" s="55"/>
      <c r="E4227" s="66"/>
      <c r="F4227" s="76" t="s">
        <v>568</v>
      </c>
      <c r="G4227" s="76" t="str">
        <f>IF(ISNUMBER(F4227),E4227*F4227,"")</f>
        <v/>
      </c>
      <c r="H4227" s="77"/>
      <c r="I4227" s="74"/>
      <c r="J4227" s="155">
        <v>0</v>
      </c>
    </row>
    <row r="4228" spans="1:10" ht="15.75" hidden="1" thickBot="1" x14ac:dyDescent="0.3">
      <c r="A4228" s="172" t="s">
        <v>1385</v>
      </c>
      <c r="B4228" s="174" t="str">
        <f>INDEX(Orçamentária!A:B,MATCH(Composições!A4228,Orçamentária!A:A,0),2)</f>
        <v>Telha metálica trapezoidal galvanizada - GR-40</v>
      </c>
      <c r="C4228" s="41"/>
      <c r="D4228" s="26" t="str">
        <f>TRIM(INDEX(Orçamentária!C:C,MATCH(Composições!A4228,Orçamentária!A:A,0),1))</f>
        <v>m2</v>
      </c>
      <c r="E4228" s="27"/>
      <c r="F4228" s="49" t="s">
        <v>568</v>
      </c>
      <c r="G4228" s="28" t="str">
        <f>IF(ISNUMBER(F4228),E4228*F4228,"")</f>
        <v/>
      </c>
      <c r="H4228" s="29"/>
      <c r="I4228" s="30"/>
      <c r="J4228" s="155">
        <v>0</v>
      </c>
    </row>
    <row r="4229" spans="1:10" hidden="1" x14ac:dyDescent="0.25">
      <c r="A4229" s="173"/>
      <c r="B4229" s="175"/>
      <c r="C4229" s="32"/>
      <c r="D4229" s="32"/>
      <c r="E4229" s="33"/>
      <c r="F4229" s="54" t="s">
        <v>568</v>
      </c>
      <c r="G4229" s="54" t="str">
        <f>IF(ISNUMBER(F4229),E4229*F4229,"")</f>
        <v/>
      </c>
      <c r="H4229" s="73"/>
      <c r="I4229" s="74"/>
      <c r="J4229" s="155">
        <v>0</v>
      </c>
    </row>
    <row r="4230" spans="1:10" ht="38.25" hidden="1" x14ac:dyDescent="0.25">
      <c r="A4230" s="173"/>
      <c r="B4230" s="175"/>
      <c r="C4230" s="36" t="s">
        <v>3474</v>
      </c>
      <c r="D4230" s="47" t="s">
        <v>1049</v>
      </c>
      <c r="E4230" s="37">
        <v>1.1659999999999999</v>
      </c>
      <c r="F4230" s="54">
        <v>58.567499999999995</v>
      </c>
      <c r="G4230" s="54">
        <f>IF(ISNUMBER(F4230),E4230*F4230,"")</f>
        <v>68.289704999999984</v>
      </c>
      <c r="H4230" s="39">
        <f>SUM(G4230:G4235)</f>
        <v>77.59594869999998</v>
      </c>
      <c r="I4230" s="40"/>
      <c r="J4230" s="155">
        <v>0</v>
      </c>
    </row>
    <row r="4231" spans="1:10" ht="38.25" hidden="1" x14ac:dyDescent="0.25">
      <c r="A4231" s="173"/>
      <c r="B4231" s="175"/>
      <c r="C4231" s="36" t="s">
        <v>1386</v>
      </c>
      <c r="D4231" s="47" t="s">
        <v>793</v>
      </c>
      <c r="E4231" s="37">
        <v>4.1500000000000004</v>
      </c>
      <c r="F4231" s="54">
        <v>1.3394999999999999</v>
      </c>
      <c r="G4231" s="54">
        <f>IF(ISNUMBER(F4231),E4231*F4231,"")</f>
        <v>5.5589250000000003</v>
      </c>
      <c r="H4231" s="73"/>
      <c r="I4231" s="74"/>
      <c r="J4231" s="155">
        <v>0</v>
      </c>
    </row>
    <row r="4232" spans="1:10" hidden="1" x14ac:dyDescent="0.25">
      <c r="A4232" s="173"/>
      <c r="B4232" s="175"/>
      <c r="C4232" s="36" t="s">
        <v>756</v>
      </c>
      <c r="D4232" s="36" t="s">
        <v>755</v>
      </c>
      <c r="E4232" s="37">
        <v>9.7000000000000003E-2</v>
      </c>
      <c r="F4232" s="54">
        <v>16.311500000000002</v>
      </c>
      <c r="G4232" s="54">
        <f>IF(ISNUMBER(F4232),E4232*F4232,"")</f>
        <v>1.5822155000000002</v>
      </c>
      <c r="H4232" s="73"/>
      <c r="I4232" s="74"/>
      <c r="J4232" s="155">
        <v>0</v>
      </c>
    </row>
    <row r="4233" spans="1:10" hidden="1" x14ac:dyDescent="0.25">
      <c r="A4233" s="173"/>
      <c r="B4233" s="175"/>
      <c r="C4233" s="36" t="s">
        <v>1387</v>
      </c>
      <c r="D4233" s="36" t="s">
        <v>755</v>
      </c>
      <c r="E4233" s="37">
        <v>9.0999999999999998E-2</v>
      </c>
      <c r="F4233" s="54">
        <v>23.360499999999998</v>
      </c>
      <c r="G4233" s="54">
        <f>IF(ISNUMBER(F4233),E4233*F4233,"")</f>
        <v>2.1258054999999998</v>
      </c>
      <c r="H4233" s="73"/>
      <c r="I4233" s="74"/>
      <c r="J4233" s="155">
        <v>0</v>
      </c>
    </row>
    <row r="4234" spans="1:10" ht="25.5" hidden="1" x14ac:dyDescent="0.25">
      <c r="A4234" s="173"/>
      <c r="B4234" s="175"/>
      <c r="C4234" s="36" t="s">
        <v>1388</v>
      </c>
      <c r="D4234" s="36" t="s">
        <v>997</v>
      </c>
      <c r="E4234" s="37">
        <v>8.9999999999999998E-4</v>
      </c>
      <c r="F4234" s="54">
        <v>18.277999999999999</v>
      </c>
      <c r="G4234" s="54">
        <f>IF(ISNUMBER(F4234),E4234*F4234,"")</f>
        <v>1.6450199999999998E-2</v>
      </c>
      <c r="H4234" s="73"/>
      <c r="I4234" s="74"/>
      <c r="J4234" s="155">
        <v>0</v>
      </c>
    </row>
    <row r="4235" spans="1:10" ht="25.5" hidden="1" x14ac:dyDescent="0.25">
      <c r="A4235" s="173"/>
      <c r="B4235" s="175"/>
      <c r="C4235" s="36" t="s">
        <v>1389</v>
      </c>
      <c r="D4235" s="36" t="s">
        <v>999</v>
      </c>
      <c r="E4235" s="37">
        <v>1.2999999999999999E-3</v>
      </c>
      <c r="F4235" s="54">
        <v>17.574999999999999</v>
      </c>
      <c r="G4235" s="54">
        <f>IF(ISNUMBER(F4235),E4235*F4235,"")</f>
        <v>2.28475E-2</v>
      </c>
      <c r="H4235" s="73"/>
      <c r="I4235" s="74"/>
      <c r="J4235" s="155">
        <v>0</v>
      </c>
    </row>
    <row r="4236" spans="1:10" ht="15.75" hidden="1" thickBot="1" x14ac:dyDescent="0.3">
      <c r="A4236" s="185"/>
      <c r="B4236" s="178"/>
      <c r="C4236" s="55"/>
      <c r="D4236" s="55"/>
      <c r="E4236" s="66"/>
      <c r="F4236" s="76" t="s">
        <v>568</v>
      </c>
      <c r="G4236" s="76" t="str">
        <f>IF(ISNUMBER(F4236),E4236*F4236,"")</f>
        <v/>
      </c>
      <c r="H4236" s="77"/>
      <c r="I4236" s="74"/>
      <c r="J4236" s="155">
        <v>0</v>
      </c>
    </row>
    <row r="4237" spans="1:10" ht="15.75" hidden="1" thickBot="1" x14ac:dyDescent="0.3">
      <c r="A4237" s="172" t="s">
        <v>1390</v>
      </c>
      <c r="B4237" s="174" t="str">
        <f>INDEX(Orçamentária!A:B,MATCH(Composições!A4237,Orçamentária!A:A,0),2)</f>
        <v>Cumeeira para telha metálica trapezoidal galvanizada - GR-40</v>
      </c>
      <c r="C4237" s="41"/>
      <c r="D4237" s="26" t="str">
        <f>TRIM(INDEX(Orçamentária!C:C,MATCH(Composições!A4237,Orçamentária!A:A,0),1))</f>
        <v>m</v>
      </c>
      <c r="E4237" s="27"/>
      <c r="F4237" s="49" t="s">
        <v>568</v>
      </c>
      <c r="G4237" s="28" t="str">
        <f>IF(ISNUMBER(F4237),E4237*F4237,"")</f>
        <v/>
      </c>
      <c r="H4237" s="29"/>
      <c r="I4237" s="30"/>
      <c r="J4237" s="155">
        <v>0</v>
      </c>
    </row>
    <row r="4238" spans="1:10" hidden="1" x14ac:dyDescent="0.25">
      <c r="A4238" s="173"/>
      <c r="B4238" s="175"/>
      <c r="C4238" s="32"/>
      <c r="D4238" s="32"/>
      <c r="E4238" s="33"/>
      <c r="F4238" s="54" t="s">
        <v>568</v>
      </c>
      <c r="G4238" s="54" t="str">
        <f>IF(ISNUMBER(F4238),E4238*F4238,"")</f>
        <v/>
      </c>
      <c r="H4238" s="73"/>
      <c r="I4238" s="74"/>
      <c r="J4238" s="155">
        <v>0</v>
      </c>
    </row>
    <row r="4239" spans="1:10" ht="38.25" hidden="1" x14ac:dyDescent="0.25">
      <c r="A4239" s="173"/>
      <c r="B4239" s="175"/>
      <c r="C4239" s="36" t="s">
        <v>1386</v>
      </c>
      <c r="D4239" s="47" t="s">
        <v>793</v>
      </c>
      <c r="E4239" s="37">
        <v>4.1500000000000004</v>
      </c>
      <c r="F4239" s="54">
        <v>1.3394999999999999</v>
      </c>
      <c r="G4239" s="54">
        <f>IF(ISNUMBER(F4239),E4239*F4239,"")</f>
        <v>5.5589250000000003</v>
      </c>
      <c r="H4239" s="39">
        <f>SUM(G4239:G4244)</f>
        <v>8.2298899000000016</v>
      </c>
      <c r="I4239" s="40"/>
      <c r="J4239" s="155">
        <v>0</v>
      </c>
    </row>
    <row r="4240" spans="1:10" hidden="1" x14ac:dyDescent="0.25">
      <c r="A4240" s="173"/>
      <c r="B4240" s="175"/>
      <c r="C4240" s="36" t="s">
        <v>3621</v>
      </c>
      <c r="D4240" s="36" t="s">
        <v>93</v>
      </c>
      <c r="E4240" s="37">
        <v>1.0289999999999999</v>
      </c>
      <c r="F4240" s="54" t="s">
        <v>568</v>
      </c>
      <c r="G4240" s="54" t="str">
        <f>IF(ISNUMBER(F4240),E4240*F4240,"")</f>
        <v/>
      </c>
      <c r="H4240" s="73"/>
      <c r="I4240" s="74"/>
      <c r="J4240" s="155">
        <v>0</v>
      </c>
    </row>
    <row r="4241" spans="1:10" hidden="1" x14ac:dyDescent="0.25">
      <c r="A4241" s="173"/>
      <c r="B4241" s="175"/>
      <c r="C4241" s="36" t="s">
        <v>756</v>
      </c>
      <c r="D4241" s="36" t="s">
        <v>755</v>
      </c>
      <c r="E4241" s="37">
        <v>7.2999999999999995E-2</v>
      </c>
      <c r="F4241" s="54">
        <v>16.311500000000002</v>
      </c>
      <c r="G4241" s="54">
        <f>IF(ISNUMBER(F4241),E4241*F4241,"")</f>
        <v>1.1907395000000001</v>
      </c>
      <c r="H4241" s="73"/>
      <c r="I4241" s="74"/>
      <c r="J4241" s="155">
        <v>0</v>
      </c>
    </row>
    <row r="4242" spans="1:10" hidden="1" x14ac:dyDescent="0.25">
      <c r="A4242" s="173"/>
      <c r="B4242" s="175"/>
      <c r="C4242" s="36" t="s">
        <v>1387</v>
      </c>
      <c r="D4242" s="36" t="s">
        <v>755</v>
      </c>
      <c r="E4242" s="37">
        <v>0.06</v>
      </c>
      <c r="F4242" s="54">
        <v>23.360499999999998</v>
      </c>
      <c r="G4242" s="54">
        <f>IF(ISNUMBER(F4242),E4242*F4242,"")</f>
        <v>1.4016299999999999</v>
      </c>
      <c r="H4242" s="73"/>
      <c r="I4242" s="74"/>
      <c r="J4242" s="155">
        <v>0</v>
      </c>
    </row>
    <row r="4243" spans="1:10" ht="25.5" hidden="1" x14ac:dyDescent="0.25">
      <c r="A4243" s="173"/>
      <c r="B4243" s="175"/>
      <c r="C4243" s="36" t="s">
        <v>1388</v>
      </c>
      <c r="D4243" s="36" t="s">
        <v>997</v>
      </c>
      <c r="E4243" s="37">
        <v>1.8E-3</v>
      </c>
      <c r="F4243" s="54">
        <v>18.277999999999999</v>
      </c>
      <c r="G4243" s="54">
        <f>IF(ISNUMBER(F4243),E4243*F4243,"")</f>
        <v>3.2900399999999996E-2</v>
      </c>
      <c r="H4243" s="73"/>
      <c r="I4243" s="74"/>
      <c r="J4243" s="155">
        <v>0</v>
      </c>
    </row>
    <row r="4244" spans="1:10" ht="25.5" hidden="1" x14ac:dyDescent="0.25">
      <c r="A4244" s="173"/>
      <c r="B4244" s="175"/>
      <c r="C4244" s="36" t="s">
        <v>1389</v>
      </c>
      <c r="D4244" s="36" t="s">
        <v>999</v>
      </c>
      <c r="E4244" s="37">
        <v>2.5999999999999999E-3</v>
      </c>
      <c r="F4244" s="54">
        <v>17.574999999999999</v>
      </c>
      <c r="G4244" s="54">
        <f>IF(ISNUMBER(F4244),E4244*F4244,"")</f>
        <v>4.5695E-2</v>
      </c>
      <c r="H4244" s="73"/>
      <c r="I4244" s="74"/>
      <c r="J4244" s="155">
        <v>0</v>
      </c>
    </row>
    <row r="4245" spans="1:10" ht="15.75" hidden="1" thickBot="1" x14ac:dyDescent="0.3">
      <c r="A4245" s="185"/>
      <c r="B4245" s="178"/>
      <c r="C4245" s="55"/>
      <c r="D4245" s="55"/>
      <c r="E4245" s="66"/>
      <c r="F4245" s="76" t="s">
        <v>568</v>
      </c>
      <c r="G4245" s="76" t="str">
        <f>IF(ISNUMBER(F4245),E4245*F4245,"")</f>
        <v/>
      </c>
      <c r="H4245" s="77"/>
      <c r="I4245" s="74"/>
      <c r="J4245" s="155">
        <v>0</v>
      </c>
    </row>
    <row r="4246" spans="1:10" ht="15.75" hidden="1" thickBot="1" x14ac:dyDescent="0.3">
      <c r="A4246" s="172" t="s">
        <v>1391</v>
      </c>
      <c r="B4246" s="174" t="str">
        <f>INDEX(Orçamentária!A:B,MATCH(Composições!A4246,Orçamentária!A:A,0),2)</f>
        <v>Telha metálica trapezoidal galvanizada - GR-25</v>
      </c>
      <c r="C4246" s="41"/>
      <c r="D4246" s="26" t="str">
        <f>TRIM(INDEX(Orçamentária!C:C,MATCH(Composições!A4246,Orçamentária!A:A,0),1))</f>
        <v>m2</v>
      </c>
      <c r="E4246" s="27"/>
      <c r="F4246" s="49" t="s">
        <v>568</v>
      </c>
      <c r="G4246" s="28" t="str">
        <f>IF(ISNUMBER(F4246),E4246*F4246,"")</f>
        <v/>
      </c>
      <c r="H4246" s="29"/>
      <c r="I4246" s="30"/>
      <c r="J4246" s="155">
        <v>0</v>
      </c>
    </row>
    <row r="4247" spans="1:10" hidden="1" x14ac:dyDescent="0.25">
      <c r="A4247" s="173"/>
      <c r="B4247" s="175"/>
      <c r="C4247" s="32"/>
      <c r="D4247" s="32"/>
      <c r="E4247" s="33"/>
      <c r="F4247" s="54" t="s">
        <v>568</v>
      </c>
      <c r="G4247" s="54" t="str">
        <f>IF(ISNUMBER(F4247),E4247*F4247,"")</f>
        <v/>
      </c>
      <c r="H4247" s="73"/>
      <c r="I4247" s="74"/>
      <c r="J4247" s="155">
        <v>0</v>
      </c>
    </row>
    <row r="4248" spans="1:10" ht="25.5" hidden="1" x14ac:dyDescent="0.25">
      <c r="A4248" s="173"/>
      <c r="B4248" s="175"/>
      <c r="C4248" s="36" t="s">
        <v>1392</v>
      </c>
      <c r="D4248" s="47" t="s">
        <v>1049</v>
      </c>
      <c r="E4248" s="37">
        <v>1.1659999999999999</v>
      </c>
      <c r="F4248" s="54" t="s">
        <v>568</v>
      </c>
      <c r="G4248" s="54" t="str">
        <f>IF(ISNUMBER(F4248),E4248*F4248,"")</f>
        <v/>
      </c>
      <c r="H4248" s="39">
        <f>SUM(G4248:G4253)</f>
        <v>9.3062436999999996</v>
      </c>
      <c r="I4248" s="40"/>
      <c r="J4248" s="155">
        <v>0</v>
      </c>
    </row>
    <row r="4249" spans="1:10" ht="38.25" hidden="1" x14ac:dyDescent="0.25">
      <c r="A4249" s="173"/>
      <c r="B4249" s="175"/>
      <c r="C4249" s="36" t="s">
        <v>1386</v>
      </c>
      <c r="D4249" s="47" t="s">
        <v>793</v>
      </c>
      <c r="E4249" s="37">
        <v>4.1500000000000004</v>
      </c>
      <c r="F4249" s="54">
        <v>1.3394999999999999</v>
      </c>
      <c r="G4249" s="54">
        <f>IF(ISNUMBER(F4249),E4249*F4249,"")</f>
        <v>5.5589250000000003</v>
      </c>
      <c r="H4249" s="73"/>
      <c r="I4249" s="74"/>
      <c r="J4249" s="155">
        <v>0</v>
      </c>
    </row>
    <row r="4250" spans="1:10" hidden="1" x14ac:dyDescent="0.25">
      <c r="A4250" s="173"/>
      <c r="B4250" s="175"/>
      <c r="C4250" s="36" t="s">
        <v>756</v>
      </c>
      <c r="D4250" s="36" t="s">
        <v>755</v>
      </c>
      <c r="E4250" s="37">
        <v>9.7000000000000003E-2</v>
      </c>
      <c r="F4250" s="54">
        <v>16.311500000000002</v>
      </c>
      <c r="G4250" s="54">
        <f>IF(ISNUMBER(F4250),E4250*F4250,"")</f>
        <v>1.5822155000000002</v>
      </c>
      <c r="H4250" s="73"/>
      <c r="I4250" s="74"/>
      <c r="J4250" s="155">
        <v>0</v>
      </c>
    </row>
    <row r="4251" spans="1:10" hidden="1" x14ac:dyDescent="0.25">
      <c r="A4251" s="173"/>
      <c r="B4251" s="175"/>
      <c r="C4251" s="36" t="s">
        <v>1387</v>
      </c>
      <c r="D4251" s="36" t="s">
        <v>755</v>
      </c>
      <c r="E4251" s="37">
        <v>9.0999999999999998E-2</v>
      </c>
      <c r="F4251" s="54">
        <v>23.360499999999998</v>
      </c>
      <c r="G4251" s="54">
        <f>IF(ISNUMBER(F4251),E4251*F4251,"")</f>
        <v>2.1258054999999998</v>
      </c>
      <c r="H4251" s="73"/>
      <c r="I4251" s="74"/>
      <c r="J4251" s="155">
        <v>0</v>
      </c>
    </row>
    <row r="4252" spans="1:10" ht="25.5" hidden="1" x14ac:dyDescent="0.25">
      <c r="A4252" s="173"/>
      <c r="B4252" s="175"/>
      <c r="C4252" s="36" t="s">
        <v>1388</v>
      </c>
      <c r="D4252" s="36" t="s">
        <v>997</v>
      </c>
      <c r="E4252" s="37">
        <v>8.9999999999999998E-4</v>
      </c>
      <c r="F4252" s="54">
        <v>18.277999999999999</v>
      </c>
      <c r="G4252" s="54">
        <f>IF(ISNUMBER(F4252),E4252*F4252,"")</f>
        <v>1.6450199999999998E-2</v>
      </c>
      <c r="H4252" s="73"/>
      <c r="I4252" s="74"/>
      <c r="J4252" s="155">
        <v>0</v>
      </c>
    </row>
    <row r="4253" spans="1:10" ht="25.5" hidden="1" x14ac:dyDescent="0.25">
      <c r="A4253" s="173"/>
      <c r="B4253" s="175"/>
      <c r="C4253" s="36" t="s">
        <v>1389</v>
      </c>
      <c r="D4253" s="36" t="s">
        <v>999</v>
      </c>
      <c r="E4253" s="37">
        <v>1.2999999999999999E-3</v>
      </c>
      <c r="F4253" s="54">
        <v>17.574999999999999</v>
      </c>
      <c r="G4253" s="54">
        <f>IF(ISNUMBER(F4253),E4253*F4253,"")</f>
        <v>2.28475E-2</v>
      </c>
      <c r="H4253" s="73"/>
      <c r="I4253" s="74"/>
      <c r="J4253" s="155">
        <v>0</v>
      </c>
    </row>
    <row r="4254" spans="1:10" ht="15.75" hidden="1" thickBot="1" x14ac:dyDescent="0.3">
      <c r="A4254" s="185"/>
      <c r="B4254" s="178"/>
      <c r="C4254" s="55"/>
      <c r="D4254" s="55"/>
      <c r="E4254" s="66"/>
      <c r="F4254" s="76" t="s">
        <v>568</v>
      </c>
      <c r="G4254" s="76" t="str">
        <f>IF(ISNUMBER(F4254),E4254*F4254,"")</f>
        <v/>
      </c>
      <c r="H4254" s="77"/>
      <c r="I4254" s="74"/>
      <c r="J4254" s="155">
        <v>0</v>
      </c>
    </row>
    <row r="4255" spans="1:10" ht="15.75" hidden="1" thickBot="1" x14ac:dyDescent="0.3">
      <c r="A4255" s="172" t="s">
        <v>1393</v>
      </c>
      <c r="B4255" s="174" t="str">
        <f>INDEX(Orçamentária!A:B,MATCH(Composições!A4255,Orçamentária!A:A,0),2)</f>
        <v>Cumeeira para telha metálica trapezoidal galvanizada - GR-25</v>
      </c>
      <c r="C4255" s="41"/>
      <c r="D4255" s="26" t="str">
        <f>TRIM(INDEX(Orçamentária!C:C,MATCH(Composições!A4255,Orçamentária!A:A,0),1))</f>
        <v>m</v>
      </c>
      <c r="E4255" s="27"/>
      <c r="F4255" s="49" t="s">
        <v>568</v>
      </c>
      <c r="G4255" s="28" t="str">
        <f>IF(ISNUMBER(F4255),E4255*F4255,"")</f>
        <v/>
      </c>
      <c r="H4255" s="29"/>
      <c r="I4255" s="30"/>
      <c r="J4255" s="155">
        <v>0</v>
      </c>
    </row>
    <row r="4256" spans="1:10" hidden="1" x14ac:dyDescent="0.25">
      <c r="A4256" s="173"/>
      <c r="B4256" s="175"/>
      <c r="C4256" s="32"/>
      <c r="D4256" s="32"/>
      <c r="E4256" s="33"/>
      <c r="F4256" s="54" t="s">
        <v>568</v>
      </c>
      <c r="G4256" s="54" t="str">
        <f>IF(ISNUMBER(F4256),E4256*F4256,"")</f>
        <v/>
      </c>
      <c r="H4256" s="73"/>
      <c r="I4256" s="74"/>
      <c r="J4256" s="155">
        <v>0</v>
      </c>
    </row>
    <row r="4257" spans="1:10" ht="38.25" hidden="1" x14ac:dyDescent="0.25">
      <c r="A4257" s="173"/>
      <c r="B4257" s="175"/>
      <c r="C4257" s="36" t="s">
        <v>1386</v>
      </c>
      <c r="D4257" s="47" t="s">
        <v>793</v>
      </c>
      <c r="E4257" s="37">
        <v>4.1500000000000004</v>
      </c>
      <c r="F4257" s="54">
        <v>1.3394999999999999</v>
      </c>
      <c r="G4257" s="54">
        <f>IF(ISNUMBER(F4257),E4257*F4257,"")</f>
        <v>5.5589250000000003</v>
      </c>
      <c r="H4257" s="39">
        <f>SUM(G4257:G4262)</f>
        <v>8.2298899000000016</v>
      </c>
      <c r="I4257" s="40"/>
      <c r="J4257" s="155">
        <v>0</v>
      </c>
    </row>
    <row r="4258" spans="1:10" hidden="1" x14ac:dyDescent="0.25">
      <c r="A4258" s="173"/>
      <c r="B4258" s="175"/>
      <c r="C4258" s="36" t="s">
        <v>3620</v>
      </c>
      <c r="D4258" s="36" t="s">
        <v>93</v>
      </c>
      <c r="E4258" s="37">
        <v>1.0289999999999999</v>
      </c>
      <c r="F4258" s="54" t="s">
        <v>568</v>
      </c>
      <c r="G4258" s="54" t="str">
        <f>IF(ISNUMBER(F4258),E4258*F4258,"")</f>
        <v/>
      </c>
      <c r="H4258" s="73"/>
      <c r="I4258" s="74"/>
      <c r="J4258" s="155">
        <v>0</v>
      </c>
    </row>
    <row r="4259" spans="1:10" hidden="1" x14ac:dyDescent="0.25">
      <c r="A4259" s="173"/>
      <c r="B4259" s="175"/>
      <c r="C4259" s="36" t="s">
        <v>756</v>
      </c>
      <c r="D4259" s="36" t="s">
        <v>755</v>
      </c>
      <c r="E4259" s="37">
        <v>7.2999999999999995E-2</v>
      </c>
      <c r="F4259" s="54">
        <v>16.311500000000002</v>
      </c>
      <c r="G4259" s="54">
        <f>IF(ISNUMBER(F4259),E4259*F4259,"")</f>
        <v>1.1907395000000001</v>
      </c>
      <c r="H4259" s="73"/>
      <c r="I4259" s="74"/>
      <c r="J4259" s="155">
        <v>0</v>
      </c>
    </row>
    <row r="4260" spans="1:10" hidden="1" x14ac:dyDescent="0.25">
      <c r="A4260" s="173"/>
      <c r="B4260" s="175"/>
      <c r="C4260" s="36" t="s">
        <v>1387</v>
      </c>
      <c r="D4260" s="36" t="s">
        <v>755</v>
      </c>
      <c r="E4260" s="37">
        <v>0.06</v>
      </c>
      <c r="F4260" s="54">
        <v>23.360499999999998</v>
      </c>
      <c r="G4260" s="54">
        <f>IF(ISNUMBER(F4260),E4260*F4260,"")</f>
        <v>1.4016299999999999</v>
      </c>
      <c r="H4260" s="73"/>
      <c r="I4260" s="74"/>
      <c r="J4260" s="155">
        <v>0</v>
      </c>
    </row>
    <row r="4261" spans="1:10" ht="25.5" hidden="1" x14ac:dyDescent="0.25">
      <c r="A4261" s="173"/>
      <c r="B4261" s="175"/>
      <c r="C4261" s="36" t="s">
        <v>1388</v>
      </c>
      <c r="D4261" s="36" t="s">
        <v>997</v>
      </c>
      <c r="E4261" s="37">
        <v>1.8E-3</v>
      </c>
      <c r="F4261" s="54">
        <v>18.277999999999999</v>
      </c>
      <c r="G4261" s="54">
        <f>IF(ISNUMBER(F4261),E4261*F4261,"")</f>
        <v>3.2900399999999996E-2</v>
      </c>
      <c r="H4261" s="73"/>
      <c r="I4261" s="74"/>
      <c r="J4261" s="155">
        <v>0</v>
      </c>
    </row>
    <row r="4262" spans="1:10" ht="25.5" hidden="1" x14ac:dyDescent="0.25">
      <c r="A4262" s="173"/>
      <c r="B4262" s="175"/>
      <c r="C4262" s="36" t="s">
        <v>1389</v>
      </c>
      <c r="D4262" s="36" t="s">
        <v>999</v>
      </c>
      <c r="E4262" s="37">
        <v>2.5999999999999999E-3</v>
      </c>
      <c r="F4262" s="54">
        <v>17.574999999999999</v>
      </c>
      <c r="G4262" s="54">
        <f>IF(ISNUMBER(F4262),E4262*F4262,"")</f>
        <v>4.5695E-2</v>
      </c>
      <c r="H4262" s="73"/>
      <c r="I4262" s="74"/>
      <c r="J4262" s="155">
        <v>0</v>
      </c>
    </row>
    <row r="4263" spans="1:10" ht="15.75" hidden="1" thickBot="1" x14ac:dyDescent="0.3">
      <c r="A4263" s="185"/>
      <c r="B4263" s="178"/>
      <c r="C4263" s="55"/>
      <c r="D4263" s="55"/>
      <c r="E4263" s="66"/>
      <c r="F4263" s="76" t="s">
        <v>568</v>
      </c>
      <c r="G4263" s="76" t="str">
        <f>IF(ISNUMBER(F4263),E4263*F4263,"")</f>
        <v/>
      </c>
      <c r="H4263" s="77"/>
      <c r="I4263" s="74"/>
      <c r="J4263" s="155">
        <v>0</v>
      </c>
    </row>
    <row r="4264" spans="1:10" ht="15.75" hidden="1" thickBot="1" x14ac:dyDescent="0.3">
      <c r="A4264" s="172" t="s">
        <v>1394</v>
      </c>
      <c r="B4264" s="174" t="str">
        <f>INDEX(Orçamentária!A:B,MATCH(Composições!A4264,Orçamentária!A:A,0),2)</f>
        <v>Telha de fibrocimento modulada - espessura 8mm</v>
      </c>
      <c r="C4264" s="41"/>
      <c r="D4264" s="26" t="str">
        <f>TRIM(INDEX(Orçamentária!C:C,MATCH(Composições!A4264,Orçamentária!A:A,0),1))</f>
        <v>m2</v>
      </c>
      <c r="E4264" s="27"/>
      <c r="F4264" s="49" t="s">
        <v>568</v>
      </c>
      <c r="G4264" s="28" t="str">
        <f>IF(ISNUMBER(F4264),E4264*F4264,"")</f>
        <v/>
      </c>
      <c r="H4264" s="29"/>
      <c r="I4264" s="30"/>
      <c r="J4264" s="155">
        <v>0</v>
      </c>
    </row>
    <row r="4265" spans="1:10" hidden="1" x14ac:dyDescent="0.25">
      <c r="A4265" s="173"/>
      <c r="B4265" s="175"/>
      <c r="C4265" s="32"/>
      <c r="D4265" s="32"/>
      <c r="E4265" s="33"/>
      <c r="F4265" s="54" t="s">
        <v>568</v>
      </c>
      <c r="G4265" s="54" t="str">
        <f>IF(ISNUMBER(F4265),E4265*F4265,"")</f>
        <v/>
      </c>
      <c r="H4265" s="73"/>
      <c r="I4265" s="74"/>
      <c r="J4265" s="155">
        <v>0</v>
      </c>
    </row>
    <row r="4266" spans="1:10" hidden="1" x14ac:dyDescent="0.25">
      <c r="A4266" s="173"/>
      <c r="B4266" s="175"/>
      <c r="C4266" s="36" t="s">
        <v>1387</v>
      </c>
      <c r="D4266" s="36" t="s">
        <v>12</v>
      </c>
      <c r="E4266" s="37">
        <v>0.3</v>
      </c>
      <c r="F4266" s="54">
        <v>23.360499999999998</v>
      </c>
      <c r="G4266" s="54">
        <f>IF(ISNUMBER(F4266),E4266*F4266,"")</f>
        <v>7.0081499999999997</v>
      </c>
      <c r="H4266" s="39">
        <f>SUM(G4266:G4272)</f>
        <v>16.79505</v>
      </c>
      <c r="I4266" s="40"/>
      <c r="J4266" s="155">
        <v>0</v>
      </c>
    </row>
    <row r="4267" spans="1:10" hidden="1" x14ac:dyDescent="0.25">
      <c r="A4267" s="173"/>
      <c r="B4267" s="175"/>
      <c r="C4267" s="36" t="s">
        <v>756</v>
      </c>
      <c r="D4267" s="36" t="s">
        <v>12</v>
      </c>
      <c r="E4267" s="37">
        <v>0.6</v>
      </c>
      <c r="F4267" s="54">
        <v>16.311500000000002</v>
      </c>
      <c r="G4267" s="54">
        <f>IF(ISNUMBER(F4267),E4267*F4267,"")</f>
        <v>9.786900000000001</v>
      </c>
      <c r="H4267" s="73"/>
      <c r="I4267" s="74"/>
      <c r="J4267" s="155">
        <v>0</v>
      </c>
    </row>
    <row r="4268" spans="1:10" hidden="1" x14ac:dyDescent="0.25">
      <c r="A4268" s="173"/>
      <c r="B4268" s="175"/>
      <c r="C4268" s="36" t="s">
        <v>1395</v>
      </c>
      <c r="D4268" s="36" t="s">
        <v>297</v>
      </c>
      <c r="E4268" s="37">
        <v>1.1100000000000001</v>
      </c>
      <c r="F4268" s="54">
        <v>0</v>
      </c>
      <c r="G4268" s="54">
        <f>IF(ISNUMBER(F4268),E4268*F4268,"")</f>
        <v>0</v>
      </c>
      <c r="H4268" s="73"/>
      <c r="I4268" s="74"/>
      <c r="J4268" s="155">
        <v>0</v>
      </c>
    </row>
    <row r="4269" spans="1:10" hidden="1" x14ac:dyDescent="0.25">
      <c r="A4269" s="173"/>
      <c r="B4269" s="175"/>
      <c r="C4269" s="36" t="s">
        <v>1396</v>
      </c>
      <c r="D4269" s="36" t="s">
        <v>95</v>
      </c>
      <c r="E4269" s="37">
        <v>1.24</v>
      </c>
      <c r="F4269" s="54">
        <v>0</v>
      </c>
      <c r="G4269" s="54">
        <f>IF(ISNUMBER(F4269),E4269*F4269,"")</f>
        <v>0</v>
      </c>
      <c r="H4269" s="73"/>
      <c r="I4269" s="74"/>
      <c r="J4269" s="155">
        <v>0</v>
      </c>
    </row>
    <row r="4270" spans="1:10" ht="25.5" hidden="1" x14ac:dyDescent="0.25">
      <c r="A4270" s="173"/>
      <c r="B4270" s="175"/>
      <c r="C4270" s="36" t="s">
        <v>1397</v>
      </c>
      <c r="D4270" s="36" t="s">
        <v>297</v>
      </c>
      <c r="E4270" s="37">
        <v>1.1100000000000001</v>
      </c>
      <c r="F4270" s="54">
        <v>0</v>
      </c>
      <c r="G4270" s="54">
        <f>IF(ISNUMBER(F4270),E4270*F4270,"")</f>
        <v>0</v>
      </c>
      <c r="H4270" s="73"/>
      <c r="I4270" s="74"/>
      <c r="J4270" s="155">
        <v>0</v>
      </c>
    </row>
    <row r="4271" spans="1:10" hidden="1" x14ac:dyDescent="0.25">
      <c r="A4271" s="173"/>
      <c r="B4271" s="175"/>
      <c r="C4271" s="36" t="s">
        <v>1398</v>
      </c>
      <c r="D4271" s="36" t="s">
        <v>297</v>
      </c>
      <c r="E4271" s="37">
        <v>1</v>
      </c>
      <c r="F4271" s="54">
        <v>0</v>
      </c>
      <c r="G4271" s="54">
        <f>IF(ISNUMBER(F4271),E4271*F4271,"")</f>
        <v>0</v>
      </c>
      <c r="H4271" s="73"/>
      <c r="I4271" s="74"/>
      <c r="J4271" s="155">
        <v>0</v>
      </c>
    </row>
    <row r="4272" spans="1:10" hidden="1" x14ac:dyDescent="0.25">
      <c r="A4272" s="173"/>
      <c r="B4272" s="175"/>
      <c r="C4272" s="36" t="s">
        <v>1399</v>
      </c>
      <c r="D4272" s="36" t="s">
        <v>297</v>
      </c>
      <c r="E4272" s="37">
        <v>1.1100000000000001</v>
      </c>
      <c r="F4272" s="54">
        <v>0</v>
      </c>
      <c r="G4272" s="54">
        <f>IF(ISNUMBER(F4272),E4272*F4272,"")</f>
        <v>0</v>
      </c>
      <c r="H4272" s="73"/>
      <c r="I4272" s="74"/>
      <c r="J4272" s="155">
        <v>0</v>
      </c>
    </row>
    <row r="4273" spans="1:10" ht="15.75" hidden="1" thickBot="1" x14ac:dyDescent="0.3">
      <c r="A4273" s="185"/>
      <c r="B4273" s="178"/>
      <c r="C4273" s="55"/>
      <c r="D4273" s="55"/>
      <c r="E4273" s="66"/>
      <c r="F4273" s="76" t="s">
        <v>568</v>
      </c>
      <c r="G4273" s="76" t="str">
        <f>IF(ISNUMBER(F4273),E4273*F4273,"")</f>
        <v/>
      </c>
      <c r="H4273" s="77"/>
      <c r="I4273" s="74"/>
      <c r="J4273" s="155">
        <v>0</v>
      </c>
    </row>
    <row r="4274" spans="1:10" ht="15.75" hidden="1" thickBot="1" x14ac:dyDescent="0.3">
      <c r="A4274" s="172" t="s">
        <v>1400</v>
      </c>
      <c r="B4274" s="174" t="str">
        <f>INDEX(Orçamentária!A:B,MATCH(Composições!A4274,Orçamentária!A:A,0),2)</f>
        <v>Cumeeira articulada ABA SUPERIOR de fibrocimento para telha modulada - espessura 6 mm</v>
      </c>
      <c r="C4274" s="41"/>
      <c r="D4274" s="26" t="str">
        <f>TRIM(INDEX(Orçamentária!C:C,MATCH(Composições!A4274,Orçamentária!A:A,0),1))</f>
        <v>m</v>
      </c>
      <c r="E4274" s="27"/>
      <c r="F4274" s="49" t="s">
        <v>568</v>
      </c>
      <c r="G4274" s="28" t="str">
        <f>IF(ISNUMBER(F4274),E4274*F4274,"")</f>
        <v/>
      </c>
      <c r="H4274" s="29"/>
      <c r="I4274" s="30"/>
      <c r="J4274" s="155">
        <v>0</v>
      </c>
    </row>
    <row r="4275" spans="1:10" hidden="1" x14ac:dyDescent="0.25">
      <c r="A4275" s="173"/>
      <c r="B4275" s="175"/>
      <c r="C4275" s="32"/>
      <c r="D4275" s="32"/>
      <c r="E4275" s="33"/>
      <c r="F4275" s="54" t="s">
        <v>568</v>
      </c>
      <c r="G4275" s="54" t="str">
        <f>IF(ISNUMBER(F4275),E4275*F4275,"")</f>
        <v/>
      </c>
      <c r="H4275" s="73"/>
      <c r="I4275" s="74"/>
      <c r="J4275" s="155">
        <v>0</v>
      </c>
    </row>
    <row r="4276" spans="1:10" hidden="1" x14ac:dyDescent="0.25">
      <c r="A4276" s="173"/>
      <c r="B4276" s="175"/>
      <c r="C4276" s="36" t="s">
        <v>1387</v>
      </c>
      <c r="D4276" s="36" t="s">
        <v>12</v>
      </c>
      <c r="E4276" s="37">
        <f>0.12/2</f>
        <v>0.06</v>
      </c>
      <c r="F4276" s="54">
        <v>23.360499999999998</v>
      </c>
      <c r="G4276" s="54">
        <f>IF(ISNUMBER(F4276),E4276*F4276,"")</f>
        <v>1.4016299999999999</v>
      </c>
      <c r="H4276" s="39">
        <f>SUM(G4276:G4280)</f>
        <v>2.3803200000000002</v>
      </c>
      <c r="I4276" s="40"/>
      <c r="J4276" s="155">
        <v>0</v>
      </c>
    </row>
    <row r="4277" spans="1:10" hidden="1" x14ac:dyDescent="0.25">
      <c r="A4277" s="173"/>
      <c r="B4277" s="175"/>
      <c r="C4277" s="36" t="s">
        <v>756</v>
      </c>
      <c r="D4277" s="36" t="s">
        <v>12</v>
      </c>
      <c r="E4277" s="37">
        <f>0.12/2</f>
        <v>0.06</v>
      </c>
      <c r="F4277" s="54">
        <v>16.311500000000002</v>
      </c>
      <c r="G4277" s="54">
        <f>IF(ISNUMBER(F4277),E4277*F4277,"")</f>
        <v>0.97869000000000006</v>
      </c>
      <c r="H4277" s="73"/>
      <c r="I4277" s="74"/>
      <c r="J4277" s="155">
        <v>0</v>
      </c>
    </row>
    <row r="4278" spans="1:10" hidden="1" x14ac:dyDescent="0.25">
      <c r="A4278" s="173"/>
      <c r="B4278" s="175"/>
      <c r="C4278" s="36" t="s">
        <v>1395</v>
      </c>
      <c r="D4278" s="36" t="s">
        <v>297</v>
      </c>
      <c r="E4278" s="37">
        <f>4.12/2</f>
        <v>2.06</v>
      </c>
      <c r="F4278" s="54">
        <v>0</v>
      </c>
      <c r="G4278" s="54">
        <f>IF(ISNUMBER(F4278),E4278*F4278,"")</f>
        <v>0</v>
      </c>
      <c r="H4278" s="73"/>
      <c r="I4278" s="74"/>
      <c r="J4278" s="155">
        <v>0</v>
      </c>
    </row>
    <row r="4279" spans="1:10" ht="25.5" hidden="1" x14ac:dyDescent="0.25">
      <c r="A4279" s="173"/>
      <c r="B4279" s="175"/>
      <c r="C4279" s="36" t="s">
        <v>1401</v>
      </c>
      <c r="D4279" s="36" t="s">
        <v>297</v>
      </c>
      <c r="E4279" s="37">
        <v>2.06</v>
      </c>
      <c r="F4279" s="54">
        <v>0</v>
      </c>
      <c r="G4279" s="54">
        <f>IF(ISNUMBER(F4279),E4279*F4279,"")</f>
        <v>0</v>
      </c>
      <c r="H4279" s="73"/>
      <c r="I4279" s="74"/>
      <c r="J4279" s="155">
        <v>0</v>
      </c>
    </row>
    <row r="4280" spans="1:10" hidden="1" x14ac:dyDescent="0.25">
      <c r="A4280" s="173"/>
      <c r="B4280" s="175"/>
      <c r="C4280" s="36" t="s">
        <v>1399</v>
      </c>
      <c r="D4280" s="36" t="s">
        <v>297</v>
      </c>
      <c r="E4280" s="37">
        <f>4.12/2</f>
        <v>2.06</v>
      </c>
      <c r="F4280" s="54">
        <v>0</v>
      </c>
      <c r="G4280" s="54">
        <f>IF(ISNUMBER(F4280),E4280*F4280,"")</f>
        <v>0</v>
      </c>
      <c r="H4280" s="73"/>
      <c r="I4280" s="74"/>
      <c r="J4280" s="155">
        <v>0</v>
      </c>
    </row>
    <row r="4281" spans="1:10" ht="15.75" hidden="1" thickBot="1" x14ac:dyDescent="0.3">
      <c r="A4281" s="185"/>
      <c r="B4281" s="178"/>
      <c r="C4281" s="55"/>
      <c r="D4281" s="55"/>
      <c r="E4281" s="66"/>
      <c r="F4281" s="76" t="s">
        <v>568</v>
      </c>
      <c r="G4281" s="76" t="str">
        <f>IF(ISNUMBER(F4281),E4281*F4281,"")</f>
        <v/>
      </c>
      <c r="H4281" s="77"/>
      <c r="I4281" s="74"/>
      <c r="J4281" s="155">
        <v>0</v>
      </c>
    </row>
    <row r="4282" spans="1:10" ht="15.75" hidden="1" thickBot="1" x14ac:dyDescent="0.3">
      <c r="A4282" s="172" t="s">
        <v>1402</v>
      </c>
      <c r="B4282" s="174" t="str">
        <f>INDEX(Orçamentária!A:B,MATCH(Composições!A4282,Orçamentária!A:A,0),2)</f>
        <v>Cumeeira articulada ABA INFERIOR de fibrocimento para telha modulada - espessura 6 mm</v>
      </c>
      <c r="C4282" s="41"/>
      <c r="D4282" s="26" t="str">
        <f>TRIM(INDEX(Orçamentária!C:C,MATCH(Composições!A4282,Orçamentária!A:A,0),1))</f>
        <v>m</v>
      </c>
      <c r="E4282" s="27"/>
      <c r="F4282" s="49" t="s">
        <v>568</v>
      </c>
      <c r="G4282" s="28" t="str">
        <f>IF(ISNUMBER(F4282),E4282*F4282,"")</f>
        <v/>
      </c>
      <c r="H4282" s="29"/>
      <c r="I4282" s="30"/>
      <c r="J4282" s="155">
        <v>0</v>
      </c>
    </row>
    <row r="4283" spans="1:10" hidden="1" x14ac:dyDescent="0.25">
      <c r="A4283" s="173"/>
      <c r="B4283" s="175"/>
      <c r="C4283" s="32"/>
      <c r="D4283" s="32"/>
      <c r="E4283" s="33"/>
      <c r="F4283" s="54" t="s">
        <v>568</v>
      </c>
      <c r="G4283" s="54" t="str">
        <f>IF(ISNUMBER(F4283),E4283*F4283,"")</f>
        <v/>
      </c>
      <c r="H4283" s="73"/>
      <c r="I4283" s="74"/>
      <c r="J4283" s="155">
        <v>0</v>
      </c>
    </row>
    <row r="4284" spans="1:10" hidden="1" x14ac:dyDescent="0.25">
      <c r="A4284" s="173"/>
      <c r="B4284" s="175"/>
      <c r="C4284" s="36" t="s">
        <v>1387</v>
      </c>
      <c r="D4284" s="36" t="s">
        <v>12</v>
      </c>
      <c r="E4284" s="37">
        <f>0.12/2</f>
        <v>0.06</v>
      </c>
      <c r="F4284" s="54">
        <v>23.360499999999998</v>
      </c>
      <c r="G4284" s="54">
        <f>IF(ISNUMBER(F4284),E4284*F4284,"")</f>
        <v>1.4016299999999999</v>
      </c>
      <c r="H4284" s="39">
        <f>SUM(G4284:G4288)</f>
        <v>2.3803200000000002</v>
      </c>
      <c r="I4284" s="40"/>
      <c r="J4284" s="155">
        <v>0</v>
      </c>
    </row>
    <row r="4285" spans="1:10" hidden="1" x14ac:dyDescent="0.25">
      <c r="A4285" s="173"/>
      <c r="B4285" s="175"/>
      <c r="C4285" s="36" t="s">
        <v>756</v>
      </c>
      <c r="D4285" s="36" t="s">
        <v>12</v>
      </c>
      <c r="E4285" s="37">
        <f>0.12/2</f>
        <v>0.06</v>
      </c>
      <c r="F4285" s="54">
        <v>16.311500000000002</v>
      </c>
      <c r="G4285" s="54">
        <f>IF(ISNUMBER(F4285),E4285*F4285,"")</f>
        <v>0.97869000000000006</v>
      </c>
      <c r="H4285" s="73"/>
      <c r="I4285" s="74"/>
      <c r="J4285" s="155">
        <v>0</v>
      </c>
    </row>
    <row r="4286" spans="1:10" hidden="1" x14ac:dyDescent="0.25">
      <c r="A4286" s="173"/>
      <c r="B4286" s="175"/>
      <c r="C4286" s="36" t="s">
        <v>1395</v>
      </c>
      <c r="D4286" s="36" t="s">
        <v>297</v>
      </c>
      <c r="E4286" s="37">
        <f>4.12/2</f>
        <v>2.06</v>
      </c>
      <c r="F4286" s="54">
        <v>0</v>
      </c>
      <c r="G4286" s="54">
        <f>IF(ISNUMBER(F4286),E4286*F4286,"")</f>
        <v>0</v>
      </c>
      <c r="H4286" s="73"/>
      <c r="I4286" s="74"/>
      <c r="J4286" s="155">
        <v>0</v>
      </c>
    </row>
    <row r="4287" spans="1:10" ht="25.5" hidden="1" x14ac:dyDescent="0.25">
      <c r="A4287" s="173"/>
      <c r="B4287" s="175"/>
      <c r="C4287" s="36" t="s">
        <v>1403</v>
      </c>
      <c r="D4287" s="36" t="s">
        <v>297</v>
      </c>
      <c r="E4287" s="37">
        <v>2.06</v>
      </c>
      <c r="F4287" s="54">
        <v>0</v>
      </c>
      <c r="G4287" s="54">
        <f>IF(ISNUMBER(F4287),E4287*F4287,"")</f>
        <v>0</v>
      </c>
      <c r="H4287" s="73"/>
      <c r="I4287" s="74"/>
      <c r="J4287" s="155">
        <v>0</v>
      </c>
    </row>
    <row r="4288" spans="1:10" hidden="1" x14ac:dyDescent="0.25">
      <c r="A4288" s="173"/>
      <c r="B4288" s="175"/>
      <c r="C4288" s="36" t="s">
        <v>1399</v>
      </c>
      <c r="D4288" s="36" t="s">
        <v>297</v>
      </c>
      <c r="E4288" s="37">
        <f>4.12/2</f>
        <v>2.06</v>
      </c>
      <c r="F4288" s="54">
        <v>0</v>
      </c>
      <c r="G4288" s="54">
        <f>IF(ISNUMBER(F4288),E4288*F4288,"")</f>
        <v>0</v>
      </c>
      <c r="H4288" s="73"/>
      <c r="I4288" s="74"/>
      <c r="J4288" s="155">
        <v>0</v>
      </c>
    </row>
    <row r="4289" spans="1:10" ht="15.75" hidden="1" thickBot="1" x14ac:dyDescent="0.3">
      <c r="A4289" s="185"/>
      <c r="B4289" s="178"/>
      <c r="C4289" s="55"/>
      <c r="D4289" s="55"/>
      <c r="E4289" s="66"/>
      <c r="F4289" s="76" t="s">
        <v>568</v>
      </c>
      <c r="G4289" s="76" t="str">
        <f>IF(ISNUMBER(F4289),E4289*F4289,"")</f>
        <v/>
      </c>
      <c r="H4289" s="77"/>
      <c r="I4289" s="74"/>
      <c r="J4289" s="155">
        <v>0</v>
      </c>
    </row>
    <row r="4290" spans="1:10" ht="15.75" hidden="1" thickBot="1" x14ac:dyDescent="0.3">
      <c r="A4290" s="172" t="s">
        <v>1404</v>
      </c>
      <c r="B4290" s="174" t="str">
        <f>INDEX(Orçamentária!A:B,MATCH(Composições!A4290,Orçamentária!A:A,0),2)</f>
        <v>Telha de fibrocimento ondulada - espessura 6mm</v>
      </c>
      <c r="C4290" s="41"/>
      <c r="D4290" s="26" t="str">
        <f>TRIM(INDEX(Orçamentária!C:C,MATCH(Composições!A4290,Orçamentária!A:A,0),1))</f>
        <v>m2</v>
      </c>
      <c r="E4290" s="27"/>
      <c r="F4290" s="49" t="s">
        <v>568</v>
      </c>
      <c r="G4290" s="28" t="str">
        <f>IF(ISNUMBER(F4290),E4290*F4290,"")</f>
        <v/>
      </c>
      <c r="H4290" s="29"/>
      <c r="I4290" s="30"/>
      <c r="J4290" s="155">
        <v>0</v>
      </c>
    </row>
    <row r="4291" spans="1:10" hidden="1" x14ac:dyDescent="0.25">
      <c r="A4291" s="173"/>
      <c r="B4291" s="175"/>
      <c r="C4291" s="32"/>
      <c r="D4291" s="32"/>
      <c r="E4291" s="33"/>
      <c r="F4291" s="54" t="s">
        <v>568</v>
      </c>
      <c r="G4291" s="54" t="str">
        <f>IF(ISNUMBER(F4291),E4291*F4291,"")</f>
        <v/>
      </c>
      <c r="H4291" s="73"/>
      <c r="I4291" s="74"/>
      <c r="J4291" s="155">
        <v>0</v>
      </c>
    </row>
    <row r="4292" spans="1:10" ht="38.25" hidden="1" x14ac:dyDescent="0.25">
      <c r="A4292" s="173"/>
      <c r="B4292" s="175"/>
      <c r="C4292" s="36" t="s">
        <v>1405</v>
      </c>
      <c r="D4292" s="47" t="s">
        <v>793</v>
      </c>
      <c r="E4292" s="37">
        <v>1.27</v>
      </c>
      <c r="F4292" s="54">
        <v>0.18049999999999999</v>
      </c>
      <c r="G4292" s="54">
        <f>IF(ISNUMBER(F4292),E4292*F4292,"")</f>
        <v>0.22923499999999999</v>
      </c>
      <c r="H4292" s="39">
        <f>SUM(G4292:G4298)</f>
        <v>39.864137499999998</v>
      </c>
      <c r="I4292" s="40"/>
      <c r="J4292" s="155">
        <v>0</v>
      </c>
    </row>
    <row r="4293" spans="1:10" ht="25.5" hidden="1" x14ac:dyDescent="0.25">
      <c r="A4293" s="173"/>
      <c r="B4293" s="175"/>
      <c r="C4293" s="36" t="s">
        <v>1406</v>
      </c>
      <c r="D4293" s="36" t="s">
        <v>297</v>
      </c>
      <c r="E4293" s="37">
        <v>1.27</v>
      </c>
      <c r="F4293" s="54">
        <v>2.7075</v>
      </c>
      <c r="G4293" s="54">
        <f>IF(ISNUMBER(F4293),E4293*F4293,"")</f>
        <v>3.4385250000000003</v>
      </c>
      <c r="H4293" s="73"/>
      <c r="I4293" s="74"/>
      <c r="J4293" s="155">
        <v>0</v>
      </c>
    </row>
    <row r="4294" spans="1:10" ht="25.5" hidden="1" x14ac:dyDescent="0.25">
      <c r="A4294" s="173"/>
      <c r="B4294" s="175"/>
      <c r="C4294" s="36" t="s">
        <v>1407</v>
      </c>
      <c r="D4294" s="36" t="s">
        <v>1049</v>
      </c>
      <c r="E4294" s="37">
        <v>1.2749999999999999</v>
      </c>
      <c r="F4294" s="54">
        <v>24.196499999999997</v>
      </c>
      <c r="G4294" s="54">
        <f>IF(ISNUMBER(F4294),E4294*F4294,"")</f>
        <v>30.850537499999994</v>
      </c>
      <c r="H4294" s="73"/>
      <c r="I4294" s="74"/>
      <c r="J4294" s="155">
        <v>0</v>
      </c>
    </row>
    <row r="4295" spans="1:10" hidden="1" x14ac:dyDescent="0.25">
      <c r="A4295" s="173"/>
      <c r="B4295" s="175"/>
      <c r="C4295" s="36" t="s">
        <v>756</v>
      </c>
      <c r="D4295" s="36" t="s">
        <v>755</v>
      </c>
      <c r="E4295" s="37">
        <v>0.15</v>
      </c>
      <c r="F4295" s="54">
        <v>16.311500000000002</v>
      </c>
      <c r="G4295" s="54">
        <f>IF(ISNUMBER(F4295),E4295*F4295,"")</f>
        <v>2.4467250000000003</v>
      </c>
      <c r="H4295" s="73"/>
      <c r="I4295" s="74"/>
      <c r="J4295" s="155">
        <v>0</v>
      </c>
    </row>
    <row r="4296" spans="1:10" hidden="1" x14ac:dyDescent="0.25">
      <c r="A4296" s="173"/>
      <c r="B4296" s="175"/>
      <c r="C4296" s="36" t="s">
        <v>1387</v>
      </c>
      <c r="D4296" s="36" t="s">
        <v>755</v>
      </c>
      <c r="E4296" s="37">
        <v>0.115</v>
      </c>
      <c r="F4296" s="54">
        <v>23.360499999999998</v>
      </c>
      <c r="G4296" s="54">
        <f>IF(ISNUMBER(F4296),E4296*F4296,"")</f>
        <v>2.6864574999999999</v>
      </c>
      <c r="H4296" s="73"/>
      <c r="I4296" s="74"/>
      <c r="J4296" s="155">
        <v>0</v>
      </c>
    </row>
    <row r="4297" spans="1:10" ht="25.5" hidden="1" x14ac:dyDescent="0.25">
      <c r="A4297" s="173"/>
      <c r="B4297" s="175"/>
      <c r="C4297" s="36" t="s">
        <v>1388</v>
      </c>
      <c r="D4297" s="36" t="s">
        <v>997</v>
      </c>
      <c r="E4297" s="37">
        <v>5.0000000000000001E-3</v>
      </c>
      <c r="F4297" s="54">
        <v>18.277999999999999</v>
      </c>
      <c r="G4297" s="54">
        <f>IF(ISNUMBER(F4297),E4297*F4297,"")</f>
        <v>9.1389999999999999E-2</v>
      </c>
      <c r="H4297" s="73"/>
      <c r="I4297" s="74"/>
      <c r="J4297" s="155">
        <v>0</v>
      </c>
    </row>
    <row r="4298" spans="1:10" ht="25.5" hidden="1" x14ac:dyDescent="0.25">
      <c r="A4298" s="173"/>
      <c r="B4298" s="175"/>
      <c r="C4298" s="36" t="s">
        <v>1389</v>
      </c>
      <c r="D4298" s="36" t="s">
        <v>999</v>
      </c>
      <c r="E4298" s="37">
        <v>6.8999999999999999E-3</v>
      </c>
      <c r="F4298" s="54">
        <v>17.574999999999999</v>
      </c>
      <c r="G4298" s="54">
        <f>IF(ISNUMBER(F4298),E4298*F4298,"")</f>
        <v>0.12126749999999999</v>
      </c>
      <c r="H4298" s="73"/>
      <c r="I4298" s="74"/>
      <c r="J4298" s="155">
        <v>0</v>
      </c>
    </row>
    <row r="4299" spans="1:10" ht="15.75" hidden="1" thickBot="1" x14ac:dyDescent="0.3">
      <c r="A4299" s="185"/>
      <c r="B4299" s="178"/>
      <c r="C4299" s="55"/>
      <c r="D4299" s="55"/>
      <c r="E4299" s="66"/>
      <c r="F4299" s="76" t="s">
        <v>568</v>
      </c>
      <c r="G4299" s="76" t="str">
        <f>IF(ISNUMBER(F4299),E4299*F4299,"")</f>
        <v/>
      </c>
      <c r="H4299" s="77"/>
      <c r="I4299" s="74"/>
      <c r="J4299" s="155">
        <v>0</v>
      </c>
    </row>
    <row r="4300" spans="1:10" ht="15.75" hidden="1" thickBot="1" x14ac:dyDescent="0.3">
      <c r="A4300" s="172" t="s">
        <v>1408</v>
      </c>
      <c r="B4300" s="174" t="str">
        <f>INDEX(Orçamentária!A:B,MATCH(Composições!A4300,Orçamentária!A:A,0),2)</f>
        <v>Cumeeira UNIVERSAL para telha de fibrocimento ondulada - espessura 6 mm</v>
      </c>
      <c r="C4300" s="41"/>
      <c r="D4300" s="26" t="str">
        <f>TRIM(INDEX(Orçamentária!C:C,MATCH(Composições!A4300,Orçamentária!A:A,0),1))</f>
        <v>m</v>
      </c>
      <c r="E4300" s="27"/>
      <c r="F4300" s="49" t="s">
        <v>568</v>
      </c>
      <c r="G4300" s="28" t="str">
        <f>IF(ISNUMBER(F4300),E4300*F4300,"")</f>
        <v/>
      </c>
      <c r="H4300" s="29"/>
      <c r="I4300" s="30"/>
      <c r="J4300" s="155">
        <v>0</v>
      </c>
    </row>
    <row r="4301" spans="1:10" hidden="1" x14ac:dyDescent="0.25">
      <c r="A4301" s="173"/>
      <c r="B4301" s="175"/>
      <c r="C4301" s="32"/>
      <c r="D4301" s="32"/>
      <c r="E4301" s="33"/>
      <c r="F4301" s="54" t="s">
        <v>568</v>
      </c>
      <c r="G4301" s="54" t="str">
        <f>IF(ISNUMBER(F4301),E4301*F4301,"")</f>
        <v/>
      </c>
      <c r="H4301" s="73"/>
      <c r="I4301" s="74"/>
      <c r="J4301" s="155">
        <v>0</v>
      </c>
    </row>
    <row r="4302" spans="1:10" ht="38.25" hidden="1" x14ac:dyDescent="0.25">
      <c r="A4302" s="173"/>
      <c r="B4302" s="175"/>
      <c r="C4302" s="36" t="s">
        <v>1405</v>
      </c>
      <c r="D4302" s="47" t="s">
        <v>793</v>
      </c>
      <c r="E4302" s="37">
        <v>4.2</v>
      </c>
      <c r="F4302" s="54">
        <v>0.18049999999999999</v>
      </c>
      <c r="G4302" s="54">
        <f>IF(ISNUMBER(F4302),E4302*F4302,"")</f>
        <v>0.7581</v>
      </c>
      <c r="H4302" s="39">
        <f>SUM(G4302:G4308)</f>
        <v>50.168323899999997</v>
      </c>
      <c r="I4302" s="40"/>
      <c r="J4302" s="155">
        <v>0</v>
      </c>
    </row>
    <row r="4303" spans="1:10" ht="25.5" hidden="1" x14ac:dyDescent="0.25">
      <c r="A4303" s="173"/>
      <c r="B4303" s="175"/>
      <c r="C4303" s="36" t="s">
        <v>1406</v>
      </c>
      <c r="D4303" s="36" t="s">
        <v>297</v>
      </c>
      <c r="E4303" s="37">
        <v>4.2</v>
      </c>
      <c r="F4303" s="54">
        <v>2.7075</v>
      </c>
      <c r="G4303" s="54">
        <f>IF(ISNUMBER(F4303),E4303*F4303,"")</f>
        <v>11.371500000000001</v>
      </c>
      <c r="H4303" s="73"/>
      <c r="I4303" s="74"/>
      <c r="J4303" s="155">
        <v>0</v>
      </c>
    </row>
    <row r="4304" spans="1:10" ht="25.5" hidden="1" x14ac:dyDescent="0.25">
      <c r="A4304" s="173"/>
      <c r="B4304" s="175"/>
      <c r="C4304" s="36" t="s">
        <v>1409</v>
      </c>
      <c r="D4304" s="36" t="s">
        <v>297</v>
      </c>
      <c r="E4304" s="37">
        <v>1.0289999999999999</v>
      </c>
      <c r="F4304" s="54">
        <v>34.370999999999995</v>
      </c>
      <c r="G4304" s="54">
        <f>IF(ISNUMBER(F4304),E4304*F4304,"")</f>
        <v>35.367758999999992</v>
      </c>
      <c r="H4304" s="73"/>
      <c r="I4304" s="74"/>
      <c r="J4304" s="155">
        <v>0</v>
      </c>
    </row>
    <row r="4305" spans="1:10" hidden="1" x14ac:dyDescent="0.25">
      <c r="A4305" s="173"/>
      <c r="B4305" s="175"/>
      <c r="C4305" s="36" t="s">
        <v>756</v>
      </c>
      <c r="D4305" s="36" t="s">
        <v>755</v>
      </c>
      <c r="E4305" s="37">
        <v>7.2999999999999995E-2</v>
      </c>
      <c r="F4305" s="54">
        <v>16.311500000000002</v>
      </c>
      <c r="G4305" s="54">
        <f>IF(ISNUMBER(F4305),E4305*F4305,"")</f>
        <v>1.1907395000000001</v>
      </c>
      <c r="H4305" s="73"/>
      <c r="I4305" s="74"/>
      <c r="J4305" s="155">
        <v>0</v>
      </c>
    </row>
    <row r="4306" spans="1:10" hidden="1" x14ac:dyDescent="0.25">
      <c r="A4306" s="173"/>
      <c r="B4306" s="175"/>
      <c r="C4306" s="36" t="s">
        <v>1387</v>
      </c>
      <c r="D4306" s="36" t="s">
        <v>755</v>
      </c>
      <c r="E4306" s="37">
        <v>0.06</v>
      </c>
      <c r="F4306" s="54">
        <v>23.360499999999998</v>
      </c>
      <c r="G4306" s="54">
        <f>IF(ISNUMBER(F4306),E4306*F4306,"")</f>
        <v>1.4016299999999999</v>
      </c>
      <c r="H4306" s="73"/>
      <c r="I4306" s="74"/>
      <c r="J4306" s="155">
        <v>0</v>
      </c>
    </row>
    <row r="4307" spans="1:10" ht="25.5" hidden="1" x14ac:dyDescent="0.25">
      <c r="A4307" s="173"/>
      <c r="B4307" s="175"/>
      <c r="C4307" s="36" t="s">
        <v>1388</v>
      </c>
      <c r="D4307" s="36" t="s">
        <v>997</v>
      </c>
      <c r="E4307" s="37">
        <v>1.8E-3</v>
      </c>
      <c r="F4307" s="54">
        <v>18.277999999999999</v>
      </c>
      <c r="G4307" s="54">
        <f>IF(ISNUMBER(F4307),E4307*F4307,"")</f>
        <v>3.2900399999999996E-2</v>
      </c>
      <c r="H4307" s="73"/>
      <c r="I4307" s="74"/>
      <c r="J4307" s="155">
        <v>0</v>
      </c>
    </row>
    <row r="4308" spans="1:10" ht="25.5" hidden="1" x14ac:dyDescent="0.25">
      <c r="A4308" s="173"/>
      <c r="B4308" s="175"/>
      <c r="C4308" s="36" t="s">
        <v>1389</v>
      </c>
      <c r="D4308" s="36" t="s">
        <v>999</v>
      </c>
      <c r="E4308" s="37">
        <v>2.5999999999999999E-3</v>
      </c>
      <c r="F4308" s="54">
        <v>17.574999999999999</v>
      </c>
      <c r="G4308" s="54">
        <f>IF(ISNUMBER(F4308),E4308*F4308,"")</f>
        <v>4.5695E-2</v>
      </c>
      <c r="H4308" s="73"/>
      <c r="I4308" s="74"/>
      <c r="J4308" s="155">
        <v>0</v>
      </c>
    </row>
    <row r="4309" spans="1:10" ht="15.75" hidden="1" thickBot="1" x14ac:dyDescent="0.3">
      <c r="A4309" s="185"/>
      <c r="B4309" s="178"/>
      <c r="C4309" s="55"/>
      <c r="D4309" s="55"/>
      <c r="E4309" s="66"/>
      <c r="F4309" s="76" t="s">
        <v>568</v>
      </c>
      <c r="G4309" s="76" t="str">
        <f>IF(ISNUMBER(F4309),E4309*F4309,"")</f>
        <v/>
      </c>
      <c r="H4309" s="77"/>
      <c r="I4309" s="74"/>
      <c r="J4309" s="155">
        <v>0</v>
      </c>
    </row>
    <row r="4310" spans="1:10" ht="15.75" hidden="1" thickBot="1" x14ac:dyDescent="0.3">
      <c r="A4310" s="172" t="s">
        <v>1410</v>
      </c>
      <c r="B4310" s="174" t="str">
        <f>INDEX(Orçamentária!A:B,MATCH(Composições!A4310,Orçamentária!A:A,0),2)</f>
        <v>Cumeeira TIPO SHED para telha de fibrocimento ondulada - espessura 6 mm</v>
      </c>
      <c r="C4310" s="41"/>
      <c r="D4310" s="26" t="str">
        <f>TRIM(INDEX(Orçamentária!C:C,MATCH(Composições!A4310,Orçamentária!A:A,0),1))</f>
        <v>m</v>
      </c>
      <c r="E4310" s="27"/>
      <c r="F4310" s="49" t="s">
        <v>568</v>
      </c>
      <c r="G4310" s="28" t="str">
        <f>IF(ISNUMBER(F4310),E4310*F4310,"")</f>
        <v/>
      </c>
      <c r="H4310" s="29"/>
      <c r="I4310" s="30"/>
      <c r="J4310" s="155">
        <v>0</v>
      </c>
    </row>
    <row r="4311" spans="1:10" hidden="1" x14ac:dyDescent="0.25">
      <c r="A4311" s="173"/>
      <c r="B4311" s="175"/>
      <c r="C4311" s="32"/>
      <c r="D4311" s="32"/>
      <c r="E4311" s="33"/>
      <c r="F4311" s="54" t="s">
        <v>568</v>
      </c>
      <c r="G4311" s="54" t="str">
        <f>IF(ISNUMBER(F4311),E4311*F4311,"")</f>
        <v/>
      </c>
      <c r="H4311" s="73"/>
      <c r="I4311" s="74"/>
      <c r="J4311" s="155">
        <v>0</v>
      </c>
    </row>
    <row r="4312" spans="1:10" ht="38.25" hidden="1" x14ac:dyDescent="0.25">
      <c r="A4312" s="173"/>
      <c r="B4312" s="175"/>
      <c r="C4312" s="36" t="s">
        <v>1405</v>
      </c>
      <c r="D4312" s="47" t="s">
        <v>793</v>
      </c>
      <c r="E4312" s="37">
        <v>4.2</v>
      </c>
      <c r="F4312" s="54">
        <v>0.18049999999999999</v>
      </c>
      <c r="G4312" s="54">
        <f>IF(ISNUMBER(F4312),E4312*F4312,"")</f>
        <v>0.7581</v>
      </c>
      <c r="H4312" s="39">
        <f>SUM(G4312:G4318)</f>
        <v>48.228480900000001</v>
      </c>
      <c r="I4312" s="40"/>
      <c r="J4312" s="155">
        <v>0</v>
      </c>
    </row>
    <row r="4313" spans="1:10" ht="25.5" hidden="1" x14ac:dyDescent="0.25">
      <c r="A4313" s="173"/>
      <c r="B4313" s="175"/>
      <c r="C4313" s="36" t="s">
        <v>1406</v>
      </c>
      <c r="D4313" s="36" t="s">
        <v>297</v>
      </c>
      <c r="E4313" s="37">
        <v>4.2</v>
      </c>
      <c r="F4313" s="54">
        <v>2.7075</v>
      </c>
      <c r="G4313" s="54">
        <f>IF(ISNUMBER(F4313),E4313*F4313,"")</f>
        <v>11.371500000000001</v>
      </c>
      <c r="H4313" s="73"/>
      <c r="I4313" s="74"/>
      <c r="J4313" s="155">
        <v>0</v>
      </c>
    </row>
    <row r="4314" spans="1:10" ht="25.5" hidden="1" x14ac:dyDescent="0.25">
      <c r="A4314" s="173"/>
      <c r="B4314" s="175"/>
      <c r="C4314" s="36" t="s">
        <v>1411</v>
      </c>
      <c r="D4314" s="36" t="s">
        <v>297</v>
      </c>
      <c r="E4314" s="37">
        <v>1.0289999999999999</v>
      </c>
      <c r="F4314" s="54">
        <v>33.202500000000001</v>
      </c>
      <c r="G4314" s="54">
        <f>IF(ISNUMBER(F4314),E4314*F4314,"")</f>
        <v>34.165372499999997</v>
      </c>
      <c r="H4314" s="73"/>
      <c r="I4314" s="74"/>
      <c r="J4314" s="155">
        <v>0</v>
      </c>
    </row>
    <row r="4315" spans="1:10" hidden="1" x14ac:dyDescent="0.25">
      <c r="A4315" s="173"/>
      <c r="B4315" s="175"/>
      <c r="C4315" s="36" t="s">
        <v>756</v>
      </c>
      <c r="D4315" s="36" t="s">
        <v>755</v>
      </c>
      <c r="E4315" s="37">
        <v>5.5E-2</v>
      </c>
      <c r="F4315" s="54">
        <v>16.311500000000002</v>
      </c>
      <c r="G4315" s="54">
        <f>IF(ISNUMBER(F4315),E4315*F4315,"")</f>
        <v>0.89713250000000011</v>
      </c>
      <c r="H4315" s="73"/>
      <c r="I4315" s="74"/>
      <c r="J4315" s="155">
        <v>0</v>
      </c>
    </row>
    <row r="4316" spans="1:10" hidden="1" x14ac:dyDescent="0.25">
      <c r="A4316" s="173"/>
      <c r="B4316" s="175"/>
      <c r="C4316" s="36" t="s">
        <v>1387</v>
      </c>
      <c r="D4316" s="36" t="s">
        <v>755</v>
      </c>
      <c r="E4316" s="37">
        <v>4.1000000000000002E-2</v>
      </c>
      <c r="F4316" s="54">
        <v>23.360499999999998</v>
      </c>
      <c r="G4316" s="54">
        <f>IF(ISNUMBER(F4316),E4316*F4316,"")</f>
        <v>0.95778049999999992</v>
      </c>
      <c r="H4316" s="73"/>
      <c r="I4316" s="74"/>
      <c r="J4316" s="155">
        <v>0</v>
      </c>
    </row>
    <row r="4317" spans="1:10" ht="25.5" hidden="1" x14ac:dyDescent="0.25">
      <c r="A4317" s="173"/>
      <c r="B4317" s="175"/>
      <c r="C4317" s="36" t="s">
        <v>1388</v>
      </c>
      <c r="D4317" s="36" t="s">
        <v>997</v>
      </c>
      <c r="E4317" s="37">
        <v>1.8E-3</v>
      </c>
      <c r="F4317" s="54">
        <v>18.277999999999999</v>
      </c>
      <c r="G4317" s="54">
        <f>IF(ISNUMBER(F4317),E4317*F4317,"")</f>
        <v>3.2900399999999996E-2</v>
      </c>
      <c r="H4317" s="73"/>
      <c r="I4317" s="74"/>
      <c r="J4317" s="155">
        <v>0</v>
      </c>
    </row>
    <row r="4318" spans="1:10" ht="25.5" hidden="1" x14ac:dyDescent="0.25">
      <c r="A4318" s="173"/>
      <c r="B4318" s="175"/>
      <c r="C4318" s="36" t="s">
        <v>1389</v>
      </c>
      <c r="D4318" s="36" t="s">
        <v>999</v>
      </c>
      <c r="E4318" s="37">
        <v>2.5999999999999999E-3</v>
      </c>
      <c r="F4318" s="54">
        <v>17.574999999999999</v>
      </c>
      <c r="G4318" s="54">
        <f>IF(ISNUMBER(F4318),E4318*F4318,"")</f>
        <v>4.5695E-2</v>
      </c>
      <c r="H4318" s="73"/>
      <c r="I4318" s="74"/>
      <c r="J4318" s="155">
        <v>0</v>
      </c>
    </row>
    <row r="4319" spans="1:10" ht="15.75" hidden="1" thickBot="1" x14ac:dyDescent="0.3">
      <c r="A4319" s="185"/>
      <c r="B4319" s="178"/>
      <c r="C4319" s="55"/>
      <c r="D4319" s="55"/>
      <c r="E4319" s="66"/>
      <c r="F4319" s="76" t="s">
        <v>568</v>
      </c>
      <c r="G4319" s="76" t="str">
        <f>IF(ISNUMBER(F4319),E4319*F4319,"")</f>
        <v/>
      </c>
      <c r="H4319" s="77"/>
      <c r="I4319" s="74"/>
      <c r="J4319" s="155">
        <v>0</v>
      </c>
    </row>
    <row r="4320" spans="1:10" ht="15.75" hidden="1" thickBot="1" x14ac:dyDescent="0.3">
      <c r="A4320" s="172" t="s">
        <v>1412</v>
      </c>
      <c r="B4320" s="174" t="str">
        <f>INDEX(Orçamentária!A:B,MATCH(Composições!A4320,Orçamentária!A:A,0),2)</f>
        <v>Telha de fibrocimento - Canalete 49 Eternit</v>
      </c>
      <c r="C4320" s="41"/>
      <c r="D4320" s="26" t="str">
        <f>TRIM(INDEX(Orçamentária!C:C,MATCH(Composições!A4320,Orçamentária!A:A,0),1))</f>
        <v>m2</v>
      </c>
      <c r="E4320" s="27"/>
      <c r="F4320" s="49" t="s">
        <v>568</v>
      </c>
      <c r="G4320" s="28" t="str">
        <f>IF(ISNUMBER(F4320),E4320*F4320,"")</f>
        <v/>
      </c>
      <c r="H4320" s="29"/>
      <c r="I4320" s="30"/>
      <c r="J4320" s="155">
        <v>0</v>
      </c>
    </row>
    <row r="4321" spans="1:10" hidden="1" x14ac:dyDescent="0.25">
      <c r="A4321" s="173"/>
      <c r="B4321" s="175"/>
      <c r="C4321" s="32"/>
      <c r="D4321" s="32"/>
      <c r="E4321" s="33"/>
      <c r="F4321" s="54" t="s">
        <v>568</v>
      </c>
      <c r="G4321" s="54" t="str">
        <f>IF(ISNUMBER(F4321),E4321*F4321,"")</f>
        <v/>
      </c>
      <c r="H4321" s="73"/>
      <c r="I4321" s="74"/>
      <c r="J4321" s="155">
        <v>0</v>
      </c>
    </row>
    <row r="4322" spans="1:10" hidden="1" x14ac:dyDescent="0.25">
      <c r="A4322" s="173"/>
      <c r="B4322" s="175"/>
      <c r="C4322" s="36" t="s">
        <v>1387</v>
      </c>
      <c r="D4322" s="36" t="s">
        <v>12</v>
      </c>
      <c r="E4322" s="37">
        <v>0.15</v>
      </c>
      <c r="F4322" s="54">
        <v>23.360499999999998</v>
      </c>
      <c r="G4322" s="54">
        <f>IF(ISNUMBER(F4322),E4322*F4322,"")</f>
        <v>3.5040749999999998</v>
      </c>
      <c r="H4322" s="39">
        <f>SUM(G4322:G4326)</f>
        <v>5.9508000000000001</v>
      </c>
      <c r="I4322" s="40"/>
      <c r="J4322" s="155">
        <v>0</v>
      </c>
    </row>
    <row r="4323" spans="1:10" hidden="1" x14ac:dyDescent="0.25">
      <c r="A4323" s="173"/>
      <c r="B4323" s="175"/>
      <c r="C4323" s="36" t="s">
        <v>756</v>
      </c>
      <c r="D4323" s="36" t="s">
        <v>12</v>
      </c>
      <c r="E4323" s="37">
        <v>0.15</v>
      </c>
      <c r="F4323" s="54">
        <v>16.311500000000002</v>
      </c>
      <c r="G4323" s="54">
        <f>IF(ISNUMBER(F4323),E4323*F4323,"")</f>
        <v>2.4467250000000003</v>
      </c>
      <c r="H4323" s="73"/>
      <c r="I4323" s="74"/>
      <c r="J4323" s="155">
        <v>0</v>
      </c>
    </row>
    <row r="4324" spans="1:10" hidden="1" x14ac:dyDescent="0.25">
      <c r="A4324" s="173"/>
      <c r="B4324" s="175"/>
      <c r="C4324" s="36" t="s">
        <v>1395</v>
      </c>
      <c r="D4324" s="36" t="s">
        <v>297</v>
      </c>
      <c r="E4324" s="37">
        <v>4.12</v>
      </c>
      <c r="F4324" s="54">
        <v>0</v>
      </c>
      <c r="G4324" s="54">
        <f>IF(ISNUMBER(F4324),E4324*F4324,"")</f>
        <v>0</v>
      </c>
      <c r="H4324" s="73"/>
      <c r="I4324" s="74"/>
      <c r="J4324" s="155">
        <v>0</v>
      </c>
    </row>
    <row r="4325" spans="1:10" hidden="1" x14ac:dyDescent="0.25">
      <c r="A4325" s="173"/>
      <c r="B4325" s="175"/>
      <c r="C4325" s="36" t="s">
        <v>3616</v>
      </c>
      <c r="D4325" s="36" t="s">
        <v>95</v>
      </c>
      <c r="E4325" s="37">
        <v>1.06</v>
      </c>
      <c r="F4325" s="54">
        <v>0</v>
      </c>
      <c r="G4325" s="54">
        <f>IF(ISNUMBER(F4325),E4325*F4325,"")</f>
        <v>0</v>
      </c>
      <c r="H4325" s="73"/>
      <c r="I4325" s="74"/>
      <c r="J4325" s="155">
        <v>0</v>
      </c>
    </row>
    <row r="4326" spans="1:10" hidden="1" x14ac:dyDescent="0.25">
      <c r="A4326" s="173"/>
      <c r="B4326" s="175"/>
      <c r="C4326" s="36" t="s">
        <v>1413</v>
      </c>
      <c r="D4326" s="36" t="s">
        <v>297</v>
      </c>
      <c r="E4326" s="37">
        <v>4.12</v>
      </c>
      <c r="F4326" s="54">
        <v>0</v>
      </c>
      <c r="G4326" s="54">
        <f>IF(ISNUMBER(F4326),E4326*F4326,"")</f>
        <v>0</v>
      </c>
      <c r="H4326" s="73"/>
      <c r="I4326" s="74"/>
      <c r="J4326" s="155">
        <v>0</v>
      </c>
    </row>
    <row r="4327" spans="1:10" ht="15.75" hidden="1" thickBot="1" x14ac:dyDescent="0.3">
      <c r="A4327" s="185"/>
      <c r="B4327" s="178"/>
      <c r="C4327" s="55"/>
      <c r="D4327" s="55"/>
      <c r="E4327" s="66"/>
      <c r="F4327" s="76" t="s">
        <v>568</v>
      </c>
      <c r="G4327" s="76" t="str">
        <f>IF(ISNUMBER(F4327),E4327*F4327,"")</f>
        <v/>
      </c>
      <c r="H4327" s="77"/>
      <c r="I4327" s="74"/>
      <c r="J4327" s="155">
        <v>0</v>
      </c>
    </row>
    <row r="4328" spans="1:10" ht="15.75" hidden="1" thickBot="1" x14ac:dyDescent="0.3">
      <c r="A4328" s="179" t="s">
        <v>1414</v>
      </c>
      <c r="B4328" s="174" t="str">
        <f>INDEX(Orçamentária!A:B,MATCH(Composições!A4328,Orçamentária!A:A,0),2)</f>
        <v>Escada tipo marinheiro COM proteção</v>
      </c>
      <c r="C4328" s="41"/>
      <c r="D4328" s="26" t="str">
        <f>TRIM(INDEX(Orçamentária!C:C,MATCH(Composições!A4328,Orçamentária!A:A,0),1))</f>
        <v>m</v>
      </c>
      <c r="E4328" s="27"/>
      <c r="F4328" s="49" t="s">
        <v>568</v>
      </c>
      <c r="G4328" s="28" t="str">
        <f>IF(ISNUMBER(F4328),E4328*F4328,"")</f>
        <v/>
      </c>
      <c r="H4328" s="29"/>
      <c r="I4328" s="30"/>
      <c r="J4328" s="155">
        <v>0</v>
      </c>
    </row>
    <row r="4329" spans="1:10" hidden="1" x14ac:dyDescent="0.25">
      <c r="A4329" s="189"/>
      <c r="B4329" s="175"/>
      <c r="C4329" s="32"/>
      <c r="D4329" s="32"/>
      <c r="E4329" s="33"/>
      <c r="F4329" s="54" t="s">
        <v>568</v>
      </c>
      <c r="G4329" s="54" t="str">
        <f>IF(ISNUMBER(F4329),E4329*F4329,"")</f>
        <v/>
      </c>
      <c r="H4329" s="73"/>
      <c r="I4329" s="74"/>
      <c r="J4329" s="155">
        <v>0</v>
      </c>
    </row>
    <row r="4330" spans="1:10" hidden="1" x14ac:dyDescent="0.25">
      <c r="A4330" s="189"/>
      <c r="B4330" s="175"/>
      <c r="C4330" s="36" t="s">
        <v>824</v>
      </c>
      <c r="D4330" s="47" t="s">
        <v>953</v>
      </c>
      <c r="E4330" s="37">
        <v>2.8</v>
      </c>
      <c r="F4330" s="54">
        <v>9.0439999999999987</v>
      </c>
      <c r="G4330" s="54">
        <f>IF(ISNUMBER(F4330),E4330*F4330,"")</f>
        <v>25.323199999999996</v>
      </c>
      <c r="H4330" s="39">
        <f>SUM(G4330:G4342)</f>
        <v>300.78358861282146</v>
      </c>
      <c r="I4330" s="40"/>
      <c r="J4330" s="155">
        <v>0</v>
      </c>
    </row>
    <row r="4331" spans="1:10" hidden="1" x14ac:dyDescent="0.25">
      <c r="A4331" s="189"/>
      <c r="B4331" s="175"/>
      <c r="C4331" s="36" t="s">
        <v>1415</v>
      </c>
      <c r="D4331" s="36" t="s">
        <v>104</v>
      </c>
      <c r="E4331" s="37">
        <v>2.5000000000000001E-2</v>
      </c>
      <c r="F4331" s="54">
        <v>30.694500000000001</v>
      </c>
      <c r="G4331" s="54">
        <f>IF(ISNUMBER(F4331),E4331*F4331,"")</f>
        <v>0.76736250000000006</v>
      </c>
      <c r="H4331" s="73"/>
      <c r="I4331" s="74"/>
      <c r="J4331" s="155">
        <v>0</v>
      </c>
    </row>
    <row r="4332" spans="1:10" hidden="1" x14ac:dyDescent="0.25">
      <c r="A4332" s="189"/>
      <c r="B4332" s="175"/>
      <c r="C4332" s="36" t="s">
        <v>956</v>
      </c>
      <c r="D4332" s="36" t="s">
        <v>755</v>
      </c>
      <c r="E4332" s="37">
        <v>0.35</v>
      </c>
      <c r="F4332" s="54">
        <v>21.973499999999998</v>
      </c>
      <c r="G4332" s="54">
        <f>IF(ISNUMBER(F4332),E4332*F4332,"")</f>
        <v>7.6907249999999987</v>
      </c>
      <c r="H4332" s="73"/>
      <c r="I4332" s="74"/>
      <c r="J4332" s="155">
        <v>0</v>
      </c>
    </row>
    <row r="4333" spans="1:10" hidden="1" x14ac:dyDescent="0.25">
      <c r="A4333" s="189"/>
      <c r="B4333" s="175"/>
      <c r="C4333" s="36" t="s">
        <v>764</v>
      </c>
      <c r="D4333" s="36" t="s">
        <v>755</v>
      </c>
      <c r="E4333" s="37">
        <v>1.1000000000000001</v>
      </c>
      <c r="F4333" s="54">
        <v>22.087499999999999</v>
      </c>
      <c r="G4333" s="54">
        <f>IF(ISNUMBER(F4333),E4333*F4333,"")</f>
        <v>24.296250000000001</v>
      </c>
      <c r="H4333" s="73"/>
      <c r="I4333" s="74"/>
      <c r="J4333" s="155">
        <v>0</v>
      </c>
    </row>
    <row r="4334" spans="1:10" hidden="1" x14ac:dyDescent="0.25">
      <c r="A4334" s="189"/>
      <c r="B4334" s="175"/>
      <c r="C4334" s="36" t="s">
        <v>756</v>
      </c>
      <c r="D4334" s="36" t="s">
        <v>755</v>
      </c>
      <c r="E4334" s="37">
        <v>1.1299999999999999</v>
      </c>
      <c r="F4334" s="54">
        <v>16.311500000000002</v>
      </c>
      <c r="G4334" s="54">
        <f>IF(ISNUMBER(F4334),E4334*F4334,"")</f>
        <v>18.431995000000001</v>
      </c>
      <c r="H4334" s="73"/>
      <c r="I4334" s="74"/>
      <c r="J4334" s="155">
        <v>0</v>
      </c>
    </row>
    <row r="4335" spans="1:10" ht="25.5" hidden="1" x14ac:dyDescent="0.25">
      <c r="A4335" s="189"/>
      <c r="B4335" s="175"/>
      <c r="C4335" s="36" t="s">
        <v>110</v>
      </c>
      <c r="D4335" s="36" t="s">
        <v>123</v>
      </c>
      <c r="E4335" s="37">
        <v>3.5000000000000001E-3</v>
      </c>
      <c r="F4335" s="54">
        <v>511.25031794899996</v>
      </c>
      <c r="G4335" s="54">
        <f>IF(ISNUMBER(F4335),E4335*F4335,"")</f>
        <v>1.7893761128215</v>
      </c>
      <c r="H4335" s="73"/>
      <c r="I4335" s="74"/>
      <c r="J4335" s="155">
        <v>0</v>
      </c>
    </row>
    <row r="4336" spans="1:10" hidden="1" x14ac:dyDescent="0.25">
      <c r="A4336" s="189"/>
      <c r="B4336" s="175"/>
      <c r="C4336" s="36" t="s">
        <v>824</v>
      </c>
      <c r="D4336" s="47" t="s">
        <v>953</v>
      </c>
      <c r="E4336" s="37">
        <v>3</v>
      </c>
      <c r="F4336" s="54">
        <v>9.0439999999999987</v>
      </c>
      <c r="G4336" s="54">
        <f>IF(ISNUMBER(F4336),E4336*F4336,"")</f>
        <v>27.131999999999998</v>
      </c>
      <c r="H4336" s="73"/>
      <c r="I4336" s="74"/>
      <c r="J4336" s="155">
        <v>0</v>
      </c>
    </row>
    <row r="4337" spans="1:10" ht="25.5" hidden="1" x14ac:dyDescent="0.25">
      <c r="A4337" s="189"/>
      <c r="B4337" s="175"/>
      <c r="C4337" s="36" t="s">
        <v>134</v>
      </c>
      <c r="D4337" s="47" t="s">
        <v>953</v>
      </c>
      <c r="E4337" s="37">
        <v>15</v>
      </c>
      <c r="F4337" s="54">
        <v>8.2174999999999994</v>
      </c>
      <c r="G4337" s="54">
        <f>IF(ISNUMBER(F4337),E4337*F4337,"")</f>
        <v>123.26249999999999</v>
      </c>
      <c r="H4337" s="73"/>
      <c r="I4337" s="74"/>
      <c r="J4337" s="155">
        <v>0</v>
      </c>
    </row>
    <row r="4338" spans="1:10" hidden="1" x14ac:dyDescent="0.25">
      <c r="A4338" s="189"/>
      <c r="B4338" s="175"/>
      <c r="C4338" s="36" t="s">
        <v>764</v>
      </c>
      <c r="D4338" s="36" t="s">
        <v>755</v>
      </c>
      <c r="E4338" s="37">
        <v>0.4</v>
      </c>
      <c r="F4338" s="54">
        <v>22.087499999999999</v>
      </c>
      <c r="G4338" s="54">
        <f>IF(ISNUMBER(F4338),E4338*F4338,"")</f>
        <v>8.8349999999999991</v>
      </c>
      <c r="H4338" s="73"/>
      <c r="I4338" s="74"/>
      <c r="J4338" s="155">
        <v>0</v>
      </c>
    </row>
    <row r="4339" spans="1:10" hidden="1" x14ac:dyDescent="0.25">
      <c r="A4339" s="189"/>
      <c r="B4339" s="175"/>
      <c r="C4339" s="36" t="s">
        <v>756</v>
      </c>
      <c r="D4339" s="36" t="s">
        <v>755</v>
      </c>
      <c r="E4339" s="37">
        <v>0.8</v>
      </c>
      <c r="F4339" s="54">
        <v>16.311500000000002</v>
      </c>
      <c r="G4339" s="54">
        <f>IF(ISNUMBER(F4339),E4339*F4339,"")</f>
        <v>13.049200000000003</v>
      </c>
      <c r="H4339" s="73"/>
      <c r="I4339" s="74"/>
      <c r="J4339" s="155">
        <v>0</v>
      </c>
    </row>
    <row r="4340" spans="1:10" hidden="1" x14ac:dyDescent="0.25">
      <c r="A4340" s="189"/>
      <c r="B4340" s="175"/>
      <c r="C4340" s="36" t="s">
        <v>1138</v>
      </c>
      <c r="D4340" s="36" t="s">
        <v>755</v>
      </c>
      <c r="E4340" s="37">
        <v>2</v>
      </c>
      <c r="F4340" s="54">
        <v>22.600499999999997</v>
      </c>
      <c r="G4340" s="54">
        <f>IF(ISNUMBER(F4340),E4340*F4340,"")</f>
        <v>45.200999999999993</v>
      </c>
      <c r="H4340" s="73"/>
      <c r="I4340" s="74"/>
      <c r="J4340" s="155">
        <v>0</v>
      </c>
    </row>
    <row r="4341" spans="1:10" hidden="1" x14ac:dyDescent="0.25">
      <c r="A4341" s="189"/>
      <c r="B4341" s="175"/>
      <c r="C4341" s="36" t="s">
        <v>136</v>
      </c>
      <c r="D4341" s="47" t="s">
        <v>953</v>
      </c>
      <c r="E4341" s="37">
        <v>0.2</v>
      </c>
      <c r="F4341" s="54">
        <v>18.885999999999999</v>
      </c>
      <c r="G4341" s="54">
        <f>IF(ISNUMBER(F4341),E4341*F4341,"")</f>
        <v>3.7772000000000001</v>
      </c>
      <c r="H4341" s="73"/>
      <c r="I4341" s="74"/>
      <c r="J4341" s="155">
        <v>0</v>
      </c>
    </row>
    <row r="4342" spans="1:10" hidden="1" x14ac:dyDescent="0.25">
      <c r="A4342" s="189"/>
      <c r="B4342" s="175"/>
      <c r="C4342" s="36" t="s">
        <v>1415</v>
      </c>
      <c r="D4342" s="36" t="s">
        <v>104</v>
      </c>
      <c r="E4342" s="37">
        <v>0.04</v>
      </c>
      <c r="F4342" s="54">
        <v>30.694500000000001</v>
      </c>
      <c r="G4342" s="54">
        <f>IF(ISNUMBER(F4342),E4342*F4342,"")</f>
        <v>1.2277800000000001</v>
      </c>
      <c r="H4342" s="73"/>
      <c r="I4342" s="74"/>
      <c r="J4342" s="155">
        <v>0</v>
      </c>
    </row>
    <row r="4343" spans="1:10" ht="15.75" hidden="1" thickBot="1" x14ac:dyDescent="0.3">
      <c r="A4343" s="190"/>
      <c r="B4343" s="178"/>
      <c r="C4343" s="55"/>
      <c r="D4343" s="55"/>
      <c r="E4343" s="66"/>
      <c r="F4343" s="76" t="s">
        <v>568</v>
      </c>
      <c r="G4343" s="76" t="str">
        <f>IF(ISNUMBER(F4343),E4343*F4343,"")</f>
        <v/>
      </c>
      <c r="H4343" s="77"/>
      <c r="I4343" s="74"/>
      <c r="J4343" s="155">
        <v>0</v>
      </c>
    </row>
    <row r="4344" spans="1:10" ht="15.75" hidden="1" thickBot="1" x14ac:dyDescent="0.3">
      <c r="A4344" s="179" t="s">
        <v>1416</v>
      </c>
      <c r="B4344" s="174" t="str">
        <f>INDEX(Orçamentária!A:B,MATCH(Composições!A4344,Orçamentária!A:A,0),2)</f>
        <v>Escada tipo marinheiro SEM proteção</v>
      </c>
      <c r="C4344" s="41"/>
      <c r="D4344" s="26" t="str">
        <f>TRIM(INDEX(Orçamentária!C:C,MATCH(Composições!A4344,Orçamentária!A:A,0),1))</f>
        <v>m</v>
      </c>
      <c r="E4344" s="27"/>
      <c r="F4344" s="49" t="s">
        <v>568</v>
      </c>
      <c r="G4344" s="28" t="str">
        <f>IF(ISNUMBER(F4344),E4344*F4344,"")</f>
        <v/>
      </c>
      <c r="H4344" s="29"/>
      <c r="I4344" s="30"/>
      <c r="J4344" s="155">
        <v>0</v>
      </c>
    </row>
    <row r="4345" spans="1:10" hidden="1" x14ac:dyDescent="0.25">
      <c r="A4345" s="189"/>
      <c r="B4345" s="175"/>
      <c r="C4345" s="32"/>
      <c r="D4345" s="32"/>
      <c r="E4345" s="33"/>
      <c r="F4345" s="54" t="s">
        <v>568</v>
      </c>
      <c r="G4345" s="54" t="str">
        <f>IF(ISNUMBER(F4345),E4345*F4345,"")</f>
        <v/>
      </c>
      <c r="H4345" s="73"/>
      <c r="I4345" s="74"/>
      <c r="J4345" s="155">
        <v>0</v>
      </c>
    </row>
    <row r="4346" spans="1:10" hidden="1" x14ac:dyDescent="0.25">
      <c r="A4346" s="189"/>
      <c r="B4346" s="175"/>
      <c r="C4346" s="36" t="s">
        <v>824</v>
      </c>
      <c r="D4346" s="47" t="s">
        <v>953</v>
      </c>
      <c r="E4346" s="37">
        <v>2.8</v>
      </c>
      <c r="F4346" s="54">
        <v>9.0439999999999987</v>
      </c>
      <c r="G4346" s="54">
        <f>IF(ISNUMBER(F4346),E4346*F4346,"")</f>
        <v>25.323199999999996</v>
      </c>
      <c r="H4346" s="39">
        <f>SUM(G4346:G4351)</f>
        <v>78.298908612821506</v>
      </c>
      <c r="I4346" s="40"/>
      <c r="J4346" s="155">
        <v>0</v>
      </c>
    </row>
    <row r="4347" spans="1:10" hidden="1" x14ac:dyDescent="0.25">
      <c r="A4347" s="189"/>
      <c r="B4347" s="175"/>
      <c r="C4347" s="36" t="s">
        <v>1415</v>
      </c>
      <c r="D4347" s="36" t="s">
        <v>104</v>
      </c>
      <c r="E4347" s="37">
        <v>2.5000000000000001E-2</v>
      </c>
      <c r="F4347" s="54">
        <v>30.694500000000001</v>
      </c>
      <c r="G4347" s="54">
        <f>IF(ISNUMBER(F4347),E4347*F4347,"")</f>
        <v>0.76736250000000006</v>
      </c>
      <c r="H4347" s="73"/>
      <c r="I4347" s="74"/>
      <c r="J4347" s="155">
        <v>0</v>
      </c>
    </row>
    <row r="4348" spans="1:10" hidden="1" x14ac:dyDescent="0.25">
      <c r="A4348" s="189"/>
      <c r="B4348" s="175"/>
      <c r="C4348" s="36" t="s">
        <v>956</v>
      </c>
      <c r="D4348" s="36" t="s">
        <v>755</v>
      </c>
      <c r="E4348" s="37">
        <v>0.35</v>
      </c>
      <c r="F4348" s="54">
        <v>21.973499999999998</v>
      </c>
      <c r="G4348" s="54">
        <f>IF(ISNUMBER(F4348),E4348*F4348,"")</f>
        <v>7.6907249999999987</v>
      </c>
      <c r="H4348" s="73"/>
      <c r="I4348" s="74"/>
      <c r="J4348" s="155">
        <v>0</v>
      </c>
    </row>
    <row r="4349" spans="1:10" hidden="1" x14ac:dyDescent="0.25">
      <c r="A4349" s="189"/>
      <c r="B4349" s="175"/>
      <c r="C4349" s="36" t="s">
        <v>764</v>
      </c>
      <c r="D4349" s="36" t="s">
        <v>755</v>
      </c>
      <c r="E4349" s="37">
        <v>1.1000000000000001</v>
      </c>
      <c r="F4349" s="54">
        <v>22.087499999999999</v>
      </c>
      <c r="G4349" s="54">
        <f>IF(ISNUMBER(F4349),E4349*F4349,"")</f>
        <v>24.296250000000001</v>
      </c>
      <c r="H4349" s="73"/>
      <c r="I4349" s="74"/>
      <c r="J4349" s="155">
        <v>0</v>
      </c>
    </row>
    <row r="4350" spans="1:10" hidden="1" x14ac:dyDescent="0.25">
      <c r="A4350" s="189"/>
      <c r="B4350" s="175"/>
      <c r="C4350" s="36" t="s">
        <v>756</v>
      </c>
      <c r="D4350" s="36" t="s">
        <v>755</v>
      </c>
      <c r="E4350" s="37">
        <v>1.1299999999999999</v>
      </c>
      <c r="F4350" s="54">
        <v>16.311500000000002</v>
      </c>
      <c r="G4350" s="54">
        <f>IF(ISNUMBER(F4350),E4350*F4350,"")</f>
        <v>18.431995000000001</v>
      </c>
      <c r="H4350" s="73"/>
      <c r="I4350" s="74"/>
      <c r="J4350" s="155">
        <v>0</v>
      </c>
    </row>
    <row r="4351" spans="1:10" ht="25.5" hidden="1" x14ac:dyDescent="0.25">
      <c r="A4351" s="189"/>
      <c r="B4351" s="175"/>
      <c r="C4351" s="36" t="s">
        <v>110</v>
      </c>
      <c r="D4351" s="36" t="s">
        <v>123</v>
      </c>
      <c r="E4351" s="37">
        <v>3.5000000000000001E-3</v>
      </c>
      <c r="F4351" s="54">
        <v>511.25031794899996</v>
      </c>
      <c r="G4351" s="54">
        <f>IF(ISNUMBER(F4351),E4351*F4351,"")</f>
        <v>1.7893761128215</v>
      </c>
      <c r="H4351" s="73"/>
      <c r="I4351" s="74"/>
      <c r="J4351" s="155">
        <v>0</v>
      </c>
    </row>
    <row r="4352" spans="1:10" ht="15.75" hidden="1" thickBot="1" x14ac:dyDescent="0.3">
      <c r="A4352" s="190"/>
      <c r="B4352" s="178"/>
      <c r="C4352" s="55"/>
      <c r="D4352" s="55"/>
      <c r="E4352" s="66"/>
      <c r="F4352" s="76" t="s">
        <v>568</v>
      </c>
      <c r="G4352" s="76" t="str">
        <f>IF(ISNUMBER(F4352),E4352*F4352,"")</f>
        <v/>
      </c>
      <c r="H4352" s="77"/>
      <c r="I4352" s="74"/>
      <c r="J4352" s="155">
        <v>0</v>
      </c>
    </row>
    <row r="4353" spans="1:10" ht="15.75" hidden="1" thickBot="1" x14ac:dyDescent="0.3">
      <c r="A4353" s="172" t="s">
        <v>1417</v>
      </c>
      <c r="B4353" s="174" t="str">
        <f>INDEX(Orçamentária!A:B,MATCH(Composições!A4353,Orçamentária!A:A,0),2)</f>
        <v>Limpeza e Preparação do Substrato para Impermeabilização</v>
      </c>
      <c r="C4353" s="41"/>
      <c r="D4353" s="26" t="str">
        <f>TRIM(INDEX(Orçamentária!C:C,MATCH(Composições!A4353,Orçamentária!A:A,0),1))</f>
        <v>m2</v>
      </c>
      <c r="E4353" s="27"/>
      <c r="F4353" s="49" t="s">
        <v>568</v>
      </c>
      <c r="G4353" s="28" t="str">
        <f>IF(ISNUMBER(F4353),E4353*F4353,"")</f>
        <v/>
      </c>
      <c r="H4353" s="29"/>
      <c r="I4353" s="30"/>
      <c r="J4353" s="155">
        <v>0</v>
      </c>
    </row>
    <row r="4354" spans="1:10" hidden="1" x14ac:dyDescent="0.25">
      <c r="A4354" s="173"/>
      <c r="B4354" s="175"/>
      <c r="C4354" s="32"/>
      <c r="D4354" s="32"/>
      <c r="E4354" s="33"/>
      <c r="F4354" s="54" t="s">
        <v>568</v>
      </c>
      <c r="G4354" s="54" t="str">
        <f>IF(ISNUMBER(F4354),E4354*F4354,"")</f>
        <v/>
      </c>
      <c r="H4354" s="73"/>
      <c r="I4354" s="74"/>
      <c r="J4354" s="155">
        <v>0</v>
      </c>
    </row>
    <row r="4355" spans="1:10" hidden="1" x14ac:dyDescent="0.25">
      <c r="A4355" s="173"/>
      <c r="B4355" s="175"/>
      <c r="C4355" s="36" t="s">
        <v>756</v>
      </c>
      <c r="D4355" s="36" t="s">
        <v>12</v>
      </c>
      <c r="E4355" s="37">
        <v>0.11</v>
      </c>
      <c r="F4355" s="54">
        <v>16.311500000000002</v>
      </c>
      <c r="G4355" s="54">
        <f>IF(ISNUMBER(F4355),E4355*F4355,"")</f>
        <v>1.7942650000000002</v>
      </c>
      <c r="H4355" s="39">
        <f>SUM(G4355:G4357)</f>
        <v>1.7942650000000002</v>
      </c>
      <c r="I4355" s="40"/>
      <c r="J4355" s="155">
        <v>0</v>
      </c>
    </row>
    <row r="4356" spans="1:10" hidden="1" x14ac:dyDescent="0.25">
      <c r="A4356" s="173"/>
      <c r="B4356" s="175"/>
      <c r="C4356" s="36" t="s">
        <v>1418</v>
      </c>
      <c r="D4356" s="36" t="s">
        <v>1419</v>
      </c>
      <c r="E4356" s="37">
        <v>0.22</v>
      </c>
      <c r="F4356" s="54">
        <v>0</v>
      </c>
      <c r="G4356" s="54">
        <f>IF(ISNUMBER(F4356),E4356*F4356,"")</f>
        <v>0</v>
      </c>
      <c r="H4356" s="73"/>
      <c r="I4356" s="74"/>
      <c r="J4356" s="155">
        <v>0</v>
      </c>
    </row>
    <row r="4357" spans="1:10" hidden="1" x14ac:dyDescent="0.25">
      <c r="A4357" s="173"/>
      <c r="B4357" s="175"/>
      <c r="C4357" s="36" t="s">
        <v>1420</v>
      </c>
      <c r="D4357" s="36" t="s">
        <v>104</v>
      </c>
      <c r="E4357" s="37">
        <v>0.4</v>
      </c>
      <c r="F4357" s="54">
        <v>0</v>
      </c>
      <c r="G4357" s="54">
        <f>IF(ISNUMBER(F4357),E4357*F4357,"")</f>
        <v>0</v>
      </c>
      <c r="H4357" s="73"/>
      <c r="I4357" s="74"/>
      <c r="J4357" s="155">
        <v>0</v>
      </c>
    </row>
    <row r="4358" spans="1:10" ht="15.75" hidden="1" thickBot="1" x14ac:dyDescent="0.3">
      <c r="A4358" s="185"/>
      <c r="B4358" s="178"/>
      <c r="C4358" s="55"/>
      <c r="D4358" s="55"/>
      <c r="E4358" s="66"/>
      <c r="F4358" s="76" t="s">
        <v>568</v>
      </c>
      <c r="G4358" s="76" t="str">
        <f>IF(ISNUMBER(F4358),E4358*F4358,"")</f>
        <v/>
      </c>
      <c r="H4358" s="77"/>
      <c r="I4358" s="74"/>
      <c r="J4358" s="155">
        <v>0</v>
      </c>
    </row>
    <row r="4359" spans="1:10" ht="15.75" hidden="1" thickBot="1" x14ac:dyDescent="0.3">
      <c r="A4359" s="172" t="s">
        <v>1421</v>
      </c>
      <c r="B4359" s="174" t="str">
        <f>INDEX(Orçamentária!A:B,MATCH(Composições!A4359,Orçamentária!A:A,0),2)</f>
        <v>Substituição de Coletores de Águas Pluviais</v>
      </c>
      <c r="C4359" s="41"/>
      <c r="D4359" s="26" t="str">
        <f>TRIM(INDEX(Orçamentária!C:C,MATCH(Composições!A4359,Orçamentária!A:A,0),1))</f>
        <v>un</v>
      </c>
      <c r="E4359" s="27"/>
      <c r="F4359" s="49" t="s">
        <v>568</v>
      </c>
      <c r="G4359" s="28" t="str">
        <f>IF(ISNUMBER(F4359),E4359*F4359,"")</f>
        <v/>
      </c>
      <c r="H4359" s="29"/>
      <c r="I4359" s="30"/>
      <c r="J4359" s="155">
        <v>0</v>
      </c>
    </row>
    <row r="4360" spans="1:10" hidden="1" x14ac:dyDescent="0.25">
      <c r="A4360" s="173"/>
      <c r="B4360" s="175"/>
      <c r="C4360" s="32"/>
      <c r="D4360" s="32"/>
      <c r="E4360" s="33"/>
      <c r="F4360" s="54" t="s">
        <v>568</v>
      </c>
      <c r="G4360" s="54" t="str">
        <f>IF(ISNUMBER(F4360),E4360*F4360,"")</f>
        <v/>
      </c>
      <c r="H4360" s="73"/>
      <c r="I4360" s="74"/>
      <c r="J4360" s="155">
        <v>0</v>
      </c>
    </row>
    <row r="4361" spans="1:10" ht="25.5" hidden="1" x14ac:dyDescent="0.25">
      <c r="A4361" s="173"/>
      <c r="B4361" s="175"/>
      <c r="C4361" s="36" t="s">
        <v>1422</v>
      </c>
      <c r="D4361" s="47" t="s">
        <v>297</v>
      </c>
      <c r="E4361" s="37">
        <v>1</v>
      </c>
      <c r="F4361" s="54">
        <v>11.371499999999999</v>
      </c>
      <c r="G4361" s="54">
        <f>IF(ISNUMBER(F4361),E4361*F4361,"")</f>
        <v>11.371499999999999</v>
      </c>
      <c r="H4361" s="39">
        <f>SUM(G4361:G4375)</f>
        <v>211.54408480000001</v>
      </c>
      <c r="I4361" s="40"/>
      <c r="J4361" s="155">
        <v>0</v>
      </c>
    </row>
    <row r="4362" spans="1:10" ht="25.5" hidden="1" x14ac:dyDescent="0.25">
      <c r="A4362" s="173"/>
      <c r="B4362" s="175"/>
      <c r="C4362" s="36" t="s">
        <v>1423</v>
      </c>
      <c r="D4362" s="36" t="s">
        <v>297</v>
      </c>
      <c r="E4362" s="37">
        <v>1</v>
      </c>
      <c r="F4362" s="54">
        <v>45.552500000000002</v>
      </c>
      <c r="G4362" s="54">
        <f>IF(ISNUMBER(F4362),E4362*F4362,"")</f>
        <v>45.552500000000002</v>
      </c>
      <c r="H4362" s="73"/>
      <c r="I4362" s="74"/>
      <c r="J4362" s="155">
        <v>0</v>
      </c>
    </row>
    <row r="4363" spans="1:10" ht="25.5" hidden="1" x14ac:dyDescent="0.25">
      <c r="A4363" s="173"/>
      <c r="B4363" s="175"/>
      <c r="C4363" s="36" t="s">
        <v>1424</v>
      </c>
      <c r="D4363" s="36" t="s">
        <v>297</v>
      </c>
      <c r="E4363" s="37">
        <v>7.0000000000000007E-2</v>
      </c>
      <c r="F4363" s="54">
        <v>27.645</v>
      </c>
      <c r="G4363" s="54">
        <f>IF(ISNUMBER(F4363),E4363*F4363,"")</f>
        <v>1.9351500000000001</v>
      </c>
      <c r="H4363" s="73"/>
      <c r="I4363" s="74"/>
      <c r="J4363" s="155">
        <v>0</v>
      </c>
    </row>
    <row r="4364" spans="1:10" ht="25.5" hidden="1" x14ac:dyDescent="0.25">
      <c r="A4364" s="173"/>
      <c r="B4364" s="175"/>
      <c r="C4364" s="36" t="s">
        <v>1008</v>
      </c>
      <c r="D4364" s="36" t="s">
        <v>755</v>
      </c>
      <c r="E4364" s="37">
        <v>0.11</v>
      </c>
      <c r="F4364" s="54">
        <v>16.891000000000002</v>
      </c>
      <c r="G4364" s="54">
        <f>IF(ISNUMBER(F4364),E4364*F4364,"")</f>
        <v>1.8580100000000002</v>
      </c>
      <c r="H4364" s="73"/>
      <c r="I4364" s="74"/>
      <c r="J4364" s="155">
        <v>0</v>
      </c>
    </row>
    <row r="4365" spans="1:10" ht="25.5" hidden="1" x14ac:dyDescent="0.25">
      <c r="A4365" s="173"/>
      <c r="B4365" s="175"/>
      <c r="C4365" s="36" t="s">
        <v>1009</v>
      </c>
      <c r="D4365" s="36" t="s">
        <v>755</v>
      </c>
      <c r="E4365" s="37">
        <v>0.11</v>
      </c>
      <c r="F4365" s="54">
        <v>21.622</v>
      </c>
      <c r="G4365" s="54">
        <f>IF(ISNUMBER(F4365),E4365*F4365,"")</f>
        <v>2.3784200000000002</v>
      </c>
      <c r="H4365" s="73"/>
      <c r="I4365" s="74"/>
      <c r="J4365" s="155">
        <v>0</v>
      </c>
    </row>
    <row r="4366" spans="1:10" hidden="1" x14ac:dyDescent="0.25">
      <c r="A4366" s="173"/>
      <c r="B4366" s="175"/>
      <c r="C4366" s="36" t="s">
        <v>1425</v>
      </c>
      <c r="D4366" s="36" t="s">
        <v>297</v>
      </c>
      <c r="E4366" s="37">
        <v>6.1999999999999998E-3</v>
      </c>
      <c r="F4366" s="54">
        <v>75.515499999999989</v>
      </c>
      <c r="G4366" s="54">
        <f>IF(ISNUMBER(F4366),E4366*F4366,"")</f>
        <v>0.46819609999999989</v>
      </c>
      <c r="H4366" s="73"/>
      <c r="I4366" s="74"/>
      <c r="J4366" s="155">
        <v>0</v>
      </c>
    </row>
    <row r="4367" spans="1:10" ht="25.5" hidden="1" x14ac:dyDescent="0.25">
      <c r="A4367" s="173"/>
      <c r="B4367" s="175"/>
      <c r="C4367" s="36" t="s">
        <v>1426</v>
      </c>
      <c r="D4367" s="36" t="s">
        <v>523</v>
      </c>
      <c r="E4367" s="37">
        <f>1.04/2</f>
        <v>0.52</v>
      </c>
      <c r="F4367" s="54">
        <v>66.518999999999991</v>
      </c>
      <c r="G4367" s="54">
        <f>IF(ISNUMBER(F4367),E4367*F4367,"")</f>
        <v>34.589879999999994</v>
      </c>
      <c r="H4367" s="73"/>
      <c r="I4367" s="74"/>
      <c r="J4367" s="155">
        <v>0</v>
      </c>
    </row>
    <row r="4368" spans="1:10" hidden="1" x14ac:dyDescent="0.25">
      <c r="A4368" s="173"/>
      <c r="B4368" s="175"/>
      <c r="C4368" s="36" t="s">
        <v>1427</v>
      </c>
      <c r="D4368" s="36" t="s">
        <v>297</v>
      </c>
      <c r="E4368" s="37">
        <v>1.0200000000000001E-2</v>
      </c>
      <c r="F4368" s="54">
        <v>65.578499999999991</v>
      </c>
      <c r="G4368" s="54">
        <f>IF(ISNUMBER(F4368),E4368*F4368,"")</f>
        <v>0.6689006999999999</v>
      </c>
      <c r="H4368" s="73"/>
      <c r="I4368" s="74"/>
      <c r="J4368" s="155">
        <v>0</v>
      </c>
    </row>
    <row r="4369" spans="1:10" hidden="1" x14ac:dyDescent="0.25">
      <c r="A4369" s="173"/>
      <c r="B4369" s="175"/>
      <c r="C4369" s="36" t="s">
        <v>1264</v>
      </c>
      <c r="D4369" s="36" t="s">
        <v>297</v>
      </c>
      <c r="E4369" s="37">
        <v>3.6999999999999998E-2</v>
      </c>
      <c r="F4369" s="54">
        <v>1.9474999999999998</v>
      </c>
      <c r="G4369" s="54">
        <f>IF(ISNUMBER(F4369),E4369*F4369,"")</f>
        <v>7.2057499999999983E-2</v>
      </c>
      <c r="H4369" s="73"/>
      <c r="I4369" s="74"/>
      <c r="J4369" s="155">
        <v>0</v>
      </c>
    </row>
    <row r="4370" spans="1:10" ht="25.5" hidden="1" x14ac:dyDescent="0.25">
      <c r="A4370" s="173"/>
      <c r="B4370" s="175"/>
      <c r="C4370" s="36" t="s">
        <v>1008</v>
      </c>
      <c r="D4370" s="36" t="s">
        <v>755</v>
      </c>
      <c r="E4370" s="37">
        <v>0.18</v>
      </c>
      <c r="F4370" s="54">
        <v>16.891000000000002</v>
      </c>
      <c r="G4370" s="54">
        <f>IF(ISNUMBER(F4370),E4370*F4370,"")</f>
        <v>3.0403800000000003</v>
      </c>
      <c r="H4370" s="73"/>
      <c r="I4370" s="74"/>
      <c r="J4370" s="155">
        <v>0</v>
      </c>
    </row>
    <row r="4371" spans="1:10" ht="25.5" hidden="1" x14ac:dyDescent="0.25">
      <c r="A4371" s="173"/>
      <c r="B4371" s="175"/>
      <c r="C4371" s="36" t="s">
        <v>1009</v>
      </c>
      <c r="D4371" s="36" t="s">
        <v>755</v>
      </c>
      <c r="E4371" s="37">
        <v>0.18</v>
      </c>
      <c r="F4371" s="54">
        <v>21.622</v>
      </c>
      <c r="G4371" s="54">
        <f>IF(ISNUMBER(F4371),E4371*F4371,"")</f>
        <v>3.8919599999999996</v>
      </c>
      <c r="H4371" s="73"/>
      <c r="I4371" s="74"/>
      <c r="J4371" s="155">
        <v>0</v>
      </c>
    </row>
    <row r="4372" spans="1:10" hidden="1" x14ac:dyDescent="0.25">
      <c r="A4372" s="173"/>
      <c r="B4372" s="175"/>
      <c r="C4372" s="36" t="s">
        <v>764</v>
      </c>
      <c r="D4372" s="47" t="s">
        <v>755</v>
      </c>
      <c r="E4372" s="37">
        <v>1</v>
      </c>
      <c r="F4372" s="54">
        <v>22.087499999999999</v>
      </c>
      <c r="G4372" s="54">
        <f>IF(ISNUMBER(F4372),E4372*F4372,"")</f>
        <v>22.087499999999999</v>
      </c>
      <c r="H4372" s="73"/>
      <c r="I4372" s="74"/>
      <c r="J4372" s="155">
        <v>0</v>
      </c>
    </row>
    <row r="4373" spans="1:10" ht="25.5" hidden="1" x14ac:dyDescent="0.25">
      <c r="A4373" s="173"/>
      <c r="B4373" s="175"/>
      <c r="C4373" s="36" t="s">
        <v>829</v>
      </c>
      <c r="D4373" s="47" t="s">
        <v>953</v>
      </c>
      <c r="E4373" s="37">
        <f>ROUND(1.8*(PI()*(0.25-0.15)*0.1)*10,4)</f>
        <v>0.5655</v>
      </c>
      <c r="F4373" s="54">
        <v>37.030999999999999</v>
      </c>
      <c r="G4373" s="54">
        <f>IF(ISNUMBER(F4373),E4373*F4373,"")</f>
        <v>20.9410305</v>
      </c>
      <c r="H4373" s="73"/>
      <c r="I4373" s="74"/>
      <c r="J4373" s="155">
        <v>0</v>
      </c>
    </row>
    <row r="4374" spans="1:10" ht="25.5" hidden="1" x14ac:dyDescent="0.25">
      <c r="A4374" s="173"/>
      <c r="B4374" s="175"/>
      <c r="C4374" s="36" t="s">
        <v>1120</v>
      </c>
      <c r="D4374" s="37" t="s">
        <v>1121</v>
      </c>
      <c r="E4374" s="37">
        <v>0.2</v>
      </c>
      <c r="F4374" s="54">
        <v>28.015499999999996</v>
      </c>
      <c r="G4374" s="54">
        <f>IF(ISNUMBER(F4374),E4374*F4374,"")</f>
        <v>5.6030999999999995</v>
      </c>
      <c r="H4374" s="73"/>
      <c r="I4374" s="74"/>
      <c r="J4374" s="155">
        <v>0</v>
      </c>
    </row>
    <row r="4375" spans="1:10" hidden="1" x14ac:dyDescent="0.25">
      <c r="A4375" s="173"/>
      <c r="B4375" s="175"/>
      <c r="C4375" s="36" t="s">
        <v>1428</v>
      </c>
      <c r="D4375" s="36" t="s">
        <v>297</v>
      </c>
      <c r="E4375" s="37">
        <v>1</v>
      </c>
      <c r="F4375" s="54">
        <v>57.085500000000003</v>
      </c>
      <c r="G4375" s="54">
        <f>IF(ISNUMBER(F4375),E4375*F4375,"")</f>
        <v>57.085500000000003</v>
      </c>
      <c r="H4375" s="73"/>
      <c r="I4375" s="74"/>
      <c r="J4375" s="155">
        <v>0</v>
      </c>
    </row>
    <row r="4376" spans="1:10" hidden="1" x14ac:dyDescent="0.25">
      <c r="A4376" s="173"/>
      <c r="B4376" s="175"/>
      <c r="C4376" s="36"/>
      <c r="D4376" s="36"/>
      <c r="E4376" s="37"/>
      <c r="F4376" s="54"/>
      <c r="G4376" s="54"/>
      <c r="H4376" s="73"/>
      <c r="I4376" s="74"/>
      <c r="J4376" s="155">
        <v>0</v>
      </c>
    </row>
    <row r="4377" spans="1:10" hidden="1" x14ac:dyDescent="0.25">
      <c r="A4377" s="173"/>
      <c r="B4377" s="175"/>
      <c r="C4377" s="48" t="s">
        <v>3623</v>
      </c>
      <c r="D4377" s="36"/>
      <c r="E4377" s="37"/>
      <c r="F4377" s="54"/>
      <c r="G4377" s="54"/>
      <c r="H4377" s="73"/>
      <c r="I4377" s="74"/>
      <c r="J4377" s="155">
        <v>0</v>
      </c>
    </row>
    <row r="4378" spans="1:10" ht="15.75" hidden="1" thickBot="1" x14ac:dyDescent="0.3">
      <c r="A4378" s="185"/>
      <c r="B4378" s="178"/>
      <c r="C4378" s="55"/>
      <c r="D4378" s="55"/>
      <c r="E4378" s="66"/>
      <c r="F4378" s="76" t="s">
        <v>568</v>
      </c>
      <c r="G4378" s="76" t="str">
        <f>IF(ISNUMBER(F4378),E4378*F4378,"")</f>
        <v/>
      </c>
      <c r="H4378" s="77"/>
      <c r="I4378" s="74"/>
      <c r="J4378" s="155">
        <v>0</v>
      </c>
    </row>
    <row r="4379" spans="1:10" ht="15.75" hidden="1" thickBot="1" x14ac:dyDescent="0.3">
      <c r="A4379" s="172" t="s">
        <v>1429</v>
      </c>
      <c r="B4379" s="174" t="str">
        <f>INDEX(Orçamentária!A:B,MATCH(Composições!A4379,Orçamentária!A:A,0),2)</f>
        <v>Tratamento de Tubulação Passante para Impermeabilização</v>
      </c>
      <c r="C4379" s="41"/>
      <c r="D4379" s="26" t="str">
        <f>TRIM(INDEX(Orçamentária!C:C,MATCH(Composições!A4379,Orçamentária!A:A,0),1))</f>
        <v>un</v>
      </c>
      <c r="E4379" s="27"/>
      <c r="F4379" s="49" t="s">
        <v>568</v>
      </c>
      <c r="G4379" s="28" t="str">
        <f>IF(ISNUMBER(F4379),E4379*F4379,"")</f>
        <v/>
      </c>
      <c r="H4379" s="29"/>
      <c r="I4379" s="30"/>
      <c r="J4379" s="155">
        <v>0</v>
      </c>
    </row>
    <row r="4380" spans="1:10" hidden="1" x14ac:dyDescent="0.25">
      <c r="A4380" s="173"/>
      <c r="B4380" s="175"/>
      <c r="C4380" s="32"/>
      <c r="D4380" s="32"/>
      <c r="E4380" s="33"/>
      <c r="F4380" s="54" t="s">
        <v>568</v>
      </c>
      <c r="G4380" s="54" t="str">
        <f>IF(ISNUMBER(F4380),E4380*F4380,"")</f>
        <v/>
      </c>
      <c r="H4380" s="73"/>
      <c r="I4380" s="74"/>
      <c r="J4380" s="155">
        <v>0</v>
      </c>
    </row>
    <row r="4381" spans="1:10" hidden="1" x14ac:dyDescent="0.25">
      <c r="A4381" s="173"/>
      <c r="B4381" s="175"/>
      <c r="C4381" s="36" t="s">
        <v>1071</v>
      </c>
      <c r="D4381" s="36" t="s">
        <v>755</v>
      </c>
      <c r="E4381" s="37">
        <v>0.5</v>
      </c>
      <c r="F4381" s="54">
        <v>22.087499999999999</v>
      </c>
      <c r="G4381" s="54">
        <f>IF(ISNUMBER(F4381),E4381*F4381,"")</f>
        <v>11.043749999999999</v>
      </c>
      <c r="H4381" s="39">
        <f>SUM(G4381:G4383)</f>
        <v>37.587880499999997</v>
      </c>
      <c r="I4381" s="40"/>
      <c r="J4381" s="155">
        <v>0</v>
      </c>
    </row>
    <row r="4382" spans="1:10" ht="25.5" hidden="1" x14ac:dyDescent="0.25">
      <c r="A4382" s="173"/>
      <c r="B4382" s="175"/>
      <c r="C4382" s="36" t="s">
        <v>829</v>
      </c>
      <c r="D4382" s="47" t="s">
        <v>953</v>
      </c>
      <c r="E4382" s="37">
        <f>ROUND(1.8*(PI()*(0.25-0.15)*0.1)*10,4)</f>
        <v>0.5655</v>
      </c>
      <c r="F4382" s="54">
        <v>37.030999999999999</v>
      </c>
      <c r="G4382" s="54">
        <f>IF(ISNUMBER(F4382),E4382*F4382,"")</f>
        <v>20.9410305</v>
      </c>
      <c r="H4382" s="73"/>
      <c r="I4382" s="74"/>
      <c r="J4382" s="155">
        <v>0</v>
      </c>
    </row>
    <row r="4383" spans="1:10" ht="25.5" hidden="1" x14ac:dyDescent="0.25">
      <c r="A4383" s="173"/>
      <c r="B4383" s="175"/>
      <c r="C4383" s="36" t="s">
        <v>1120</v>
      </c>
      <c r="D4383" s="37" t="s">
        <v>1121</v>
      </c>
      <c r="E4383" s="37">
        <v>0.2</v>
      </c>
      <c r="F4383" s="54">
        <v>28.015499999999996</v>
      </c>
      <c r="G4383" s="54">
        <f>IF(ISNUMBER(F4383),E4383*F4383,"")</f>
        <v>5.6030999999999995</v>
      </c>
      <c r="H4383" s="73"/>
      <c r="I4383" s="74"/>
      <c r="J4383" s="155">
        <v>0</v>
      </c>
    </row>
    <row r="4384" spans="1:10" hidden="1" x14ac:dyDescent="0.25">
      <c r="A4384" s="173"/>
      <c r="B4384" s="175"/>
      <c r="C4384" s="36"/>
      <c r="D4384" s="37"/>
      <c r="E4384" s="37"/>
      <c r="F4384" s="54"/>
      <c r="G4384" s="54"/>
      <c r="H4384" s="73"/>
      <c r="I4384" s="74"/>
      <c r="J4384" s="155">
        <v>0</v>
      </c>
    </row>
    <row r="4385" spans="1:10" hidden="1" x14ac:dyDescent="0.25">
      <c r="A4385" s="173"/>
      <c r="B4385" s="175"/>
      <c r="C4385" s="48" t="s">
        <v>3623</v>
      </c>
      <c r="D4385" s="37"/>
      <c r="E4385" s="37"/>
      <c r="F4385" s="54"/>
      <c r="G4385" s="54"/>
      <c r="H4385" s="73"/>
      <c r="I4385" s="74"/>
      <c r="J4385" s="155">
        <v>0</v>
      </c>
    </row>
    <row r="4386" spans="1:10" ht="15.75" hidden="1" thickBot="1" x14ac:dyDescent="0.3">
      <c r="A4386" s="185"/>
      <c r="B4386" s="178"/>
      <c r="C4386" s="55"/>
      <c r="D4386" s="55"/>
      <c r="E4386" s="66"/>
      <c r="F4386" s="76" t="s">
        <v>568</v>
      </c>
      <c r="G4386" s="76" t="str">
        <f>IF(ISNUMBER(F4386),E4386*F4386,"")</f>
        <v/>
      </c>
      <c r="H4386" s="77"/>
      <c r="I4386" s="74"/>
      <c r="J4386" s="155">
        <v>0</v>
      </c>
    </row>
    <row r="4387" spans="1:10" ht="15.75" hidden="1" thickBot="1" x14ac:dyDescent="0.3">
      <c r="A4387" s="172" t="s">
        <v>1430</v>
      </c>
      <c r="B4387" s="174" t="str">
        <f>INDEX(Orçamentária!A:B,MATCH(Composições!A4387,Orçamentária!A:A,0),2)</f>
        <v>Regularização de substrato para Impermeabilização - 3cm</v>
      </c>
      <c r="C4387" s="41"/>
      <c r="D4387" s="26" t="str">
        <f>TRIM(INDEX(Orçamentária!C:C,MATCH(Composições!A4387,Orçamentária!A:A,0),1))</f>
        <v>m2</v>
      </c>
      <c r="E4387" s="27"/>
      <c r="F4387" s="49" t="s">
        <v>568</v>
      </c>
      <c r="G4387" s="28" t="str">
        <f>IF(ISNUMBER(F4387),E4387*F4387,"")</f>
        <v/>
      </c>
      <c r="H4387" s="29"/>
      <c r="I4387" s="30"/>
      <c r="J4387" s="155">
        <v>0</v>
      </c>
    </row>
    <row r="4388" spans="1:10" hidden="1" x14ac:dyDescent="0.25">
      <c r="A4388" s="173"/>
      <c r="B4388" s="175"/>
      <c r="C4388" s="32"/>
      <c r="D4388" s="32"/>
      <c r="E4388" s="33"/>
      <c r="F4388" s="54" t="s">
        <v>568</v>
      </c>
      <c r="G4388" s="54" t="str">
        <f>IF(ISNUMBER(F4388),E4388*F4388,"")</f>
        <v/>
      </c>
      <c r="H4388" s="73"/>
      <c r="I4388" s="74"/>
      <c r="J4388" s="155">
        <v>0</v>
      </c>
    </row>
    <row r="4389" spans="1:10" hidden="1" x14ac:dyDescent="0.25">
      <c r="A4389" s="173"/>
      <c r="B4389" s="175"/>
      <c r="C4389" s="36" t="s">
        <v>801</v>
      </c>
      <c r="D4389" s="36" t="s">
        <v>953</v>
      </c>
      <c r="E4389" s="37">
        <v>0.5</v>
      </c>
      <c r="F4389" s="54">
        <v>0.47499999999999998</v>
      </c>
      <c r="G4389" s="54">
        <f>IF(ISNUMBER(F4389),E4389*F4389,"")</f>
        <v>0.23749999999999999</v>
      </c>
      <c r="H4389" s="39">
        <f>SUM(G4389:G4393)</f>
        <v>36.233734439391199</v>
      </c>
      <c r="I4389" s="40"/>
      <c r="J4389" s="155">
        <v>0</v>
      </c>
    </row>
    <row r="4390" spans="1:10" ht="25.5" hidden="1" x14ac:dyDescent="0.25">
      <c r="A4390" s="173"/>
      <c r="B4390" s="175"/>
      <c r="C4390" s="36" t="s">
        <v>1431</v>
      </c>
      <c r="D4390" s="36" t="s">
        <v>104</v>
      </c>
      <c r="E4390" s="37">
        <v>0.435</v>
      </c>
      <c r="F4390" s="54">
        <v>12.112499999999999</v>
      </c>
      <c r="G4390" s="54">
        <f>IF(ISNUMBER(F4390),E4390*F4390,"")</f>
        <v>5.2689374999999998</v>
      </c>
      <c r="H4390" s="73"/>
      <c r="I4390" s="74"/>
      <c r="J4390" s="155">
        <v>0</v>
      </c>
    </row>
    <row r="4391" spans="1:10" ht="38.25" hidden="1" x14ac:dyDescent="0.25">
      <c r="A4391" s="173"/>
      <c r="B4391" s="175"/>
      <c r="C4391" s="36" t="s">
        <v>1432</v>
      </c>
      <c r="D4391" s="36" t="s">
        <v>123</v>
      </c>
      <c r="E4391" s="37">
        <v>4.3099999999999999E-2</v>
      </c>
      <c r="F4391" s="54">
        <v>481.36947655199998</v>
      </c>
      <c r="G4391" s="54">
        <f>IF(ISNUMBER(F4391),E4391*F4391,"")</f>
        <v>20.7470244393912</v>
      </c>
      <c r="H4391" s="73"/>
      <c r="I4391" s="74"/>
      <c r="J4391" s="155">
        <v>0</v>
      </c>
    </row>
    <row r="4392" spans="1:10" hidden="1" x14ac:dyDescent="0.25">
      <c r="A4392" s="173"/>
      <c r="B4392" s="175"/>
      <c r="C4392" s="36" t="s">
        <v>764</v>
      </c>
      <c r="D4392" s="47" t="s">
        <v>755</v>
      </c>
      <c r="E4392" s="37">
        <v>0.33</v>
      </c>
      <c r="F4392" s="54">
        <v>22.087499999999999</v>
      </c>
      <c r="G4392" s="54">
        <f>IF(ISNUMBER(F4392),E4392*F4392,"")</f>
        <v>7.288875</v>
      </c>
      <c r="H4392" s="73"/>
      <c r="I4392" s="74"/>
      <c r="J4392" s="155">
        <v>0</v>
      </c>
    </row>
    <row r="4393" spans="1:10" hidden="1" x14ac:dyDescent="0.25">
      <c r="A4393" s="173"/>
      <c r="B4393" s="175"/>
      <c r="C4393" s="36" t="s">
        <v>756</v>
      </c>
      <c r="D4393" s="36" t="s">
        <v>755</v>
      </c>
      <c r="E4393" s="37">
        <v>0.16500000000000001</v>
      </c>
      <c r="F4393" s="54">
        <v>16.311500000000002</v>
      </c>
      <c r="G4393" s="54">
        <f>IF(ISNUMBER(F4393),E4393*F4393,"")</f>
        <v>2.6913975000000003</v>
      </c>
      <c r="H4393" s="73"/>
      <c r="I4393" s="74"/>
      <c r="J4393" s="155">
        <v>0</v>
      </c>
    </row>
    <row r="4394" spans="1:10" hidden="1" x14ac:dyDescent="0.25">
      <c r="A4394" s="173"/>
      <c r="B4394" s="175"/>
      <c r="C4394" s="36"/>
      <c r="D4394" s="36"/>
      <c r="E4394" s="37"/>
      <c r="F4394" s="54" t="s">
        <v>568</v>
      </c>
      <c r="G4394" s="54" t="str">
        <f>IF(ISNUMBER(F4394),E4394*F4394,"")</f>
        <v/>
      </c>
      <c r="H4394" s="73"/>
      <c r="I4394" s="74"/>
      <c r="J4394" s="155">
        <v>0</v>
      </c>
    </row>
    <row r="4395" spans="1:10" ht="15.75" hidden="1" thickBot="1" x14ac:dyDescent="0.3">
      <c r="A4395" s="172" t="s">
        <v>1433</v>
      </c>
      <c r="B4395" s="174" t="str">
        <f>INDEX(Orçamentária!A:B,MATCH(Composições!A4395,Orçamentária!A:A,0),2)</f>
        <v>Regularização de substrato para Impermeabilização - 6cm</v>
      </c>
      <c r="C4395" s="41"/>
      <c r="D4395" s="26" t="str">
        <f>TRIM(INDEX(Orçamentária!C:C,MATCH(Composições!A4395,Orçamentária!A:A,0),1))</f>
        <v>m2</v>
      </c>
      <c r="E4395" s="27"/>
      <c r="F4395" s="49" t="s">
        <v>568</v>
      </c>
      <c r="G4395" s="28" t="str">
        <f>IF(ISNUMBER(F4395),E4395*F4395,"")</f>
        <v/>
      </c>
      <c r="H4395" s="29"/>
      <c r="I4395" s="30"/>
      <c r="J4395" s="155">
        <v>0</v>
      </c>
    </row>
    <row r="4396" spans="1:10" hidden="1" x14ac:dyDescent="0.25">
      <c r="A4396" s="173"/>
      <c r="B4396" s="175"/>
      <c r="C4396" s="32"/>
      <c r="D4396" s="32"/>
      <c r="E4396" s="33"/>
      <c r="F4396" s="54" t="s">
        <v>568</v>
      </c>
      <c r="G4396" s="54" t="str">
        <f>IF(ISNUMBER(F4396),E4396*F4396,"")</f>
        <v/>
      </c>
      <c r="H4396" s="73"/>
      <c r="I4396" s="74"/>
      <c r="J4396" s="155">
        <v>0</v>
      </c>
    </row>
    <row r="4397" spans="1:10" hidden="1" x14ac:dyDescent="0.25">
      <c r="A4397" s="173"/>
      <c r="B4397" s="175"/>
      <c r="C4397" s="36" t="s">
        <v>764</v>
      </c>
      <c r="D4397" s="36" t="s">
        <v>12</v>
      </c>
      <c r="E4397" s="37">
        <v>0.38</v>
      </c>
      <c r="F4397" s="54">
        <v>22.087499999999999</v>
      </c>
      <c r="G4397" s="54">
        <f>IF(ISNUMBER(F4397),E4397*F4397,"")</f>
        <v>8.3932500000000001</v>
      </c>
      <c r="H4397" s="39">
        <f>SUM(G4397:G4399)</f>
        <v>43.229399900087202</v>
      </c>
      <c r="I4397" s="40"/>
      <c r="J4397" s="155">
        <v>0</v>
      </c>
    </row>
    <row r="4398" spans="1:10" hidden="1" x14ac:dyDescent="0.25">
      <c r="A4398" s="173"/>
      <c r="B4398" s="175"/>
      <c r="C4398" s="36" t="s">
        <v>756</v>
      </c>
      <c r="D4398" s="36" t="s">
        <v>12</v>
      </c>
      <c r="E4398" s="37">
        <v>0.185</v>
      </c>
      <c r="F4398" s="54">
        <v>16.311500000000002</v>
      </c>
      <c r="G4398" s="54">
        <f>IF(ISNUMBER(F4398),E4398*F4398,"")</f>
        <v>3.0176275000000006</v>
      </c>
      <c r="H4398" s="73"/>
      <c r="I4398" s="74"/>
      <c r="J4398" s="155">
        <v>0</v>
      </c>
    </row>
    <row r="4399" spans="1:10" ht="38.25" hidden="1" x14ac:dyDescent="0.25">
      <c r="A4399" s="173"/>
      <c r="B4399" s="175"/>
      <c r="C4399" s="36" t="s">
        <v>1432</v>
      </c>
      <c r="D4399" s="36" t="s">
        <v>123</v>
      </c>
      <c r="E4399" s="37">
        <v>6.6100000000000006E-2</v>
      </c>
      <c r="F4399" s="54">
        <v>481.36947655199998</v>
      </c>
      <c r="G4399" s="54">
        <f>IF(ISNUMBER(F4399),E4399*F4399,"")</f>
        <v>31.8185224000872</v>
      </c>
      <c r="H4399" s="73"/>
      <c r="I4399" s="74"/>
      <c r="J4399" s="155">
        <v>0</v>
      </c>
    </row>
    <row r="4400" spans="1:10" ht="15.75" hidden="1" thickBot="1" x14ac:dyDescent="0.3">
      <c r="A4400" s="185"/>
      <c r="B4400" s="178"/>
      <c r="C4400" s="55"/>
      <c r="D4400" s="55"/>
      <c r="E4400" s="66"/>
      <c r="F4400" s="76" t="s">
        <v>568</v>
      </c>
      <c r="G4400" s="76" t="str">
        <f>IF(ISNUMBER(F4400),E4400*F4400,"")</f>
        <v/>
      </c>
      <c r="H4400" s="77"/>
      <c r="I4400" s="74"/>
      <c r="J4400" s="155">
        <v>0</v>
      </c>
    </row>
    <row r="4401" spans="1:10" ht="15.75" hidden="1" thickBot="1" x14ac:dyDescent="0.3">
      <c r="A4401" s="172" t="s">
        <v>1434</v>
      </c>
      <c r="B4401" s="174" t="str">
        <f>INDEX(Orçamentária!A:B,MATCH(Composições!A4401,Orçamentária!A:A,0),2)</f>
        <v>Camada Separadora para Impermeabilização</v>
      </c>
      <c r="C4401" s="41"/>
      <c r="D4401" s="26" t="str">
        <f>TRIM(INDEX(Orçamentária!C:C,MATCH(Composições!A4401,Orçamentária!A:A,0),1))</f>
        <v>m2</v>
      </c>
      <c r="E4401" s="27"/>
      <c r="F4401" s="49" t="s">
        <v>568</v>
      </c>
      <c r="G4401" s="28" t="str">
        <f>IF(ISNUMBER(F4401),E4401*F4401,"")</f>
        <v/>
      </c>
      <c r="H4401" s="29"/>
      <c r="I4401" s="30"/>
      <c r="J4401" s="155">
        <v>0</v>
      </c>
    </row>
    <row r="4402" spans="1:10" hidden="1" x14ac:dyDescent="0.25">
      <c r="A4402" s="173"/>
      <c r="B4402" s="175"/>
      <c r="C4402" s="32"/>
      <c r="D4402" s="32"/>
      <c r="E4402" s="33"/>
      <c r="F4402" s="54" t="s">
        <v>568</v>
      </c>
      <c r="G4402" s="54" t="str">
        <f>IF(ISNUMBER(F4402),E4402*F4402,"")</f>
        <v/>
      </c>
      <c r="H4402" s="73"/>
      <c r="I4402" s="74"/>
      <c r="J4402" s="155">
        <v>0</v>
      </c>
    </row>
    <row r="4403" spans="1:10" hidden="1" x14ac:dyDescent="0.25">
      <c r="A4403" s="173"/>
      <c r="B4403" s="175"/>
      <c r="C4403" s="36" t="s">
        <v>756</v>
      </c>
      <c r="D4403" s="36" t="s">
        <v>755</v>
      </c>
      <c r="E4403" s="37">
        <v>0.01</v>
      </c>
      <c r="F4403" s="54">
        <v>16.311500000000002</v>
      </c>
      <c r="G4403" s="54">
        <f>IF(ISNUMBER(F4403),E4403*F4403,"")</f>
        <v>0.16311500000000004</v>
      </c>
      <c r="H4403" s="39">
        <f>SUM(G4403:G4404)</f>
        <v>5.3045150000000003</v>
      </c>
      <c r="I4403" s="40"/>
      <c r="J4403" s="155">
        <v>0</v>
      </c>
    </row>
    <row r="4404" spans="1:10" ht="25.5" hidden="1" x14ac:dyDescent="0.25">
      <c r="A4404" s="173"/>
      <c r="B4404" s="175"/>
      <c r="C4404" s="36" t="s">
        <v>1435</v>
      </c>
      <c r="D4404" s="36" t="s">
        <v>95</v>
      </c>
      <c r="E4404" s="37">
        <v>1.1000000000000001</v>
      </c>
      <c r="F4404" s="54">
        <v>4.6739999999999995</v>
      </c>
      <c r="G4404" s="54">
        <f>IF(ISNUMBER(F4404),E4404*F4404,"")</f>
        <v>5.1414</v>
      </c>
      <c r="H4404" s="73"/>
      <c r="I4404" s="74"/>
      <c r="J4404" s="155">
        <v>0</v>
      </c>
    </row>
    <row r="4405" spans="1:10" ht="15.75" hidden="1" thickBot="1" x14ac:dyDescent="0.3">
      <c r="A4405" s="185"/>
      <c r="B4405" s="178"/>
      <c r="C4405" s="55"/>
      <c r="D4405" s="55"/>
      <c r="E4405" s="66"/>
      <c r="F4405" s="76" t="s">
        <v>568</v>
      </c>
      <c r="G4405" s="76" t="str">
        <f>IF(ISNUMBER(F4405),E4405*F4405,"")</f>
        <v/>
      </c>
      <c r="H4405" s="77"/>
      <c r="I4405" s="74"/>
      <c r="J4405" s="155">
        <v>0</v>
      </c>
    </row>
    <row r="4406" spans="1:10" ht="15.75" hidden="1" thickBot="1" x14ac:dyDescent="0.3">
      <c r="A4406" s="172" t="s">
        <v>1436</v>
      </c>
      <c r="B4406" s="174" t="str">
        <f>INDEX(Orçamentária!A:B,MATCH(Composições!A4406,Orçamentária!A:A,0),2)</f>
        <v>Camada de Proteção Térmica para Impermeabilização</v>
      </c>
      <c r="C4406" s="41"/>
      <c r="D4406" s="26" t="str">
        <f>TRIM(INDEX(Orçamentária!C:C,MATCH(Composições!A4406,Orçamentária!A:A,0),1))</f>
        <v>m2</v>
      </c>
      <c r="E4406" s="27"/>
      <c r="F4406" s="49" t="s">
        <v>568</v>
      </c>
      <c r="G4406" s="28" t="str">
        <f>IF(ISNUMBER(F4406),E4406*F4406,"")</f>
        <v/>
      </c>
      <c r="H4406" s="29"/>
      <c r="I4406" s="30"/>
      <c r="J4406" s="155">
        <v>0</v>
      </c>
    </row>
    <row r="4407" spans="1:10" hidden="1" x14ac:dyDescent="0.25">
      <c r="A4407" s="173"/>
      <c r="B4407" s="175"/>
      <c r="C4407" s="32"/>
      <c r="D4407" s="32"/>
      <c r="E4407" s="33"/>
      <c r="F4407" s="54" t="s">
        <v>568</v>
      </c>
      <c r="G4407" s="54" t="str">
        <f>IF(ISNUMBER(F4407),E4407*F4407,"")</f>
        <v/>
      </c>
      <c r="H4407" s="73"/>
      <c r="I4407" s="74"/>
      <c r="J4407" s="155">
        <v>0</v>
      </c>
    </row>
    <row r="4408" spans="1:10" hidden="1" x14ac:dyDescent="0.25">
      <c r="A4408" s="173"/>
      <c r="B4408" s="175"/>
      <c r="C4408" s="36" t="s">
        <v>756</v>
      </c>
      <c r="D4408" s="36" t="s">
        <v>755</v>
      </c>
      <c r="E4408" s="37">
        <v>0.05</v>
      </c>
      <c r="F4408" s="54">
        <v>16.311500000000002</v>
      </c>
      <c r="G4408" s="54">
        <f>IF(ISNUMBER(F4408),E4408*F4408,"")</f>
        <v>0.81557500000000016</v>
      </c>
      <c r="H4408" s="39">
        <f>SUM(G4408:G4409)</f>
        <v>10.042450000000001</v>
      </c>
      <c r="I4408" s="40"/>
      <c r="J4408" s="155">
        <v>0</v>
      </c>
    </row>
    <row r="4409" spans="1:10" ht="25.5" hidden="1" x14ac:dyDescent="0.25">
      <c r="A4409" s="173"/>
      <c r="B4409" s="175"/>
      <c r="C4409" s="36" t="s">
        <v>1437</v>
      </c>
      <c r="D4409" s="36" t="s">
        <v>95</v>
      </c>
      <c r="E4409" s="37">
        <v>1.05</v>
      </c>
      <c r="F4409" s="54">
        <v>8.7874999999999996</v>
      </c>
      <c r="G4409" s="54">
        <f>IF(ISNUMBER(F4409),E4409*F4409,"")</f>
        <v>9.2268749999999997</v>
      </c>
      <c r="H4409" s="73"/>
      <c r="I4409" s="74"/>
      <c r="J4409" s="155">
        <v>0</v>
      </c>
    </row>
    <row r="4410" spans="1:10" ht="15.75" hidden="1" thickBot="1" x14ac:dyDescent="0.3">
      <c r="A4410" s="185"/>
      <c r="B4410" s="178"/>
      <c r="C4410" s="55"/>
      <c r="D4410" s="55"/>
      <c r="E4410" s="66"/>
      <c r="F4410" s="76" t="s">
        <v>568</v>
      </c>
      <c r="G4410" s="76" t="str">
        <f>IF(ISNUMBER(F4410),E4410*F4410,"")</f>
        <v/>
      </c>
      <c r="H4410" s="77"/>
      <c r="I4410" s="74"/>
      <c r="J4410" s="155">
        <v>0</v>
      </c>
    </row>
    <row r="4411" spans="1:10" ht="15.75" hidden="1" thickBot="1" x14ac:dyDescent="0.3">
      <c r="A4411" s="172" t="s">
        <v>1438</v>
      </c>
      <c r="B4411" s="174" t="str">
        <f>INDEX(Orçamentária!A:B,MATCH(Composições!A4411,Orçamentária!A:A,0),2)</f>
        <v>Camada de Amortecimento para Impermeabilização</v>
      </c>
      <c r="C4411" s="41"/>
      <c r="D4411" s="26" t="str">
        <f>TRIM(INDEX(Orçamentária!C:C,MATCH(Composições!A4411,Orçamentária!A:A,0),1))</f>
        <v>m2</v>
      </c>
      <c r="E4411" s="27"/>
      <c r="F4411" s="49" t="s">
        <v>568</v>
      </c>
      <c r="G4411" s="28" t="str">
        <f>IF(ISNUMBER(F4411),E4411*F4411,"")</f>
        <v/>
      </c>
      <c r="H4411" s="29"/>
      <c r="I4411" s="30"/>
      <c r="J4411" s="155">
        <v>0</v>
      </c>
    </row>
    <row r="4412" spans="1:10" hidden="1" x14ac:dyDescent="0.25">
      <c r="A4412" s="173"/>
      <c r="B4412" s="175"/>
      <c r="C4412" s="32"/>
      <c r="D4412" s="32"/>
      <c r="E4412" s="33"/>
      <c r="F4412" s="54" t="s">
        <v>568</v>
      </c>
      <c r="G4412" s="54" t="str">
        <f>IF(ISNUMBER(F4412),E4412*F4412,"")</f>
        <v/>
      </c>
      <c r="H4412" s="73"/>
      <c r="I4412" s="74"/>
      <c r="J4412" s="155">
        <v>0</v>
      </c>
    </row>
    <row r="4413" spans="1:10" hidden="1" x14ac:dyDescent="0.25">
      <c r="A4413" s="173"/>
      <c r="B4413" s="175"/>
      <c r="C4413" s="36" t="s">
        <v>764</v>
      </c>
      <c r="D4413" s="36" t="s">
        <v>12</v>
      </c>
      <c r="E4413" s="37">
        <v>0.28999999999999998</v>
      </c>
      <c r="F4413" s="54">
        <v>22.087499999999999</v>
      </c>
      <c r="G4413" s="54">
        <f>IF(ISNUMBER(F4413),E4413*F4413,"")</f>
        <v>6.4053749999999994</v>
      </c>
      <c r="H4413" s="39">
        <f>SUM(G4413:G4415)</f>
        <v>23.412883151772</v>
      </c>
      <c r="I4413" s="40"/>
      <c r="J4413" s="155">
        <v>0</v>
      </c>
    </row>
    <row r="4414" spans="1:10" hidden="1" x14ac:dyDescent="0.25">
      <c r="A4414" s="173"/>
      <c r="B4414" s="175"/>
      <c r="C4414" s="36" t="s">
        <v>756</v>
      </c>
      <c r="D4414" s="36" t="s">
        <v>12</v>
      </c>
      <c r="E4414" s="37">
        <v>0.14499999999999999</v>
      </c>
      <c r="F4414" s="54">
        <v>16.311500000000002</v>
      </c>
      <c r="G4414" s="54">
        <f>IF(ISNUMBER(F4414),E4414*F4414,"")</f>
        <v>2.3651675000000001</v>
      </c>
      <c r="H4414" s="73"/>
      <c r="I4414" s="74"/>
      <c r="J4414" s="155">
        <v>0</v>
      </c>
    </row>
    <row r="4415" spans="1:10" ht="51" hidden="1" x14ac:dyDescent="0.25">
      <c r="A4415" s="173"/>
      <c r="B4415" s="175"/>
      <c r="C4415" s="36" t="s">
        <v>159</v>
      </c>
      <c r="D4415" s="36" t="s">
        <v>123</v>
      </c>
      <c r="E4415" s="37">
        <v>3.1E-2</v>
      </c>
      <c r="F4415" s="54">
        <v>472.33356941199997</v>
      </c>
      <c r="G4415" s="54">
        <f>IF(ISNUMBER(F4415),E4415*F4415,"")</f>
        <v>14.642340651771999</v>
      </c>
      <c r="H4415" s="73"/>
      <c r="I4415" s="74"/>
      <c r="J4415" s="155">
        <v>0</v>
      </c>
    </row>
    <row r="4416" spans="1:10" ht="15.75" hidden="1" thickBot="1" x14ac:dyDescent="0.3">
      <c r="A4416" s="185"/>
      <c r="B4416" s="178"/>
      <c r="C4416" s="55"/>
      <c r="D4416" s="55"/>
      <c r="E4416" s="66"/>
      <c r="F4416" s="76" t="s">
        <v>568</v>
      </c>
      <c r="G4416" s="76" t="str">
        <f>IF(ISNUMBER(F4416),E4416*F4416,"")</f>
        <v/>
      </c>
      <c r="H4416" s="77"/>
      <c r="I4416" s="74"/>
      <c r="J4416" s="155">
        <v>0</v>
      </c>
    </row>
    <row r="4417" spans="1:10" ht="15.75" hidden="1" thickBot="1" x14ac:dyDescent="0.3">
      <c r="A4417" s="172" t="s">
        <v>1439</v>
      </c>
      <c r="B4417" s="174" t="str">
        <f>INDEX(Orçamentária!A:B,MATCH(Composições!A4417,Orçamentária!A:A,0),2)</f>
        <v>Camada de Proteção Mecânica em Placas de Impermeabilização</v>
      </c>
      <c r="C4417" s="41"/>
      <c r="D4417" s="26" t="str">
        <f>TRIM(INDEX(Orçamentária!C:C,MATCH(Composições!A4417,Orçamentária!A:A,0),1))</f>
        <v>m2</v>
      </c>
      <c r="E4417" s="27"/>
      <c r="F4417" s="49" t="s">
        <v>568</v>
      </c>
      <c r="G4417" s="28" t="str">
        <f>IF(ISNUMBER(F4417),E4417*F4417,"")</f>
        <v/>
      </c>
      <c r="H4417" s="29"/>
      <c r="I4417" s="30"/>
      <c r="J4417" s="155">
        <v>0</v>
      </c>
    </row>
    <row r="4418" spans="1:10" hidden="1" x14ac:dyDescent="0.25">
      <c r="A4418" s="173"/>
      <c r="B4418" s="175"/>
      <c r="C4418" s="32"/>
      <c r="D4418" s="32"/>
      <c r="E4418" s="33"/>
      <c r="F4418" s="54" t="s">
        <v>568</v>
      </c>
      <c r="G4418" s="54" t="str">
        <f>IF(ISNUMBER(F4418),E4418*F4418,"")</f>
        <v/>
      </c>
      <c r="H4418" s="73"/>
      <c r="I4418" s="74"/>
      <c r="J4418" s="155">
        <v>0</v>
      </c>
    </row>
    <row r="4419" spans="1:10" hidden="1" x14ac:dyDescent="0.25">
      <c r="A4419" s="173"/>
      <c r="B4419" s="175"/>
      <c r="C4419" s="36" t="s">
        <v>1073</v>
      </c>
      <c r="D4419" s="36" t="s">
        <v>1049</v>
      </c>
      <c r="E4419" s="37">
        <v>1.04</v>
      </c>
      <c r="F4419" s="54">
        <v>1.2825</v>
      </c>
      <c r="G4419" s="54">
        <f>IF(ISNUMBER(F4419),E4419*F4419,"")</f>
        <v>1.3338000000000001</v>
      </c>
      <c r="H4419" s="39">
        <f>SUM(G4419:G4423)</f>
        <v>68.4341542385</v>
      </c>
      <c r="I4419" s="40"/>
      <c r="J4419" s="155">
        <v>0</v>
      </c>
    </row>
    <row r="4420" spans="1:10" ht="25.5" hidden="1" x14ac:dyDescent="0.25">
      <c r="A4420" s="173"/>
      <c r="B4420" s="175"/>
      <c r="C4420" s="36" t="s">
        <v>1074</v>
      </c>
      <c r="D4420" s="36" t="s">
        <v>123</v>
      </c>
      <c r="E4420" s="37">
        <v>4.3999999999999997E-2</v>
      </c>
      <c r="F4420" s="54">
        <v>623.68605087499998</v>
      </c>
      <c r="G4420" s="54">
        <f>IF(ISNUMBER(F4420),E4420*F4420,"")</f>
        <v>27.442186238499996</v>
      </c>
      <c r="H4420" s="73"/>
      <c r="I4420" s="74"/>
      <c r="J4420" s="155">
        <v>0</v>
      </c>
    </row>
    <row r="4421" spans="1:10" hidden="1" x14ac:dyDescent="0.25">
      <c r="A4421" s="173"/>
      <c r="B4421" s="175"/>
      <c r="C4421" s="36" t="s">
        <v>764</v>
      </c>
      <c r="D4421" s="36" t="s">
        <v>755</v>
      </c>
      <c r="E4421" s="37">
        <v>0.89900000000000002</v>
      </c>
      <c r="F4421" s="54">
        <v>22.087499999999999</v>
      </c>
      <c r="G4421" s="54">
        <f>IF(ISNUMBER(F4421),E4421*F4421,"")</f>
        <v>19.856662499999999</v>
      </c>
      <c r="H4421" s="73"/>
      <c r="I4421" s="74"/>
      <c r="J4421" s="155">
        <v>0</v>
      </c>
    </row>
    <row r="4422" spans="1:10" hidden="1" x14ac:dyDescent="0.25">
      <c r="A4422" s="173"/>
      <c r="B4422" s="175"/>
      <c r="C4422" s="36" t="s">
        <v>756</v>
      </c>
      <c r="D4422" s="36" t="s">
        <v>755</v>
      </c>
      <c r="E4422" s="37">
        <v>0.182</v>
      </c>
      <c r="F4422" s="54">
        <v>16.311500000000002</v>
      </c>
      <c r="G4422" s="54">
        <f>IF(ISNUMBER(F4422),E4422*F4422,"")</f>
        <v>2.9686930000000005</v>
      </c>
      <c r="H4422" s="73"/>
      <c r="I4422" s="74"/>
      <c r="J4422" s="155">
        <v>0</v>
      </c>
    </row>
    <row r="4423" spans="1:10" ht="38.25" hidden="1" x14ac:dyDescent="0.25">
      <c r="A4423" s="173"/>
      <c r="B4423" s="175"/>
      <c r="C4423" s="36" t="s">
        <v>1069</v>
      </c>
      <c r="D4423" s="36" t="s">
        <v>953</v>
      </c>
      <c r="E4423" s="37">
        <f>0.15*2.5*(6/2)</f>
        <v>1.125</v>
      </c>
      <c r="F4423" s="54">
        <v>14.962499999999999</v>
      </c>
      <c r="G4423" s="54">
        <f>IF(ISNUMBER(F4423),E4423*F4423,"")</f>
        <v>16.832812499999999</v>
      </c>
      <c r="H4423" s="73"/>
      <c r="I4423" s="74"/>
      <c r="J4423" s="155">
        <v>0</v>
      </c>
    </row>
    <row r="4424" spans="1:10" hidden="1" x14ac:dyDescent="0.25">
      <c r="A4424" s="173"/>
      <c r="B4424" s="175"/>
      <c r="C4424" s="36"/>
      <c r="D4424" s="36"/>
      <c r="E4424" s="37"/>
      <c r="F4424" s="54" t="s">
        <v>568</v>
      </c>
      <c r="G4424" s="54" t="str">
        <f>IF(ISNUMBER(F4424),E4424*F4424,"")</f>
        <v/>
      </c>
      <c r="H4424" s="73"/>
      <c r="I4424" s="74"/>
      <c r="J4424" s="155">
        <v>0</v>
      </c>
    </row>
    <row r="4425" spans="1:10" ht="15.75" hidden="1" thickBot="1" x14ac:dyDescent="0.3">
      <c r="A4425" s="172" t="s">
        <v>1440</v>
      </c>
      <c r="B4425" s="174" t="str">
        <f>INDEX(Orçamentária!A:B,MATCH(Composições!A4425,Orçamentária!A:A,0),2)</f>
        <v>Pintura Inibidora de Raízes em Estrutura Impermeabilizada</v>
      </c>
      <c r="C4425" s="41"/>
      <c r="D4425" s="26" t="str">
        <f>TRIM(INDEX(Orçamentária!C:C,MATCH(Composições!A4425,Orçamentária!A:A,0),1))</f>
        <v>m2</v>
      </c>
      <c r="E4425" s="27"/>
      <c r="F4425" s="49" t="s">
        <v>568</v>
      </c>
      <c r="G4425" s="28" t="str">
        <f>IF(ISNUMBER(F4425),E4425*F4425,"")</f>
        <v/>
      </c>
      <c r="H4425" s="29"/>
      <c r="I4425" s="30"/>
      <c r="J4425" s="155">
        <v>0</v>
      </c>
    </row>
    <row r="4426" spans="1:10" hidden="1" x14ac:dyDescent="0.25">
      <c r="A4426" s="173"/>
      <c r="B4426" s="175"/>
      <c r="C4426" s="32"/>
      <c r="D4426" s="32"/>
      <c r="E4426" s="33"/>
      <c r="F4426" s="54" t="s">
        <v>568</v>
      </c>
      <c r="G4426" s="54" t="str">
        <f>IF(ISNUMBER(F4426),E4426*F4426,"")</f>
        <v/>
      </c>
      <c r="H4426" s="73"/>
      <c r="I4426" s="74"/>
      <c r="J4426" s="155">
        <v>0</v>
      </c>
    </row>
    <row r="4427" spans="1:10" hidden="1" x14ac:dyDescent="0.25">
      <c r="A4427" s="173"/>
      <c r="B4427" s="175"/>
      <c r="C4427" s="36" t="s">
        <v>1441</v>
      </c>
      <c r="D4427" s="36" t="s">
        <v>104</v>
      </c>
      <c r="E4427" s="37">
        <v>1</v>
      </c>
      <c r="F4427" s="54" t="s">
        <v>568</v>
      </c>
      <c r="G4427" s="54" t="str">
        <f>IF(ISNUMBER(F4427),E4427*F4427,"")</f>
        <v/>
      </c>
      <c r="H4427" s="39">
        <f>SUM(G4427:G4429)</f>
        <v>11.80185</v>
      </c>
      <c r="I4427" s="40"/>
      <c r="J4427" s="155">
        <v>0</v>
      </c>
    </row>
    <row r="4428" spans="1:10" hidden="1" x14ac:dyDescent="0.25">
      <c r="A4428" s="173"/>
      <c r="B4428" s="175"/>
      <c r="C4428" s="36" t="s">
        <v>1152</v>
      </c>
      <c r="D4428" s="36" t="s">
        <v>755</v>
      </c>
      <c r="E4428" s="37">
        <v>0.3</v>
      </c>
      <c r="F4428" s="54">
        <v>23.027999999999999</v>
      </c>
      <c r="G4428" s="54">
        <f>IF(ISNUMBER(F4428),E4428*F4428,"")</f>
        <v>6.9083999999999994</v>
      </c>
      <c r="H4428" s="73"/>
      <c r="I4428" s="74"/>
      <c r="J4428" s="155">
        <v>0</v>
      </c>
    </row>
    <row r="4429" spans="1:10" hidden="1" x14ac:dyDescent="0.25">
      <c r="A4429" s="173"/>
      <c r="B4429" s="175"/>
      <c r="C4429" s="36" t="s">
        <v>756</v>
      </c>
      <c r="D4429" s="36" t="s">
        <v>755</v>
      </c>
      <c r="E4429" s="37">
        <v>0.3</v>
      </c>
      <c r="F4429" s="54">
        <v>16.311500000000002</v>
      </c>
      <c r="G4429" s="54">
        <f>IF(ISNUMBER(F4429),E4429*F4429,"")</f>
        <v>4.8934500000000005</v>
      </c>
      <c r="H4429" s="73"/>
      <c r="I4429" s="74"/>
      <c r="J4429" s="155">
        <v>0</v>
      </c>
    </row>
    <row r="4430" spans="1:10" ht="15.75" hidden="1" thickBot="1" x14ac:dyDescent="0.3">
      <c r="A4430" s="185"/>
      <c r="B4430" s="178"/>
      <c r="C4430" s="55"/>
      <c r="D4430" s="55"/>
      <c r="E4430" s="66"/>
      <c r="F4430" s="76" t="s">
        <v>568</v>
      </c>
      <c r="G4430" s="76" t="str">
        <f>IF(ISNUMBER(F4430),E4430*F4430,"")</f>
        <v/>
      </c>
      <c r="H4430" s="77"/>
      <c r="I4430" s="74"/>
      <c r="J4430" s="155">
        <v>0</v>
      </c>
    </row>
    <row r="4431" spans="1:10" ht="15.75" hidden="1" thickBot="1" x14ac:dyDescent="0.3">
      <c r="A4431" s="172" t="s">
        <v>1442</v>
      </c>
      <c r="B4431" s="174" t="str">
        <f>INDEX(Orçamentária!A:B,MATCH(Composições!A4431,Orçamentária!A:A,0),2)</f>
        <v>Camada Drenante para Impermeabilização</v>
      </c>
      <c r="C4431" s="41"/>
      <c r="D4431" s="26" t="str">
        <f>TRIM(INDEX(Orçamentária!C:C,MATCH(Composições!A4431,Orçamentária!A:A,0),1))</f>
        <v>m2</v>
      </c>
      <c r="E4431" s="27"/>
      <c r="F4431" s="49" t="s">
        <v>568</v>
      </c>
      <c r="G4431" s="28" t="str">
        <f>IF(ISNUMBER(F4431),E4431*F4431,"")</f>
        <v/>
      </c>
      <c r="H4431" s="29"/>
      <c r="I4431" s="30"/>
      <c r="J4431" s="155">
        <v>0</v>
      </c>
    </row>
    <row r="4432" spans="1:10" hidden="1" x14ac:dyDescent="0.25">
      <c r="A4432" s="173"/>
      <c r="B4432" s="175"/>
      <c r="C4432" s="32"/>
      <c r="D4432" s="32"/>
      <c r="E4432" s="33"/>
      <c r="F4432" s="54" t="s">
        <v>568</v>
      </c>
      <c r="G4432" s="54" t="str">
        <f>IF(ISNUMBER(F4432),E4432*F4432,"")</f>
        <v/>
      </c>
      <c r="H4432" s="73"/>
      <c r="I4432" s="74"/>
      <c r="J4432" s="155">
        <v>0</v>
      </c>
    </row>
    <row r="4433" spans="1:10" hidden="1" x14ac:dyDescent="0.25">
      <c r="A4433" s="173"/>
      <c r="B4433" s="175"/>
      <c r="C4433" s="36" t="s">
        <v>756</v>
      </c>
      <c r="D4433" s="36" t="s">
        <v>755</v>
      </c>
      <c r="E4433" s="37">
        <v>0.02</v>
      </c>
      <c r="F4433" s="54">
        <v>16.311500000000002</v>
      </c>
      <c r="G4433" s="54">
        <f>IF(ISNUMBER(F4433),E4433*F4433,"")</f>
        <v>0.32623000000000008</v>
      </c>
      <c r="H4433" s="39">
        <f>SUM(G4433:G4435)</f>
        <v>5.4676299999999998</v>
      </c>
      <c r="I4433" s="40"/>
      <c r="J4433" s="155">
        <v>0</v>
      </c>
    </row>
    <row r="4434" spans="1:10" ht="25.5" hidden="1" x14ac:dyDescent="0.25">
      <c r="A4434" s="173"/>
      <c r="B4434" s="175"/>
      <c r="C4434" s="36" t="s">
        <v>1443</v>
      </c>
      <c r="D4434" s="36" t="s">
        <v>95</v>
      </c>
      <c r="E4434" s="37">
        <v>1.05</v>
      </c>
      <c r="F4434" s="54" t="s">
        <v>568</v>
      </c>
      <c r="G4434" s="54" t="str">
        <f>IF(ISNUMBER(F4434),E4434*F4434,"")</f>
        <v/>
      </c>
      <c r="H4434" s="73"/>
      <c r="I4434" s="74"/>
      <c r="J4434" s="155">
        <v>0</v>
      </c>
    </row>
    <row r="4435" spans="1:10" ht="25.5" hidden="1" x14ac:dyDescent="0.25">
      <c r="A4435" s="173"/>
      <c r="B4435" s="175"/>
      <c r="C4435" s="36" t="s">
        <v>1435</v>
      </c>
      <c r="D4435" s="36" t="s">
        <v>95</v>
      </c>
      <c r="E4435" s="37">
        <v>1.1000000000000001</v>
      </c>
      <c r="F4435" s="54">
        <v>4.6739999999999995</v>
      </c>
      <c r="G4435" s="54">
        <f>IF(ISNUMBER(F4435),E4435*F4435,"")</f>
        <v>5.1414</v>
      </c>
      <c r="H4435" s="73"/>
      <c r="I4435" s="74"/>
      <c r="J4435" s="155">
        <v>0</v>
      </c>
    </row>
    <row r="4436" spans="1:10" ht="15.75" hidden="1" thickBot="1" x14ac:dyDescent="0.3">
      <c r="A4436" s="185"/>
      <c r="B4436" s="178"/>
      <c r="C4436" s="55"/>
      <c r="D4436" s="55"/>
      <c r="E4436" s="66"/>
      <c r="F4436" s="76" t="s">
        <v>568</v>
      </c>
      <c r="G4436" s="76" t="str">
        <f>IF(ISNUMBER(F4436),E4436*F4436,"")</f>
        <v/>
      </c>
      <c r="H4436" s="77"/>
      <c r="I4436" s="74"/>
      <c r="J4436" s="155">
        <v>0</v>
      </c>
    </row>
    <row r="4437" spans="1:10" ht="15.75" hidden="1" thickBot="1" x14ac:dyDescent="0.3">
      <c r="A4437" s="172" t="s">
        <v>1444</v>
      </c>
      <c r="B4437" s="174" t="str">
        <f>INDEX(Orçamentária!A:B,MATCH(Composições!A4437,Orçamentária!A:A,0),2)</f>
        <v>Calha em Chapa de Aço Galvanizado nº 24</v>
      </c>
      <c r="C4437" s="41"/>
      <c r="D4437" s="26" t="str">
        <f>TRIM(INDEX(Orçamentária!C:C,MATCH(Composições!A4437,Orçamentária!A:A,0),1))</f>
        <v>m2</v>
      </c>
      <c r="E4437" s="27"/>
      <c r="F4437" s="49" t="s">
        <v>568</v>
      </c>
      <c r="G4437" s="28" t="str">
        <f>IF(ISNUMBER(F4437),E4437*F4437,"")</f>
        <v/>
      </c>
      <c r="H4437" s="29"/>
      <c r="I4437" s="30"/>
      <c r="J4437" s="155">
        <v>0</v>
      </c>
    </row>
    <row r="4438" spans="1:10" hidden="1" x14ac:dyDescent="0.25">
      <c r="A4438" s="173"/>
      <c r="B4438" s="175"/>
      <c r="C4438" s="32"/>
      <c r="D4438" s="32"/>
      <c r="E4438" s="33"/>
      <c r="F4438" s="54" t="s">
        <v>568</v>
      </c>
      <c r="G4438" s="54" t="str">
        <f>IF(ISNUMBER(F4438),E4438*F4438,"")</f>
        <v/>
      </c>
      <c r="H4438" s="73"/>
      <c r="I4438" s="74"/>
      <c r="J4438" s="155">
        <v>0</v>
      </c>
    </row>
    <row r="4439" spans="1:10" ht="25.5" hidden="1" x14ac:dyDescent="0.25">
      <c r="A4439" s="173"/>
      <c r="B4439" s="175"/>
      <c r="C4439" s="36" t="s">
        <v>1120</v>
      </c>
      <c r="D4439" s="47" t="s">
        <v>1131</v>
      </c>
      <c r="E4439" s="37">
        <v>0.161</v>
      </c>
      <c r="F4439" s="54">
        <v>28.015499999999996</v>
      </c>
      <c r="G4439" s="54">
        <f>IF(ISNUMBER(F4439),E4439*F4439,"")</f>
        <v>4.5104954999999993</v>
      </c>
      <c r="H4439" s="39">
        <f>SUM(G4439:G4447)</f>
        <v>144.95862659999997</v>
      </c>
      <c r="I4439" s="40"/>
      <c r="J4439" s="155">
        <v>0</v>
      </c>
    </row>
    <row r="4440" spans="1:10" hidden="1" x14ac:dyDescent="0.25">
      <c r="A4440" s="173"/>
      <c r="B4440" s="175"/>
      <c r="C4440" s="36" t="s">
        <v>1445</v>
      </c>
      <c r="D4440" s="36" t="s">
        <v>953</v>
      </c>
      <c r="E4440" s="37">
        <v>2.5000000000000001E-2</v>
      </c>
      <c r="F4440" s="54">
        <v>17.099999999999998</v>
      </c>
      <c r="G4440" s="54">
        <f>IF(ISNUMBER(F4440),E4440*F4440,"")</f>
        <v>0.42749999999999999</v>
      </c>
      <c r="H4440" s="73"/>
      <c r="I4440" s="74"/>
      <c r="J4440" s="155">
        <v>0</v>
      </c>
    </row>
    <row r="4441" spans="1:10" ht="25.5" hidden="1" x14ac:dyDescent="0.25">
      <c r="A4441" s="173"/>
      <c r="B4441" s="175"/>
      <c r="C4441" s="36" t="s">
        <v>1446</v>
      </c>
      <c r="D4441" s="36" t="s">
        <v>953</v>
      </c>
      <c r="E4441" s="37">
        <v>4.8999999999999998E-3</v>
      </c>
      <c r="F4441" s="54">
        <v>58.9</v>
      </c>
      <c r="G4441" s="54">
        <f>IF(ISNUMBER(F4441),E4441*F4441,"")</f>
        <v>0.28860999999999998</v>
      </c>
      <c r="H4441" s="73"/>
      <c r="I4441" s="74"/>
      <c r="J4441" s="155">
        <v>0</v>
      </c>
    </row>
    <row r="4442" spans="1:10" hidden="1" x14ac:dyDescent="0.25">
      <c r="A4442" s="173"/>
      <c r="B4442" s="175"/>
      <c r="C4442" s="36" t="s">
        <v>1447</v>
      </c>
      <c r="D4442" s="36" t="s">
        <v>953</v>
      </c>
      <c r="E4442" s="37">
        <v>0.18</v>
      </c>
      <c r="F4442" s="54">
        <v>91.902999999999992</v>
      </c>
      <c r="G4442" s="54">
        <f>IF(ISNUMBER(F4442),E4442*F4442,"")</f>
        <v>16.542539999999999</v>
      </c>
      <c r="H4442" s="73"/>
      <c r="I4442" s="74"/>
      <c r="J4442" s="155">
        <v>0</v>
      </c>
    </row>
    <row r="4443" spans="1:10" ht="25.5" hidden="1" x14ac:dyDescent="0.25">
      <c r="A4443" s="173"/>
      <c r="B4443" s="175"/>
      <c r="C4443" s="36" t="s">
        <v>1448</v>
      </c>
      <c r="D4443" s="36" t="s">
        <v>523</v>
      </c>
      <c r="E4443" s="37">
        <v>1.05</v>
      </c>
      <c r="F4443" s="54">
        <v>94.961999999999989</v>
      </c>
      <c r="G4443" s="54">
        <f>IF(ISNUMBER(F4443),E4443*F4443,"")</f>
        <v>99.710099999999997</v>
      </c>
      <c r="H4443" s="73"/>
      <c r="I4443" s="74"/>
      <c r="J4443" s="155">
        <v>0</v>
      </c>
    </row>
    <row r="4444" spans="1:10" hidden="1" x14ac:dyDescent="0.25">
      <c r="A4444" s="173"/>
      <c r="B4444" s="175"/>
      <c r="C4444" s="36" t="s">
        <v>756</v>
      </c>
      <c r="D4444" s="36" t="s">
        <v>755</v>
      </c>
      <c r="E4444" s="37">
        <v>0.63300000000000001</v>
      </c>
      <c r="F4444" s="54">
        <v>16.311500000000002</v>
      </c>
      <c r="G4444" s="54">
        <f>IF(ISNUMBER(F4444),E4444*F4444,"")</f>
        <v>10.325179500000001</v>
      </c>
      <c r="H4444" s="73"/>
      <c r="I4444" s="74"/>
      <c r="J4444" s="155">
        <v>0</v>
      </c>
    </row>
    <row r="4445" spans="1:10" hidden="1" x14ac:dyDescent="0.25">
      <c r="A4445" s="173"/>
      <c r="B4445" s="175"/>
      <c r="C4445" s="36" t="s">
        <v>1387</v>
      </c>
      <c r="D4445" s="36" t="s">
        <v>755</v>
      </c>
      <c r="E4445" s="37">
        <v>0.53900000000000003</v>
      </c>
      <c r="F4445" s="54">
        <v>23.360499999999998</v>
      </c>
      <c r="G4445" s="54">
        <f>IF(ISNUMBER(F4445),E4445*F4445,"")</f>
        <v>12.591309499999999</v>
      </c>
      <c r="H4445" s="73"/>
      <c r="I4445" s="74"/>
      <c r="J4445" s="155">
        <v>0</v>
      </c>
    </row>
    <row r="4446" spans="1:10" ht="25.5" hidden="1" x14ac:dyDescent="0.25">
      <c r="A4446" s="173"/>
      <c r="B4446" s="175"/>
      <c r="C4446" s="36" t="s">
        <v>1388</v>
      </c>
      <c r="D4446" s="36" t="s">
        <v>997</v>
      </c>
      <c r="E4446" s="37">
        <v>1.32E-2</v>
      </c>
      <c r="F4446" s="54">
        <v>18.277999999999999</v>
      </c>
      <c r="G4446" s="54">
        <f>IF(ISNUMBER(F4446),E4446*F4446,"")</f>
        <v>0.24126959999999997</v>
      </c>
      <c r="H4446" s="73"/>
      <c r="I4446" s="74"/>
      <c r="J4446" s="155">
        <v>0</v>
      </c>
    </row>
    <row r="4447" spans="1:10" ht="25.5" hidden="1" x14ac:dyDescent="0.25">
      <c r="A4447" s="173"/>
      <c r="B4447" s="175"/>
      <c r="C4447" s="36" t="s">
        <v>1389</v>
      </c>
      <c r="D4447" s="36" t="s">
        <v>999</v>
      </c>
      <c r="E4447" s="37">
        <v>1.83E-2</v>
      </c>
      <c r="F4447" s="54">
        <v>17.574999999999999</v>
      </c>
      <c r="G4447" s="54">
        <f>IF(ISNUMBER(F4447),E4447*F4447,"")</f>
        <v>0.32162249999999998</v>
      </c>
      <c r="H4447" s="73"/>
      <c r="I4447" s="74"/>
      <c r="J4447" s="155">
        <v>0</v>
      </c>
    </row>
    <row r="4448" spans="1:10" ht="15.75" hidden="1" thickBot="1" x14ac:dyDescent="0.3">
      <c r="A4448" s="185"/>
      <c r="B4448" s="178"/>
      <c r="C4448" s="55"/>
      <c r="D4448" s="55"/>
      <c r="E4448" s="66"/>
      <c r="F4448" s="76" t="s">
        <v>568</v>
      </c>
      <c r="G4448" s="76" t="str">
        <f>IF(ISNUMBER(F4448),E4448*F4448,"")</f>
        <v/>
      </c>
      <c r="H4448" s="77"/>
      <c r="I4448" s="74"/>
      <c r="J4448" s="155">
        <v>0</v>
      </c>
    </row>
    <row r="4449" spans="1:10" ht="15.75" hidden="1" thickBot="1" x14ac:dyDescent="0.3">
      <c r="A4449" s="172" t="s">
        <v>1449</v>
      </c>
      <c r="B4449" s="174" t="str">
        <f>INDEX(Orçamentária!A:B,MATCH(Composições!A4449,Orçamentária!A:A,0),2)</f>
        <v>Rufo em Chapa de Aço Galvanizado nº 24</v>
      </c>
      <c r="C4449" s="41"/>
      <c r="D4449" s="26" t="str">
        <f>TRIM(INDEX(Orçamentária!C:C,MATCH(Composições!A4449,Orçamentária!A:A,0),1))</f>
        <v>m2</v>
      </c>
      <c r="E4449" s="27"/>
      <c r="F4449" s="49" t="s">
        <v>568</v>
      </c>
      <c r="G4449" s="28" t="str">
        <f>IF(ISNUMBER(F4449),E4449*F4449,"")</f>
        <v/>
      </c>
      <c r="H4449" s="29"/>
      <c r="I4449" s="30"/>
      <c r="J4449" s="155">
        <v>0</v>
      </c>
    </row>
    <row r="4450" spans="1:10" hidden="1" x14ac:dyDescent="0.25">
      <c r="A4450" s="173"/>
      <c r="B4450" s="175"/>
      <c r="C4450" s="32"/>
      <c r="D4450" s="32"/>
      <c r="E4450" s="33"/>
      <c r="F4450" s="54" t="s">
        <v>568</v>
      </c>
      <c r="G4450" s="54" t="str">
        <f>IF(ISNUMBER(F4450),E4450*F4450,"")</f>
        <v/>
      </c>
      <c r="H4450" s="73"/>
      <c r="I4450" s="74"/>
      <c r="J4450" s="155">
        <v>0</v>
      </c>
    </row>
    <row r="4451" spans="1:10" ht="25.5" hidden="1" x14ac:dyDescent="0.25">
      <c r="A4451" s="173"/>
      <c r="B4451" s="175"/>
      <c r="C4451" s="36" t="s">
        <v>1120</v>
      </c>
      <c r="D4451" s="47" t="s">
        <v>1131</v>
      </c>
      <c r="E4451" s="37">
        <f>0.198*2</f>
        <v>0.39600000000000002</v>
      </c>
      <c r="F4451" s="54">
        <v>28.015499999999996</v>
      </c>
      <c r="G4451" s="54">
        <f>IF(ISNUMBER(F4451),E4451*F4451,"")</f>
        <v>11.094137999999999</v>
      </c>
      <c r="H4451" s="39">
        <f>SUM(G4451:G4459)</f>
        <v>139.42411659999999</v>
      </c>
      <c r="I4451" s="40"/>
      <c r="J4451" s="155">
        <v>0</v>
      </c>
    </row>
    <row r="4452" spans="1:10" hidden="1" x14ac:dyDescent="0.25">
      <c r="A4452" s="173"/>
      <c r="B4452" s="175"/>
      <c r="C4452" s="36" t="s">
        <v>1445</v>
      </c>
      <c r="D4452" s="36" t="s">
        <v>953</v>
      </c>
      <c r="E4452" s="37">
        <f>0.006*2</f>
        <v>1.2E-2</v>
      </c>
      <c r="F4452" s="54">
        <v>17.099999999999998</v>
      </c>
      <c r="G4452" s="54">
        <f>IF(ISNUMBER(F4452),E4452*F4452,"")</f>
        <v>0.20519999999999997</v>
      </c>
      <c r="H4452" s="73"/>
      <c r="I4452" s="74"/>
      <c r="J4452" s="155">
        <v>0</v>
      </c>
    </row>
    <row r="4453" spans="1:10" ht="25.5" hidden="1" x14ac:dyDescent="0.25">
      <c r="A4453" s="173"/>
      <c r="B4453" s="175"/>
      <c r="C4453" s="36" t="s">
        <v>1446</v>
      </c>
      <c r="D4453" s="36" t="s">
        <v>953</v>
      </c>
      <c r="E4453" s="37">
        <f>0.0012*2</f>
        <v>2.3999999999999998E-3</v>
      </c>
      <c r="F4453" s="54">
        <v>58.9</v>
      </c>
      <c r="G4453" s="54">
        <f>IF(ISNUMBER(F4453),E4453*F4453,"")</f>
        <v>0.14135999999999999</v>
      </c>
      <c r="H4453" s="73"/>
      <c r="I4453" s="74"/>
      <c r="J4453" s="155">
        <v>0</v>
      </c>
    </row>
    <row r="4454" spans="1:10" hidden="1" x14ac:dyDescent="0.25">
      <c r="A4454" s="173"/>
      <c r="B4454" s="175"/>
      <c r="C4454" s="36" t="s">
        <v>1447</v>
      </c>
      <c r="D4454" s="36" t="s">
        <v>953</v>
      </c>
      <c r="E4454" s="37">
        <f>0.045*2</f>
        <v>0.09</v>
      </c>
      <c r="F4454" s="54">
        <v>91.902999999999992</v>
      </c>
      <c r="G4454" s="54">
        <f>IF(ISNUMBER(F4454),E4454*F4454,"")</f>
        <v>8.2712699999999995</v>
      </c>
      <c r="H4454" s="73"/>
      <c r="I4454" s="74"/>
      <c r="J4454" s="155">
        <v>0</v>
      </c>
    </row>
    <row r="4455" spans="1:10" ht="25.5" hidden="1" x14ac:dyDescent="0.25">
      <c r="A4455" s="173"/>
      <c r="B4455" s="175"/>
      <c r="C4455" s="36" t="s">
        <v>1450</v>
      </c>
      <c r="D4455" s="36" t="s">
        <v>523</v>
      </c>
      <c r="E4455" s="37">
        <f>4*1.05</f>
        <v>4.2</v>
      </c>
      <c r="F4455" s="54">
        <v>26.941999999999997</v>
      </c>
      <c r="G4455" s="54">
        <f>IF(ISNUMBER(F4455),E4455*F4455,"")</f>
        <v>113.15639999999999</v>
      </c>
      <c r="H4455" s="73"/>
      <c r="I4455" s="74"/>
      <c r="J4455" s="155">
        <v>0</v>
      </c>
    </row>
    <row r="4456" spans="1:10" hidden="1" x14ac:dyDescent="0.25">
      <c r="A4456" s="173"/>
      <c r="B4456" s="175"/>
      <c r="C4456" s="36" t="s">
        <v>756</v>
      </c>
      <c r="D4456" s="36" t="s">
        <v>755</v>
      </c>
      <c r="E4456" s="37">
        <v>0.20699999999999999</v>
      </c>
      <c r="F4456" s="54">
        <v>16.311500000000002</v>
      </c>
      <c r="G4456" s="54">
        <f>IF(ISNUMBER(F4456),E4456*F4456,"")</f>
        <v>3.3764805000000004</v>
      </c>
      <c r="H4456" s="73"/>
      <c r="I4456" s="74"/>
      <c r="J4456" s="155">
        <v>0</v>
      </c>
    </row>
    <row r="4457" spans="1:10" hidden="1" x14ac:dyDescent="0.25">
      <c r="A4457" s="173"/>
      <c r="B4457" s="175"/>
      <c r="C4457" s="36" t="s">
        <v>1387</v>
      </c>
      <c r="D4457" s="36" t="s">
        <v>755</v>
      </c>
      <c r="E4457" s="37">
        <v>0.112</v>
      </c>
      <c r="F4457" s="54">
        <v>23.360499999999998</v>
      </c>
      <c r="G4457" s="54">
        <f>IF(ISNUMBER(F4457),E4457*F4457,"")</f>
        <v>2.6163759999999998</v>
      </c>
      <c r="H4457" s="73"/>
      <c r="I4457" s="74"/>
      <c r="J4457" s="155">
        <v>0</v>
      </c>
    </row>
    <row r="4458" spans="1:10" ht="25.5" hidden="1" x14ac:dyDescent="0.25">
      <c r="A4458" s="173"/>
      <c r="B4458" s="175"/>
      <c r="C4458" s="36" t="s">
        <v>1388</v>
      </c>
      <c r="D4458" s="36" t="s">
        <v>997</v>
      </c>
      <c r="E4458" s="37">
        <v>1.32E-2</v>
      </c>
      <c r="F4458" s="54">
        <v>18.277999999999999</v>
      </c>
      <c r="G4458" s="54">
        <f>IF(ISNUMBER(F4458),E4458*F4458,"")</f>
        <v>0.24126959999999997</v>
      </c>
      <c r="H4458" s="73"/>
      <c r="I4458" s="74"/>
      <c r="J4458" s="155">
        <v>0</v>
      </c>
    </row>
    <row r="4459" spans="1:10" ht="25.5" hidden="1" x14ac:dyDescent="0.25">
      <c r="A4459" s="173"/>
      <c r="B4459" s="175"/>
      <c r="C4459" s="36" t="s">
        <v>1389</v>
      </c>
      <c r="D4459" s="36" t="s">
        <v>999</v>
      </c>
      <c r="E4459" s="37">
        <v>1.83E-2</v>
      </c>
      <c r="F4459" s="54">
        <v>17.574999999999999</v>
      </c>
      <c r="G4459" s="54">
        <f>IF(ISNUMBER(F4459),E4459*F4459,"")</f>
        <v>0.32162249999999998</v>
      </c>
      <c r="H4459" s="73"/>
      <c r="I4459" s="74"/>
      <c r="J4459" s="155">
        <v>0</v>
      </c>
    </row>
    <row r="4460" spans="1:10" ht="15.75" hidden="1" thickBot="1" x14ac:dyDescent="0.3">
      <c r="A4460" s="185"/>
      <c r="B4460" s="178"/>
      <c r="C4460" s="55"/>
      <c r="D4460" s="55"/>
      <c r="E4460" s="66"/>
      <c r="F4460" s="76" t="s">
        <v>568</v>
      </c>
      <c r="G4460" s="76" t="str">
        <f>IF(ISNUMBER(F4460),E4460*F4460,"")</f>
        <v/>
      </c>
      <c r="H4460" s="77"/>
      <c r="I4460" s="74"/>
      <c r="J4460" s="155">
        <v>0</v>
      </c>
    </row>
    <row r="4461" spans="1:10" ht="15.75" hidden="1" thickBot="1" x14ac:dyDescent="0.3">
      <c r="A4461" s="172" t="s">
        <v>1451</v>
      </c>
      <c r="B4461" s="174" t="str">
        <f>INDEX(Orçamentária!A:B,MATCH(Composições!A4461,Orçamentária!A:A,0),2)</f>
        <v>Chapim Pré-Moldado de Concreto Aparente</v>
      </c>
      <c r="C4461" s="41"/>
      <c r="D4461" s="26" t="str">
        <f>TRIM(INDEX(Orçamentária!C:C,MATCH(Composições!A4461,Orçamentária!A:A,0),1))</f>
        <v>m</v>
      </c>
      <c r="E4461" s="27"/>
      <c r="F4461" s="49" t="s">
        <v>568</v>
      </c>
      <c r="G4461" s="28" t="str">
        <f>IF(ISNUMBER(F4461),E4461*F4461,"")</f>
        <v/>
      </c>
      <c r="H4461" s="29"/>
      <c r="I4461" s="30"/>
      <c r="J4461" s="155">
        <v>0</v>
      </c>
    </row>
    <row r="4462" spans="1:10" hidden="1" x14ac:dyDescent="0.25">
      <c r="A4462" s="173"/>
      <c r="B4462" s="175"/>
      <c r="C4462" s="32"/>
      <c r="D4462" s="32"/>
      <c r="E4462" s="33"/>
      <c r="F4462" s="54" t="s">
        <v>568</v>
      </c>
      <c r="G4462" s="54" t="str">
        <f>IF(ISNUMBER(F4462),E4462*F4462,"")</f>
        <v/>
      </c>
      <c r="H4462" s="73"/>
      <c r="I4462" s="74"/>
      <c r="J4462" s="155">
        <v>0</v>
      </c>
    </row>
    <row r="4463" spans="1:10" ht="25.5" hidden="1" x14ac:dyDescent="0.25">
      <c r="A4463" s="173"/>
      <c r="B4463" s="175"/>
      <c r="C4463" s="36" t="s">
        <v>3599</v>
      </c>
      <c r="D4463" s="36" t="s">
        <v>953</v>
      </c>
      <c r="E4463" s="37">
        <v>0.02</v>
      </c>
      <c r="F4463" s="54">
        <v>18.838499999999996</v>
      </c>
      <c r="G4463" s="54">
        <f>IF(ISNUMBER(F4463),E4463*F4463,"")</f>
        <v>0.37676999999999994</v>
      </c>
      <c r="H4463" s="39">
        <f>SUM(G4463:G4476)</f>
        <v>100.90806479150001</v>
      </c>
      <c r="I4463" s="40"/>
      <c r="J4463" s="155">
        <v>0</v>
      </c>
    </row>
    <row r="4464" spans="1:10" ht="25.5" hidden="1" x14ac:dyDescent="0.25">
      <c r="A4464" s="173"/>
      <c r="B4464" s="175"/>
      <c r="C4464" s="36" t="s">
        <v>1368</v>
      </c>
      <c r="D4464" s="36" t="s">
        <v>111</v>
      </c>
      <c r="E4464" s="37">
        <v>0.04</v>
      </c>
      <c r="F4464" s="54">
        <v>112.63199999999999</v>
      </c>
      <c r="G4464" s="54">
        <f>IF(ISNUMBER(F4464),E4464*F4464,"")</f>
        <v>4.50528</v>
      </c>
      <c r="H4464" s="73"/>
      <c r="I4464" s="74"/>
      <c r="J4464" s="155">
        <v>0</v>
      </c>
    </row>
    <row r="4465" spans="1:10" hidden="1" x14ac:dyDescent="0.25">
      <c r="A4465" s="173"/>
      <c r="B4465" s="175"/>
      <c r="C4465" s="36" t="s">
        <v>956</v>
      </c>
      <c r="D4465" s="36" t="s">
        <v>755</v>
      </c>
      <c r="E4465" s="37">
        <v>0.8</v>
      </c>
      <c r="F4465" s="54">
        <v>21.973499999999998</v>
      </c>
      <c r="G4465" s="54">
        <f>IF(ISNUMBER(F4465),E4465*F4465,"")</f>
        <v>17.578799999999998</v>
      </c>
      <c r="H4465" s="73"/>
      <c r="I4465" s="74"/>
      <c r="J4465" s="155">
        <v>0</v>
      </c>
    </row>
    <row r="4466" spans="1:10" ht="25.5" hidden="1" x14ac:dyDescent="0.25">
      <c r="A4466" s="173"/>
      <c r="B4466" s="175"/>
      <c r="C4466" s="36" t="s">
        <v>1452</v>
      </c>
      <c r="D4466" s="36" t="s">
        <v>953</v>
      </c>
      <c r="E4466" s="37">
        <v>1.35</v>
      </c>
      <c r="F4466" s="54">
        <v>9.0060000000000002</v>
      </c>
      <c r="G4466" s="54">
        <f>IF(ISNUMBER(F4466),E4466*F4466,"")</f>
        <v>12.158100000000001</v>
      </c>
      <c r="H4466" s="73"/>
      <c r="I4466" s="74"/>
      <c r="J4466" s="155">
        <v>0</v>
      </c>
    </row>
    <row r="4467" spans="1:10" hidden="1" x14ac:dyDescent="0.25">
      <c r="A4467" s="173"/>
      <c r="B4467" s="175"/>
      <c r="C4467" s="36" t="s">
        <v>78</v>
      </c>
      <c r="D4467" s="36" t="s">
        <v>755</v>
      </c>
      <c r="E4467" s="37">
        <v>0.7</v>
      </c>
      <c r="F4467" s="54">
        <v>21.878499999999999</v>
      </c>
      <c r="G4467" s="54">
        <f>IF(ISNUMBER(F4467),E4467*F4467,"")</f>
        <v>15.314949999999998</v>
      </c>
      <c r="H4467" s="73"/>
      <c r="I4467" s="74"/>
      <c r="J4467" s="155">
        <v>0</v>
      </c>
    </row>
    <row r="4468" spans="1:10" hidden="1" x14ac:dyDescent="0.25">
      <c r="A4468" s="173"/>
      <c r="B4468" s="175"/>
      <c r="C4468" s="36" t="s">
        <v>1453</v>
      </c>
      <c r="D4468" s="36" t="s">
        <v>95</v>
      </c>
      <c r="E4468" s="37">
        <v>1</v>
      </c>
      <c r="F4468" s="54">
        <v>0</v>
      </c>
      <c r="G4468" s="54">
        <f>IF(ISNUMBER(F4468),E4468*F4468,"")</f>
        <v>0</v>
      </c>
      <c r="H4468" s="73"/>
      <c r="I4468" s="74"/>
      <c r="J4468" s="155">
        <v>0</v>
      </c>
    </row>
    <row r="4469" spans="1:10" ht="38.25" hidden="1" x14ac:dyDescent="0.25">
      <c r="A4469" s="173"/>
      <c r="B4469" s="175"/>
      <c r="C4469" s="36" t="s">
        <v>1454</v>
      </c>
      <c r="D4469" s="36" t="s">
        <v>997</v>
      </c>
      <c r="E4469" s="37">
        <v>0.02</v>
      </c>
      <c r="F4469" s="54">
        <v>3.4484999999999997</v>
      </c>
      <c r="G4469" s="54">
        <f>IF(ISNUMBER(F4469),E4469*F4469,"")</f>
        <v>6.896999999999999E-2</v>
      </c>
      <c r="H4469" s="73"/>
      <c r="I4469" s="74"/>
      <c r="J4469" s="155">
        <v>0</v>
      </c>
    </row>
    <row r="4470" spans="1:10" hidden="1" x14ac:dyDescent="0.25">
      <c r="A4470" s="173"/>
      <c r="B4470" s="175"/>
      <c r="C4470" s="36" t="s">
        <v>801</v>
      </c>
      <c r="D4470" s="36" t="s">
        <v>953</v>
      </c>
      <c r="E4470" s="37">
        <v>17.36</v>
      </c>
      <c r="F4470" s="54">
        <v>0.47499999999999998</v>
      </c>
      <c r="G4470" s="54">
        <f>IF(ISNUMBER(F4470),E4470*F4470,"")</f>
        <v>8.2459999999999987</v>
      </c>
      <c r="H4470" s="73"/>
      <c r="I4470" s="74"/>
      <c r="J4470" s="155">
        <v>0</v>
      </c>
    </row>
    <row r="4471" spans="1:10" ht="25.5" hidden="1" x14ac:dyDescent="0.25">
      <c r="A4471" s="173"/>
      <c r="B4471" s="175"/>
      <c r="C4471" s="36" t="s">
        <v>810</v>
      </c>
      <c r="D4471" s="36" t="s">
        <v>111</v>
      </c>
      <c r="E4471" s="37">
        <v>0.09</v>
      </c>
      <c r="F4471" s="54">
        <v>135.81200000000001</v>
      </c>
      <c r="G4471" s="54">
        <f>IF(ISNUMBER(F4471),E4471*F4471,"")</f>
        <v>12.223080000000001</v>
      </c>
      <c r="H4471" s="73"/>
      <c r="I4471" s="74"/>
      <c r="J4471" s="155">
        <v>0</v>
      </c>
    </row>
    <row r="4472" spans="1:10" hidden="1" x14ac:dyDescent="0.25">
      <c r="A4472" s="173"/>
      <c r="B4472" s="175"/>
      <c r="C4472" s="36" t="s">
        <v>1455</v>
      </c>
      <c r="D4472" s="36" t="s">
        <v>42</v>
      </c>
      <c r="E4472" s="37">
        <v>0.02</v>
      </c>
      <c r="F4472" s="54">
        <v>17.394499999999997</v>
      </c>
      <c r="G4472" s="54">
        <f>IF(ISNUMBER(F4472),E4472*F4472,"")</f>
        <v>0.34788999999999998</v>
      </c>
      <c r="H4472" s="73"/>
      <c r="I4472" s="74"/>
      <c r="J4472" s="155">
        <v>0</v>
      </c>
    </row>
    <row r="4473" spans="1:10" hidden="1" x14ac:dyDescent="0.25">
      <c r="A4473" s="173"/>
      <c r="B4473" s="175"/>
      <c r="C4473" s="36" t="s">
        <v>764</v>
      </c>
      <c r="D4473" s="36" t="s">
        <v>12</v>
      </c>
      <c r="E4473" s="37">
        <v>0.3</v>
      </c>
      <c r="F4473" s="54">
        <v>22.087499999999999</v>
      </c>
      <c r="G4473" s="54">
        <f>IF(ISNUMBER(F4473),E4473*F4473,"")</f>
        <v>6.6262499999999998</v>
      </c>
      <c r="H4473" s="73"/>
      <c r="I4473" s="74"/>
      <c r="J4473" s="155">
        <v>0</v>
      </c>
    </row>
    <row r="4474" spans="1:10" hidden="1" x14ac:dyDescent="0.25">
      <c r="A4474" s="173"/>
      <c r="B4474" s="175"/>
      <c r="C4474" s="36" t="s">
        <v>756</v>
      </c>
      <c r="D4474" s="36" t="s">
        <v>755</v>
      </c>
      <c r="E4474" s="37">
        <v>1.1000000000000001</v>
      </c>
      <c r="F4474" s="54">
        <v>16.311500000000002</v>
      </c>
      <c r="G4474" s="54">
        <f>IF(ISNUMBER(F4474),E4474*F4474,"")</f>
        <v>17.942650000000004</v>
      </c>
      <c r="H4474" s="73"/>
      <c r="I4474" s="74"/>
      <c r="J4474" s="155">
        <v>0</v>
      </c>
    </row>
    <row r="4475" spans="1:10" ht="51" hidden="1" x14ac:dyDescent="0.25">
      <c r="A4475" s="173"/>
      <c r="B4475" s="175"/>
      <c r="C4475" s="36" t="s">
        <v>3611</v>
      </c>
      <c r="D4475" s="36" t="s">
        <v>111</v>
      </c>
      <c r="E4475" s="37">
        <f>1*(E4464+E4471)</f>
        <v>0.13</v>
      </c>
      <c r="F4475" s="34">
        <v>5.5686425499999999</v>
      </c>
      <c r="G4475" s="34">
        <f>IF(ISNUMBER(F4475),E4475*F4475,"")</f>
        <v>0.72392353149999999</v>
      </c>
      <c r="H4475" s="35"/>
      <c r="I4475" s="31"/>
      <c r="J4475" s="155">
        <v>0</v>
      </c>
    </row>
    <row r="4476" spans="1:10" ht="38.25" hidden="1" x14ac:dyDescent="0.25">
      <c r="A4476" s="173"/>
      <c r="B4476" s="175"/>
      <c r="C4476" s="36" t="s">
        <v>124</v>
      </c>
      <c r="D4476" s="36" t="s">
        <v>125</v>
      </c>
      <c r="E4476" s="37">
        <f>(E4464+E4471)*20</f>
        <v>2.6</v>
      </c>
      <c r="F4476" s="54">
        <v>1.8443850999999998</v>
      </c>
      <c r="G4476" s="54">
        <f>IF(ISNUMBER(F4476),E4476*F4476,"")</f>
        <v>4.7954012599999993</v>
      </c>
      <c r="H4476" s="73"/>
      <c r="I4476" s="74"/>
      <c r="J4476" s="155">
        <v>0</v>
      </c>
    </row>
    <row r="4477" spans="1:10" hidden="1" x14ac:dyDescent="0.25">
      <c r="A4477" s="173"/>
      <c r="B4477" s="175"/>
      <c r="C4477" s="36"/>
      <c r="D4477" s="36"/>
      <c r="E4477" s="37"/>
      <c r="F4477" s="54" t="s">
        <v>568</v>
      </c>
      <c r="G4477" s="54" t="str">
        <f>IF(ISNUMBER(F4477),E4477*F4477,"")</f>
        <v/>
      </c>
      <c r="H4477" s="73"/>
      <c r="I4477" s="74"/>
      <c r="J4477" s="155">
        <v>0</v>
      </c>
    </row>
    <row r="4478" spans="1:10" ht="25.5" hidden="1" x14ac:dyDescent="0.25">
      <c r="A4478" s="173"/>
      <c r="B4478" s="175"/>
      <c r="C4478" s="48" t="s">
        <v>1356</v>
      </c>
      <c r="D4478" s="36"/>
      <c r="E4478" s="37"/>
      <c r="F4478" s="54" t="s">
        <v>568</v>
      </c>
      <c r="G4478" s="54" t="str">
        <f>IF(ISNUMBER(F4478),E4478*F4478,"")</f>
        <v/>
      </c>
      <c r="H4478" s="73"/>
      <c r="I4478" s="74"/>
      <c r="J4478" s="155">
        <v>0</v>
      </c>
    </row>
    <row r="4479" spans="1:10" ht="15.75" hidden="1" thickBot="1" x14ac:dyDescent="0.3">
      <c r="A4479" s="185"/>
      <c r="B4479" s="178"/>
      <c r="C4479" s="55"/>
      <c r="D4479" s="55"/>
      <c r="E4479" s="66"/>
      <c r="F4479" s="76" t="s">
        <v>568</v>
      </c>
      <c r="G4479" s="76" t="str">
        <f>IF(ISNUMBER(F4479),E4479*F4479,"")</f>
        <v/>
      </c>
      <c r="H4479" s="77"/>
      <c r="I4479" s="74"/>
      <c r="J4479" s="155">
        <v>0</v>
      </c>
    </row>
    <row r="4480" spans="1:10" ht="15.75" hidden="1" thickBot="1" x14ac:dyDescent="0.3">
      <c r="A4480" s="172" t="s">
        <v>1456</v>
      </c>
      <c r="B4480" s="174" t="str">
        <f>INDEX(Orçamentária!A:B,MATCH(Composições!A4480,Orçamentária!A:A,0),2)</f>
        <v>Armação em tela de aço soldado nervurada</v>
      </c>
      <c r="C4480" s="41"/>
      <c r="D4480" s="26" t="str">
        <f>TRIM(INDEX(Orçamentária!C:C,MATCH(Composições!A4480,Orçamentária!A:A,0),1))</f>
        <v>m2</v>
      </c>
      <c r="E4480" s="27"/>
      <c r="F4480" s="49" t="s">
        <v>568</v>
      </c>
      <c r="G4480" s="28" t="str">
        <f>IF(ISNUMBER(F4480),E4480*F4480,"")</f>
        <v/>
      </c>
      <c r="H4480" s="29"/>
      <c r="I4480" s="30"/>
      <c r="J4480" s="155">
        <v>0</v>
      </c>
    </row>
    <row r="4481" spans="1:10" hidden="1" x14ac:dyDescent="0.25">
      <c r="A4481" s="173"/>
      <c r="B4481" s="175"/>
      <c r="C4481" s="32"/>
      <c r="D4481" s="32"/>
      <c r="E4481" s="33"/>
      <c r="F4481" s="54" t="s">
        <v>568</v>
      </c>
      <c r="G4481" s="54" t="str">
        <f>IF(ISNUMBER(F4481),E4481*F4481,"")</f>
        <v/>
      </c>
      <c r="H4481" s="73"/>
      <c r="I4481" s="74"/>
      <c r="J4481" s="155">
        <v>0</v>
      </c>
    </row>
    <row r="4482" spans="1:10" ht="38.25" hidden="1" x14ac:dyDescent="0.25">
      <c r="A4482" s="173"/>
      <c r="B4482" s="175"/>
      <c r="C4482" s="36" t="s">
        <v>1457</v>
      </c>
      <c r="D4482" s="36" t="s">
        <v>1049</v>
      </c>
      <c r="E4482" s="37">
        <f>ROUND(0.712*1.48,4)</f>
        <v>1.0538000000000001</v>
      </c>
      <c r="F4482" s="54">
        <v>19.247</v>
      </c>
      <c r="G4482" s="54">
        <f>IF(ISNUMBER(F4482),E4482*F4482,"")</f>
        <v>20.282488600000001</v>
      </c>
      <c r="H4482" s="39">
        <f>SUM(G4482:G4486)</f>
        <v>22.344140599999999</v>
      </c>
      <c r="I4482" s="40"/>
      <c r="J4482" s="155">
        <v>0</v>
      </c>
    </row>
    <row r="4483" spans="1:10" ht="38.25" hidden="1" x14ac:dyDescent="0.25">
      <c r="A4483" s="173"/>
      <c r="B4483" s="175"/>
      <c r="C4483" s="36" t="s">
        <v>954</v>
      </c>
      <c r="D4483" s="36" t="s">
        <v>297</v>
      </c>
      <c r="E4483" s="37">
        <f>ROUND(1.382*1.48,4)</f>
        <v>2.0453999999999999</v>
      </c>
      <c r="F4483" s="54">
        <v>0.17099999999999999</v>
      </c>
      <c r="G4483" s="54">
        <f>IF(ISNUMBER(F4483),E4483*F4483,"")</f>
        <v>0.34976339999999995</v>
      </c>
      <c r="H4483" s="73"/>
      <c r="I4483" s="74"/>
      <c r="J4483" s="155">
        <v>0</v>
      </c>
    </row>
    <row r="4484" spans="1:10" ht="25.5" hidden="1" x14ac:dyDescent="0.25">
      <c r="A4484" s="173"/>
      <c r="B4484" s="175"/>
      <c r="C4484" s="36" t="s">
        <v>3599</v>
      </c>
      <c r="D4484" s="36" t="s">
        <v>953</v>
      </c>
      <c r="E4484" s="37">
        <f>ROUND(0.0105*1.48,4)</f>
        <v>1.55E-2</v>
      </c>
      <c r="F4484" s="54">
        <v>18.838499999999996</v>
      </c>
      <c r="G4484" s="54">
        <f>IF(ISNUMBER(F4484),E4484*F4484,"")</f>
        <v>0.29199674999999992</v>
      </c>
      <c r="H4484" s="73"/>
      <c r="I4484" s="74"/>
      <c r="J4484" s="155">
        <v>0</v>
      </c>
    </row>
    <row r="4485" spans="1:10" hidden="1" x14ac:dyDescent="0.25">
      <c r="A4485" s="173"/>
      <c r="B4485" s="175"/>
      <c r="C4485" s="36" t="s">
        <v>955</v>
      </c>
      <c r="D4485" s="36" t="s">
        <v>755</v>
      </c>
      <c r="E4485" s="37">
        <f>ROUND(0.006*1.48,4)</f>
        <v>8.8999999999999999E-3</v>
      </c>
      <c r="F4485" s="54">
        <v>17.081</v>
      </c>
      <c r="G4485" s="54">
        <f>IF(ISNUMBER(F4485),E4485*F4485,"")</f>
        <v>0.15202089999999999</v>
      </c>
      <c r="H4485" s="73"/>
      <c r="I4485" s="74"/>
      <c r="J4485" s="155">
        <v>0</v>
      </c>
    </row>
    <row r="4486" spans="1:10" hidden="1" x14ac:dyDescent="0.25">
      <c r="A4486" s="173"/>
      <c r="B4486" s="175"/>
      <c r="C4486" s="36" t="s">
        <v>956</v>
      </c>
      <c r="D4486" s="36" t="s">
        <v>755</v>
      </c>
      <c r="E4486" s="37">
        <f>ROUND(0.039*1.48,4)</f>
        <v>5.7700000000000001E-2</v>
      </c>
      <c r="F4486" s="54">
        <v>21.973499999999998</v>
      </c>
      <c r="G4486" s="54">
        <f>IF(ISNUMBER(F4486),E4486*F4486,"")</f>
        <v>1.2678709499999998</v>
      </c>
      <c r="H4486" s="73"/>
      <c r="I4486" s="74"/>
      <c r="J4486" s="155">
        <v>0</v>
      </c>
    </row>
    <row r="4487" spans="1:10" hidden="1" x14ac:dyDescent="0.25">
      <c r="A4487" s="173"/>
      <c r="B4487" s="175"/>
      <c r="C4487" s="36"/>
      <c r="D4487" s="36"/>
      <c r="E4487" s="37"/>
      <c r="F4487" s="54" t="s">
        <v>568</v>
      </c>
      <c r="G4487" s="54" t="str">
        <f>IF(ISNUMBER(F4487),E4487*F4487,"")</f>
        <v/>
      </c>
      <c r="H4487" s="73"/>
      <c r="I4487" s="74"/>
      <c r="J4487" s="155">
        <v>0</v>
      </c>
    </row>
    <row r="4488" spans="1:10" ht="15.75" hidden="1" thickBot="1" x14ac:dyDescent="0.3">
      <c r="A4488" s="172" t="s">
        <v>1458</v>
      </c>
      <c r="B4488" s="174" t="str">
        <f>INDEX(Orçamentária!A:B,MATCH(Composições!A4488,Orçamentária!A:A,0),2)</f>
        <v>Trama de aço composta por terças para telhados de até 2 águas</v>
      </c>
      <c r="C4488" s="41"/>
      <c r="D4488" s="26" t="str">
        <f>TRIM(INDEX(Orçamentária!C:C,MATCH(Composições!A4488,Orçamentária!A:A,0),1))</f>
        <v>m2</v>
      </c>
      <c r="E4488" s="27"/>
      <c r="F4488" s="49" t="s">
        <v>568</v>
      </c>
      <c r="G4488" s="28" t="str">
        <f>IF(ISNUMBER(F4488),E4488*F4488,"")</f>
        <v/>
      </c>
      <c r="H4488" s="29"/>
      <c r="I4488" s="30"/>
      <c r="J4488" s="155">
        <v>0</v>
      </c>
    </row>
    <row r="4489" spans="1:10" hidden="1" x14ac:dyDescent="0.25">
      <c r="A4489" s="173"/>
      <c r="B4489" s="175"/>
      <c r="C4489" s="32"/>
      <c r="D4489" s="32"/>
      <c r="E4489" s="33"/>
      <c r="F4489" s="54" t="s">
        <v>568</v>
      </c>
      <c r="G4489" s="54" t="str">
        <f>IF(ISNUMBER(F4489),E4489*F4489,"")</f>
        <v/>
      </c>
      <c r="H4489" s="73"/>
      <c r="I4489" s="74"/>
      <c r="J4489" s="155">
        <v>0</v>
      </c>
    </row>
    <row r="4490" spans="1:10" ht="25.5" hidden="1" x14ac:dyDescent="0.25">
      <c r="A4490" s="173"/>
      <c r="B4490" s="175"/>
      <c r="C4490" s="36" t="s">
        <v>1459</v>
      </c>
      <c r="D4490" s="47" t="s">
        <v>1320</v>
      </c>
      <c r="E4490" s="37">
        <v>7.0000000000000001E-3</v>
      </c>
      <c r="F4490" s="54">
        <v>90.344999999999985</v>
      </c>
      <c r="G4490" s="54">
        <f>IF(ISNUMBER(F4490),E4490*F4490,"")</f>
        <v>0.63241499999999995</v>
      </c>
      <c r="H4490" s="39">
        <f>SUM(G4490:G4495)</f>
        <v>44.687327400000001</v>
      </c>
      <c r="I4490" s="40"/>
      <c r="J4490" s="155">
        <v>0</v>
      </c>
    </row>
    <row r="4491" spans="1:10" ht="25.5" hidden="1" x14ac:dyDescent="0.25">
      <c r="A4491" s="173"/>
      <c r="B4491" s="175"/>
      <c r="C4491" s="36" t="s">
        <v>1460</v>
      </c>
      <c r="D4491" s="36" t="s">
        <v>953</v>
      </c>
      <c r="E4491" s="37">
        <v>4.3330000000000002</v>
      </c>
      <c r="F4491" s="54">
        <v>8.8729999999999993</v>
      </c>
      <c r="G4491" s="54">
        <f>IF(ISNUMBER(F4491),E4491*F4491,"")</f>
        <v>38.446708999999998</v>
      </c>
      <c r="H4491" s="73"/>
      <c r="I4491" s="74"/>
      <c r="J4491" s="155">
        <v>0</v>
      </c>
    </row>
    <row r="4492" spans="1:10" ht="25.5" hidden="1" x14ac:dyDescent="0.25">
      <c r="A4492" s="173"/>
      <c r="B4492" s="175"/>
      <c r="C4492" s="36" t="s">
        <v>1042</v>
      </c>
      <c r="D4492" s="36" t="s">
        <v>755</v>
      </c>
      <c r="E4492" s="37">
        <v>0.21299999999999999</v>
      </c>
      <c r="F4492" s="54">
        <v>16.852999999999998</v>
      </c>
      <c r="G4492" s="54">
        <f>IF(ISNUMBER(F4492),E4492*F4492,"")</f>
        <v>3.5896889999999995</v>
      </c>
      <c r="H4492" s="73"/>
      <c r="I4492" s="74"/>
      <c r="J4492" s="155">
        <v>0</v>
      </c>
    </row>
    <row r="4493" spans="1:10" hidden="1" x14ac:dyDescent="0.25">
      <c r="A4493" s="173"/>
      <c r="B4493" s="175"/>
      <c r="C4493" s="36" t="s">
        <v>756</v>
      </c>
      <c r="D4493" s="36" t="s">
        <v>755</v>
      </c>
      <c r="E4493" s="37">
        <v>0.106</v>
      </c>
      <c r="F4493" s="54">
        <v>16.311500000000002</v>
      </c>
      <c r="G4493" s="54">
        <f>IF(ISNUMBER(F4493),E4493*F4493,"")</f>
        <v>1.7290190000000003</v>
      </c>
      <c r="H4493" s="73"/>
      <c r="I4493" s="74"/>
      <c r="J4493" s="155">
        <v>0</v>
      </c>
    </row>
    <row r="4494" spans="1:10" ht="25.5" hidden="1" x14ac:dyDescent="0.25">
      <c r="A4494" s="173"/>
      <c r="B4494" s="175"/>
      <c r="C4494" s="36" t="s">
        <v>1388</v>
      </c>
      <c r="D4494" s="36" t="s">
        <v>997</v>
      </c>
      <c r="E4494" s="37">
        <v>6.7999999999999996E-3</v>
      </c>
      <c r="F4494" s="54">
        <v>18.277999999999999</v>
      </c>
      <c r="G4494" s="54">
        <f>IF(ISNUMBER(F4494),E4494*F4494,"")</f>
        <v>0.12429039999999998</v>
      </c>
      <c r="H4494" s="73"/>
      <c r="I4494" s="74"/>
      <c r="J4494" s="155">
        <v>0</v>
      </c>
    </row>
    <row r="4495" spans="1:10" ht="25.5" hidden="1" x14ac:dyDescent="0.25">
      <c r="A4495" s="173"/>
      <c r="B4495" s="175"/>
      <c r="C4495" s="36" t="s">
        <v>1389</v>
      </c>
      <c r="D4495" s="36" t="s">
        <v>999</v>
      </c>
      <c r="E4495" s="37">
        <v>9.4000000000000004E-3</v>
      </c>
      <c r="F4495" s="54">
        <v>17.574999999999999</v>
      </c>
      <c r="G4495" s="54">
        <f>IF(ISNUMBER(F4495),E4495*F4495,"")</f>
        <v>0.16520499999999999</v>
      </c>
      <c r="H4495" s="73"/>
      <c r="I4495" s="74"/>
      <c r="J4495" s="155">
        <v>0</v>
      </c>
    </row>
    <row r="4496" spans="1:10" ht="15.75" hidden="1" thickBot="1" x14ac:dyDescent="0.3">
      <c r="A4496" s="185"/>
      <c r="B4496" s="178"/>
      <c r="C4496" s="55"/>
      <c r="D4496" s="55"/>
      <c r="E4496" s="66"/>
      <c r="F4496" s="76" t="s">
        <v>568</v>
      </c>
      <c r="G4496" s="76" t="str">
        <f>IF(ISNUMBER(F4496),E4496*F4496,"")</f>
        <v/>
      </c>
      <c r="H4496" s="77"/>
      <c r="I4496" s="74"/>
      <c r="J4496" s="155">
        <v>0</v>
      </c>
    </row>
    <row r="4497" spans="1:10" ht="15.75" hidden="1" thickBot="1" x14ac:dyDescent="0.3">
      <c r="A4497" s="172" t="s">
        <v>1461</v>
      </c>
      <c r="B4497" s="174" t="str">
        <f>INDEX(Orçamentária!A:B,MATCH(Composições!A4497,Orçamentária!A:A,0),2)</f>
        <v>Revestimento impermeabilizante bloqueador de umidade</v>
      </c>
      <c r="C4497" s="41"/>
      <c r="D4497" s="26" t="str">
        <f>TRIM(INDEX(Orçamentária!C:C,MATCH(Composições!A4497,Orçamentária!A:A,0),1))</f>
        <v>m2</v>
      </c>
      <c r="E4497" s="27"/>
      <c r="F4497" s="49" t="s">
        <v>568</v>
      </c>
      <c r="G4497" s="28" t="str">
        <f>IF(ISNUMBER(F4497),E4497*F4497,"")</f>
        <v/>
      </c>
      <c r="H4497" s="29"/>
      <c r="I4497" s="30"/>
      <c r="J4497" s="155">
        <v>0</v>
      </c>
    </row>
    <row r="4498" spans="1:10" hidden="1" x14ac:dyDescent="0.25">
      <c r="A4498" s="173"/>
      <c r="B4498" s="175"/>
      <c r="C4498" s="32"/>
      <c r="D4498" s="32"/>
      <c r="E4498" s="33"/>
      <c r="F4498" s="54" t="s">
        <v>568</v>
      </c>
      <c r="G4498" s="54" t="str">
        <f>IF(ISNUMBER(F4498),E4498*F4498,"")</f>
        <v/>
      </c>
      <c r="H4498" s="73"/>
      <c r="I4498" s="74"/>
      <c r="J4498" s="155">
        <v>0</v>
      </c>
    </row>
    <row r="4499" spans="1:10" hidden="1" x14ac:dyDescent="0.25">
      <c r="A4499" s="173"/>
      <c r="B4499" s="175"/>
      <c r="C4499" s="36" t="s">
        <v>1106</v>
      </c>
      <c r="D4499" s="36" t="s">
        <v>755</v>
      </c>
      <c r="E4499" s="37">
        <v>0.1</v>
      </c>
      <c r="F4499" s="54">
        <v>18.515499999999999</v>
      </c>
      <c r="G4499" s="54">
        <f>IF(ISNUMBER(F4499),E4499*F4499,"")</f>
        <v>1.85155</v>
      </c>
      <c r="H4499" s="39">
        <f>SUM(G4499:G4501)</f>
        <v>6.4571500000000004</v>
      </c>
      <c r="I4499" s="40"/>
      <c r="J4499" s="155">
        <v>0</v>
      </c>
    </row>
    <row r="4500" spans="1:10" hidden="1" x14ac:dyDescent="0.25">
      <c r="A4500" s="173"/>
      <c r="B4500" s="175"/>
      <c r="C4500" s="36" t="s">
        <v>1152</v>
      </c>
      <c r="D4500" s="36" t="s">
        <v>755</v>
      </c>
      <c r="E4500" s="37">
        <v>0.2</v>
      </c>
      <c r="F4500" s="54">
        <v>23.027999999999999</v>
      </c>
      <c r="G4500" s="54">
        <f>IF(ISNUMBER(F4500),E4500*F4500,"")</f>
        <v>4.6055999999999999</v>
      </c>
      <c r="H4500" s="73"/>
      <c r="I4500" s="74"/>
      <c r="J4500" s="155">
        <v>0</v>
      </c>
    </row>
    <row r="4501" spans="1:10" hidden="1" x14ac:dyDescent="0.25">
      <c r="A4501" s="173"/>
      <c r="B4501" s="175"/>
      <c r="C4501" s="36" t="s">
        <v>3622</v>
      </c>
      <c r="D4501" s="36" t="s">
        <v>104</v>
      </c>
      <c r="E4501" s="37">
        <f>2*3.6/75</f>
        <v>9.6000000000000002E-2</v>
      </c>
      <c r="F4501" s="54" t="s">
        <v>568</v>
      </c>
      <c r="G4501" s="54" t="str">
        <f>IF(ISNUMBER(F4501),E4501*F4501,"")</f>
        <v/>
      </c>
      <c r="H4501" s="73"/>
      <c r="I4501" s="74"/>
      <c r="J4501" s="155">
        <v>0</v>
      </c>
    </row>
    <row r="4502" spans="1:10" hidden="1" x14ac:dyDescent="0.25">
      <c r="A4502" s="173"/>
      <c r="B4502" s="175"/>
      <c r="C4502" s="36"/>
      <c r="D4502" s="36"/>
      <c r="E4502" s="37"/>
      <c r="F4502" s="54" t="s">
        <v>568</v>
      </c>
      <c r="G4502" s="54" t="str">
        <f>IF(ISNUMBER(F4502),E4502*F4502,"")</f>
        <v/>
      </c>
      <c r="H4502" s="73"/>
      <c r="I4502" s="74"/>
      <c r="J4502" s="155">
        <v>0</v>
      </c>
    </row>
    <row r="4503" spans="1:10" ht="38.25" hidden="1" x14ac:dyDescent="0.25">
      <c r="A4503" s="173"/>
      <c r="B4503" s="175"/>
      <c r="C4503" s="48" t="s">
        <v>1462</v>
      </c>
      <c r="D4503" s="36"/>
      <c r="E4503" s="37"/>
      <c r="F4503" s="54" t="s">
        <v>568</v>
      </c>
      <c r="G4503" s="54" t="str">
        <f>IF(ISNUMBER(F4503),E4503*F4503,"")</f>
        <v/>
      </c>
      <c r="H4503" s="73"/>
      <c r="I4503" s="74"/>
      <c r="J4503" s="155">
        <v>0</v>
      </c>
    </row>
    <row r="4504" spans="1:10" hidden="1" x14ac:dyDescent="0.25">
      <c r="A4504" s="173"/>
      <c r="B4504" s="175"/>
      <c r="C4504" s="36"/>
      <c r="D4504" s="36"/>
      <c r="E4504" s="37"/>
      <c r="F4504" s="54" t="s">
        <v>568</v>
      </c>
      <c r="G4504" s="54" t="str">
        <f>IF(ISNUMBER(F4504),E4504*F4504,"")</f>
        <v/>
      </c>
      <c r="H4504" s="73"/>
      <c r="I4504" s="74"/>
      <c r="J4504" s="155">
        <v>0</v>
      </c>
    </row>
    <row r="4505" spans="1:10" ht="15.75" hidden="1" thickBot="1" x14ac:dyDescent="0.3">
      <c r="A4505" s="172" t="s">
        <v>1463</v>
      </c>
      <c r="B4505" s="174" t="str">
        <f>INDEX(Orçamentária!A:B,MATCH(Composições!A4505,Orçamentária!A:A,0),2)</f>
        <v>Pintura com tinta refletiva aluminizada para impermeabilização</v>
      </c>
      <c r="C4505" s="41"/>
      <c r="D4505" s="26" t="str">
        <f>TRIM(INDEX(Orçamentária!C:C,MATCH(Composições!A4505,Orçamentária!A:A,0),1))</f>
        <v>m2</v>
      </c>
      <c r="E4505" s="27"/>
      <c r="F4505" s="49" t="s">
        <v>568</v>
      </c>
      <c r="G4505" s="28" t="str">
        <f>IF(ISNUMBER(F4505),E4505*F4505,"")</f>
        <v/>
      </c>
      <c r="H4505" s="29"/>
      <c r="I4505" s="30"/>
      <c r="J4505" s="155">
        <v>0</v>
      </c>
    </row>
    <row r="4506" spans="1:10" hidden="1" x14ac:dyDescent="0.25">
      <c r="A4506" s="173"/>
      <c r="B4506" s="175"/>
      <c r="C4506" s="32"/>
      <c r="D4506" s="32"/>
      <c r="E4506" s="33"/>
      <c r="F4506" s="54" t="s">
        <v>568</v>
      </c>
      <c r="G4506" s="54" t="str">
        <f>IF(ISNUMBER(F4506),E4506*F4506,"")</f>
        <v/>
      </c>
      <c r="H4506" s="73"/>
      <c r="I4506" s="74"/>
      <c r="J4506" s="155">
        <v>0</v>
      </c>
    </row>
    <row r="4507" spans="1:10" hidden="1" x14ac:dyDescent="0.25">
      <c r="A4507" s="173"/>
      <c r="B4507" s="175"/>
      <c r="C4507" s="36" t="s">
        <v>1106</v>
      </c>
      <c r="D4507" s="36" t="s">
        <v>755</v>
      </c>
      <c r="E4507" s="37">
        <v>0.1</v>
      </c>
      <c r="F4507" s="54">
        <v>18.515499999999999</v>
      </c>
      <c r="G4507" s="54">
        <f>IF(ISNUMBER(F4507),E4507*F4507,"")</f>
        <v>1.85155</v>
      </c>
      <c r="H4507" s="39">
        <f>SUM(G4507:G4509)</f>
        <v>6.4571500000000004</v>
      </c>
      <c r="I4507" s="40"/>
      <c r="J4507" s="155">
        <v>0</v>
      </c>
    </row>
    <row r="4508" spans="1:10" hidden="1" x14ac:dyDescent="0.25">
      <c r="A4508" s="173"/>
      <c r="B4508" s="175"/>
      <c r="C4508" s="36" t="s">
        <v>1152</v>
      </c>
      <c r="D4508" s="36" t="s">
        <v>755</v>
      </c>
      <c r="E4508" s="37">
        <v>0.2</v>
      </c>
      <c r="F4508" s="54">
        <v>23.027999999999999</v>
      </c>
      <c r="G4508" s="54">
        <f>IF(ISNUMBER(F4508),E4508*F4508,"")</f>
        <v>4.6055999999999999</v>
      </c>
      <c r="H4508" s="73"/>
      <c r="I4508" s="74"/>
      <c r="J4508" s="155">
        <v>0</v>
      </c>
    </row>
    <row r="4509" spans="1:10" hidden="1" x14ac:dyDescent="0.25">
      <c r="A4509" s="173"/>
      <c r="B4509" s="175"/>
      <c r="C4509" s="36" t="s">
        <v>1464</v>
      </c>
      <c r="D4509" s="36" t="s">
        <v>104</v>
      </c>
      <c r="E4509" s="37">
        <v>0.5</v>
      </c>
      <c r="F4509" s="54">
        <v>0</v>
      </c>
      <c r="G4509" s="54">
        <f>IF(ISNUMBER(F4509),E4509*F4509,"")</f>
        <v>0</v>
      </c>
      <c r="H4509" s="73"/>
      <c r="I4509" s="74"/>
      <c r="J4509" s="155">
        <v>0</v>
      </c>
    </row>
    <row r="4510" spans="1:10" hidden="1" x14ac:dyDescent="0.25">
      <c r="A4510" s="173"/>
      <c r="B4510" s="175"/>
      <c r="C4510" s="36"/>
      <c r="D4510" s="36"/>
      <c r="E4510" s="37"/>
      <c r="F4510" s="54" t="s">
        <v>568</v>
      </c>
      <c r="G4510" s="54" t="str">
        <f>IF(ISNUMBER(F4510),E4510*F4510,"")</f>
        <v/>
      </c>
      <c r="H4510" s="73"/>
      <c r="I4510" s="74"/>
      <c r="J4510" s="155">
        <v>0</v>
      </c>
    </row>
    <row r="4511" spans="1:10" ht="15.75" hidden="1" thickBot="1" x14ac:dyDescent="0.3">
      <c r="A4511" s="172" t="s">
        <v>1465</v>
      </c>
      <c r="B4511" s="174" t="str">
        <f>INDEX(Orçamentária!A:B,MATCH(Composições!A4511,Orçamentária!A:A,0),2)</f>
        <v>Concreto leve com poliestireno expandido</v>
      </c>
      <c r="C4511" s="41"/>
      <c r="D4511" s="26" t="str">
        <f>TRIM(INDEX(Orçamentária!C:C,MATCH(Composições!A4511,Orçamentária!A:A,0),1))</f>
        <v>m3</v>
      </c>
      <c r="E4511" s="27"/>
      <c r="F4511" s="49" t="s">
        <v>568</v>
      </c>
      <c r="G4511" s="28" t="str">
        <f>IF(ISNUMBER(F4511),E4511*F4511,"")</f>
        <v/>
      </c>
      <c r="H4511" s="29"/>
      <c r="I4511" s="30"/>
      <c r="J4511" s="155">
        <v>0</v>
      </c>
    </row>
    <row r="4512" spans="1:10" hidden="1" x14ac:dyDescent="0.25">
      <c r="A4512" s="173"/>
      <c r="B4512" s="175"/>
      <c r="C4512" s="32"/>
      <c r="D4512" s="32"/>
      <c r="E4512" s="33"/>
      <c r="F4512" s="54" t="s">
        <v>568</v>
      </c>
      <c r="G4512" s="54" t="str">
        <f>IF(ISNUMBER(F4512),E4512*F4512,"")</f>
        <v/>
      </c>
      <c r="H4512" s="73"/>
      <c r="I4512" s="74"/>
      <c r="J4512" s="155">
        <v>0</v>
      </c>
    </row>
    <row r="4513" spans="1:10" hidden="1" x14ac:dyDescent="0.25">
      <c r="A4513" s="173"/>
      <c r="B4513" s="175"/>
      <c r="C4513" s="36" t="s">
        <v>756</v>
      </c>
      <c r="D4513" s="36" t="s">
        <v>755</v>
      </c>
      <c r="E4513" s="37">
        <v>6.5</v>
      </c>
      <c r="F4513" s="54">
        <v>16.311500000000002</v>
      </c>
      <c r="G4513" s="54">
        <f>IF(ISNUMBER(F4513),E4513*F4513,"")</f>
        <v>106.02475000000001</v>
      </c>
      <c r="H4513" s="39">
        <f>SUM(G4513:G4519)</f>
        <v>876.31320084890001</v>
      </c>
      <c r="I4513" s="40"/>
      <c r="J4513" s="155">
        <v>0</v>
      </c>
    </row>
    <row r="4514" spans="1:10" ht="25.5" hidden="1" x14ac:dyDescent="0.25">
      <c r="A4514" s="173"/>
      <c r="B4514" s="175"/>
      <c r="C4514" s="36" t="s">
        <v>805</v>
      </c>
      <c r="D4514" s="36" t="s">
        <v>111</v>
      </c>
      <c r="E4514" s="37">
        <v>0.35799999999999998</v>
      </c>
      <c r="F4514" s="54">
        <v>90.25</v>
      </c>
      <c r="G4514" s="54">
        <f>IF(ISNUMBER(F4514),E4514*F4514,"")</f>
        <v>32.3095</v>
      </c>
      <c r="H4514" s="73"/>
      <c r="I4514" s="74"/>
      <c r="J4514" s="155">
        <v>0</v>
      </c>
    </row>
    <row r="4515" spans="1:10" hidden="1" x14ac:dyDescent="0.25">
      <c r="A4515" s="173"/>
      <c r="B4515" s="175"/>
      <c r="C4515" s="36" t="s">
        <v>801</v>
      </c>
      <c r="D4515" s="36" t="s">
        <v>953</v>
      </c>
      <c r="E4515" s="37">
        <v>400</v>
      </c>
      <c r="F4515" s="54">
        <v>0.47499999999999998</v>
      </c>
      <c r="G4515" s="54">
        <f>IF(ISNUMBER(F4515),E4515*F4515,"")</f>
        <v>190</v>
      </c>
      <c r="H4515" s="73"/>
      <c r="I4515" s="74"/>
      <c r="J4515" s="155">
        <v>0</v>
      </c>
    </row>
    <row r="4516" spans="1:10" ht="25.5" hidden="1" x14ac:dyDescent="0.25">
      <c r="A4516" s="173"/>
      <c r="B4516" s="175"/>
      <c r="C4516" s="36" t="s">
        <v>1466</v>
      </c>
      <c r="D4516" s="36" t="s">
        <v>42</v>
      </c>
      <c r="E4516" s="37">
        <v>10.5</v>
      </c>
      <c r="F4516" s="54">
        <v>50.701499999999996</v>
      </c>
      <c r="G4516" s="54">
        <f>IF(ISNUMBER(F4516),E4516*F4516,"")</f>
        <v>532.36574999999993</v>
      </c>
      <c r="H4516" s="73"/>
      <c r="I4516" s="74"/>
      <c r="J4516" s="155">
        <v>0</v>
      </c>
    </row>
    <row r="4517" spans="1:10" ht="38.25" hidden="1" x14ac:dyDescent="0.25">
      <c r="A4517" s="173"/>
      <c r="B4517" s="175"/>
      <c r="C4517" s="36" t="s">
        <v>120</v>
      </c>
      <c r="D4517" s="36" t="s">
        <v>997</v>
      </c>
      <c r="E4517" s="37">
        <v>0.34300000000000003</v>
      </c>
      <c r="F4517" s="54">
        <v>1.2064999999999999</v>
      </c>
      <c r="G4517" s="54">
        <f>IF(ISNUMBER(F4517),E4517*F4517,"")</f>
        <v>0.41382950000000002</v>
      </c>
      <c r="H4517" s="73"/>
      <c r="I4517" s="74"/>
      <c r="J4517" s="155">
        <v>0</v>
      </c>
    </row>
    <row r="4518" spans="1:10" ht="51" hidden="1" x14ac:dyDescent="0.25">
      <c r="A4518" s="173"/>
      <c r="B4518" s="175"/>
      <c r="C4518" s="36" t="s">
        <v>3611</v>
      </c>
      <c r="D4518" s="36" t="s">
        <v>111</v>
      </c>
      <c r="E4518" s="37">
        <f>1*E4514</f>
        <v>0.35799999999999998</v>
      </c>
      <c r="F4518" s="34">
        <v>5.5686425499999999</v>
      </c>
      <c r="G4518" s="34">
        <f>IF(ISNUMBER(F4518),E4518*F4518,"")</f>
        <v>1.9935740328999998</v>
      </c>
      <c r="H4518" s="35"/>
      <c r="I4518" s="31"/>
      <c r="J4518" s="155">
        <v>0</v>
      </c>
    </row>
    <row r="4519" spans="1:10" ht="38.25" hidden="1" x14ac:dyDescent="0.25">
      <c r="A4519" s="173"/>
      <c r="B4519" s="175"/>
      <c r="C4519" s="36" t="s">
        <v>124</v>
      </c>
      <c r="D4519" s="36" t="s">
        <v>125</v>
      </c>
      <c r="E4519" s="37">
        <f>E4514*20</f>
        <v>7.16</v>
      </c>
      <c r="F4519" s="54">
        <v>1.8443850999999998</v>
      </c>
      <c r="G4519" s="54">
        <f>IF(ISNUMBER(F4519),E4519*F4519,"")</f>
        <v>13.205797315999998</v>
      </c>
      <c r="H4519" s="73"/>
      <c r="I4519" s="74"/>
      <c r="J4519" s="155">
        <v>0</v>
      </c>
    </row>
    <row r="4520" spans="1:10" hidden="1" x14ac:dyDescent="0.25">
      <c r="A4520" s="173"/>
      <c r="B4520" s="175"/>
      <c r="C4520" s="36"/>
      <c r="D4520" s="36"/>
      <c r="E4520" s="37"/>
      <c r="F4520" s="54" t="s">
        <v>568</v>
      </c>
      <c r="G4520" s="54" t="str">
        <f>IF(ISNUMBER(F4520),E4520*F4520,"")</f>
        <v/>
      </c>
      <c r="H4520" s="73"/>
      <c r="I4520" s="74"/>
      <c r="J4520" s="155">
        <v>0</v>
      </c>
    </row>
    <row r="4521" spans="1:10" hidden="1" x14ac:dyDescent="0.25">
      <c r="A4521" s="173"/>
      <c r="B4521" s="175"/>
      <c r="C4521" s="48" t="s">
        <v>1467</v>
      </c>
      <c r="D4521" s="36"/>
      <c r="E4521" s="37"/>
      <c r="F4521" s="54" t="s">
        <v>568</v>
      </c>
      <c r="G4521" s="54" t="str">
        <f>IF(ISNUMBER(F4521),E4521*F4521,"")</f>
        <v/>
      </c>
      <c r="H4521" s="73"/>
      <c r="I4521" s="74"/>
      <c r="J4521" s="155">
        <v>0</v>
      </c>
    </row>
    <row r="4522" spans="1:10" hidden="1" x14ac:dyDescent="0.25">
      <c r="A4522" s="173"/>
      <c r="B4522" s="175"/>
      <c r="C4522" s="36"/>
      <c r="D4522" s="36"/>
      <c r="E4522" s="37"/>
      <c r="F4522" s="54" t="s">
        <v>568</v>
      </c>
      <c r="G4522" s="54" t="str">
        <f>IF(ISNUMBER(F4522),E4522*F4522,"")</f>
        <v/>
      </c>
      <c r="H4522" s="73"/>
      <c r="I4522" s="74"/>
      <c r="J4522" s="155">
        <v>0</v>
      </c>
    </row>
    <row r="4523" spans="1:10" ht="15.75" hidden="1" thickBot="1" x14ac:dyDescent="0.3">
      <c r="A4523" s="172" t="s">
        <v>1468</v>
      </c>
      <c r="B4523" s="174" t="str">
        <f>INDEX(Orçamentária!A:B,MATCH(Composições!A4523,Orçamentária!A:A,0),2)</f>
        <v>Colagem da camada de proteção térmica de impermeabilização</v>
      </c>
      <c r="C4523" s="41"/>
      <c r="D4523" s="26" t="str">
        <f>TRIM(INDEX(Orçamentária!C:C,MATCH(Composições!A4523,Orçamentária!A:A,0),1))</f>
        <v>m2</v>
      </c>
      <c r="E4523" s="27"/>
      <c r="F4523" s="49" t="s">
        <v>568</v>
      </c>
      <c r="G4523" s="28" t="str">
        <f>IF(ISNUMBER(F4523),E4523*F4523,"")</f>
        <v/>
      </c>
      <c r="H4523" s="29"/>
      <c r="I4523" s="30"/>
      <c r="J4523" s="155">
        <v>0</v>
      </c>
    </row>
    <row r="4524" spans="1:10" hidden="1" x14ac:dyDescent="0.25">
      <c r="A4524" s="173"/>
      <c r="B4524" s="175"/>
      <c r="C4524" s="32"/>
      <c r="D4524" s="32"/>
      <c r="E4524" s="33"/>
      <c r="F4524" s="54" t="s">
        <v>568</v>
      </c>
      <c r="G4524" s="54" t="str">
        <f>IF(ISNUMBER(F4524),E4524*F4524,"")</f>
        <v/>
      </c>
      <c r="H4524" s="73"/>
      <c r="I4524" s="74"/>
      <c r="J4524" s="155">
        <v>0</v>
      </c>
    </row>
    <row r="4525" spans="1:10" ht="25.5" hidden="1" x14ac:dyDescent="0.25">
      <c r="A4525" s="173"/>
      <c r="B4525" s="175"/>
      <c r="C4525" s="36" t="s">
        <v>1469</v>
      </c>
      <c r="D4525" s="36" t="s">
        <v>104</v>
      </c>
      <c r="E4525" s="37">
        <v>0.35</v>
      </c>
      <c r="F4525" s="54">
        <v>13.8985</v>
      </c>
      <c r="G4525" s="54">
        <f>IF(ISNUMBER(F4525),E4525*F4525,"")</f>
        <v>4.8644749999999997</v>
      </c>
      <c r="H4525" s="39">
        <f>SUM(G4525:G4526)</f>
        <v>6.5109674999999996</v>
      </c>
      <c r="I4525" s="40"/>
      <c r="J4525" s="155">
        <v>0</v>
      </c>
    </row>
    <row r="4526" spans="1:10" hidden="1" x14ac:dyDescent="0.25">
      <c r="A4526" s="173"/>
      <c r="B4526" s="175"/>
      <c r="C4526" s="36" t="s">
        <v>1470</v>
      </c>
      <c r="D4526" s="36" t="s">
        <v>755</v>
      </c>
      <c r="E4526" s="37">
        <v>8.5000000000000006E-2</v>
      </c>
      <c r="F4526" s="54">
        <v>19.3705</v>
      </c>
      <c r="G4526" s="54">
        <f>IF(ISNUMBER(F4526),E4526*F4526,"")</f>
        <v>1.6464925000000001</v>
      </c>
      <c r="H4526" s="73"/>
      <c r="I4526" s="74"/>
      <c r="J4526" s="155">
        <v>0</v>
      </c>
    </row>
    <row r="4527" spans="1:10" hidden="1" x14ac:dyDescent="0.25">
      <c r="A4527" s="173"/>
      <c r="B4527" s="175"/>
      <c r="C4527" s="36"/>
      <c r="D4527" s="36"/>
      <c r="E4527" s="37"/>
      <c r="F4527" s="54" t="s">
        <v>568</v>
      </c>
      <c r="G4527" s="54" t="str">
        <f>IF(ISNUMBER(F4527),E4527*F4527,"")</f>
        <v/>
      </c>
      <c r="H4527" s="73"/>
      <c r="I4527" s="74"/>
      <c r="J4527" s="155">
        <v>0</v>
      </c>
    </row>
    <row r="4528" spans="1:10" ht="25.5" hidden="1" x14ac:dyDescent="0.25">
      <c r="A4528" s="173"/>
      <c r="B4528" s="175"/>
      <c r="C4528" s="48" t="s">
        <v>1471</v>
      </c>
      <c r="D4528" s="36"/>
      <c r="E4528" s="37"/>
      <c r="F4528" s="54" t="s">
        <v>568</v>
      </c>
      <c r="G4528" s="54" t="str">
        <f>IF(ISNUMBER(F4528),E4528*F4528,"")</f>
        <v/>
      </c>
      <c r="H4528" s="73"/>
      <c r="I4528" s="74"/>
      <c r="J4528" s="155">
        <v>0</v>
      </c>
    </row>
    <row r="4529" spans="1:10" hidden="1" x14ac:dyDescent="0.25">
      <c r="A4529" s="173"/>
      <c r="B4529" s="175"/>
      <c r="C4529" s="153" t="s">
        <v>1472</v>
      </c>
      <c r="D4529" s="36"/>
      <c r="E4529" s="37"/>
      <c r="F4529" s="54" t="s">
        <v>568</v>
      </c>
      <c r="G4529" s="54" t="str">
        <f>IF(ISNUMBER(F4529),E4529*F4529,"")</f>
        <v/>
      </c>
      <c r="H4529" s="73"/>
      <c r="I4529" s="74"/>
      <c r="J4529" s="155">
        <v>0</v>
      </c>
    </row>
    <row r="4530" spans="1:10" ht="15.75" hidden="1" thickBot="1" x14ac:dyDescent="0.3">
      <c r="A4530" s="185"/>
      <c r="B4530" s="178"/>
      <c r="C4530" s="36"/>
      <c r="D4530" s="36"/>
      <c r="E4530" s="37"/>
      <c r="F4530" s="54" t="s">
        <v>568</v>
      </c>
      <c r="G4530" s="54" t="str">
        <f>IF(ISNUMBER(F4530),E4530*F4530,"")</f>
        <v/>
      </c>
      <c r="H4530" s="73"/>
      <c r="I4530" s="74"/>
      <c r="J4530" s="155">
        <v>0</v>
      </c>
    </row>
    <row r="4531" spans="1:10" ht="15.75" hidden="1" thickBot="1" x14ac:dyDescent="0.3">
      <c r="A4531" s="172" t="s">
        <v>1473</v>
      </c>
      <c r="B4531" s="174" t="str">
        <f>INDEX(Orçamentária!A:B,MATCH(Composições!A4531,Orçamentária!A:A,0),2)</f>
        <v>Impermeabilização com Membrana de Poliuretano</v>
      </c>
      <c r="C4531" s="41"/>
      <c r="D4531" s="26" t="str">
        <f>TRIM(INDEX(Orçamentária!C:C,MATCH(Composições!A4531,Orçamentária!A:A,0),1))</f>
        <v>m2</v>
      </c>
      <c r="E4531" s="27"/>
      <c r="F4531" s="49" t="s">
        <v>568</v>
      </c>
      <c r="G4531" s="28" t="str">
        <f>IF(ISNUMBER(F4531),E4531*F4531,"")</f>
        <v/>
      </c>
      <c r="H4531" s="29"/>
      <c r="I4531" s="30"/>
      <c r="J4531" s="155">
        <v>0</v>
      </c>
    </row>
    <row r="4532" spans="1:10" hidden="1" x14ac:dyDescent="0.25">
      <c r="A4532" s="173"/>
      <c r="B4532" s="175"/>
      <c r="C4532" s="32"/>
      <c r="D4532" s="32"/>
      <c r="E4532" s="33"/>
      <c r="F4532" s="54" t="s">
        <v>568</v>
      </c>
      <c r="G4532" s="54" t="str">
        <f>IF(ISNUMBER(F4532),E4532*F4532,"")</f>
        <v/>
      </c>
      <c r="H4532" s="73"/>
      <c r="I4532" s="74"/>
      <c r="J4532" s="155">
        <v>0</v>
      </c>
    </row>
    <row r="4533" spans="1:10" hidden="1" x14ac:dyDescent="0.25">
      <c r="A4533" s="173"/>
      <c r="B4533" s="175"/>
      <c r="C4533" s="36" t="s">
        <v>1474</v>
      </c>
      <c r="D4533" s="36" t="s">
        <v>953</v>
      </c>
      <c r="E4533" s="37">
        <v>2</v>
      </c>
      <c r="F4533" s="54">
        <v>48.592499999999994</v>
      </c>
      <c r="G4533" s="54">
        <f>IF(ISNUMBER(F4533),E4533*F4533,"")</f>
        <v>97.184999999999988</v>
      </c>
      <c r="H4533" s="39">
        <f>SUM(G4533:G4535)</f>
        <v>109.55821799999998</v>
      </c>
      <c r="I4533" s="40"/>
      <c r="J4533" s="155">
        <v>0</v>
      </c>
    </row>
    <row r="4534" spans="1:10" hidden="1" x14ac:dyDescent="0.25">
      <c r="A4534" s="173"/>
      <c r="B4534" s="175"/>
      <c r="C4534" s="36" t="s">
        <v>1470</v>
      </c>
      <c r="D4534" s="36" t="s">
        <v>755</v>
      </c>
      <c r="E4534" s="37">
        <v>9.6000000000000002E-2</v>
      </c>
      <c r="F4534" s="54">
        <v>19.3705</v>
      </c>
      <c r="G4534" s="54">
        <f>IF(ISNUMBER(F4534),E4534*F4534,"")</f>
        <v>1.8595680000000001</v>
      </c>
      <c r="H4534" s="73"/>
      <c r="I4534" s="74"/>
      <c r="J4534" s="155">
        <v>0</v>
      </c>
    </row>
    <row r="4535" spans="1:10" hidden="1" x14ac:dyDescent="0.25">
      <c r="A4535" s="173"/>
      <c r="B4535" s="175"/>
      <c r="C4535" s="36" t="s">
        <v>1071</v>
      </c>
      <c r="D4535" s="36" t="s">
        <v>755</v>
      </c>
      <c r="E4535" s="37">
        <v>0.47599999999999998</v>
      </c>
      <c r="F4535" s="54">
        <v>22.087499999999999</v>
      </c>
      <c r="G4535" s="54">
        <f>IF(ISNUMBER(F4535),E4535*F4535,"")</f>
        <v>10.513649999999998</v>
      </c>
      <c r="H4535" s="73"/>
      <c r="I4535" s="74"/>
      <c r="J4535" s="155">
        <v>0</v>
      </c>
    </row>
    <row r="4536" spans="1:10" hidden="1" x14ac:dyDescent="0.25">
      <c r="A4536" s="173"/>
      <c r="B4536" s="175"/>
      <c r="C4536" s="36"/>
      <c r="D4536" s="36"/>
      <c r="E4536" s="37"/>
      <c r="F4536" s="54" t="s">
        <v>568</v>
      </c>
      <c r="G4536" s="54" t="str">
        <f>IF(ISNUMBER(F4536),E4536*F4536,"")</f>
        <v/>
      </c>
      <c r="H4536" s="73"/>
      <c r="I4536" s="74"/>
      <c r="J4536" s="155">
        <v>0</v>
      </c>
    </row>
    <row r="4537" spans="1:10" ht="15.75" hidden="1" thickBot="1" x14ac:dyDescent="0.3">
      <c r="A4537" s="172" t="s">
        <v>1475</v>
      </c>
      <c r="B4537" s="174" t="str">
        <f>INDEX(Orçamentária!A:B,MATCH(Composições!A4537,Orçamentária!A:A,0),2)</f>
        <v>Impermeabilização com Manta Asfáltica</v>
      </c>
      <c r="C4537" s="41"/>
      <c r="D4537" s="26" t="str">
        <f>TRIM(INDEX(Orçamentária!C:C,MATCH(Composições!A4537,Orçamentária!A:A,0),1))</f>
        <v>m2</v>
      </c>
      <c r="E4537" s="27"/>
      <c r="F4537" s="49" t="s">
        <v>568</v>
      </c>
      <c r="G4537" s="28" t="str">
        <f>IF(ISNUMBER(F4537),E4537*F4537,"")</f>
        <v/>
      </c>
      <c r="H4537" s="29"/>
      <c r="I4537" s="30"/>
      <c r="J4537" s="155">
        <v>0</v>
      </c>
    </row>
    <row r="4538" spans="1:10" hidden="1" x14ac:dyDescent="0.25">
      <c r="A4538" s="173"/>
      <c r="B4538" s="175"/>
      <c r="C4538" s="32"/>
      <c r="D4538" s="32"/>
      <c r="E4538" s="33"/>
      <c r="F4538" s="54" t="s">
        <v>568</v>
      </c>
      <c r="G4538" s="54" t="str">
        <f>IF(ISNUMBER(F4538),E4538*F4538,"")</f>
        <v/>
      </c>
      <c r="H4538" s="73"/>
      <c r="I4538" s="74"/>
      <c r="J4538" s="155">
        <v>0</v>
      </c>
    </row>
    <row r="4539" spans="1:10" ht="25.5" hidden="1" x14ac:dyDescent="0.25">
      <c r="A4539" s="173"/>
      <c r="B4539" s="175"/>
      <c r="C4539" s="36" t="s">
        <v>1469</v>
      </c>
      <c r="D4539" s="36" t="s">
        <v>104</v>
      </c>
      <c r="E4539" s="37">
        <v>0.61499999999999999</v>
      </c>
      <c r="F4539" s="54">
        <v>13.8985</v>
      </c>
      <c r="G4539" s="54">
        <f>IF(ISNUMBER(F4539),E4539*F4539,"")</f>
        <v>8.5475775000000009</v>
      </c>
      <c r="H4539" s="39">
        <f>SUM(G4539:G4543)</f>
        <v>80.455718500000003</v>
      </c>
      <c r="I4539" s="40"/>
      <c r="J4539" s="155">
        <v>0</v>
      </c>
    </row>
    <row r="4540" spans="1:10" ht="25.5" hidden="1" x14ac:dyDescent="0.25">
      <c r="A4540" s="173"/>
      <c r="B4540" s="175"/>
      <c r="C4540" s="36" t="s">
        <v>1476</v>
      </c>
      <c r="D4540" s="36" t="s">
        <v>1049</v>
      </c>
      <c r="E4540" s="37">
        <v>1.125</v>
      </c>
      <c r="F4540" s="54">
        <v>40.640999999999998</v>
      </c>
      <c r="G4540" s="54">
        <f>IF(ISNUMBER(F4540),E4540*F4540,"")</f>
        <v>45.721125000000001</v>
      </c>
      <c r="H4540" s="73"/>
      <c r="I4540" s="74"/>
      <c r="J4540" s="155">
        <v>0</v>
      </c>
    </row>
    <row r="4541" spans="1:10" hidden="1" x14ac:dyDescent="0.25">
      <c r="A4541" s="173"/>
      <c r="B4541" s="175"/>
      <c r="C4541" s="36" t="s">
        <v>1477</v>
      </c>
      <c r="D4541" s="36" t="s">
        <v>953</v>
      </c>
      <c r="E4541" s="37">
        <v>0.26</v>
      </c>
      <c r="F4541" s="54">
        <v>5.8805000000000005</v>
      </c>
      <c r="G4541" s="54">
        <f>IF(ISNUMBER(F4541),E4541*F4541,"")</f>
        <v>1.5289300000000001</v>
      </c>
      <c r="H4541" s="73"/>
      <c r="I4541" s="74"/>
      <c r="J4541" s="155">
        <v>0</v>
      </c>
    </row>
    <row r="4542" spans="1:10" hidden="1" x14ac:dyDescent="0.25">
      <c r="A4542" s="173"/>
      <c r="B4542" s="175"/>
      <c r="C4542" s="36" t="s">
        <v>1470</v>
      </c>
      <c r="D4542" s="36" t="s">
        <v>755</v>
      </c>
      <c r="E4542" s="37">
        <v>0.192</v>
      </c>
      <c r="F4542" s="54">
        <v>19.3705</v>
      </c>
      <c r="G4542" s="54">
        <f>IF(ISNUMBER(F4542),E4542*F4542,"")</f>
        <v>3.7191360000000002</v>
      </c>
      <c r="H4542" s="73"/>
      <c r="I4542" s="74"/>
      <c r="J4542" s="155">
        <v>0</v>
      </c>
    </row>
    <row r="4543" spans="1:10" hidden="1" x14ac:dyDescent="0.25">
      <c r="A4543" s="173"/>
      <c r="B4543" s="175"/>
      <c r="C4543" s="36" t="s">
        <v>1071</v>
      </c>
      <c r="D4543" s="36" t="s">
        <v>755</v>
      </c>
      <c r="E4543" s="37">
        <v>0.94799999999999995</v>
      </c>
      <c r="F4543" s="54">
        <v>22.087499999999999</v>
      </c>
      <c r="G4543" s="54">
        <f>IF(ISNUMBER(F4543),E4543*F4543,"")</f>
        <v>20.938949999999998</v>
      </c>
      <c r="H4543" s="73"/>
      <c r="I4543" s="74"/>
      <c r="J4543" s="155">
        <v>0</v>
      </c>
    </row>
    <row r="4544" spans="1:10" hidden="1" x14ac:dyDescent="0.25">
      <c r="A4544" s="173"/>
      <c r="B4544" s="175"/>
      <c r="C4544" s="36"/>
      <c r="D4544" s="36"/>
      <c r="E4544" s="37"/>
      <c r="F4544" s="54" t="s">
        <v>568</v>
      </c>
      <c r="G4544" s="54" t="str">
        <f>IF(ISNUMBER(F4544),E4544*F4544,"")</f>
        <v/>
      </c>
      <c r="H4544" s="73"/>
      <c r="I4544" s="74"/>
      <c r="J4544" s="155">
        <v>0</v>
      </c>
    </row>
    <row r="4545" spans="1:10" ht="15.75" hidden="1" thickBot="1" x14ac:dyDescent="0.3">
      <c r="A4545" s="172" t="s">
        <v>1478</v>
      </c>
      <c r="B4545" s="174" t="str">
        <f>INDEX(Orçamentária!A:B,MATCH(Composições!A4545,Orçamentária!A:A,0),2)</f>
        <v>Impermeabilização com manta asfáltica aluminizada</v>
      </c>
      <c r="C4545" s="41"/>
      <c r="D4545" s="26" t="str">
        <f>TRIM(INDEX(Orçamentária!C:C,MATCH(Composições!A4545,Orçamentária!A:A,0),1))</f>
        <v>m2</v>
      </c>
      <c r="E4545" s="27"/>
      <c r="F4545" s="49" t="s">
        <v>568</v>
      </c>
      <c r="G4545" s="28" t="str">
        <f>IF(ISNUMBER(F4545),E4545*F4545,"")</f>
        <v/>
      </c>
      <c r="H4545" s="29"/>
      <c r="I4545" s="30"/>
      <c r="J4545" s="155">
        <v>0</v>
      </c>
    </row>
    <row r="4546" spans="1:10" hidden="1" x14ac:dyDescent="0.25">
      <c r="A4546" s="173"/>
      <c r="B4546" s="175"/>
      <c r="C4546" s="32"/>
      <c r="D4546" s="32"/>
      <c r="E4546" s="33"/>
      <c r="F4546" s="54" t="s">
        <v>568</v>
      </c>
      <c r="G4546" s="54" t="str">
        <f>IF(ISNUMBER(F4546),E4546*F4546,"")</f>
        <v/>
      </c>
      <c r="H4546" s="73"/>
      <c r="I4546" s="74"/>
      <c r="J4546" s="155">
        <v>0</v>
      </c>
    </row>
    <row r="4547" spans="1:10" ht="25.5" hidden="1" x14ac:dyDescent="0.25">
      <c r="A4547" s="173"/>
      <c r="B4547" s="175"/>
      <c r="C4547" s="36" t="s">
        <v>1469</v>
      </c>
      <c r="D4547" s="36" t="s">
        <v>104</v>
      </c>
      <c r="E4547" s="37">
        <v>0.61499999999999999</v>
      </c>
      <c r="F4547" s="54">
        <v>13.8985</v>
      </c>
      <c r="G4547" s="54">
        <f>IF(ISNUMBER(F4547),E4547*F4547,"")</f>
        <v>8.5475775000000009</v>
      </c>
      <c r="H4547" s="39">
        <f>SUM(G4547:G4551)</f>
        <v>34.734593500000003</v>
      </c>
      <c r="I4547" s="40"/>
      <c r="J4547" s="155">
        <v>0</v>
      </c>
    </row>
    <row r="4548" spans="1:10" hidden="1" x14ac:dyDescent="0.25">
      <c r="A4548" s="173"/>
      <c r="B4548" s="175"/>
      <c r="C4548" s="36" t="s">
        <v>1479</v>
      </c>
      <c r="D4548" s="36" t="s">
        <v>1049</v>
      </c>
      <c r="E4548" s="37">
        <v>1.125</v>
      </c>
      <c r="F4548" s="54">
        <v>0</v>
      </c>
      <c r="G4548" s="54">
        <f>IF(ISNUMBER(F4548),E4548*F4548,"")</f>
        <v>0</v>
      </c>
      <c r="H4548" s="73"/>
      <c r="I4548" s="74"/>
      <c r="J4548" s="155">
        <v>0</v>
      </c>
    </row>
    <row r="4549" spans="1:10" hidden="1" x14ac:dyDescent="0.25">
      <c r="A4549" s="173"/>
      <c r="B4549" s="175"/>
      <c r="C4549" s="36" t="s">
        <v>1477</v>
      </c>
      <c r="D4549" s="36" t="s">
        <v>953</v>
      </c>
      <c r="E4549" s="37">
        <v>0.26</v>
      </c>
      <c r="F4549" s="54">
        <v>5.8805000000000005</v>
      </c>
      <c r="G4549" s="54">
        <f>IF(ISNUMBER(F4549),E4549*F4549,"")</f>
        <v>1.5289300000000001</v>
      </c>
      <c r="H4549" s="73"/>
      <c r="I4549" s="74"/>
      <c r="J4549" s="155">
        <v>0</v>
      </c>
    </row>
    <row r="4550" spans="1:10" hidden="1" x14ac:dyDescent="0.25">
      <c r="A4550" s="173"/>
      <c r="B4550" s="175"/>
      <c r="C4550" s="36" t="s">
        <v>1470</v>
      </c>
      <c r="D4550" s="36" t="s">
        <v>755</v>
      </c>
      <c r="E4550" s="37">
        <v>0.192</v>
      </c>
      <c r="F4550" s="54">
        <v>19.3705</v>
      </c>
      <c r="G4550" s="54">
        <f>IF(ISNUMBER(F4550),E4550*F4550,"")</f>
        <v>3.7191360000000002</v>
      </c>
      <c r="H4550" s="73"/>
      <c r="I4550" s="74"/>
      <c r="J4550" s="155">
        <v>0</v>
      </c>
    </row>
    <row r="4551" spans="1:10" hidden="1" x14ac:dyDescent="0.25">
      <c r="A4551" s="173"/>
      <c r="B4551" s="175"/>
      <c r="C4551" s="36" t="s">
        <v>1071</v>
      </c>
      <c r="D4551" s="36" t="s">
        <v>755</v>
      </c>
      <c r="E4551" s="37">
        <v>0.94799999999999995</v>
      </c>
      <c r="F4551" s="54">
        <v>22.087499999999999</v>
      </c>
      <c r="G4551" s="54">
        <f>IF(ISNUMBER(F4551),E4551*F4551,"")</f>
        <v>20.938949999999998</v>
      </c>
      <c r="H4551" s="73"/>
      <c r="I4551" s="74"/>
      <c r="J4551" s="155">
        <v>0</v>
      </c>
    </row>
    <row r="4552" spans="1:10" hidden="1" x14ac:dyDescent="0.25">
      <c r="A4552" s="173"/>
      <c r="B4552" s="175"/>
      <c r="C4552" s="36"/>
      <c r="D4552" s="36"/>
      <c r="E4552" s="37"/>
      <c r="F4552" s="54" t="s">
        <v>568</v>
      </c>
      <c r="G4552" s="54" t="str">
        <f>IF(ISNUMBER(F4552),E4552*F4552,"")</f>
        <v/>
      </c>
      <c r="H4552" s="73"/>
      <c r="I4552" s="74"/>
      <c r="J4552" s="155">
        <v>0</v>
      </c>
    </row>
    <row r="4553" spans="1:10" ht="15.75" hidden="1" thickBot="1" x14ac:dyDescent="0.3">
      <c r="A4553" s="172" t="s">
        <v>1480</v>
      </c>
      <c r="B4553" s="174" t="str">
        <f>INDEX(Orçamentária!A:B,MATCH(Composições!A4553,Orçamentária!A:A,0),2)</f>
        <v>Impermeabilização com manta elastomérica de etileno-propileno-dieno-monômero (EPDM)</v>
      </c>
      <c r="C4553" s="41"/>
      <c r="D4553" s="26" t="str">
        <f>TRIM(INDEX(Orçamentária!C:C,MATCH(Composições!A4553,Orçamentária!A:A,0),1))</f>
        <v>m2</v>
      </c>
      <c r="E4553" s="27"/>
      <c r="F4553" s="49" t="s">
        <v>568</v>
      </c>
      <c r="G4553" s="28" t="str">
        <f>IF(ISNUMBER(F4553),E4553*F4553,"")</f>
        <v/>
      </c>
      <c r="H4553" s="29"/>
      <c r="I4553" s="30"/>
      <c r="J4553" s="155">
        <v>0</v>
      </c>
    </row>
    <row r="4554" spans="1:10" hidden="1" x14ac:dyDescent="0.25">
      <c r="A4554" s="173"/>
      <c r="B4554" s="175"/>
      <c r="C4554" s="32"/>
      <c r="D4554" s="32"/>
      <c r="E4554" s="33"/>
      <c r="F4554" s="54" t="s">
        <v>568</v>
      </c>
      <c r="G4554" s="54" t="str">
        <f>IF(ISNUMBER(F4554),E4554*F4554,"")</f>
        <v/>
      </c>
      <c r="H4554" s="73"/>
      <c r="I4554" s="74"/>
      <c r="J4554" s="155">
        <v>0</v>
      </c>
    </row>
    <row r="4555" spans="1:10" hidden="1" x14ac:dyDescent="0.25">
      <c r="A4555" s="173"/>
      <c r="B4555" s="175"/>
      <c r="C4555" s="36" t="s">
        <v>1071</v>
      </c>
      <c r="D4555" s="36" t="s">
        <v>755</v>
      </c>
      <c r="E4555" s="37">
        <v>0.5</v>
      </c>
      <c r="F4555" s="54">
        <v>22.087499999999999</v>
      </c>
      <c r="G4555" s="54">
        <f>IF(ISNUMBER(F4555),E4555*F4555,"")</f>
        <v>11.043749999999999</v>
      </c>
      <c r="H4555" s="39">
        <f>SUM(G4555:G4561)</f>
        <v>20.728999999999999</v>
      </c>
      <c r="I4555" s="40"/>
      <c r="J4555" s="155">
        <v>0</v>
      </c>
    </row>
    <row r="4556" spans="1:10" hidden="1" x14ac:dyDescent="0.25">
      <c r="A4556" s="173"/>
      <c r="B4556" s="175"/>
      <c r="C4556" s="36" t="s">
        <v>1470</v>
      </c>
      <c r="D4556" s="36" t="s">
        <v>755</v>
      </c>
      <c r="E4556" s="37">
        <v>0.5</v>
      </c>
      <c r="F4556" s="54">
        <v>19.3705</v>
      </c>
      <c r="G4556" s="54">
        <f>IF(ISNUMBER(F4556),E4556*F4556,"")</f>
        <v>9.6852499999999999</v>
      </c>
      <c r="H4556" s="73"/>
      <c r="I4556" s="74"/>
      <c r="J4556" s="155">
        <v>0</v>
      </c>
    </row>
    <row r="4557" spans="1:10" hidden="1" x14ac:dyDescent="0.25">
      <c r="A4557" s="173"/>
      <c r="B4557" s="175"/>
      <c r="C4557" s="36" t="s">
        <v>1481</v>
      </c>
      <c r="D4557" s="36" t="s">
        <v>953</v>
      </c>
      <c r="E4557" s="37">
        <v>0.8</v>
      </c>
      <c r="F4557" s="54">
        <v>0</v>
      </c>
      <c r="G4557" s="54">
        <f>IF(ISNUMBER(F4557),E4557*F4557,"")</f>
        <v>0</v>
      </c>
      <c r="H4557" s="73"/>
      <c r="I4557" s="74"/>
      <c r="J4557" s="155">
        <v>0</v>
      </c>
    </row>
    <row r="4558" spans="1:10" hidden="1" x14ac:dyDescent="0.25">
      <c r="A4558" s="173"/>
      <c r="B4558" s="175"/>
      <c r="C4558" s="36" t="s">
        <v>1482</v>
      </c>
      <c r="D4558" s="36" t="s">
        <v>104</v>
      </c>
      <c r="E4558" s="37">
        <v>0.6</v>
      </c>
      <c r="F4558" s="54">
        <v>0</v>
      </c>
      <c r="G4558" s="54">
        <f>IF(ISNUMBER(F4558),E4558*F4558,"")</f>
        <v>0</v>
      </c>
      <c r="H4558" s="73"/>
      <c r="I4558" s="74"/>
      <c r="J4558" s="155">
        <v>0</v>
      </c>
    </row>
    <row r="4559" spans="1:10" hidden="1" x14ac:dyDescent="0.25">
      <c r="A4559" s="173"/>
      <c r="B4559" s="175"/>
      <c r="C4559" s="36" t="s">
        <v>1483</v>
      </c>
      <c r="D4559" s="36" t="s">
        <v>95</v>
      </c>
      <c r="E4559" s="37">
        <v>1.1000000000000001</v>
      </c>
      <c r="F4559" s="54">
        <v>0</v>
      </c>
      <c r="G4559" s="54">
        <f>IF(ISNUMBER(F4559),E4559*F4559,"")</f>
        <v>0</v>
      </c>
      <c r="H4559" s="73"/>
      <c r="I4559" s="74"/>
      <c r="J4559" s="155">
        <v>0</v>
      </c>
    </row>
    <row r="4560" spans="1:10" hidden="1" x14ac:dyDescent="0.25">
      <c r="A4560" s="173"/>
      <c r="B4560" s="175"/>
      <c r="C4560" s="36" t="s">
        <v>1484</v>
      </c>
      <c r="D4560" s="36" t="s">
        <v>93</v>
      </c>
      <c r="E4560" s="37">
        <v>2</v>
      </c>
      <c r="F4560" s="54">
        <v>0</v>
      </c>
      <c r="G4560" s="54">
        <f>IF(ISNUMBER(F4560),E4560*F4560,"")</f>
        <v>0</v>
      </c>
      <c r="H4560" s="73"/>
      <c r="I4560" s="74"/>
      <c r="J4560" s="155">
        <v>0</v>
      </c>
    </row>
    <row r="4561" spans="1:10" hidden="1" x14ac:dyDescent="0.25">
      <c r="A4561" s="173"/>
      <c r="B4561" s="175"/>
      <c r="C4561" s="36" t="s">
        <v>1485</v>
      </c>
      <c r="D4561" s="36" t="s">
        <v>104</v>
      </c>
      <c r="E4561" s="37">
        <v>0.2</v>
      </c>
      <c r="F4561" s="54">
        <v>0</v>
      </c>
      <c r="G4561" s="54">
        <f>IF(ISNUMBER(F4561),E4561*F4561,"")</f>
        <v>0</v>
      </c>
      <c r="H4561" s="73"/>
      <c r="I4561" s="74"/>
      <c r="J4561" s="155">
        <v>0</v>
      </c>
    </row>
    <row r="4562" spans="1:10" hidden="1" x14ac:dyDescent="0.25">
      <c r="A4562" s="173"/>
      <c r="B4562" s="175"/>
      <c r="C4562" s="36"/>
      <c r="D4562" s="36"/>
      <c r="E4562" s="37"/>
      <c r="F4562" s="54" t="s">
        <v>568</v>
      </c>
      <c r="G4562" s="54" t="str">
        <f>IF(ISNUMBER(F4562),E4562*F4562,"")</f>
        <v/>
      </c>
      <c r="H4562" s="73"/>
      <c r="I4562" s="74"/>
      <c r="J4562" s="155">
        <v>0</v>
      </c>
    </row>
    <row r="4563" spans="1:10" ht="15.75" hidden="1" thickBot="1" x14ac:dyDescent="0.3">
      <c r="A4563" s="172" t="s">
        <v>1486</v>
      </c>
      <c r="B4563" s="174" t="str">
        <f>INDEX(Orçamentária!A:B,MATCH(Composições!A4563,Orçamentária!A:A,0),2)</f>
        <v>Impermeabilização com membrana acrílica</v>
      </c>
      <c r="C4563" s="41"/>
      <c r="D4563" s="26" t="str">
        <f>TRIM(INDEX(Orçamentária!C:C,MATCH(Composições!A4563,Orçamentária!A:A,0),1))</f>
        <v>m2</v>
      </c>
      <c r="E4563" s="27"/>
      <c r="F4563" s="49" t="s">
        <v>568</v>
      </c>
      <c r="G4563" s="28" t="str">
        <f>IF(ISNUMBER(F4563),E4563*F4563,"")</f>
        <v/>
      </c>
      <c r="H4563" s="29"/>
      <c r="I4563" s="30"/>
      <c r="J4563" s="155">
        <v>0</v>
      </c>
    </row>
    <row r="4564" spans="1:10" hidden="1" x14ac:dyDescent="0.25">
      <c r="A4564" s="173"/>
      <c r="B4564" s="175"/>
      <c r="C4564" s="32"/>
      <c r="D4564" s="32"/>
      <c r="E4564" s="33"/>
      <c r="F4564" s="54" t="s">
        <v>568</v>
      </c>
      <c r="G4564" s="54" t="str">
        <f>IF(ISNUMBER(F4564),E4564*F4564,"")</f>
        <v/>
      </c>
      <c r="H4564" s="73"/>
      <c r="I4564" s="74"/>
      <c r="J4564" s="155">
        <v>0</v>
      </c>
    </row>
    <row r="4565" spans="1:10" hidden="1" x14ac:dyDescent="0.25">
      <c r="A4565" s="173"/>
      <c r="B4565" s="175"/>
      <c r="C4565" s="36" t="s">
        <v>1487</v>
      </c>
      <c r="D4565" s="36" t="s">
        <v>953</v>
      </c>
      <c r="E4565" s="37">
        <v>1.2</v>
      </c>
      <c r="F4565" s="54">
        <v>18.819499999999998</v>
      </c>
      <c r="G4565" s="54">
        <f>IF(ISNUMBER(F4565),E4565*F4565,"")</f>
        <v>22.583399999999997</v>
      </c>
      <c r="H4565" s="39">
        <f>SUM(G4565:G4567)</f>
        <v>37.616323499999993</v>
      </c>
      <c r="I4565" s="40"/>
      <c r="J4565" s="155">
        <v>0</v>
      </c>
    </row>
    <row r="4566" spans="1:10" hidden="1" x14ac:dyDescent="0.25">
      <c r="A4566" s="173"/>
      <c r="B4566" s="175"/>
      <c r="C4566" s="36" t="s">
        <v>1470</v>
      </c>
      <c r="D4566" s="36" t="s">
        <v>755</v>
      </c>
      <c r="E4566" s="37">
        <v>0.11700000000000001</v>
      </c>
      <c r="F4566" s="54">
        <v>19.3705</v>
      </c>
      <c r="G4566" s="54">
        <f>IF(ISNUMBER(F4566),E4566*F4566,"")</f>
        <v>2.2663485000000003</v>
      </c>
      <c r="H4566" s="73"/>
      <c r="I4566" s="74"/>
      <c r="J4566" s="155">
        <v>0</v>
      </c>
    </row>
    <row r="4567" spans="1:10" hidden="1" x14ac:dyDescent="0.25">
      <c r="A4567" s="173"/>
      <c r="B4567" s="175"/>
      <c r="C4567" s="36" t="s">
        <v>1071</v>
      </c>
      <c r="D4567" s="36" t="s">
        <v>755</v>
      </c>
      <c r="E4567" s="37">
        <v>0.57799999999999996</v>
      </c>
      <c r="F4567" s="54">
        <v>22.087499999999999</v>
      </c>
      <c r="G4567" s="54">
        <f>IF(ISNUMBER(F4567),E4567*F4567,"")</f>
        <v>12.766574999999998</v>
      </c>
      <c r="H4567" s="73"/>
      <c r="I4567" s="74"/>
      <c r="J4567" s="155">
        <v>0</v>
      </c>
    </row>
    <row r="4568" spans="1:10" hidden="1" x14ac:dyDescent="0.25">
      <c r="A4568" s="173"/>
      <c r="B4568" s="175"/>
      <c r="C4568" s="36"/>
      <c r="D4568" s="36"/>
      <c r="E4568" s="37"/>
      <c r="F4568" s="54" t="s">
        <v>568</v>
      </c>
      <c r="G4568" s="54" t="str">
        <f>IF(ISNUMBER(F4568),E4568*F4568,"")</f>
        <v/>
      </c>
      <c r="H4568" s="73"/>
      <c r="I4568" s="74"/>
      <c r="J4568" s="155">
        <v>0</v>
      </c>
    </row>
    <row r="4569" spans="1:10" ht="15.75" hidden="1" thickBot="1" x14ac:dyDescent="0.3">
      <c r="A4569" s="172" t="s">
        <v>1488</v>
      </c>
      <c r="B4569" s="174" t="str">
        <f>INDEX(Orçamentária!A:B,MATCH(Composições!A4569,Orçamentária!A:A,0),2)</f>
        <v>Asfalto elastomérico para colagem de manta asfáltica</v>
      </c>
      <c r="C4569" s="41"/>
      <c r="D4569" s="26" t="str">
        <f>TRIM(INDEX(Orçamentária!C:C,MATCH(Composições!A4569,Orçamentária!A:A,0),1))</f>
        <v>m2</v>
      </c>
      <c r="E4569" s="27"/>
      <c r="F4569" s="49" t="s">
        <v>568</v>
      </c>
      <c r="G4569" s="28" t="str">
        <f>IF(ISNUMBER(F4569),E4569*F4569,"")</f>
        <v/>
      </c>
      <c r="H4569" s="29"/>
      <c r="I4569" s="30"/>
      <c r="J4569" s="155">
        <v>0</v>
      </c>
    </row>
    <row r="4570" spans="1:10" hidden="1" x14ac:dyDescent="0.25">
      <c r="A4570" s="173"/>
      <c r="B4570" s="175"/>
      <c r="C4570" s="32"/>
      <c r="D4570" s="32"/>
      <c r="E4570" s="33"/>
      <c r="F4570" s="54" t="s">
        <v>568</v>
      </c>
      <c r="G4570" s="54" t="str">
        <f>IF(ISNUMBER(F4570),E4570*F4570,"")</f>
        <v/>
      </c>
      <c r="H4570" s="73"/>
      <c r="I4570" s="74"/>
      <c r="J4570" s="155">
        <v>0</v>
      </c>
    </row>
    <row r="4571" spans="1:10" hidden="1" x14ac:dyDescent="0.25">
      <c r="A4571" s="173"/>
      <c r="B4571" s="175"/>
      <c r="C4571" s="36" t="s">
        <v>1489</v>
      </c>
      <c r="D4571" s="36" t="s">
        <v>953</v>
      </c>
      <c r="E4571" s="37">
        <v>3</v>
      </c>
      <c r="F4571" s="54" t="s">
        <v>568</v>
      </c>
      <c r="G4571" s="54" t="str">
        <f>IF(ISNUMBER(F4571),E4571*F4571,"")</f>
        <v/>
      </c>
      <c r="H4571" s="39">
        <f>SUM(G4571:G4572)</f>
        <v>4.4174999999999995</v>
      </c>
      <c r="I4571" s="40"/>
      <c r="J4571" s="155">
        <v>0</v>
      </c>
    </row>
    <row r="4572" spans="1:10" hidden="1" x14ac:dyDescent="0.25">
      <c r="A4572" s="173"/>
      <c r="B4572" s="175"/>
      <c r="C4572" s="36" t="s">
        <v>1071</v>
      </c>
      <c r="D4572" s="36" t="s">
        <v>755</v>
      </c>
      <c r="E4572" s="37">
        <v>0.2</v>
      </c>
      <c r="F4572" s="54">
        <v>22.087499999999999</v>
      </c>
      <c r="G4572" s="54">
        <f>IF(ISNUMBER(F4572),E4572*F4572,"")</f>
        <v>4.4174999999999995</v>
      </c>
      <c r="H4572" s="73"/>
      <c r="I4572" s="74"/>
      <c r="J4572" s="155">
        <v>0</v>
      </c>
    </row>
    <row r="4573" spans="1:10" hidden="1" x14ac:dyDescent="0.25">
      <c r="A4573" s="173"/>
      <c r="B4573" s="175"/>
      <c r="C4573" s="36"/>
      <c r="D4573" s="36"/>
      <c r="E4573" s="37"/>
      <c r="F4573" s="54" t="s">
        <v>568</v>
      </c>
      <c r="G4573" s="54" t="str">
        <f>IF(ISNUMBER(F4573),E4573*F4573,"")</f>
        <v/>
      </c>
      <c r="H4573" s="73"/>
      <c r="I4573" s="74"/>
      <c r="J4573" s="155">
        <v>0</v>
      </c>
    </row>
    <row r="4574" spans="1:10" ht="25.5" hidden="1" x14ac:dyDescent="0.25">
      <c r="A4574" s="173"/>
      <c r="B4574" s="175"/>
      <c r="C4574" s="48" t="s">
        <v>1490</v>
      </c>
      <c r="D4574" s="36"/>
      <c r="E4574" s="37"/>
      <c r="F4574" s="54" t="s">
        <v>568</v>
      </c>
      <c r="G4574" s="54" t="str">
        <f>IF(ISNUMBER(F4574),E4574*F4574,"")</f>
        <v/>
      </c>
      <c r="H4574" s="73"/>
      <c r="I4574" s="74"/>
      <c r="J4574" s="155">
        <v>0</v>
      </c>
    </row>
    <row r="4575" spans="1:10" ht="24.75" hidden="1" x14ac:dyDescent="0.25">
      <c r="A4575" s="173"/>
      <c r="B4575" s="175"/>
      <c r="C4575" s="154" t="s">
        <v>1491</v>
      </c>
      <c r="D4575" s="36"/>
      <c r="E4575" s="37"/>
      <c r="F4575" s="54" t="s">
        <v>568</v>
      </c>
      <c r="G4575" s="54" t="str">
        <f>IF(ISNUMBER(F4575),E4575*F4575,"")</f>
        <v/>
      </c>
      <c r="H4575" s="73"/>
      <c r="I4575" s="74"/>
      <c r="J4575" s="155">
        <v>0</v>
      </c>
    </row>
    <row r="4576" spans="1:10" hidden="1" x14ac:dyDescent="0.25">
      <c r="A4576" s="173"/>
      <c r="B4576" s="175"/>
      <c r="C4576" s="36"/>
      <c r="D4576" s="36"/>
      <c r="E4576" s="37"/>
      <c r="F4576" s="54" t="s">
        <v>568</v>
      </c>
      <c r="G4576" s="54" t="str">
        <f>IF(ISNUMBER(F4576),E4576*F4576,"")</f>
        <v/>
      </c>
      <c r="H4576" s="73"/>
      <c r="I4576" s="74"/>
      <c r="J4576" s="155">
        <v>0</v>
      </c>
    </row>
    <row r="4577" spans="1:10" ht="15.75" hidden="1" thickBot="1" x14ac:dyDescent="0.3">
      <c r="A4577" s="172" t="s">
        <v>1492</v>
      </c>
      <c r="B4577" s="174" t="str">
        <f>INDEX(Orçamentária!A:B,MATCH(Composições!A4577,Orçamentária!A:A,0),2)</f>
        <v>Impermeabilização com manta dupla (com maçarico)</v>
      </c>
      <c r="C4577" s="41"/>
      <c r="D4577" s="26" t="str">
        <f>TRIM(INDEX(Orçamentária!C:C,MATCH(Composições!A4577,Orçamentária!A:A,0),1))</f>
        <v>m2</v>
      </c>
      <c r="E4577" s="27"/>
      <c r="F4577" s="49" t="s">
        <v>568</v>
      </c>
      <c r="G4577" s="28" t="str">
        <f>IF(ISNUMBER(F4577),E4577*F4577,"")</f>
        <v/>
      </c>
      <c r="H4577" s="29"/>
      <c r="I4577" s="30"/>
      <c r="J4577" s="155">
        <v>0</v>
      </c>
    </row>
    <row r="4578" spans="1:10" hidden="1" x14ac:dyDescent="0.25">
      <c r="A4578" s="173"/>
      <c r="B4578" s="175"/>
      <c r="C4578" s="32"/>
      <c r="D4578" s="32"/>
      <c r="E4578" s="33"/>
      <c r="F4578" s="54" t="s">
        <v>568</v>
      </c>
      <c r="G4578" s="54" t="str">
        <f>IF(ISNUMBER(F4578),E4578*F4578,"")</f>
        <v/>
      </c>
      <c r="H4578" s="73"/>
      <c r="I4578" s="74"/>
      <c r="J4578" s="155">
        <v>0</v>
      </c>
    </row>
    <row r="4579" spans="1:10" ht="25.5" hidden="1" x14ac:dyDescent="0.25">
      <c r="A4579" s="173"/>
      <c r="B4579" s="175"/>
      <c r="C4579" s="36" t="s">
        <v>1469</v>
      </c>
      <c r="D4579" s="36" t="s">
        <v>104</v>
      </c>
      <c r="E4579" s="37">
        <v>0.61499999999999999</v>
      </c>
      <c r="F4579" s="54">
        <v>13.8985</v>
      </c>
      <c r="G4579" s="54">
        <f>IF(ISNUMBER(F4579),E4579*F4579,"")</f>
        <v>8.5475775000000009</v>
      </c>
      <c r="H4579" s="39">
        <f>SUM(G4579:G4584)</f>
        <v>130.31712399999998</v>
      </c>
      <c r="I4579" s="40"/>
      <c r="J4579" s="155">
        <v>0</v>
      </c>
    </row>
    <row r="4580" spans="1:10" ht="25.5" hidden="1" x14ac:dyDescent="0.25">
      <c r="A4580" s="173"/>
      <c r="B4580" s="175"/>
      <c r="C4580" s="36" t="s">
        <v>1493</v>
      </c>
      <c r="D4580" s="36" t="s">
        <v>1049</v>
      </c>
      <c r="E4580" s="37">
        <v>1.125</v>
      </c>
      <c r="F4580" s="54">
        <v>33.097999999999999</v>
      </c>
      <c r="G4580" s="54">
        <f>IF(ISNUMBER(F4580),E4580*F4580,"")</f>
        <v>37.235250000000001</v>
      </c>
      <c r="H4580" s="73"/>
      <c r="I4580" s="74"/>
      <c r="J4580" s="155">
        <v>0</v>
      </c>
    </row>
    <row r="4581" spans="1:10" ht="25.5" hidden="1" x14ac:dyDescent="0.25">
      <c r="A4581" s="173"/>
      <c r="B4581" s="175"/>
      <c r="C4581" s="36" t="s">
        <v>1476</v>
      </c>
      <c r="D4581" s="36" t="s">
        <v>1049</v>
      </c>
      <c r="E4581" s="37">
        <v>1.125</v>
      </c>
      <c r="F4581" s="54">
        <v>40.640999999999998</v>
      </c>
      <c r="G4581" s="54">
        <f>IF(ISNUMBER(F4581),E4581*F4581,"")</f>
        <v>45.721125000000001</v>
      </c>
      <c r="H4581" s="73"/>
      <c r="I4581" s="74"/>
      <c r="J4581" s="155">
        <v>0</v>
      </c>
    </row>
    <row r="4582" spans="1:10" hidden="1" x14ac:dyDescent="0.25">
      <c r="A4582" s="173"/>
      <c r="B4582" s="175"/>
      <c r="C4582" s="36" t="s">
        <v>1477</v>
      </c>
      <c r="D4582" s="36" t="s">
        <v>953</v>
      </c>
      <c r="E4582" s="37">
        <v>0.52</v>
      </c>
      <c r="F4582" s="54">
        <v>5.8805000000000005</v>
      </c>
      <c r="G4582" s="54">
        <f>IF(ISNUMBER(F4582),E4582*F4582,"")</f>
        <v>3.0578600000000002</v>
      </c>
      <c r="H4582" s="73"/>
      <c r="I4582" s="74"/>
      <c r="J4582" s="155">
        <v>0</v>
      </c>
    </row>
    <row r="4583" spans="1:10" hidden="1" x14ac:dyDescent="0.25">
      <c r="A4583" s="173"/>
      <c r="B4583" s="175"/>
      <c r="C4583" s="36" t="s">
        <v>1470</v>
      </c>
      <c r="D4583" s="36" t="s">
        <v>755</v>
      </c>
      <c r="E4583" s="37">
        <v>0.27800000000000002</v>
      </c>
      <c r="F4583" s="54">
        <v>19.3705</v>
      </c>
      <c r="G4583" s="54">
        <f>IF(ISNUMBER(F4583),E4583*F4583,"")</f>
        <v>5.3849990000000005</v>
      </c>
      <c r="H4583" s="73"/>
      <c r="I4583" s="74"/>
      <c r="J4583" s="155">
        <v>0</v>
      </c>
    </row>
    <row r="4584" spans="1:10" hidden="1" x14ac:dyDescent="0.25">
      <c r="A4584" s="173"/>
      <c r="B4584" s="175"/>
      <c r="C4584" s="36" t="s">
        <v>1071</v>
      </c>
      <c r="D4584" s="36" t="s">
        <v>755</v>
      </c>
      <c r="E4584" s="37">
        <v>1.375</v>
      </c>
      <c r="F4584" s="54">
        <v>22.087499999999999</v>
      </c>
      <c r="G4584" s="54">
        <f>IF(ISNUMBER(F4584),E4584*F4584,"")</f>
        <v>30.370312499999997</v>
      </c>
      <c r="H4584" s="73"/>
      <c r="I4584" s="74"/>
      <c r="J4584" s="155">
        <v>0</v>
      </c>
    </row>
    <row r="4585" spans="1:10" hidden="1" x14ac:dyDescent="0.25">
      <c r="A4585" s="173"/>
      <c r="B4585" s="175"/>
      <c r="C4585" s="36"/>
      <c r="D4585" s="36"/>
      <c r="E4585" s="37"/>
      <c r="F4585" s="54" t="s">
        <v>568</v>
      </c>
      <c r="G4585" s="54" t="str">
        <f>IF(ISNUMBER(F4585),E4585*F4585,"")</f>
        <v/>
      </c>
      <c r="H4585" s="73"/>
      <c r="I4585" s="74"/>
      <c r="J4585" s="155">
        <v>0</v>
      </c>
    </row>
    <row r="4586" spans="1:10" ht="15.75" hidden="1" thickBot="1" x14ac:dyDescent="0.3">
      <c r="A4586" s="172" t="s">
        <v>1494</v>
      </c>
      <c r="B4586" s="174" t="str">
        <f>INDEX(Orçamentária!A:B,MATCH(Composições!A4586,Orçamentária!A:A,0),2)</f>
        <v>Impermeabilização com manta dupla (com asfalto elastomérico)</v>
      </c>
      <c r="C4586" s="41"/>
      <c r="D4586" s="26" t="str">
        <f>TRIM(INDEX(Orçamentária!C:C,MATCH(Composições!A4586,Orçamentária!A:A,0),1))</f>
        <v>m2</v>
      </c>
      <c r="E4586" s="27"/>
      <c r="F4586" s="49" t="s">
        <v>568</v>
      </c>
      <c r="G4586" s="28" t="str">
        <f>IF(ISNUMBER(F4586),E4586*F4586,"")</f>
        <v/>
      </c>
      <c r="H4586" s="29"/>
      <c r="I4586" s="30"/>
      <c r="J4586" s="155">
        <v>0</v>
      </c>
    </row>
    <row r="4587" spans="1:10" hidden="1" x14ac:dyDescent="0.25">
      <c r="A4587" s="173"/>
      <c r="B4587" s="175"/>
      <c r="C4587" s="32"/>
      <c r="D4587" s="32"/>
      <c r="E4587" s="33"/>
      <c r="F4587" s="54" t="s">
        <v>568</v>
      </c>
      <c r="G4587" s="54" t="str">
        <f>IF(ISNUMBER(F4587),E4587*F4587,"")</f>
        <v/>
      </c>
      <c r="H4587" s="73"/>
      <c r="I4587" s="74"/>
      <c r="J4587" s="155">
        <v>0</v>
      </c>
    </row>
    <row r="4588" spans="1:10" ht="25.5" hidden="1" x14ac:dyDescent="0.25">
      <c r="A4588" s="173"/>
      <c r="B4588" s="175"/>
      <c r="C4588" s="36" t="s">
        <v>1469</v>
      </c>
      <c r="D4588" s="36" t="s">
        <v>104</v>
      </c>
      <c r="E4588" s="37">
        <v>0.61499999999999999</v>
      </c>
      <c r="F4588" s="54">
        <v>13.8985</v>
      </c>
      <c r="G4588" s="54">
        <f>IF(ISNUMBER(F4588),E4588*F4588,"")</f>
        <v>8.5475775000000009</v>
      </c>
      <c r="H4588" s="39">
        <f>SUM(G4588:G4593)</f>
        <v>132.644263</v>
      </c>
      <c r="I4588" s="40"/>
      <c r="J4588" s="155">
        <v>0</v>
      </c>
    </row>
    <row r="4589" spans="1:10" ht="25.5" hidden="1" x14ac:dyDescent="0.25">
      <c r="A4589" s="173"/>
      <c r="B4589" s="175"/>
      <c r="C4589" s="36" t="s">
        <v>1493</v>
      </c>
      <c r="D4589" s="36" t="s">
        <v>1049</v>
      </c>
      <c r="E4589" s="37">
        <v>1.125</v>
      </c>
      <c r="F4589" s="54">
        <v>33.097999999999999</v>
      </c>
      <c r="G4589" s="54">
        <f>IF(ISNUMBER(F4589),E4589*F4589,"")</f>
        <v>37.235250000000001</v>
      </c>
      <c r="H4589" s="73"/>
      <c r="I4589" s="74"/>
      <c r="J4589" s="155">
        <v>0</v>
      </c>
    </row>
    <row r="4590" spans="1:10" ht="25.5" hidden="1" x14ac:dyDescent="0.25">
      <c r="A4590" s="173"/>
      <c r="B4590" s="175"/>
      <c r="C4590" s="36" t="s">
        <v>1476</v>
      </c>
      <c r="D4590" s="36" t="s">
        <v>1049</v>
      </c>
      <c r="E4590" s="37">
        <v>1.125</v>
      </c>
      <c r="F4590" s="54">
        <v>40.640999999999998</v>
      </c>
      <c r="G4590" s="54">
        <f>IF(ISNUMBER(F4590),E4590*F4590,"")</f>
        <v>45.721125000000001</v>
      </c>
      <c r="H4590" s="73"/>
      <c r="I4590" s="74"/>
      <c r="J4590" s="155">
        <v>0</v>
      </c>
    </row>
    <row r="4591" spans="1:10" hidden="1" x14ac:dyDescent="0.25">
      <c r="A4591" s="173"/>
      <c r="B4591" s="175"/>
      <c r="C4591" s="36" t="s">
        <v>1489</v>
      </c>
      <c r="D4591" s="36" t="s">
        <v>953</v>
      </c>
      <c r="E4591" s="37">
        <v>2</v>
      </c>
      <c r="F4591" s="54" t="s">
        <v>568</v>
      </c>
      <c r="G4591" s="54" t="str">
        <f>IF(ISNUMBER(F4591),E4591*F4591,"")</f>
        <v/>
      </c>
      <c r="H4591" s="73"/>
      <c r="I4591" s="74"/>
      <c r="J4591" s="155">
        <v>0</v>
      </c>
    </row>
    <row r="4592" spans="1:10" hidden="1" x14ac:dyDescent="0.25">
      <c r="A4592" s="173"/>
      <c r="B4592" s="175"/>
      <c r="C4592" s="36" t="s">
        <v>1470</v>
      </c>
      <c r="D4592" s="36" t="s">
        <v>755</v>
      </c>
      <c r="E4592" s="37">
        <f>0.278*2</f>
        <v>0.55600000000000005</v>
      </c>
      <c r="F4592" s="54">
        <v>19.3705</v>
      </c>
      <c r="G4592" s="54">
        <f>IF(ISNUMBER(F4592),E4592*F4592,"")</f>
        <v>10.769998000000001</v>
      </c>
      <c r="H4592" s="73"/>
      <c r="I4592" s="74"/>
      <c r="J4592" s="155">
        <v>0</v>
      </c>
    </row>
    <row r="4593" spans="1:10" hidden="1" x14ac:dyDescent="0.25">
      <c r="A4593" s="173"/>
      <c r="B4593" s="175"/>
      <c r="C4593" s="36" t="s">
        <v>1071</v>
      </c>
      <c r="D4593" s="36" t="s">
        <v>755</v>
      </c>
      <c r="E4593" s="37">
        <v>1.375</v>
      </c>
      <c r="F4593" s="54">
        <v>22.087499999999999</v>
      </c>
      <c r="G4593" s="54">
        <f>IF(ISNUMBER(F4593),E4593*F4593,"")</f>
        <v>30.370312499999997</v>
      </c>
      <c r="H4593" s="73"/>
      <c r="I4593" s="74"/>
      <c r="J4593" s="155">
        <v>0</v>
      </c>
    </row>
    <row r="4594" spans="1:10" hidden="1" x14ac:dyDescent="0.25">
      <c r="A4594" s="173"/>
      <c r="B4594" s="175"/>
      <c r="C4594" s="36"/>
      <c r="D4594" s="36"/>
      <c r="E4594" s="37"/>
      <c r="F4594" s="54" t="s">
        <v>568</v>
      </c>
      <c r="G4594" s="54" t="str">
        <f>IF(ISNUMBER(F4594),E4594*F4594,"")</f>
        <v/>
      </c>
      <c r="H4594" s="73"/>
      <c r="I4594" s="74"/>
      <c r="J4594" s="155">
        <v>0</v>
      </c>
    </row>
    <row r="4595" spans="1:10" ht="25.5" hidden="1" x14ac:dyDescent="0.25">
      <c r="A4595" s="173"/>
      <c r="B4595" s="175"/>
      <c r="C4595" s="48" t="s">
        <v>1490</v>
      </c>
      <c r="D4595" s="36"/>
      <c r="E4595" s="37"/>
      <c r="F4595" s="54" t="s">
        <v>568</v>
      </c>
      <c r="G4595" s="54" t="str">
        <f>IF(ISNUMBER(F4595),E4595*F4595,"")</f>
        <v/>
      </c>
      <c r="H4595" s="73"/>
      <c r="I4595" s="74"/>
      <c r="J4595" s="155">
        <v>0</v>
      </c>
    </row>
    <row r="4596" spans="1:10" ht="24.75" hidden="1" x14ac:dyDescent="0.25">
      <c r="A4596" s="173"/>
      <c r="B4596" s="175"/>
      <c r="C4596" s="154" t="s">
        <v>1491</v>
      </c>
      <c r="D4596" s="36"/>
      <c r="E4596" s="37"/>
      <c r="F4596" s="54" t="s">
        <v>568</v>
      </c>
      <c r="G4596" s="54" t="str">
        <f>IF(ISNUMBER(F4596),E4596*F4596,"")</f>
        <v/>
      </c>
      <c r="H4596" s="73"/>
      <c r="I4596" s="74"/>
      <c r="J4596" s="155">
        <v>0</v>
      </c>
    </row>
    <row r="4597" spans="1:10" hidden="1" x14ac:dyDescent="0.25">
      <c r="A4597" s="173"/>
      <c r="B4597" s="175"/>
      <c r="C4597" s="36"/>
      <c r="D4597" s="36"/>
      <c r="E4597" s="37"/>
      <c r="F4597" s="54" t="s">
        <v>568</v>
      </c>
      <c r="G4597" s="54" t="str">
        <f>IF(ISNUMBER(F4597),E4597*F4597,"")</f>
        <v/>
      </c>
      <c r="H4597" s="73"/>
      <c r="I4597" s="74"/>
      <c r="J4597" s="155">
        <v>0</v>
      </c>
    </row>
    <row r="4598" spans="1:10" ht="15.75" hidden="1" thickBot="1" x14ac:dyDescent="0.3">
      <c r="A4598" s="172" t="s">
        <v>1495</v>
      </c>
      <c r="B4598" s="174" t="str">
        <f>INDEX(Orçamentária!A:B,MATCH(Composições!A4598,Orçamentária!A:A,0),2)</f>
        <v>Aditivo Incorporador de Ar</v>
      </c>
      <c r="C4598" s="41"/>
      <c r="D4598" s="26" t="str">
        <f>TRIM(INDEX(Orçamentária!C:C,MATCH(Composições!A4598,Orçamentária!A:A,0),1))</f>
        <v>kg</v>
      </c>
      <c r="E4598" s="27"/>
      <c r="F4598" s="49" t="s">
        <v>568</v>
      </c>
      <c r="G4598" s="28" t="str">
        <f>IF(ISNUMBER(F4598),E4598*F4598,"")</f>
        <v/>
      </c>
      <c r="H4598" s="29"/>
      <c r="I4598" s="30"/>
      <c r="J4598" s="155">
        <v>0</v>
      </c>
    </row>
    <row r="4599" spans="1:10" hidden="1" x14ac:dyDescent="0.25">
      <c r="A4599" s="173"/>
      <c r="B4599" s="175"/>
      <c r="C4599" s="32"/>
      <c r="D4599" s="32"/>
      <c r="E4599" s="33"/>
      <c r="F4599" s="54" t="s">
        <v>568</v>
      </c>
      <c r="G4599" s="54" t="str">
        <f>IF(ISNUMBER(F4599),E4599*F4599,"")</f>
        <v/>
      </c>
      <c r="H4599" s="73"/>
      <c r="I4599" s="74"/>
      <c r="J4599" s="155">
        <v>0</v>
      </c>
    </row>
    <row r="4600" spans="1:10" ht="25.5" hidden="1" x14ac:dyDescent="0.25">
      <c r="A4600" s="173"/>
      <c r="B4600" s="175"/>
      <c r="C4600" s="36" t="s">
        <v>1496</v>
      </c>
      <c r="D4600" s="36" t="s">
        <v>104</v>
      </c>
      <c r="E4600" s="37">
        <v>1.01</v>
      </c>
      <c r="F4600" s="54">
        <v>5.794999999999999</v>
      </c>
      <c r="G4600" s="54">
        <f>IF(ISNUMBER(F4600),E4600*F4600,"")</f>
        <v>5.852949999999999</v>
      </c>
      <c r="H4600" s="39">
        <f>SUM(G4600:G4600)</f>
        <v>5.852949999999999</v>
      </c>
      <c r="I4600" s="40"/>
      <c r="J4600" s="155">
        <v>0</v>
      </c>
    </row>
    <row r="4601" spans="1:10" hidden="1" x14ac:dyDescent="0.25">
      <c r="A4601" s="173"/>
      <c r="B4601" s="175"/>
      <c r="C4601" s="36"/>
      <c r="D4601" s="36"/>
      <c r="E4601" s="37"/>
      <c r="F4601" s="54" t="s">
        <v>568</v>
      </c>
      <c r="G4601" s="54" t="str">
        <f>IF(ISNUMBER(F4601),E4601*F4601,"")</f>
        <v/>
      </c>
      <c r="H4601" s="73"/>
      <c r="I4601" s="74"/>
      <c r="J4601" s="155">
        <v>0</v>
      </c>
    </row>
    <row r="4602" spans="1:10" ht="25.5" hidden="1" x14ac:dyDescent="0.25">
      <c r="A4602" s="173"/>
      <c r="B4602" s="175"/>
      <c r="C4602" s="48" t="s">
        <v>1497</v>
      </c>
      <c r="D4602" s="36"/>
      <c r="E4602" s="37"/>
      <c r="F4602" s="54" t="s">
        <v>568</v>
      </c>
      <c r="G4602" s="54" t="str">
        <f>IF(ISNUMBER(F4602),E4602*F4602,"")</f>
        <v/>
      </c>
      <c r="H4602" s="73"/>
      <c r="I4602" s="74"/>
      <c r="J4602" s="155">
        <v>0</v>
      </c>
    </row>
    <row r="4603" spans="1:10" ht="15.75" hidden="1" thickBot="1" x14ac:dyDescent="0.3">
      <c r="A4603" s="173"/>
      <c r="B4603" s="175"/>
      <c r="C4603" s="55"/>
      <c r="D4603" s="55"/>
      <c r="E4603" s="66"/>
      <c r="F4603" s="76" t="s">
        <v>568</v>
      </c>
      <c r="G4603" s="76" t="str">
        <f>IF(ISNUMBER(F4603),E4603*F4603,"")</f>
        <v/>
      </c>
      <c r="H4603" s="77"/>
      <c r="I4603" s="74"/>
      <c r="J4603" s="155">
        <v>0</v>
      </c>
    </row>
    <row r="4604" spans="1:10" ht="15.75" hidden="1" thickBot="1" x14ac:dyDescent="0.3">
      <c r="A4604" s="172" t="s">
        <v>1498</v>
      </c>
      <c r="B4604" s="174" t="str">
        <f>INDEX(Orçamentária!A:B,MATCH(Composições!A4604,Orçamentária!A:A,0),2)</f>
        <v>Brita Nº 2</v>
      </c>
      <c r="C4604" s="41"/>
      <c r="D4604" s="26" t="str">
        <f>TRIM(INDEX(Orçamentária!C:C,MATCH(Composições!A4604,Orçamentária!A:A,0),1))</f>
        <v>m3</v>
      </c>
      <c r="E4604" s="27"/>
      <c r="F4604" s="49" t="s">
        <v>568</v>
      </c>
      <c r="G4604" s="28" t="str">
        <f>IF(ISNUMBER(F4604),E4604*F4604,"")</f>
        <v/>
      </c>
      <c r="H4604" s="29"/>
      <c r="I4604" s="30"/>
      <c r="J4604" s="155">
        <v>0</v>
      </c>
    </row>
    <row r="4605" spans="1:10" hidden="1" x14ac:dyDescent="0.25">
      <c r="A4605" s="173"/>
      <c r="B4605" s="175"/>
      <c r="C4605" s="32"/>
      <c r="D4605" s="32"/>
      <c r="E4605" s="33"/>
      <c r="F4605" s="54" t="s">
        <v>568</v>
      </c>
      <c r="G4605" s="54" t="str">
        <f>IF(ISNUMBER(F4605),E4605*F4605,"")</f>
        <v/>
      </c>
      <c r="H4605" s="73"/>
      <c r="I4605" s="74"/>
      <c r="J4605" s="155">
        <v>0</v>
      </c>
    </row>
    <row r="4606" spans="1:10" ht="25.5" hidden="1" x14ac:dyDescent="0.25">
      <c r="A4606" s="173"/>
      <c r="B4606" s="175"/>
      <c r="C4606" s="36" t="s">
        <v>1157</v>
      </c>
      <c r="D4606" s="36" t="s">
        <v>111</v>
      </c>
      <c r="E4606" s="37">
        <v>1</v>
      </c>
      <c r="F4606" s="54">
        <v>118.256</v>
      </c>
      <c r="G4606" s="54">
        <f>IF(ISNUMBER(F4606),E4606*F4606,"")</f>
        <v>118.256</v>
      </c>
      <c r="H4606" s="39">
        <f>SUM(G4606:G4608)</f>
        <v>160.71234454999998</v>
      </c>
      <c r="I4606" s="40"/>
      <c r="J4606" s="155">
        <v>0</v>
      </c>
    </row>
    <row r="4607" spans="1:10" ht="51" hidden="1" x14ac:dyDescent="0.25">
      <c r="A4607" s="173"/>
      <c r="B4607" s="175"/>
      <c r="C4607" s="36" t="s">
        <v>3611</v>
      </c>
      <c r="D4607" s="36" t="s">
        <v>111</v>
      </c>
      <c r="E4607" s="37">
        <f>1*E4606</f>
        <v>1</v>
      </c>
      <c r="F4607" s="34">
        <v>5.5686425499999999</v>
      </c>
      <c r="G4607" s="34">
        <f>IF(ISNUMBER(F4607),E4607*F4607,"")</f>
        <v>5.5686425499999999</v>
      </c>
      <c r="H4607" s="35"/>
      <c r="I4607" s="31"/>
      <c r="J4607" s="155">
        <v>0</v>
      </c>
    </row>
    <row r="4608" spans="1:10" ht="38.25" hidden="1" x14ac:dyDescent="0.25">
      <c r="A4608" s="173"/>
      <c r="B4608" s="175"/>
      <c r="C4608" s="36" t="s">
        <v>124</v>
      </c>
      <c r="D4608" s="36" t="s">
        <v>125</v>
      </c>
      <c r="E4608" s="37">
        <f>E4606*20</f>
        <v>20</v>
      </c>
      <c r="F4608" s="54">
        <v>1.8443850999999998</v>
      </c>
      <c r="G4608" s="54">
        <f>IF(ISNUMBER(F4608),E4608*F4608,"")</f>
        <v>36.887701999999997</v>
      </c>
      <c r="H4608" s="73"/>
      <c r="I4608" s="74"/>
      <c r="J4608" s="155">
        <v>0</v>
      </c>
    </row>
    <row r="4609" spans="1:10" hidden="1" x14ac:dyDescent="0.25">
      <c r="A4609" s="173"/>
      <c r="B4609" s="175"/>
      <c r="C4609" s="36"/>
      <c r="D4609" s="36"/>
      <c r="E4609" s="37"/>
      <c r="F4609" s="54" t="s">
        <v>568</v>
      </c>
      <c r="G4609" s="54" t="str">
        <f>IF(ISNUMBER(F4609),E4609*F4609,"")</f>
        <v/>
      </c>
      <c r="H4609" s="73"/>
      <c r="I4609" s="74"/>
      <c r="J4609" s="155">
        <v>0</v>
      </c>
    </row>
    <row r="4610" spans="1:10" hidden="1" x14ac:dyDescent="0.25">
      <c r="A4610" s="173"/>
      <c r="B4610" s="175"/>
      <c r="C4610" s="48" t="s">
        <v>1499</v>
      </c>
      <c r="D4610" s="36"/>
      <c r="E4610" s="37"/>
      <c r="F4610" s="54" t="s">
        <v>568</v>
      </c>
      <c r="G4610" s="54" t="str">
        <f>IF(ISNUMBER(F4610),E4610*F4610,"")</f>
        <v/>
      </c>
      <c r="H4610" s="73"/>
      <c r="I4610" s="74"/>
      <c r="J4610" s="155">
        <v>0</v>
      </c>
    </row>
    <row r="4611" spans="1:10" ht="15.75" hidden="1" thickBot="1" x14ac:dyDescent="0.3">
      <c r="A4611" s="185"/>
      <c r="B4611" s="178"/>
      <c r="C4611" s="55"/>
      <c r="D4611" s="55"/>
      <c r="E4611" s="66"/>
      <c r="F4611" s="76" t="s">
        <v>568</v>
      </c>
      <c r="G4611" s="76" t="str">
        <f>IF(ISNUMBER(F4611),E4611*F4611,"")</f>
        <v/>
      </c>
      <c r="H4611" s="77"/>
      <c r="I4611" s="74"/>
      <c r="J4611" s="155">
        <v>0</v>
      </c>
    </row>
    <row r="4612" spans="1:10" ht="15.75" hidden="1" thickBot="1" x14ac:dyDescent="0.3">
      <c r="A4612" s="172" t="s">
        <v>1500</v>
      </c>
      <c r="B4612" s="174" t="str">
        <f>INDEX(Orçamentária!A:B,MATCH(Composições!A4612,Orçamentária!A:A,0),2)</f>
        <v>Carpete aveludado azul royal - fornecimento e instalação</v>
      </c>
      <c r="C4612" s="41"/>
      <c r="D4612" s="26" t="str">
        <f>TRIM(INDEX(Orçamentária!C:C,MATCH(Composições!A4612,Orçamentária!A:A,0),1))</f>
        <v>m2</v>
      </c>
      <c r="E4612" s="27"/>
      <c r="F4612" s="49" t="s">
        <v>568</v>
      </c>
      <c r="G4612" s="28" t="str">
        <f>IF(ISNUMBER(F4612),E4612*F4612,"")</f>
        <v/>
      </c>
      <c r="H4612" s="29"/>
      <c r="I4612" s="30"/>
      <c r="J4612" s="155">
        <v>0</v>
      </c>
    </row>
    <row r="4613" spans="1:10" hidden="1" x14ac:dyDescent="0.25">
      <c r="A4613" s="173"/>
      <c r="B4613" s="175"/>
      <c r="C4613" s="32"/>
      <c r="D4613" s="32"/>
      <c r="E4613" s="33"/>
      <c r="F4613" s="54" t="s">
        <v>568</v>
      </c>
      <c r="G4613" s="54" t="str">
        <f>IF(ISNUMBER(F4613),E4613*F4613,"")</f>
        <v/>
      </c>
      <c r="H4613" s="73"/>
      <c r="I4613" s="74"/>
      <c r="J4613" s="155">
        <v>0</v>
      </c>
    </row>
    <row r="4614" spans="1:10" hidden="1" x14ac:dyDescent="0.25">
      <c r="A4614" s="173"/>
      <c r="B4614" s="175"/>
      <c r="C4614" s="36" t="s">
        <v>764</v>
      </c>
      <c r="D4614" s="36" t="s">
        <v>755</v>
      </c>
      <c r="E4614" s="37">
        <v>0.1</v>
      </c>
      <c r="F4614" s="54">
        <v>22.087499999999999</v>
      </c>
      <c r="G4614" s="54">
        <f>IF(ISNUMBER(F4614),E4614*F4614,"")</f>
        <v>2.2087499999999998</v>
      </c>
      <c r="H4614" s="39">
        <f>SUM(G4614:G4621)</f>
        <v>12.232200000000001</v>
      </c>
      <c r="I4614" s="40"/>
      <c r="J4614" s="155">
        <v>0</v>
      </c>
    </row>
    <row r="4615" spans="1:10" hidden="1" x14ac:dyDescent="0.25">
      <c r="A4615" s="173"/>
      <c r="B4615" s="175"/>
      <c r="C4615" s="36" t="s">
        <v>756</v>
      </c>
      <c r="D4615" s="36" t="s">
        <v>755</v>
      </c>
      <c r="E4615" s="37">
        <v>0.1</v>
      </c>
      <c r="F4615" s="54">
        <v>16.311500000000002</v>
      </c>
      <c r="G4615" s="54">
        <f>IF(ISNUMBER(F4615),E4615*F4615,"")</f>
        <v>1.6311500000000003</v>
      </c>
      <c r="H4615" s="73"/>
      <c r="I4615" s="74"/>
      <c r="J4615" s="155">
        <v>0</v>
      </c>
    </row>
    <row r="4616" spans="1:10" hidden="1" x14ac:dyDescent="0.25">
      <c r="A4616" s="173"/>
      <c r="B4616" s="175"/>
      <c r="C4616" s="36" t="s">
        <v>1501</v>
      </c>
      <c r="D4616" s="36" t="s">
        <v>953</v>
      </c>
      <c r="E4616" s="37">
        <v>0.1</v>
      </c>
      <c r="F4616" s="54" t="s">
        <v>568</v>
      </c>
      <c r="G4616" s="54" t="str">
        <f>IF(ISNUMBER(F4616),E4616*F4616,"")</f>
        <v/>
      </c>
      <c r="H4616" s="73"/>
      <c r="I4616" s="74"/>
      <c r="J4616" s="155">
        <v>0</v>
      </c>
    </row>
    <row r="4617" spans="1:10" ht="25.5" hidden="1" x14ac:dyDescent="0.25">
      <c r="A4617" s="173"/>
      <c r="B4617" s="175"/>
      <c r="C4617" s="36" t="s">
        <v>1503</v>
      </c>
      <c r="D4617" s="36" t="s">
        <v>95</v>
      </c>
      <c r="E4617" s="37">
        <v>1.1000000000000001</v>
      </c>
      <c r="F4617" s="54" t="s">
        <v>568</v>
      </c>
      <c r="G4617" s="54" t="str">
        <f>IF(ISNUMBER(F4617),E4617*F4617,"")</f>
        <v/>
      </c>
      <c r="H4617" s="73"/>
      <c r="I4617" s="74"/>
      <c r="J4617" s="155">
        <v>0</v>
      </c>
    </row>
    <row r="4618" spans="1:10" hidden="1" x14ac:dyDescent="0.25">
      <c r="A4618" s="173"/>
      <c r="B4618" s="175"/>
      <c r="C4618" s="36" t="s">
        <v>764</v>
      </c>
      <c r="D4618" s="36" t="s">
        <v>755</v>
      </c>
      <c r="E4618" s="37">
        <v>0.2</v>
      </c>
      <c r="F4618" s="54">
        <v>22.087499999999999</v>
      </c>
      <c r="G4618" s="54">
        <f>IF(ISNUMBER(F4618),E4618*F4618,"")</f>
        <v>4.4174999999999995</v>
      </c>
      <c r="H4618" s="73"/>
      <c r="I4618" s="40"/>
      <c r="J4618" s="155">
        <v>0</v>
      </c>
    </row>
    <row r="4619" spans="1:10" hidden="1" x14ac:dyDescent="0.25">
      <c r="A4619" s="173"/>
      <c r="B4619" s="175"/>
      <c r="C4619" s="36" t="s">
        <v>756</v>
      </c>
      <c r="D4619" s="36" t="s">
        <v>755</v>
      </c>
      <c r="E4619" s="37">
        <v>0.2</v>
      </c>
      <c r="F4619" s="54">
        <v>16.311500000000002</v>
      </c>
      <c r="G4619" s="54">
        <f>IF(ISNUMBER(F4619),E4619*F4619,"")</f>
        <v>3.2623000000000006</v>
      </c>
      <c r="H4619" s="73"/>
      <c r="I4619" s="74"/>
      <c r="J4619" s="155">
        <v>0</v>
      </c>
    </row>
    <row r="4620" spans="1:10" hidden="1" x14ac:dyDescent="0.25">
      <c r="A4620" s="173"/>
      <c r="B4620" s="175"/>
      <c r="C4620" s="36" t="s">
        <v>801</v>
      </c>
      <c r="D4620" s="36" t="s">
        <v>953</v>
      </c>
      <c r="E4620" s="37">
        <v>1.5</v>
      </c>
      <c r="F4620" s="54">
        <v>0.47499999999999998</v>
      </c>
      <c r="G4620" s="54">
        <f>IF(ISNUMBER(F4620),E4620*F4620,"")</f>
        <v>0.71249999999999991</v>
      </c>
      <c r="H4620" s="73"/>
      <c r="I4620" s="74"/>
      <c r="J4620" s="155">
        <v>0</v>
      </c>
    </row>
    <row r="4621" spans="1:10" hidden="1" x14ac:dyDescent="0.25">
      <c r="A4621" s="173"/>
      <c r="B4621" s="175"/>
      <c r="C4621" s="36" t="s">
        <v>1502</v>
      </c>
      <c r="D4621" s="36" t="s">
        <v>953</v>
      </c>
      <c r="E4621" s="37">
        <f>ROUND(E4620*0.1,2)</f>
        <v>0.15</v>
      </c>
      <c r="F4621" s="54" t="s">
        <v>568</v>
      </c>
      <c r="G4621" s="54" t="str">
        <f>IF(ISNUMBER(F4621),E4621*F4621,"")</f>
        <v/>
      </c>
      <c r="H4621" s="73"/>
      <c r="I4621" s="74"/>
      <c r="J4621" s="155">
        <v>0</v>
      </c>
    </row>
    <row r="4622" spans="1:10" hidden="1" x14ac:dyDescent="0.25">
      <c r="A4622" s="173"/>
      <c r="B4622" s="175"/>
      <c r="C4622" s="36"/>
      <c r="D4622" s="36"/>
      <c r="E4622" s="37"/>
      <c r="F4622" s="54" t="s">
        <v>568</v>
      </c>
      <c r="G4622" s="54" t="str">
        <f>IF(ISNUMBER(F4622),E4622*F4622,"")</f>
        <v/>
      </c>
      <c r="H4622" s="73"/>
      <c r="I4622" s="74"/>
      <c r="J4622" s="155">
        <v>0</v>
      </c>
    </row>
    <row r="4623" spans="1:10" ht="15.75" hidden="1" thickBot="1" x14ac:dyDescent="0.3">
      <c r="A4623" s="172" t="s">
        <v>1504</v>
      </c>
      <c r="B4623" s="174" t="str">
        <f>INDEX(Orçamentária!A:B,MATCH(Composições!A4623,Orçamentária!A:A,0),2)</f>
        <v>Demolição de revestimento de piso têxtil (carpete)</v>
      </c>
      <c r="C4623" s="41"/>
      <c r="D4623" s="26" t="str">
        <f>TRIM(INDEX(Orçamentária!C:C,MATCH(Composições!A4623,Orçamentária!A:A,0),1))</f>
        <v>m2</v>
      </c>
      <c r="E4623" s="27"/>
      <c r="F4623" s="49" t="s">
        <v>568</v>
      </c>
      <c r="G4623" s="28" t="str">
        <f>IF(ISNUMBER(F4623),E4623*F4623,"")</f>
        <v/>
      </c>
      <c r="H4623" s="29"/>
      <c r="I4623" s="30"/>
      <c r="J4623" s="155">
        <v>0</v>
      </c>
    </row>
    <row r="4624" spans="1:10" hidden="1" x14ac:dyDescent="0.25">
      <c r="A4624" s="173"/>
      <c r="B4624" s="175"/>
      <c r="C4624" s="32"/>
      <c r="D4624" s="32"/>
      <c r="E4624" s="33"/>
      <c r="F4624" s="54" t="s">
        <v>568</v>
      </c>
      <c r="G4624" s="54" t="str">
        <f>IF(ISNUMBER(F4624),E4624*F4624,"")</f>
        <v/>
      </c>
      <c r="H4624" s="73"/>
      <c r="I4624" s="74"/>
      <c r="J4624" s="155">
        <v>0</v>
      </c>
    </row>
    <row r="4625" spans="1:10" hidden="1" x14ac:dyDescent="0.25">
      <c r="A4625" s="173"/>
      <c r="B4625" s="175"/>
      <c r="C4625" s="36" t="s">
        <v>764</v>
      </c>
      <c r="D4625" s="36" t="s">
        <v>755</v>
      </c>
      <c r="E4625" s="37">
        <v>0.01</v>
      </c>
      <c r="F4625" s="54">
        <v>22.087499999999999</v>
      </c>
      <c r="G4625" s="54">
        <f>IF(ISNUMBER(F4625),E4625*F4625,"")</f>
        <v>0.22087499999999999</v>
      </c>
      <c r="H4625" s="39">
        <f>SUM(G4625:G4626)</f>
        <v>1.8520250000000003</v>
      </c>
      <c r="I4625" s="40"/>
      <c r="J4625" s="155">
        <v>0</v>
      </c>
    </row>
    <row r="4626" spans="1:10" hidden="1" x14ac:dyDescent="0.25">
      <c r="A4626" s="173"/>
      <c r="B4626" s="175"/>
      <c r="C4626" s="36" t="s">
        <v>756</v>
      </c>
      <c r="D4626" s="36" t="s">
        <v>755</v>
      </c>
      <c r="E4626" s="37">
        <v>0.1</v>
      </c>
      <c r="F4626" s="54">
        <v>16.311500000000002</v>
      </c>
      <c r="G4626" s="54">
        <f>IF(ISNUMBER(F4626),E4626*F4626,"")</f>
        <v>1.6311500000000003</v>
      </c>
      <c r="H4626" s="73"/>
      <c r="I4626" s="74"/>
      <c r="J4626" s="155">
        <v>0</v>
      </c>
    </row>
    <row r="4627" spans="1:10" ht="15.75" hidden="1" thickBot="1" x14ac:dyDescent="0.3">
      <c r="A4627" s="185"/>
      <c r="B4627" s="178"/>
      <c r="C4627" s="55"/>
      <c r="D4627" s="55"/>
      <c r="E4627" s="66"/>
      <c r="F4627" s="76" t="s">
        <v>568</v>
      </c>
      <c r="G4627" s="76" t="str">
        <f>IF(ISNUMBER(F4627),E4627*F4627,"")</f>
        <v/>
      </c>
      <c r="H4627" s="77"/>
      <c r="I4627" s="74"/>
      <c r="J4627" s="155">
        <v>0</v>
      </c>
    </row>
    <row r="4628" spans="1:10" ht="15.75" hidden="1" thickBot="1" x14ac:dyDescent="0.3">
      <c r="A4628" s="172" t="s">
        <v>3484</v>
      </c>
      <c r="B4628" s="174" t="str">
        <f>INDEX(Orçamentária!A:B,MATCH(Composições!A4628,Orçamentária!A:A,0),2)</f>
        <v>Bancada em granito cinza andorinha polido - 2,40 m x 0,60 m</v>
      </c>
      <c r="C4628" s="41"/>
      <c r="D4628" s="26" t="str">
        <f>TRIM(INDEX(Orçamentária!C:C,MATCH(Composições!A4628,Orçamentária!A:A,0),1))</f>
        <v>un</v>
      </c>
      <c r="E4628" s="27"/>
      <c r="F4628" s="49" t="s">
        <v>568</v>
      </c>
      <c r="G4628" s="28" t="str">
        <f>IF(ISNUMBER(F4628),E4628*F4628,"")</f>
        <v/>
      </c>
      <c r="H4628" s="29"/>
      <c r="I4628" s="30"/>
      <c r="J4628" s="155">
        <v>0</v>
      </c>
    </row>
    <row r="4629" spans="1:10" hidden="1" x14ac:dyDescent="0.25">
      <c r="A4629" s="173"/>
      <c r="B4629" s="175"/>
      <c r="C4629" s="32"/>
      <c r="D4629" s="32"/>
      <c r="E4629" s="33"/>
      <c r="F4629" s="54" t="s">
        <v>568</v>
      </c>
      <c r="G4629" s="54" t="str">
        <f>IF(ISNUMBER(F4629),E4629*F4629,"")</f>
        <v/>
      </c>
      <c r="H4629" s="73"/>
      <c r="I4629" s="74"/>
      <c r="J4629" s="155">
        <v>0</v>
      </c>
    </row>
    <row r="4630" spans="1:10" hidden="1" x14ac:dyDescent="0.25">
      <c r="A4630" s="173"/>
      <c r="B4630" s="175"/>
      <c r="C4630" s="36" t="s">
        <v>3459</v>
      </c>
      <c r="D4630" s="36" t="s">
        <v>953</v>
      </c>
      <c r="E4630" s="37">
        <f>0.5228*2.4/1.5</f>
        <v>0.83648</v>
      </c>
      <c r="F4630" s="54">
        <v>26.685499999999998</v>
      </c>
      <c r="G4630" s="54">
        <f>IF(ISNUMBER(F4630),E4630*F4630,"")</f>
        <v>22.321887039999996</v>
      </c>
      <c r="H4630" s="39">
        <f>SUM(G4630:G4636)</f>
        <v>1049.7943661399995</v>
      </c>
      <c r="I4630" s="40"/>
      <c r="J4630" s="155">
        <v>0</v>
      </c>
    </row>
    <row r="4631" spans="1:10" ht="38.25" hidden="1" x14ac:dyDescent="0.25">
      <c r="A4631" s="173"/>
      <c r="B4631" s="175"/>
      <c r="C4631" s="36" t="s">
        <v>1195</v>
      </c>
      <c r="D4631" s="36" t="s">
        <v>297</v>
      </c>
      <c r="E4631" s="37">
        <v>9</v>
      </c>
      <c r="F4631" s="54">
        <v>0.75049999999999994</v>
      </c>
      <c r="G4631" s="54">
        <f>IF(ISNUMBER(F4631),E4631*F4631,"")</f>
        <v>6.7544999999999993</v>
      </c>
      <c r="H4631" s="73"/>
      <c r="I4631" s="74"/>
      <c r="J4631" s="155">
        <v>0</v>
      </c>
    </row>
    <row r="4632" spans="1:10" ht="38.25" hidden="1" x14ac:dyDescent="0.25">
      <c r="A4632" s="173"/>
      <c r="B4632" s="175"/>
      <c r="C4632" s="36" t="s">
        <v>3455</v>
      </c>
      <c r="D4632" s="36" t="s">
        <v>1049</v>
      </c>
      <c r="E4632" s="37">
        <f>1.005*2.4/1.5</f>
        <v>1.6079999999999997</v>
      </c>
      <c r="F4632" s="54">
        <v>567.84349999999995</v>
      </c>
      <c r="G4632" s="54">
        <f>IF(ISNUMBER(F4632),E4632*F4632,"")</f>
        <v>913.09234799999967</v>
      </c>
      <c r="H4632" s="73"/>
      <c r="I4632" s="74"/>
      <c r="J4632" s="155">
        <v>0</v>
      </c>
    </row>
    <row r="4633" spans="1:10" hidden="1" x14ac:dyDescent="0.25">
      <c r="A4633" s="173"/>
      <c r="B4633" s="175"/>
      <c r="C4633" s="36" t="s">
        <v>3604</v>
      </c>
      <c r="D4633" s="36" t="s">
        <v>953</v>
      </c>
      <c r="E4633" s="37">
        <f>0.0211*2.4/1.5</f>
        <v>3.3759999999999998E-2</v>
      </c>
      <c r="F4633" s="54">
        <v>52.8675</v>
      </c>
      <c r="G4633" s="54">
        <f>IF(ISNUMBER(F4633),E4633*F4633,"")</f>
        <v>1.7848067999999999</v>
      </c>
      <c r="H4633" s="73"/>
      <c r="I4633" s="74"/>
      <c r="J4633" s="155">
        <v>0</v>
      </c>
    </row>
    <row r="4634" spans="1:10" ht="25.5" hidden="1" x14ac:dyDescent="0.25">
      <c r="A4634" s="173"/>
      <c r="B4634" s="175"/>
      <c r="C4634" s="36" t="s">
        <v>3467</v>
      </c>
      <c r="D4634" s="36" t="s">
        <v>297</v>
      </c>
      <c r="E4634" s="37">
        <v>3</v>
      </c>
      <c r="F4634" s="54">
        <v>20.7575</v>
      </c>
      <c r="G4634" s="54">
        <f>IF(ISNUMBER(F4634),E4634*F4634,"")</f>
        <v>62.272500000000001</v>
      </c>
      <c r="H4634" s="73"/>
      <c r="I4634" s="40"/>
      <c r="J4634" s="155">
        <v>0</v>
      </c>
    </row>
    <row r="4635" spans="1:10" hidden="1" x14ac:dyDescent="0.25">
      <c r="A4635" s="173"/>
      <c r="B4635" s="175"/>
      <c r="C4635" s="36" t="s">
        <v>3429</v>
      </c>
      <c r="D4635" s="36" t="s">
        <v>755</v>
      </c>
      <c r="E4635" s="37">
        <v>1.4944</v>
      </c>
      <c r="F4635" s="54">
        <v>18.420500000000001</v>
      </c>
      <c r="G4635" s="54">
        <f>IF(ISNUMBER(F4635),E4635*F4635,"")</f>
        <v>27.5275952</v>
      </c>
      <c r="H4635" s="73"/>
      <c r="I4635" s="74"/>
      <c r="J4635" s="155">
        <v>0</v>
      </c>
    </row>
    <row r="4636" spans="1:10" hidden="1" x14ac:dyDescent="0.25">
      <c r="A4636" s="173"/>
      <c r="B4636" s="175"/>
      <c r="C4636" s="36" t="s">
        <v>756</v>
      </c>
      <c r="D4636" s="36" t="s">
        <v>755</v>
      </c>
      <c r="E4636" s="37">
        <v>0.98340000000000005</v>
      </c>
      <c r="F4636" s="54">
        <v>16.311500000000002</v>
      </c>
      <c r="G4636" s="54">
        <f>IF(ISNUMBER(F4636),E4636*F4636,"")</f>
        <v>16.040729100000004</v>
      </c>
      <c r="H4636" s="73"/>
      <c r="I4636" s="74"/>
      <c r="J4636" s="155">
        <v>0</v>
      </c>
    </row>
    <row r="4637" spans="1:10" hidden="1" x14ac:dyDescent="0.25">
      <c r="A4637" s="173"/>
      <c r="B4637" s="175"/>
      <c r="C4637" s="36"/>
      <c r="D4637" s="36"/>
      <c r="E4637" s="37"/>
      <c r="F4637" s="54" t="s">
        <v>568</v>
      </c>
      <c r="G4637" s="54" t="str">
        <f>IF(ISNUMBER(F4637),E4637*F4637,"")</f>
        <v/>
      </c>
      <c r="H4637" s="73"/>
      <c r="I4637" s="74"/>
      <c r="J4637" s="155">
        <v>0</v>
      </c>
    </row>
    <row r="4638" spans="1:10" ht="15.75" hidden="1" thickBot="1" x14ac:dyDescent="0.3">
      <c r="A4638" s="172" t="s">
        <v>3485</v>
      </c>
      <c r="B4638" s="174" t="str">
        <f>INDEX(Orçamentária!A:B,MATCH(Composições!A4638,Orçamentária!A:A,0),2)</f>
        <v>Bancada em granito cinza andorinha polido - 2,50 m x 0,60 m</v>
      </c>
      <c r="C4638" s="41"/>
      <c r="D4638" s="26" t="str">
        <f>TRIM(INDEX(Orçamentária!C:C,MATCH(Composições!A4638,Orçamentária!A:A,0),1))</f>
        <v>un</v>
      </c>
      <c r="E4638" s="27"/>
      <c r="F4638" s="49" t="s">
        <v>568</v>
      </c>
      <c r="G4638" s="28" t="str">
        <f>IF(ISNUMBER(F4638),E4638*F4638,"")</f>
        <v/>
      </c>
      <c r="H4638" s="29"/>
      <c r="I4638" s="30"/>
      <c r="J4638" s="155">
        <v>0</v>
      </c>
    </row>
    <row r="4639" spans="1:10" hidden="1" x14ac:dyDescent="0.25">
      <c r="A4639" s="173"/>
      <c r="B4639" s="175"/>
      <c r="C4639" s="32"/>
      <c r="D4639" s="32"/>
      <c r="E4639" s="33"/>
      <c r="F4639" s="54" t="s">
        <v>568</v>
      </c>
      <c r="G4639" s="54" t="str">
        <f>IF(ISNUMBER(F4639),E4639*F4639,"")</f>
        <v/>
      </c>
      <c r="H4639" s="73"/>
      <c r="I4639" s="74"/>
      <c r="J4639" s="155">
        <v>0</v>
      </c>
    </row>
    <row r="4640" spans="1:10" hidden="1" x14ac:dyDescent="0.25">
      <c r="A4640" s="173"/>
      <c r="B4640" s="175"/>
      <c r="C4640" s="36" t="s">
        <v>3459</v>
      </c>
      <c r="D4640" s="36" t="s">
        <v>953</v>
      </c>
      <c r="E4640" s="37">
        <f>0.5228*2.5/1.5</f>
        <v>0.8713333333333334</v>
      </c>
      <c r="F4640" s="54">
        <v>26.685499999999998</v>
      </c>
      <c r="G4640" s="54">
        <f>IF(ISNUMBER(F4640),E4640*F4640,"")</f>
        <v>23.251965666666667</v>
      </c>
      <c r="H4640" s="39">
        <f>SUM(G4640:G4646)</f>
        <v>1088.8443262166663</v>
      </c>
      <c r="I4640" s="40"/>
      <c r="J4640" s="155">
        <v>0</v>
      </c>
    </row>
    <row r="4641" spans="1:10" ht="38.25" hidden="1" x14ac:dyDescent="0.25">
      <c r="A4641" s="173"/>
      <c r="B4641" s="175"/>
      <c r="C4641" s="36" t="s">
        <v>1195</v>
      </c>
      <c r="D4641" s="36" t="s">
        <v>297</v>
      </c>
      <c r="E4641" s="37">
        <v>9</v>
      </c>
      <c r="F4641" s="54">
        <v>0.75049999999999994</v>
      </c>
      <c r="G4641" s="54">
        <f>IF(ISNUMBER(F4641),E4641*F4641,"")</f>
        <v>6.7544999999999993</v>
      </c>
      <c r="H4641" s="73"/>
      <c r="I4641" s="74"/>
      <c r="J4641" s="155">
        <v>0</v>
      </c>
    </row>
    <row r="4642" spans="1:10" ht="38.25" hidden="1" x14ac:dyDescent="0.25">
      <c r="A4642" s="173"/>
      <c r="B4642" s="175"/>
      <c r="C4642" s="36" t="s">
        <v>3455</v>
      </c>
      <c r="D4642" s="36" t="s">
        <v>1049</v>
      </c>
      <c r="E4642" s="37">
        <f>1.005*2.5/1.5</f>
        <v>1.6749999999999998</v>
      </c>
      <c r="F4642" s="54">
        <v>567.84349999999995</v>
      </c>
      <c r="G4642" s="54">
        <f>IF(ISNUMBER(F4642),E4642*F4642,"")</f>
        <v>951.13786249999987</v>
      </c>
      <c r="H4642" s="73"/>
      <c r="I4642" s="74"/>
      <c r="J4642" s="155">
        <v>0</v>
      </c>
    </row>
    <row r="4643" spans="1:10" hidden="1" x14ac:dyDescent="0.25">
      <c r="A4643" s="173"/>
      <c r="B4643" s="175"/>
      <c r="C4643" s="36" t="s">
        <v>3604</v>
      </c>
      <c r="D4643" s="36" t="s">
        <v>953</v>
      </c>
      <c r="E4643" s="37">
        <f>0.0211*2.5/1.5</f>
        <v>3.5166666666666672E-2</v>
      </c>
      <c r="F4643" s="54">
        <v>52.8675</v>
      </c>
      <c r="G4643" s="54">
        <f>IF(ISNUMBER(F4643),E4643*F4643,"")</f>
        <v>1.8591737500000003</v>
      </c>
      <c r="H4643" s="73"/>
      <c r="I4643" s="74"/>
      <c r="J4643" s="155">
        <v>0</v>
      </c>
    </row>
    <row r="4644" spans="1:10" ht="25.5" hidden="1" x14ac:dyDescent="0.25">
      <c r="A4644" s="173"/>
      <c r="B4644" s="175"/>
      <c r="C4644" s="36" t="s">
        <v>3467</v>
      </c>
      <c r="D4644" s="36" t="s">
        <v>297</v>
      </c>
      <c r="E4644" s="37">
        <v>3</v>
      </c>
      <c r="F4644" s="54">
        <v>20.7575</v>
      </c>
      <c r="G4644" s="54">
        <f>IF(ISNUMBER(F4644),E4644*F4644,"")</f>
        <v>62.272500000000001</v>
      </c>
      <c r="H4644" s="73"/>
      <c r="I4644" s="40"/>
      <c r="J4644" s="155">
        <v>0</v>
      </c>
    </row>
    <row r="4645" spans="1:10" hidden="1" x14ac:dyDescent="0.25">
      <c r="A4645" s="173"/>
      <c r="B4645" s="175"/>
      <c r="C4645" s="36" t="s">
        <v>3429</v>
      </c>
      <c r="D4645" s="36" t="s">
        <v>755</v>
      </c>
      <c r="E4645" s="37">
        <v>1.4944</v>
      </c>
      <c r="F4645" s="54">
        <v>18.420500000000001</v>
      </c>
      <c r="G4645" s="54">
        <f>IF(ISNUMBER(F4645),E4645*F4645,"")</f>
        <v>27.5275952</v>
      </c>
      <c r="H4645" s="73"/>
      <c r="I4645" s="74"/>
      <c r="J4645" s="155">
        <v>0</v>
      </c>
    </row>
    <row r="4646" spans="1:10" hidden="1" x14ac:dyDescent="0.25">
      <c r="A4646" s="173"/>
      <c r="B4646" s="175"/>
      <c r="C4646" s="36" t="s">
        <v>756</v>
      </c>
      <c r="D4646" s="36" t="s">
        <v>755</v>
      </c>
      <c r="E4646" s="37">
        <v>0.98340000000000005</v>
      </c>
      <c r="F4646" s="54">
        <v>16.311500000000002</v>
      </c>
      <c r="G4646" s="54">
        <f>IF(ISNUMBER(F4646),E4646*F4646,"")</f>
        <v>16.040729100000004</v>
      </c>
      <c r="H4646" s="73"/>
      <c r="I4646" s="74"/>
      <c r="J4646" s="155">
        <v>0</v>
      </c>
    </row>
    <row r="4647" spans="1:10" hidden="1" x14ac:dyDescent="0.25">
      <c r="A4647" s="173"/>
      <c r="B4647" s="175"/>
      <c r="C4647" s="36"/>
      <c r="D4647" s="36"/>
      <c r="E4647" s="37"/>
      <c r="F4647" s="54" t="s">
        <v>568</v>
      </c>
      <c r="G4647" s="54" t="str">
        <f>IF(ISNUMBER(F4647),E4647*F4647,"")</f>
        <v/>
      </c>
      <c r="H4647" s="73"/>
      <c r="I4647" s="74"/>
      <c r="J4647" s="155">
        <v>0</v>
      </c>
    </row>
    <row r="4648" spans="1:10" ht="15.75" hidden="1" thickBot="1" x14ac:dyDescent="0.3">
      <c r="A4648" s="172" t="s">
        <v>3489</v>
      </c>
      <c r="B4648" s="174" t="str">
        <f>INDEX(Orçamentária!A:B,MATCH(Composições!A4648,Orçamentária!A:A,0),2)</f>
        <v>Batedor/limitador inferior para box de correr</v>
      </c>
      <c r="C4648" s="41"/>
      <c r="D4648" s="26" t="str">
        <f>TRIM(INDEX(Orçamentária!C:C,MATCH(Composições!A4648,Orçamentária!A:A,0),1))</f>
        <v>un</v>
      </c>
      <c r="E4648" s="27"/>
      <c r="F4648" s="42" t="s">
        <v>568</v>
      </c>
      <c r="G4648" s="28" t="str">
        <f>IF(ISNUMBER(F4648),E4648*F4648,"")</f>
        <v/>
      </c>
      <c r="H4648" s="29"/>
      <c r="I4648" s="30"/>
      <c r="J4648" s="155">
        <v>0</v>
      </c>
    </row>
    <row r="4649" spans="1:10" hidden="1" x14ac:dyDescent="0.25">
      <c r="A4649" s="176"/>
      <c r="B4649" s="175"/>
      <c r="C4649" s="32"/>
      <c r="D4649" s="32"/>
      <c r="E4649" s="33"/>
      <c r="F4649" s="43" t="s">
        <v>568</v>
      </c>
      <c r="G4649" s="34" t="str">
        <f>IF(ISNUMBER(F4649),E4649*F4649,"")</f>
        <v/>
      </c>
      <c r="H4649" s="35"/>
      <c r="I4649" s="31"/>
      <c r="J4649" s="155">
        <v>0</v>
      </c>
    </row>
    <row r="4650" spans="1:10" hidden="1" x14ac:dyDescent="0.25">
      <c r="A4650" s="176"/>
      <c r="B4650" s="175"/>
      <c r="C4650" s="36" t="s">
        <v>68</v>
      </c>
      <c r="D4650" s="36" t="s">
        <v>12</v>
      </c>
      <c r="E4650" s="37">
        <v>0.15</v>
      </c>
      <c r="F4650" s="34">
        <v>20.539000000000001</v>
      </c>
      <c r="G4650" s="34">
        <f>IF(ISNUMBER(F4650),E4650*F4650,"")</f>
        <v>3.0808500000000003</v>
      </c>
      <c r="H4650" s="39">
        <f>SUM(G4650:G4651)</f>
        <v>3.0808500000000003</v>
      </c>
      <c r="I4650" s="40"/>
      <c r="J4650" s="155">
        <v>0</v>
      </c>
    </row>
    <row r="4651" spans="1:10" ht="25.5" hidden="1" x14ac:dyDescent="0.25">
      <c r="A4651" s="176"/>
      <c r="B4651" s="175"/>
      <c r="C4651" s="36" t="s">
        <v>3635</v>
      </c>
      <c r="D4651" s="36" t="s">
        <v>20</v>
      </c>
      <c r="E4651" s="37">
        <v>1</v>
      </c>
      <c r="F4651" s="31" t="s">
        <v>568</v>
      </c>
      <c r="G4651" s="34" t="str">
        <f>IF(ISNUMBER(F4651),E4651*F4651,"")</f>
        <v/>
      </c>
      <c r="H4651" s="35"/>
      <c r="I4651" s="31"/>
      <c r="J4651" s="155">
        <v>0</v>
      </c>
    </row>
    <row r="4652" spans="1:10" ht="15.75" hidden="1" thickBot="1" x14ac:dyDescent="0.3">
      <c r="A4652" s="177"/>
      <c r="B4652" s="178"/>
      <c r="C4652" s="36"/>
      <c r="D4652" s="36"/>
      <c r="E4652" s="37"/>
      <c r="F4652" s="31" t="s">
        <v>568</v>
      </c>
      <c r="G4652" s="34" t="str">
        <f>IF(ISNUMBER(F4652),E4652*F4652,"")</f>
        <v/>
      </c>
      <c r="H4652" s="35"/>
      <c r="I4652" s="31"/>
      <c r="J4652" s="155">
        <v>0</v>
      </c>
    </row>
    <row r="4653" spans="1:10" ht="15.75" hidden="1" thickBot="1" x14ac:dyDescent="0.3">
      <c r="A4653" s="172" t="s">
        <v>3490</v>
      </c>
      <c r="B4653" s="174" t="str">
        <f>INDEX(Orçamentária!A:B,MATCH(Composições!A4653,Orçamentária!A:A,0),2)</f>
        <v>Batedor/amortecedor lateral para box de correr</v>
      </c>
      <c r="C4653" s="41"/>
      <c r="D4653" s="26" t="str">
        <f>TRIM(INDEX(Orçamentária!C:C,MATCH(Composições!A4653,Orçamentária!A:A,0),1))</f>
        <v>un</v>
      </c>
      <c r="E4653" s="27"/>
      <c r="F4653" s="42" t="s">
        <v>568</v>
      </c>
      <c r="G4653" s="28" t="str">
        <f>IF(ISNUMBER(F4653),E4653*F4653,"")</f>
        <v/>
      </c>
      <c r="H4653" s="29"/>
      <c r="I4653" s="30"/>
      <c r="J4653" s="155">
        <v>0</v>
      </c>
    </row>
    <row r="4654" spans="1:10" hidden="1" x14ac:dyDescent="0.25">
      <c r="A4654" s="176"/>
      <c r="B4654" s="175"/>
      <c r="C4654" s="32"/>
      <c r="D4654" s="32"/>
      <c r="E4654" s="33"/>
      <c r="F4654" s="43" t="s">
        <v>568</v>
      </c>
      <c r="G4654" s="34" t="str">
        <f>IF(ISNUMBER(F4654),E4654*F4654,"")</f>
        <v/>
      </c>
      <c r="H4654" s="35"/>
      <c r="I4654" s="31"/>
      <c r="J4654" s="155">
        <v>0</v>
      </c>
    </row>
    <row r="4655" spans="1:10" hidden="1" x14ac:dyDescent="0.25">
      <c r="A4655" s="176"/>
      <c r="B4655" s="175"/>
      <c r="C4655" s="36" t="s">
        <v>68</v>
      </c>
      <c r="D4655" s="36" t="s">
        <v>12</v>
      </c>
      <c r="E4655" s="37">
        <v>0.15</v>
      </c>
      <c r="F4655" s="34">
        <v>20.539000000000001</v>
      </c>
      <c r="G4655" s="34">
        <f>IF(ISNUMBER(F4655),E4655*F4655,"")</f>
        <v>3.0808500000000003</v>
      </c>
      <c r="H4655" s="39">
        <f>SUM(G4655:G4656)</f>
        <v>3.0808500000000003</v>
      </c>
      <c r="I4655" s="40"/>
      <c r="J4655" s="155">
        <v>0</v>
      </c>
    </row>
    <row r="4656" spans="1:10" hidden="1" x14ac:dyDescent="0.25">
      <c r="A4656" s="176"/>
      <c r="B4656" s="175"/>
      <c r="C4656" s="36" t="s">
        <v>3636</v>
      </c>
      <c r="D4656" s="36" t="s">
        <v>20</v>
      </c>
      <c r="E4656" s="37">
        <v>1</v>
      </c>
      <c r="F4656" s="31" t="s">
        <v>568</v>
      </c>
      <c r="G4656" s="34" t="str">
        <f>IF(ISNUMBER(F4656),E4656*F4656,"")</f>
        <v/>
      </c>
      <c r="H4656" s="35"/>
      <c r="I4656" s="31"/>
      <c r="J4656" s="155">
        <v>0</v>
      </c>
    </row>
    <row r="4657" spans="1:10" ht="15.75" hidden="1" thickBot="1" x14ac:dyDescent="0.3">
      <c r="A4657" s="177"/>
      <c r="B4657" s="178"/>
      <c r="C4657" s="36"/>
      <c r="D4657" s="36"/>
      <c r="E4657" s="37"/>
      <c r="F4657" s="31" t="s">
        <v>568</v>
      </c>
      <c r="G4657" s="34" t="str">
        <f>IF(ISNUMBER(F4657),E4657*F4657,"")</f>
        <v/>
      </c>
      <c r="H4657" s="35"/>
      <c r="I4657" s="31"/>
      <c r="J4657" s="155">
        <v>0</v>
      </c>
    </row>
    <row r="4658" spans="1:10" ht="15.75" hidden="1" thickBot="1" x14ac:dyDescent="0.3">
      <c r="A4658" s="172" t="s">
        <v>3491</v>
      </c>
      <c r="B4658" s="174" t="str">
        <f>INDEX(Orçamentária!A:B,MATCH(Composições!A4658,Orçamentária!A:A,0),2)</f>
        <v>Batedor/limitador superior para box de correr</v>
      </c>
      <c r="C4658" s="41"/>
      <c r="D4658" s="26" t="str">
        <f>TRIM(INDEX(Orçamentária!C:C,MATCH(Composições!A4658,Orçamentária!A:A,0),1))</f>
        <v>un</v>
      </c>
      <c r="E4658" s="27"/>
      <c r="F4658" s="42" t="s">
        <v>568</v>
      </c>
      <c r="G4658" s="28" t="str">
        <f>IF(ISNUMBER(F4658),E4658*F4658,"")</f>
        <v/>
      </c>
      <c r="H4658" s="29"/>
      <c r="I4658" s="30"/>
      <c r="J4658" s="155">
        <v>0</v>
      </c>
    </row>
    <row r="4659" spans="1:10" hidden="1" x14ac:dyDescent="0.25">
      <c r="A4659" s="176"/>
      <c r="B4659" s="175"/>
      <c r="C4659" s="32"/>
      <c r="D4659" s="32"/>
      <c r="E4659" s="33"/>
      <c r="F4659" s="43" t="s">
        <v>568</v>
      </c>
      <c r="G4659" s="34" t="str">
        <f>IF(ISNUMBER(F4659),E4659*F4659,"")</f>
        <v/>
      </c>
      <c r="H4659" s="35"/>
      <c r="I4659" s="31"/>
      <c r="J4659" s="155">
        <v>0</v>
      </c>
    </row>
    <row r="4660" spans="1:10" hidden="1" x14ac:dyDescent="0.25">
      <c r="A4660" s="176"/>
      <c r="B4660" s="175"/>
      <c r="C4660" s="36" t="s">
        <v>68</v>
      </c>
      <c r="D4660" s="36" t="s">
        <v>12</v>
      </c>
      <c r="E4660" s="37">
        <v>0.15</v>
      </c>
      <c r="F4660" s="34">
        <v>20.539000000000001</v>
      </c>
      <c r="G4660" s="34">
        <f>IF(ISNUMBER(F4660),E4660*F4660,"")</f>
        <v>3.0808500000000003</v>
      </c>
      <c r="H4660" s="39">
        <f>SUM(G4660:G4661)</f>
        <v>3.0808500000000003</v>
      </c>
      <c r="I4660" s="40"/>
      <c r="J4660" s="155">
        <v>0</v>
      </c>
    </row>
    <row r="4661" spans="1:10" ht="25.5" hidden="1" x14ac:dyDescent="0.25">
      <c r="A4661" s="176"/>
      <c r="B4661" s="175"/>
      <c r="C4661" s="36" t="s">
        <v>3637</v>
      </c>
      <c r="D4661" s="36" t="s">
        <v>20</v>
      </c>
      <c r="E4661" s="37">
        <v>1</v>
      </c>
      <c r="F4661" s="31" t="s">
        <v>568</v>
      </c>
      <c r="G4661" s="34" t="str">
        <f>IF(ISNUMBER(F4661),E4661*F4661,"")</f>
        <v/>
      </c>
      <c r="H4661" s="35"/>
      <c r="I4661" s="31"/>
      <c r="J4661" s="155">
        <v>0</v>
      </c>
    </row>
    <row r="4662" spans="1:10" ht="15.75" hidden="1" thickBot="1" x14ac:dyDescent="0.3">
      <c r="A4662" s="177"/>
      <c r="B4662" s="178"/>
      <c r="C4662" s="36"/>
      <c r="D4662" s="36"/>
      <c r="E4662" s="37"/>
      <c r="F4662" s="31" t="s">
        <v>568</v>
      </c>
      <c r="G4662" s="34" t="str">
        <f>IF(ISNUMBER(F4662),E4662*F4662,"")</f>
        <v/>
      </c>
      <c r="H4662" s="35"/>
      <c r="I4662" s="31"/>
      <c r="J4662" s="155">
        <v>0</v>
      </c>
    </row>
    <row r="4663" spans="1:10" ht="15.75" hidden="1" customHeight="1" thickBot="1" x14ac:dyDescent="0.3">
      <c r="A4663" s="172" t="s">
        <v>3492</v>
      </c>
      <c r="B4663" s="174" t="str">
        <f>INDEX(Orçamentária!A:B,MATCH(Composições!A4663,Orçamentária!A:A,0),2)</f>
        <v>Perfil cadeirinha em alumínio com encaixe para escova de vedação para vidro temperado 8mm</v>
      </c>
      <c r="C4663" s="41"/>
      <c r="D4663" s="26" t="str">
        <f>TRIM(INDEX(Orçamentária!C:C,MATCH(Composições!A4663,Orçamentária!A:A,0),1))</f>
        <v>m</v>
      </c>
      <c r="E4663" s="27"/>
      <c r="F4663" s="42" t="s">
        <v>568</v>
      </c>
      <c r="G4663" s="28" t="str">
        <f>IF(ISNUMBER(F4663),E4663*F4663,"")</f>
        <v/>
      </c>
      <c r="H4663" s="29"/>
      <c r="I4663" s="30"/>
      <c r="J4663" s="155">
        <v>0</v>
      </c>
    </row>
    <row r="4664" spans="1:10" hidden="1" x14ac:dyDescent="0.25">
      <c r="A4664" s="173"/>
      <c r="B4664" s="186"/>
      <c r="C4664" s="32"/>
      <c r="D4664" s="32"/>
      <c r="E4664" s="33"/>
      <c r="F4664" s="43" t="s">
        <v>568</v>
      </c>
      <c r="G4664" s="34" t="str">
        <f>IF(ISNUMBER(F4664),E4664*F4664,"")</f>
        <v/>
      </c>
      <c r="H4664" s="35"/>
      <c r="I4664" s="31"/>
      <c r="J4664" s="155">
        <v>0</v>
      </c>
    </row>
    <row r="4665" spans="1:10" hidden="1" x14ac:dyDescent="0.25">
      <c r="A4665" s="173"/>
      <c r="B4665" s="186"/>
      <c r="C4665" s="36" t="s">
        <v>68</v>
      </c>
      <c r="D4665" s="36" t="s">
        <v>12</v>
      </c>
      <c r="E4665" s="37">
        <v>0.2</v>
      </c>
      <c r="F4665" s="34">
        <v>20.539000000000001</v>
      </c>
      <c r="G4665" s="34">
        <f>IF(ISNUMBER(F4665),E4665*F4665,"")</f>
        <v>4.1078000000000001</v>
      </c>
      <c r="H4665" s="39">
        <f>SUM(G4665:G4666)</f>
        <v>8.6599910000000015</v>
      </c>
      <c r="I4665" s="40"/>
      <c r="J4665" s="155">
        <v>0</v>
      </c>
    </row>
    <row r="4666" spans="1:10" hidden="1" x14ac:dyDescent="0.25">
      <c r="A4666" s="173"/>
      <c r="B4666" s="186"/>
      <c r="C4666" s="36" t="s">
        <v>889</v>
      </c>
      <c r="D4666" s="36" t="s">
        <v>42</v>
      </c>
      <c r="E4666" s="37">
        <v>0.126</v>
      </c>
      <c r="F4666" s="31">
        <v>36.128500000000003</v>
      </c>
      <c r="G4666" s="34">
        <f>IF(ISNUMBER(F4666),E4666*F4666,"")</f>
        <v>4.5521910000000005</v>
      </c>
      <c r="H4666" s="35"/>
      <c r="I4666" s="31"/>
      <c r="J4666" s="155">
        <v>0</v>
      </c>
    </row>
    <row r="4667" spans="1:10" hidden="1" x14ac:dyDescent="0.25">
      <c r="A4667" s="173"/>
      <c r="B4667" s="186"/>
      <c r="C4667" s="36"/>
      <c r="D4667" s="36"/>
      <c r="E4667" s="37"/>
      <c r="F4667" s="31"/>
      <c r="G4667" s="34"/>
      <c r="H4667" s="35"/>
      <c r="I4667" s="31"/>
      <c r="J4667" s="155">
        <v>0</v>
      </c>
    </row>
    <row r="4668" spans="1:10" hidden="1" x14ac:dyDescent="0.25">
      <c r="A4668" s="173"/>
      <c r="B4668" s="186"/>
      <c r="C4668" s="52" t="s">
        <v>3639</v>
      </c>
      <c r="D4668" s="36"/>
      <c r="E4668" s="37"/>
      <c r="F4668" s="31"/>
      <c r="G4668" s="34"/>
      <c r="H4668" s="35"/>
      <c r="I4668" s="31"/>
      <c r="J4668" s="155">
        <v>0</v>
      </c>
    </row>
    <row r="4669" spans="1:10" hidden="1" x14ac:dyDescent="0.25">
      <c r="A4669" s="173"/>
      <c r="B4669" s="186"/>
      <c r="C4669" s="52" t="s">
        <v>3638</v>
      </c>
      <c r="D4669" s="36"/>
      <c r="E4669" s="37"/>
      <c r="F4669" s="31" t="s">
        <v>568</v>
      </c>
      <c r="G4669" s="34" t="str">
        <f>IF(ISNUMBER(F4669),E4669*F4669,"")</f>
        <v/>
      </c>
      <c r="H4669" s="35"/>
      <c r="I4669" s="31"/>
      <c r="J4669" s="155">
        <v>0</v>
      </c>
    </row>
    <row r="4670" spans="1:10" ht="15.75" hidden="1" thickBot="1" x14ac:dyDescent="0.3">
      <c r="A4670" s="185"/>
      <c r="B4670" s="178"/>
      <c r="C4670" s="52"/>
      <c r="D4670" s="36"/>
      <c r="E4670" s="37"/>
      <c r="F4670" s="31"/>
      <c r="G4670" s="34"/>
      <c r="H4670" s="35"/>
      <c r="I4670" s="31"/>
      <c r="J4670" s="155">
        <v>0</v>
      </c>
    </row>
    <row r="4671" spans="1:10" ht="15.75" hidden="1" thickBot="1" x14ac:dyDescent="0.3">
      <c r="A4671" s="172" t="s">
        <v>3493</v>
      </c>
      <c r="B4671" s="174" t="str">
        <f>INDEX(Orçamentária!A:B,MATCH(Composições!A4671,Orçamentária!A:A,0),2)</f>
        <v>Perfil em alumínio para acabamento de trilho superior - Vidro temperado 8mm</v>
      </c>
      <c r="C4671" s="41"/>
      <c r="D4671" s="26" t="str">
        <f>TRIM(INDEX(Orçamentária!C:C,MATCH(Composições!A4671,Orçamentária!A:A,0),1))</f>
        <v>m</v>
      </c>
      <c r="E4671" s="27"/>
      <c r="F4671" s="42" t="s">
        <v>568</v>
      </c>
      <c r="G4671" s="28" t="str">
        <f>IF(ISNUMBER(F4671),E4671*F4671,"")</f>
        <v/>
      </c>
      <c r="H4671" s="29"/>
      <c r="I4671" s="30"/>
      <c r="J4671" s="155">
        <v>0</v>
      </c>
    </row>
    <row r="4672" spans="1:10" hidden="1" x14ac:dyDescent="0.25">
      <c r="A4672" s="176"/>
      <c r="B4672" s="175"/>
      <c r="C4672" s="32"/>
      <c r="D4672" s="32"/>
      <c r="E4672" s="33"/>
      <c r="F4672" s="43" t="s">
        <v>568</v>
      </c>
      <c r="G4672" s="34" t="str">
        <f>IF(ISNUMBER(F4672),E4672*F4672,"")</f>
        <v/>
      </c>
      <c r="H4672" s="35"/>
      <c r="I4672" s="31"/>
      <c r="J4672" s="155">
        <v>0</v>
      </c>
    </row>
    <row r="4673" spans="1:10" hidden="1" x14ac:dyDescent="0.25">
      <c r="A4673" s="176"/>
      <c r="B4673" s="175"/>
      <c r="C4673" s="36" t="s">
        <v>68</v>
      </c>
      <c r="D4673" s="36" t="s">
        <v>12</v>
      </c>
      <c r="E4673" s="37">
        <v>0.2</v>
      </c>
      <c r="F4673" s="34">
        <v>20.539000000000001</v>
      </c>
      <c r="G4673" s="34">
        <f>IF(ISNUMBER(F4673),E4673*F4673,"")</f>
        <v>4.1078000000000001</v>
      </c>
      <c r="H4673" s="39">
        <f>SUM(G4673:G4674)</f>
        <v>12.236712499999999</v>
      </c>
      <c r="I4673" s="40"/>
      <c r="J4673" s="155">
        <v>0</v>
      </c>
    </row>
    <row r="4674" spans="1:10" hidden="1" x14ac:dyDescent="0.25">
      <c r="A4674" s="176"/>
      <c r="B4674" s="175"/>
      <c r="C4674" s="36" t="s">
        <v>889</v>
      </c>
      <c r="D4674" s="36" t="s">
        <v>42</v>
      </c>
      <c r="E4674" s="37">
        <v>0.22500000000000001</v>
      </c>
      <c r="F4674" s="31">
        <v>36.128500000000003</v>
      </c>
      <c r="G4674" s="34">
        <f>IF(ISNUMBER(F4674),E4674*F4674,"")</f>
        <v>8.1289125000000002</v>
      </c>
      <c r="H4674" s="35"/>
      <c r="I4674" s="31"/>
      <c r="J4674" s="155">
        <v>0</v>
      </c>
    </row>
    <row r="4675" spans="1:10" hidden="1" x14ac:dyDescent="0.25">
      <c r="A4675" s="176"/>
      <c r="B4675" s="175"/>
      <c r="C4675" s="36"/>
      <c r="D4675" s="36"/>
      <c r="E4675" s="37"/>
      <c r="F4675" s="31"/>
      <c r="G4675" s="34"/>
      <c r="H4675" s="35"/>
      <c r="I4675" s="31"/>
      <c r="J4675" s="155">
        <v>0</v>
      </c>
    </row>
    <row r="4676" spans="1:10" hidden="1" x14ac:dyDescent="0.25">
      <c r="A4676" s="176"/>
      <c r="B4676" s="175"/>
      <c r="C4676" s="52" t="s">
        <v>3640</v>
      </c>
      <c r="D4676" s="36"/>
      <c r="E4676" s="37"/>
      <c r="F4676" s="31"/>
      <c r="G4676" s="34"/>
      <c r="H4676" s="35"/>
      <c r="I4676" s="31"/>
      <c r="J4676" s="155">
        <v>0</v>
      </c>
    </row>
    <row r="4677" spans="1:10" hidden="1" x14ac:dyDescent="0.25">
      <c r="A4677" s="176"/>
      <c r="B4677" s="175"/>
      <c r="C4677" s="52" t="s">
        <v>3638</v>
      </c>
      <c r="D4677" s="36"/>
      <c r="E4677" s="37"/>
      <c r="F4677" s="31"/>
      <c r="G4677" s="34"/>
      <c r="H4677" s="35"/>
      <c r="I4677" s="31"/>
      <c r="J4677" s="155">
        <v>0</v>
      </c>
    </row>
    <row r="4678" spans="1:10" ht="15.75" hidden="1" thickBot="1" x14ac:dyDescent="0.3">
      <c r="A4678" s="177"/>
      <c r="B4678" s="178"/>
      <c r="C4678" s="36"/>
      <c r="D4678" s="36"/>
      <c r="E4678" s="37"/>
      <c r="F4678" s="31" t="s">
        <v>568</v>
      </c>
      <c r="G4678" s="34" t="str">
        <f>IF(ISNUMBER(F4678),E4678*F4678,"")</f>
        <v/>
      </c>
      <c r="H4678" s="35"/>
      <c r="I4678" s="31"/>
      <c r="J4678" s="155">
        <v>0</v>
      </c>
    </row>
    <row r="4679" spans="1:10" ht="15.75" hidden="1" thickBot="1" x14ac:dyDescent="0.3">
      <c r="A4679" s="172" t="s">
        <v>3494</v>
      </c>
      <c r="B4679" s="174" t="str">
        <f>INDEX(Orçamentária!A:B,MATCH(Composições!A4679,Orçamentária!A:A,0),2)</f>
        <v>Capa do Perfil Guia Inferior “Click” - Vidro temperado 8mm</v>
      </c>
      <c r="C4679" s="41"/>
      <c r="D4679" s="26" t="str">
        <f>TRIM(INDEX(Orçamentária!C:C,MATCH(Composições!A4679,Orçamentária!A:A,0),1))</f>
        <v>m</v>
      </c>
      <c r="E4679" s="27"/>
      <c r="F4679" s="42" t="s">
        <v>568</v>
      </c>
      <c r="G4679" s="28" t="str">
        <f>IF(ISNUMBER(F4679),E4679*F4679,"")</f>
        <v/>
      </c>
      <c r="H4679" s="29"/>
      <c r="I4679" s="30"/>
      <c r="J4679" s="155">
        <v>0</v>
      </c>
    </row>
    <row r="4680" spans="1:10" hidden="1" x14ac:dyDescent="0.25">
      <c r="A4680" s="176"/>
      <c r="B4680" s="175"/>
      <c r="C4680" s="32"/>
      <c r="D4680" s="32"/>
      <c r="E4680" s="33"/>
      <c r="F4680" s="43" t="s">
        <v>568</v>
      </c>
      <c r="G4680" s="34" t="str">
        <f>IF(ISNUMBER(F4680),E4680*F4680,"")</f>
        <v/>
      </c>
      <c r="H4680" s="35"/>
      <c r="I4680" s="31"/>
      <c r="J4680" s="155">
        <v>0</v>
      </c>
    </row>
    <row r="4681" spans="1:10" hidden="1" x14ac:dyDescent="0.25">
      <c r="A4681" s="176"/>
      <c r="B4681" s="175"/>
      <c r="C4681" s="36" t="s">
        <v>68</v>
      </c>
      <c r="D4681" s="36" t="s">
        <v>12</v>
      </c>
      <c r="E4681" s="37">
        <v>0.15</v>
      </c>
      <c r="F4681" s="34">
        <v>20.539000000000001</v>
      </c>
      <c r="G4681" s="34">
        <f>IF(ISNUMBER(F4681),E4681*F4681,"")</f>
        <v>3.0808500000000003</v>
      </c>
      <c r="H4681" s="39">
        <f>SUM(G4681:G4682)</f>
        <v>5.0679175000000001</v>
      </c>
      <c r="I4681" s="40"/>
      <c r="J4681" s="155">
        <v>0</v>
      </c>
    </row>
    <row r="4682" spans="1:10" hidden="1" x14ac:dyDescent="0.25">
      <c r="A4682" s="176"/>
      <c r="B4682" s="175"/>
      <c r="C4682" s="36" t="s">
        <v>889</v>
      </c>
      <c r="D4682" s="36" t="s">
        <v>42</v>
      </c>
      <c r="E4682" s="37">
        <v>5.5E-2</v>
      </c>
      <c r="F4682" s="31">
        <v>36.128500000000003</v>
      </c>
      <c r="G4682" s="34">
        <f>IF(ISNUMBER(F4682),E4682*F4682,"")</f>
        <v>1.9870675000000002</v>
      </c>
      <c r="H4682" s="35"/>
      <c r="I4682" s="31"/>
      <c r="J4682" s="155">
        <v>0</v>
      </c>
    </row>
    <row r="4683" spans="1:10" hidden="1" x14ac:dyDescent="0.25">
      <c r="A4683" s="176"/>
      <c r="B4683" s="175"/>
      <c r="C4683" s="36"/>
      <c r="D4683" s="36"/>
      <c r="E4683" s="37"/>
      <c r="F4683" s="31"/>
      <c r="G4683" s="34"/>
      <c r="H4683" s="35"/>
      <c r="I4683" s="31"/>
      <c r="J4683" s="155">
        <v>0</v>
      </c>
    </row>
    <row r="4684" spans="1:10" hidden="1" x14ac:dyDescent="0.25">
      <c r="A4684" s="176"/>
      <c r="B4684" s="175"/>
      <c r="C4684" s="52" t="s">
        <v>3641</v>
      </c>
      <c r="D4684" s="36"/>
      <c r="E4684" s="37"/>
      <c r="F4684" s="31"/>
      <c r="G4684" s="34"/>
      <c r="H4684" s="35"/>
      <c r="I4684" s="31"/>
      <c r="J4684" s="155">
        <v>0</v>
      </c>
    </row>
    <row r="4685" spans="1:10" hidden="1" x14ac:dyDescent="0.25">
      <c r="A4685" s="176"/>
      <c r="B4685" s="175"/>
      <c r="C4685" s="52" t="s">
        <v>3638</v>
      </c>
      <c r="D4685" s="36"/>
      <c r="E4685" s="37"/>
      <c r="F4685" s="31"/>
      <c r="G4685" s="34"/>
      <c r="H4685" s="35"/>
      <c r="I4685" s="31"/>
      <c r="J4685" s="155">
        <v>0</v>
      </c>
    </row>
    <row r="4686" spans="1:10" ht="15.75" hidden="1" thickBot="1" x14ac:dyDescent="0.3">
      <c r="A4686" s="177"/>
      <c r="B4686" s="178"/>
      <c r="C4686" s="36"/>
      <c r="D4686" s="36"/>
      <c r="E4686" s="37"/>
      <c r="F4686" s="31" t="s">
        <v>568</v>
      </c>
      <c r="G4686" s="34" t="str">
        <f>IF(ISNUMBER(F4686),E4686*F4686,"")</f>
        <v/>
      </c>
      <c r="H4686" s="35"/>
      <c r="I4686" s="31"/>
      <c r="J4686" s="155">
        <v>0</v>
      </c>
    </row>
    <row r="4687" spans="1:10" ht="15.75" hidden="1" thickBot="1" x14ac:dyDescent="0.3">
      <c r="A4687" s="172" t="s">
        <v>3495</v>
      </c>
      <c r="B4687" s="174" t="str">
        <f>INDEX(Orçamentária!A:B,MATCH(Composições!A4687,Orçamentária!A:A,0),2)</f>
        <v>Perfil guia inferior de alumínio para porta de giro em vidro temperado 8mm</v>
      </c>
      <c r="C4687" s="41"/>
      <c r="D4687" s="26" t="str">
        <f>TRIM(INDEX(Orçamentária!C:C,MATCH(Composições!A4687,Orçamentária!A:A,0),1))</f>
        <v>m</v>
      </c>
      <c r="E4687" s="27"/>
      <c r="F4687" s="42" t="s">
        <v>568</v>
      </c>
      <c r="G4687" s="28" t="str">
        <f>IF(ISNUMBER(F4687),E4687*F4687,"")</f>
        <v/>
      </c>
      <c r="H4687" s="29"/>
      <c r="I4687" s="30"/>
      <c r="J4687" s="155">
        <v>0</v>
      </c>
    </row>
    <row r="4688" spans="1:10" hidden="1" x14ac:dyDescent="0.25">
      <c r="A4688" s="176"/>
      <c r="B4688" s="175"/>
      <c r="C4688" s="32"/>
      <c r="D4688" s="32"/>
      <c r="E4688" s="33"/>
      <c r="F4688" s="43" t="s">
        <v>568</v>
      </c>
      <c r="G4688" s="34" t="str">
        <f>IF(ISNUMBER(F4688),E4688*F4688,"")</f>
        <v/>
      </c>
      <c r="H4688" s="35"/>
      <c r="I4688" s="31"/>
      <c r="J4688" s="155">
        <v>0</v>
      </c>
    </row>
    <row r="4689" spans="1:10" hidden="1" x14ac:dyDescent="0.25">
      <c r="A4689" s="176"/>
      <c r="B4689" s="175"/>
      <c r="C4689" s="36" t="s">
        <v>68</v>
      </c>
      <c r="D4689" s="36" t="s">
        <v>12</v>
      </c>
      <c r="E4689" s="37">
        <v>0.3</v>
      </c>
      <c r="F4689" s="34">
        <v>20.539000000000001</v>
      </c>
      <c r="G4689" s="34">
        <f>IF(ISNUMBER(F4689),E4689*F4689,"")</f>
        <v>6.1617000000000006</v>
      </c>
      <c r="H4689" s="39">
        <f>SUM(G4689:G4690)</f>
        <v>13.676428000000001</v>
      </c>
      <c r="I4689" s="40"/>
      <c r="J4689" s="155">
        <v>0</v>
      </c>
    </row>
    <row r="4690" spans="1:10" hidden="1" x14ac:dyDescent="0.25">
      <c r="A4690" s="176"/>
      <c r="B4690" s="175"/>
      <c r="C4690" s="36" t="s">
        <v>889</v>
      </c>
      <c r="D4690" s="36" t="s">
        <v>42</v>
      </c>
      <c r="E4690" s="37">
        <v>0.20799999999999999</v>
      </c>
      <c r="F4690" s="31">
        <v>36.128500000000003</v>
      </c>
      <c r="G4690" s="34">
        <f>IF(ISNUMBER(F4690),E4690*F4690,"")</f>
        <v>7.5147279999999999</v>
      </c>
      <c r="H4690" s="35"/>
      <c r="I4690" s="31"/>
      <c r="J4690" s="155">
        <v>0</v>
      </c>
    </row>
    <row r="4691" spans="1:10" hidden="1" x14ac:dyDescent="0.25">
      <c r="A4691" s="176"/>
      <c r="B4691" s="175"/>
      <c r="C4691" s="36"/>
      <c r="D4691" s="36"/>
      <c r="E4691" s="37"/>
      <c r="F4691" s="31"/>
      <c r="G4691" s="34"/>
      <c r="H4691" s="35"/>
      <c r="I4691" s="31"/>
      <c r="J4691" s="155">
        <v>0</v>
      </c>
    </row>
    <row r="4692" spans="1:10" hidden="1" x14ac:dyDescent="0.25">
      <c r="A4692" s="176"/>
      <c r="B4692" s="175"/>
      <c r="C4692" s="52" t="s">
        <v>3642</v>
      </c>
      <c r="D4692" s="36"/>
      <c r="E4692" s="37"/>
      <c r="F4692" s="31"/>
      <c r="G4692" s="34"/>
      <c r="H4692" s="35"/>
      <c r="I4692" s="31"/>
      <c r="J4692" s="155">
        <v>0</v>
      </c>
    </row>
    <row r="4693" spans="1:10" hidden="1" x14ac:dyDescent="0.25">
      <c r="A4693" s="176"/>
      <c r="B4693" s="175"/>
      <c r="C4693" s="52" t="s">
        <v>3638</v>
      </c>
      <c r="D4693" s="36"/>
      <c r="E4693" s="37"/>
      <c r="F4693" s="31"/>
      <c r="G4693" s="34"/>
      <c r="H4693" s="35"/>
      <c r="I4693" s="31"/>
      <c r="J4693" s="155">
        <v>0</v>
      </c>
    </row>
    <row r="4694" spans="1:10" ht="15.75" hidden="1" thickBot="1" x14ac:dyDescent="0.3">
      <c r="A4694" s="177"/>
      <c r="B4694" s="178"/>
      <c r="C4694" s="36"/>
      <c r="D4694" s="36"/>
      <c r="E4694" s="37"/>
      <c r="F4694" s="31" t="s">
        <v>568</v>
      </c>
      <c r="G4694" s="34" t="str">
        <f>IF(ISNUMBER(F4694),E4694*F4694,"")</f>
        <v/>
      </c>
      <c r="H4694" s="35"/>
      <c r="I4694" s="31"/>
      <c r="J4694" s="155">
        <v>0</v>
      </c>
    </row>
    <row r="4695" spans="1:10" ht="15.75" hidden="1" thickBot="1" x14ac:dyDescent="0.3">
      <c r="A4695" s="172" t="s">
        <v>3496</v>
      </c>
      <c r="B4695" s="174" t="str">
        <f>INDEX(Orçamentária!A:B,MATCH(Composições!A4695,Orçamentária!A:A,0),2)</f>
        <v>Perfil guia inferior de alumínio para porta de correr em vidro temperado 8mm</v>
      </c>
      <c r="C4695" s="41"/>
      <c r="D4695" s="26" t="str">
        <f>TRIM(INDEX(Orçamentária!C:C,MATCH(Composições!A4695,Orçamentária!A:A,0),1))</f>
        <v>m</v>
      </c>
      <c r="E4695" s="27"/>
      <c r="F4695" s="42" t="s">
        <v>568</v>
      </c>
      <c r="G4695" s="28" t="str">
        <f>IF(ISNUMBER(F4695),E4695*F4695,"")</f>
        <v/>
      </c>
      <c r="H4695" s="29"/>
      <c r="I4695" s="30"/>
      <c r="J4695" s="155">
        <v>0</v>
      </c>
    </row>
    <row r="4696" spans="1:10" hidden="1" x14ac:dyDescent="0.25">
      <c r="A4696" s="176"/>
      <c r="B4696" s="175"/>
      <c r="C4696" s="32"/>
      <c r="D4696" s="32"/>
      <c r="E4696" s="33"/>
      <c r="F4696" s="43" t="s">
        <v>568</v>
      </c>
      <c r="G4696" s="34" t="str">
        <f>IF(ISNUMBER(F4696),E4696*F4696,"")</f>
        <v/>
      </c>
      <c r="H4696" s="35"/>
      <c r="I4696" s="31"/>
      <c r="J4696" s="155">
        <v>0</v>
      </c>
    </row>
    <row r="4697" spans="1:10" hidden="1" x14ac:dyDescent="0.25">
      <c r="A4697" s="176"/>
      <c r="B4697" s="175"/>
      <c r="C4697" s="36" t="s">
        <v>68</v>
      </c>
      <c r="D4697" s="36" t="s">
        <v>12</v>
      </c>
      <c r="E4697" s="37">
        <v>0.3</v>
      </c>
      <c r="F4697" s="34">
        <v>20.539000000000001</v>
      </c>
      <c r="G4697" s="34">
        <f>IF(ISNUMBER(F4697),E4697*F4697,"")</f>
        <v>6.1617000000000006</v>
      </c>
      <c r="H4697" s="39">
        <f>SUM(G4697:G4698)</f>
        <v>15.518981500000002</v>
      </c>
      <c r="I4697" s="40"/>
      <c r="J4697" s="155">
        <v>0</v>
      </c>
    </row>
    <row r="4698" spans="1:10" hidden="1" x14ac:dyDescent="0.25">
      <c r="A4698" s="176"/>
      <c r="B4698" s="175"/>
      <c r="C4698" s="36" t="s">
        <v>889</v>
      </c>
      <c r="D4698" s="36" t="s">
        <v>42</v>
      </c>
      <c r="E4698" s="37">
        <v>0.25900000000000001</v>
      </c>
      <c r="F4698" s="31">
        <v>36.128500000000003</v>
      </c>
      <c r="G4698" s="34">
        <f>IF(ISNUMBER(F4698),E4698*F4698,"")</f>
        <v>9.3572815000000009</v>
      </c>
      <c r="H4698" s="35"/>
      <c r="I4698" s="31"/>
      <c r="J4698" s="155">
        <v>0</v>
      </c>
    </row>
    <row r="4699" spans="1:10" hidden="1" x14ac:dyDescent="0.25">
      <c r="A4699" s="176"/>
      <c r="B4699" s="175"/>
      <c r="C4699" s="36"/>
      <c r="D4699" s="36"/>
      <c r="E4699" s="37"/>
      <c r="F4699" s="31"/>
      <c r="G4699" s="34"/>
      <c r="H4699" s="35"/>
      <c r="I4699" s="31"/>
      <c r="J4699" s="155">
        <v>0</v>
      </c>
    </row>
    <row r="4700" spans="1:10" hidden="1" x14ac:dyDescent="0.25">
      <c r="A4700" s="176"/>
      <c r="B4700" s="175"/>
      <c r="C4700" s="52" t="s">
        <v>3643</v>
      </c>
      <c r="D4700" s="36"/>
      <c r="E4700" s="37"/>
      <c r="F4700" s="31"/>
      <c r="G4700" s="34"/>
      <c r="H4700" s="35"/>
      <c r="I4700" s="31"/>
      <c r="J4700" s="155">
        <v>0</v>
      </c>
    </row>
    <row r="4701" spans="1:10" hidden="1" x14ac:dyDescent="0.25">
      <c r="A4701" s="176"/>
      <c r="B4701" s="175"/>
      <c r="C4701" s="52" t="s">
        <v>3638</v>
      </c>
      <c r="D4701" s="36"/>
      <c r="E4701" s="37"/>
      <c r="F4701" s="31"/>
      <c r="G4701" s="34"/>
      <c r="H4701" s="35"/>
      <c r="I4701" s="31"/>
      <c r="J4701" s="155">
        <v>0</v>
      </c>
    </row>
    <row r="4702" spans="1:10" ht="15.75" hidden="1" thickBot="1" x14ac:dyDescent="0.3">
      <c r="A4702" s="177"/>
      <c r="B4702" s="178"/>
      <c r="C4702" s="36"/>
      <c r="D4702" s="36"/>
      <c r="E4702" s="37"/>
      <c r="F4702" s="31" t="s">
        <v>568</v>
      </c>
      <c r="G4702" s="34" t="str">
        <f>IF(ISNUMBER(F4702),E4702*F4702,"")</f>
        <v/>
      </c>
      <c r="H4702" s="35"/>
      <c r="I4702" s="31"/>
      <c r="J4702" s="155">
        <v>0</v>
      </c>
    </row>
    <row r="4703" spans="1:10" ht="15.75" hidden="1" thickBot="1" x14ac:dyDescent="0.3">
      <c r="A4703" s="172" t="s">
        <v>3497</v>
      </c>
      <c r="B4703" s="174" t="str">
        <f>INDEX(Orçamentária!A:B,MATCH(Composições!A4703,Orçamentária!A:A,0),2)</f>
        <v>Trilho superior em alumínio 53,8mm x 49,6mm, para vidro temperado</v>
      </c>
      <c r="C4703" s="41"/>
      <c r="D4703" s="26" t="str">
        <f>TRIM(INDEX(Orçamentária!C:C,MATCH(Composições!A4703,Orçamentária!A:A,0),1))</f>
        <v>m</v>
      </c>
      <c r="E4703" s="27"/>
      <c r="F4703" s="42" t="s">
        <v>568</v>
      </c>
      <c r="G4703" s="28" t="str">
        <f>IF(ISNUMBER(F4703),E4703*F4703,"")</f>
        <v/>
      </c>
      <c r="H4703" s="29"/>
      <c r="I4703" s="30"/>
      <c r="J4703" s="155">
        <v>0</v>
      </c>
    </row>
    <row r="4704" spans="1:10" hidden="1" x14ac:dyDescent="0.25">
      <c r="A4704" s="176"/>
      <c r="B4704" s="175"/>
      <c r="C4704" s="32"/>
      <c r="D4704" s="32"/>
      <c r="E4704" s="33"/>
      <c r="F4704" s="43" t="s">
        <v>568</v>
      </c>
      <c r="G4704" s="34" t="str">
        <f>IF(ISNUMBER(F4704),E4704*F4704,"")</f>
        <v/>
      </c>
      <c r="H4704" s="35"/>
      <c r="I4704" s="31"/>
      <c r="J4704" s="155">
        <v>0</v>
      </c>
    </row>
    <row r="4705" spans="1:10" hidden="1" x14ac:dyDescent="0.25">
      <c r="A4705" s="176"/>
      <c r="B4705" s="175"/>
      <c r="C4705" s="36" t="s">
        <v>68</v>
      </c>
      <c r="D4705" s="36" t="s">
        <v>12</v>
      </c>
      <c r="E4705" s="37">
        <v>0.3</v>
      </c>
      <c r="F4705" s="34">
        <v>20.539000000000001</v>
      </c>
      <c r="G4705" s="34">
        <f>IF(ISNUMBER(F4705),E4705*F4705,"")</f>
        <v>6.1617000000000006</v>
      </c>
      <c r="H4705" s="39">
        <f>SUM(G4705:G4706)</f>
        <v>25.526576000000002</v>
      </c>
      <c r="I4705" s="40"/>
      <c r="J4705" s="155">
        <v>0</v>
      </c>
    </row>
    <row r="4706" spans="1:10" hidden="1" x14ac:dyDescent="0.25">
      <c r="A4706" s="176"/>
      <c r="B4706" s="175"/>
      <c r="C4706" s="36" t="s">
        <v>889</v>
      </c>
      <c r="D4706" s="36" t="s">
        <v>42</v>
      </c>
      <c r="E4706" s="37">
        <v>0.53600000000000003</v>
      </c>
      <c r="F4706" s="31">
        <v>36.128500000000003</v>
      </c>
      <c r="G4706" s="34">
        <f>IF(ISNUMBER(F4706),E4706*F4706,"")</f>
        <v>19.364876000000002</v>
      </c>
      <c r="H4706" s="35"/>
      <c r="I4706" s="31"/>
      <c r="J4706" s="155">
        <v>0</v>
      </c>
    </row>
    <row r="4707" spans="1:10" hidden="1" x14ac:dyDescent="0.25">
      <c r="A4707" s="176"/>
      <c r="B4707" s="175"/>
      <c r="C4707" s="36"/>
      <c r="D4707" s="36"/>
      <c r="E4707" s="37"/>
      <c r="F4707" s="31"/>
      <c r="G4707" s="34"/>
      <c r="H4707" s="35"/>
      <c r="I4707" s="31"/>
      <c r="J4707" s="155">
        <v>0</v>
      </c>
    </row>
    <row r="4708" spans="1:10" hidden="1" x14ac:dyDescent="0.25">
      <c r="A4708" s="176"/>
      <c r="B4708" s="175"/>
      <c r="C4708" s="52" t="s">
        <v>3644</v>
      </c>
      <c r="D4708" s="36"/>
      <c r="E4708" s="37"/>
      <c r="F4708" s="31"/>
      <c r="G4708" s="34"/>
      <c r="H4708" s="35"/>
      <c r="I4708" s="31"/>
      <c r="J4708" s="155">
        <v>0</v>
      </c>
    </row>
    <row r="4709" spans="1:10" hidden="1" x14ac:dyDescent="0.25">
      <c r="A4709" s="176"/>
      <c r="B4709" s="175"/>
      <c r="C4709" s="52" t="s">
        <v>3638</v>
      </c>
      <c r="D4709" s="36"/>
      <c r="E4709" s="37"/>
      <c r="F4709" s="31"/>
      <c r="G4709" s="34"/>
      <c r="H4709" s="35"/>
      <c r="I4709" s="31"/>
      <c r="J4709" s="155">
        <v>0</v>
      </c>
    </row>
    <row r="4710" spans="1:10" ht="15.75" hidden="1" thickBot="1" x14ac:dyDescent="0.3">
      <c r="A4710" s="177"/>
      <c r="B4710" s="178"/>
      <c r="C4710" s="36"/>
      <c r="D4710" s="36"/>
      <c r="E4710" s="37"/>
      <c r="F4710" s="31" t="s">
        <v>568</v>
      </c>
      <c r="G4710" s="34" t="str">
        <f>IF(ISNUMBER(F4710),E4710*F4710,"")</f>
        <v/>
      </c>
      <c r="H4710" s="35"/>
      <c r="I4710" s="31"/>
      <c r="J4710" s="155">
        <v>0</v>
      </c>
    </row>
    <row r="4711" spans="1:10" ht="15.75" hidden="1" thickBot="1" x14ac:dyDescent="0.3">
      <c r="A4711" s="172" t="s">
        <v>3498</v>
      </c>
      <c r="B4711" s="174" t="str">
        <f>INDEX(Orçamentária!A:B,MATCH(Composições!A4711,Orçamentária!A:A,0),2)</f>
        <v>Perfil em alumínio, tipo U - 10,5 x 20mm - para box de vidro temperado 8mm</v>
      </c>
      <c r="C4711" s="41"/>
      <c r="D4711" s="26" t="str">
        <f>TRIM(INDEX(Orçamentária!C:C,MATCH(Composições!A4711,Orçamentária!A:A,0),1))</f>
        <v>m</v>
      </c>
      <c r="E4711" s="27"/>
      <c r="F4711" s="42" t="s">
        <v>568</v>
      </c>
      <c r="G4711" s="28" t="str">
        <f>IF(ISNUMBER(F4711),E4711*F4711,"")</f>
        <v/>
      </c>
      <c r="H4711" s="29"/>
      <c r="I4711" s="30"/>
      <c r="J4711" s="155">
        <v>0</v>
      </c>
    </row>
    <row r="4712" spans="1:10" hidden="1" x14ac:dyDescent="0.25">
      <c r="A4712" s="176"/>
      <c r="B4712" s="175"/>
      <c r="C4712" s="32"/>
      <c r="D4712" s="32"/>
      <c r="E4712" s="33"/>
      <c r="F4712" s="43" t="s">
        <v>568</v>
      </c>
      <c r="G4712" s="34" t="str">
        <f>IF(ISNUMBER(F4712),E4712*F4712,"")</f>
        <v/>
      </c>
      <c r="H4712" s="35"/>
      <c r="I4712" s="31"/>
      <c r="J4712" s="155">
        <v>0</v>
      </c>
    </row>
    <row r="4713" spans="1:10" hidden="1" x14ac:dyDescent="0.25">
      <c r="A4713" s="176"/>
      <c r="B4713" s="175"/>
      <c r="C4713" s="36" t="s">
        <v>68</v>
      </c>
      <c r="D4713" s="36" t="s">
        <v>12</v>
      </c>
      <c r="E4713" s="37">
        <v>0.2</v>
      </c>
      <c r="F4713" s="34">
        <v>20.539000000000001</v>
      </c>
      <c r="G4713" s="34">
        <f>IF(ISNUMBER(F4713),E4713*F4713,"")</f>
        <v>4.1078000000000001</v>
      </c>
      <c r="H4713" s="39">
        <f>SUM(G4713:G4714)</f>
        <v>7.9012925000000003</v>
      </c>
      <c r="I4713" s="40"/>
      <c r="J4713" s="155">
        <v>0</v>
      </c>
    </row>
    <row r="4714" spans="1:10" hidden="1" x14ac:dyDescent="0.25">
      <c r="A4714" s="176"/>
      <c r="B4714" s="175"/>
      <c r="C4714" s="36" t="s">
        <v>889</v>
      </c>
      <c r="D4714" s="36" t="s">
        <v>42</v>
      </c>
      <c r="E4714" s="37">
        <v>0.105</v>
      </c>
      <c r="F4714" s="31">
        <v>36.128500000000003</v>
      </c>
      <c r="G4714" s="34">
        <f>IF(ISNUMBER(F4714),E4714*F4714,"")</f>
        <v>3.7934925000000002</v>
      </c>
      <c r="H4714" s="35"/>
      <c r="I4714" s="31"/>
      <c r="J4714" s="155">
        <v>0</v>
      </c>
    </row>
    <row r="4715" spans="1:10" hidden="1" x14ac:dyDescent="0.25">
      <c r="A4715" s="176"/>
      <c r="B4715" s="175"/>
      <c r="C4715" s="36"/>
      <c r="D4715" s="36"/>
      <c r="E4715" s="37"/>
      <c r="F4715" s="31"/>
      <c r="G4715" s="34"/>
      <c r="H4715" s="35"/>
      <c r="I4715" s="31"/>
      <c r="J4715" s="155">
        <v>0</v>
      </c>
    </row>
    <row r="4716" spans="1:10" hidden="1" x14ac:dyDescent="0.25">
      <c r="A4716" s="176"/>
      <c r="B4716" s="175"/>
      <c r="C4716" s="52" t="s">
        <v>3645</v>
      </c>
      <c r="D4716" s="36"/>
      <c r="E4716" s="37"/>
      <c r="F4716" s="31"/>
      <c r="G4716" s="34"/>
      <c r="H4716" s="35"/>
      <c r="I4716" s="31"/>
      <c r="J4716" s="155">
        <v>0</v>
      </c>
    </row>
    <row r="4717" spans="1:10" hidden="1" x14ac:dyDescent="0.25">
      <c r="A4717" s="176"/>
      <c r="B4717" s="175"/>
      <c r="C4717" s="52" t="s">
        <v>3638</v>
      </c>
      <c r="D4717" s="36"/>
      <c r="E4717" s="37"/>
      <c r="F4717" s="31"/>
      <c r="G4717" s="34"/>
      <c r="H4717" s="35"/>
      <c r="I4717" s="31"/>
      <c r="J4717" s="155">
        <v>0</v>
      </c>
    </row>
    <row r="4718" spans="1:10" ht="15.75" hidden="1" thickBot="1" x14ac:dyDescent="0.3">
      <c r="A4718" s="177"/>
      <c r="B4718" s="178"/>
      <c r="C4718" s="36"/>
      <c r="D4718" s="36"/>
      <c r="E4718" s="37"/>
      <c r="F4718" s="31" t="s">
        <v>568</v>
      </c>
      <c r="G4718" s="34" t="str">
        <f>IF(ISNUMBER(F4718),E4718*F4718,"")</f>
        <v/>
      </c>
      <c r="H4718" s="35"/>
      <c r="I4718" s="31"/>
      <c r="J4718" s="155">
        <v>0</v>
      </c>
    </row>
    <row r="4719" spans="1:10" ht="15.75" hidden="1" thickBot="1" x14ac:dyDescent="0.3">
      <c r="A4719" s="172" t="s">
        <v>3499</v>
      </c>
      <c r="B4719" s="174" t="str">
        <f>INDEX(Orçamentária!A:B,MATCH(Composições!A4719,Orçamentária!A:A,0),2)</f>
        <v>Perfil em alumínio , tipo U –  14 x 20mm - para box de vidro temperado 8mm</v>
      </c>
      <c r="C4719" s="41"/>
      <c r="D4719" s="26" t="str">
        <f>TRIM(INDEX(Orçamentária!C:C,MATCH(Composições!A4719,Orçamentária!A:A,0),1))</f>
        <v>m</v>
      </c>
      <c r="E4719" s="27"/>
      <c r="F4719" s="42" t="s">
        <v>568</v>
      </c>
      <c r="G4719" s="28" t="str">
        <f>IF(ISNUMBER(F4719),E4719*F4719,"")</f>
        <v/>
      </c>
      <c r="H4719" s="29"/>
      <c r="I4719" s="30"/>
      <c r="J4719" s="155">
        <v>0</v>
      </c>
    </row>
    <row r="4720" spans="1:10" hidden="1" x14ac:dyDescent="0.25">
      <c r="A4720" s="176"/>
      <c r="B4720" s="175"/>
      <c r="C4720" s="32"/>
      <c r="D4720" s="32"/>
      <c r="E4720" s="33"/>
      <c r="F4720" s="43" t="s">
        <v>568</v>
      </c>
      <c r="G4720" s="34" t="str">
        <f>IF(ISNUMBER(F4720),E4720*F4720,"")</f>
        <v/>
      </c>
      <c r="H4720" s="35"/>
      <c r="I4720" s="31"/>
      <c r="J4720" s="155">
        <v>0</v>
      </c>
    </row>
    <row r="4721" spans="1:10" hidden="1" x14ac:dyDescent="0.25">
      <c r="A4721" s="176"/>
      <c r="B4721" s="175"/>
      <c r="C4721" s="36" t="s">
        <v>68</v>
      </c>
      <c r="D4721" s="36" t="s">
        <v>12</v>
      </c>
      <c r="E4721" s="37">
        <v>0.2</v>
      </c>
      <c r="F4721" s="34">
        <v>20.539000000000001</v>
      </c>
      <c r="G4721" s="34">
        <f>IF(ISNUMBER(F4721),E4721*F4721,"")</f>
        <v>4.1078000000000001</v>
      </c>
      <c r="H4721" s="39">
        <f>SUM(G4721:G4722)</f>
        <v>8.4070914999999999</v>
      </c>
      <c r="I4721" s="40"/>
      <c r="J4721" s="155">
        <v>0</v>
      </c>
    </row>
    <row r="4722" spans="1:10" hidden="1" x14ac:dyDescent="0.25">
      <c r="A4722" s="176"/>
      <c r="B4722" s="175"/>
      <c r="C4722" s="36" t="s">
        <v>889</v>
      </c>
      <c r="D4722" s="36" t="s">
        <v>42</v>
      </c>
      <c r="E4722" s="37">
        <v>0.11899999999999999</v>
      </c>
      <c r="F4722" s="31">
        <v>36.128500000000003</v>
      </c>
      <c r="G4722" s="34">
        <f>IF(ISNUMBER(F4722),E4722*F4722,"")</f>
        <v>4.2992914999999998</v>
      </c>
      <c r="H4722" s="35"/>
      <c r="I4722" s="31"/>
      <c r="J4722" s="155">
        <v>0</v>
      </c>
    </row>
    <row r="4723" spans="1:10" hidden="1" x14ac:dyDescent="0.25">
      <c r="A4723" s="176"/>
      <c r="B4723" s="175"/>
      <c r="C4723" s="36"/>
      <c r="D4723" s="36"/>
      <c r="E4723" s="37"/>
      <c r="F4723" s="31"/>
      <c r="G4723" s="34"/>
      <c r="H4723" s="35"/>
      <c r="I4723" s="31"/>
      <c r="J4723" s="155">
        <v>0</v>
      </c>
    </row>
    <row r="4724" spans="1:10" hidden="1" x14ac:dyDescent="0.25">
      <c r="A4724" s="176"/>
      <c r="B4724" s="175"/>
      <c r="C4724" s="52" t="s">
        <v>3646</v>
      </c>
      <c r="D4724" s="36"/>
      <c r="E4724" s="37"/>
      <c r="F4724" s="31"/>
      <c r="G4724" s="34"/>
      <c r="H4724" s="35"/>
      <c r="I4724" s="31"/>
      <c r="J4724" s="155">
        <v>0</v>
      </c>
    </row>
    <row r="4725" spans="1:10" hidden="1" x14ac:dyDescent="0.25">
      <c r="A4725" s="176"/>
      <c r="B4725" s="175"/>
      <c r="C4725" s="52" t="s">
        <v>3638</v>
      </c>
      <c r="D4725" s="36"/>
      <c r="E4725" s="37"/>
      <c r="F4725" s="31"/>
      <c r="G4725" s="34"/>
      <c r="H4725" s="35"/>
      <c r="I4725" s="31"/>
      <c r="J4725" s="155">
        <v>0</v>
      </c>
    </row>
    <row r="4726" spans="1:10" ht="15.75" hidden="1" thickBot="1" x14ac:dyDescent="0.3">
      <c r="A4726" s="177"/>
      <c r="B4726" s="178"/>
      <c r="C4726" s="36"/>
      <c r="D4726" s="36"/>
      <c r="E4726" s="37"/>
      <c r="F4726" s="31" t="s">
        <v>568</v>
      </c>
      <c r="G4726" s="34" t="str">
        <f>IF(ISNUMBER(F4726),E4726*F4726,"")</f>
        <v/>
      </c>
      <c r="H4726" s="35"/>
      <c r="I4726" s="31"/>
      <c r="J4726" s="155">
        <v>0</v>
      </c>
    </row>
    <row r="4727" spans="1:10" ht="15.75" hidden="1" thickBot="1" x14ac:dyDescent="0.3">
      <c r="A4727" s="172" t="s">
        <v>3500</v>
      </c>
      <c r="B4727" s="174" t="str">
        <f>INDEX(Orçamentária!A:B,MATCH(Composições!A4727,Orçamentária!A:A,0),2)</f>
        <v>Bacia convencional – Linha Residencial</v>
      </c>
      <c r="C4727" s="41"/>
      <c r="D4727" s="26" t="str">
        <f>TRIM(INDEX(Orçamentária!C:C,MATCH(Composições!A4727,Orçamentária!A:A,0),1))</f>
        <v>un</v>
      </c>
      <c r="E4727" s="27"/>
      <c r="F4727" s="42" t="s">
        <v>568</v>
      </c>
      <c r="G4727" s="28" t="str">
        <f>IF(ISNUMBER(F4727),E4727*F4727,"")</f>
        <v/>
      </c>
      <c r="H4727" s="29"/>
      <c r="I4727" s="30"/>
      <c r="J4727" s="155">
        <v>0</v>
      </c>
    </row>
    <row r="4728" spans="1:10" hidden="1" x14ac:dyDescent="0.25">
      <c r="A4728" s="176"/>
      <c r="B4728" s="175"/>
      <c r="C4728" s="32"/>
      <c r="D4728" s="32"/>
      <c r="E4728" s="33"/>
      <c r="F4728" s="43" t="s">
        <v>568</v>
      </c>
      <c r="G4728" s="31" t="str">
        <f>IF(ISNUMBER(F4728),E4728*F4728,"")</f>
        <v/>
      </c>
      <c r="H4728" s="35"/>
      <c r="I4728" s="31"/>
      <c r="J4728" s="155">
        <v>0</v>
      </c>
    </row>
    <row r="4729" spans="1:10" ht="25.5" hidden="1" x14ac:dyDescent="0.25">
      <c r="A4729" s="176"/>
      <c r="B4729" s="175"/>
      <c r="C4729" s="36" t="s">
        <v>3651</v>
      </c>
      <c r="D4729" s="47" t="s">
        <v>297</v>
      </c>
      <c r="E4729" s="37">
        <v>1</v>
      </c>
      <c r="F4729" s="34" t="s">
        <v>568</v>
      </c>
      <c r="G4729" s="34" t="str">
        <f>IF(ISNUMBER(F4729),E4729*F4729,"")</f>
        <v/>
      </c>
      <c r="H4729" s="39">
        <f>SUM(G4729:G4735)</f>
        <v>45.752805599999988</v>
      </c>
      <c r="I4729" s="40"/>
      <c r="J4729" s="155">
        <v>0</v>
      </c>
    </row>
    <row r="4730" spans="1:10" ht="25.5" hidden="1" x14ac:dyDescent="0.25">
      <c r="A4730" s="176"/>
      <c r="B4730" s="175"/>
      <c r="C4730" s="36" t="s">
        <v>326</v>
      </c>
      <c r="D4730" s="36" t="s">
        <v>20</v>
      </c>
      <c r="E4730" s="37">
        <v>1</v>
      </c>
      <c r="F4730" s="34" t="s">
        <v>568</v>
      </c>
      <c r="G4730" s="34" t="str">
        <f>IF(ISNUMBER(F4730),E4730*F4730,"")</f>
        <v/>
      </c>
      <c r="H4730" s="35"/>
      <c r="I4730" s="31"/>
      <c r="J4730" s="155">
        <v>0</v>
      </c>
    </row>
    <row r="4731" spans="1:10" ht="25.5" hidden="1" x14ac:dyDescent="0.25">
      <c r="A4731" s="176"/>
      <c r="B4731" s="175"/>
      <c r="C4731" s="36" t="s">
        <v>363</v>
      </c>
      <c r="D4731" s="47" t="s">
        <v>297</v>
      </c>
      <c r="E4731" s="37">
        <v>2</v>
      </c>
      <c r="F4731" s="34">
        <v>10.953499999999998</v>
      </c>
      <c r="G4731" s="34">
        <f>IF(ISNUMBER(F4731),E4731*F4731,"")</f>
        <v>21.906999999999996</v>
      </c>
      <c r="H4731" s="35"/>
      <c r="I4731" s="31"/>
      <c r="J4731" s="155">
        <v>0</v>
      </c>
    </row>
    <row r="4732" spans="1:10" hidden="1" x14ac:dyDescent="0.25">
      <c r="A4732" s="176"/>
      <c r="B4732" s="175"/>
      <c r="C4732" s="36" t="s">
        <v>325</v>
      </c>
      <c r="D4732" s="47" t="s">
        <v>20</v>
      </c>
      <c r="E4732" s="37">
        <v>1</v>
      </c>
      <c r="F4732" s="34">
        <v>2.7454999999999998</v>
      </c>
      <c r="G4732" s="54">
        <f>IF(ISNUMBER(F4732),E4732*F4732,"")</f>
        <v>2.7454999999999998</v>
      </c>
      <c r="H4732" s="35"/>
      <c r="I4732" s="31"/>
      <c r="J4732" s="155">
        <v>0</v>
      </c>
    </row>
    <row r="4733" spans="1:10" hidden="1" x14ac:dyDescent="0.25">
      <c r="A4733" s="176"/>
      <c r="B4733" s="175"/>
      <c r="C4733" s="36" t="s">
        <v>3615</v>
      </c>
      <c r="D4733" s="47" t="s">
        <v>42</v>
      </c>
      <c r="E4733" s="37">
        <v>8.8099999999999998E-2</v>
      </c>
      <c r="F4733" s="34">
        <v>52.8675</v>
      </c>
      <c r="G4733" s="34">
        <f>IF(ISNUMBER(F4733),E4733*F4733,"")</f>
        <v>4.6576267499999995</v>
      </c>
      <c r="H4733" s="35"/>
      <c r="I4733" s="31"/>
      <c r="J4733" s="155">
        <v>0</v>
      </c>
    </row>
    <row r="4734" spans="1:10" hidden="1" x14ac:dyDescent="0.25">
      <c r="A4734" s="176"/>
      <c r="B4734" s="175"/>
      <c r="C4734" s="36" t="s">
        <v>39</v>
      </c>
      <c r="D4734" s="47" t="s">
        <v>12</v>
      </c>
      <c r="E4734" s="37">
        <v>0.49680000000000002</v>
      </c>
      <c r="F4734" s="31">
        <v>21.622</v>
      </c>
      <c r="G4734" s="34">
        <f>IF(ISNUMBER(F4734),E4734*F4734,"")</f>
        <v>10.7418096</v>
      </c>
      <c r="H4734" s="35"/>
      <c r="I4734" s="31"/>
      <c r="J4734" s="155">
        <v>0</v>
      </c>
    </row>
    <row r="4735" spans="1:10" hidden="1" x14ac:dyDescent="0.25">
      <c r="A4735" s="176"/>
      <c r="B4735" s="175"/>
      <c r="C4735" s="36" t="s">
        <v>23</v>
      </c>
      <c r="D4735" s="47" t="s">
        <v>12</v>
      </c>
      <c r="E4735" s="37">
        <v>0.34949999999999998</v>
      </c>
      <c r="F4735" s="31">
        <v>16.311500000000002</v>
      </c>
      <c r="G4735" s="34">
        <f>IF(ISNUMBER(F4735),E4735*F4735,"")</f>
        <v>5.7008692500000002</v>
      </c>
      <c r="H4735" s="35"/>
      <c r="I4735" s="31"/>
      <c r="J4735" s="155">
        <v>0</v>
      </c>
    </row>
    <row r="4736" spans="1:10" ht="15.75" hidden="1" thickBot="1" x14ac:dyDescent="0.3">
      <c r="A4736" s="177"/>
      <c r="B4736" s="178"/>
      <c r="C4736" s="36"/>
      <c r="D4736" s="36"/>
      <c r="E4736" s="37"/>
      <c r="F4736" s="31" t="s">
        <v>568</v>
      </c>
      <c r="G4736" s="31" t="str">
        <f>IF(ISNUMBER(F4736),E4736*F4736,"")</f>
        <v/>
      </c>
      <c r="H4736" s="35"/>
      <c r="I4736" s="31"/>
      <c r="J4736" s="155">
        <v>0</v>
      </c>
    </row>
    <row r="4737" spans="1:10" ht="15.75" hidden="1" thickBot="1" x14ac:dyDescent="0.3">
      <c r="A4737" s="172" t="s">
        <v>3501</v>
      </c>
      <c r="B4737" s="174" t="str">
        <f>INDEX(Orçamentária!A:B,MATCH(Composições!A4737,Orçamentária!A:A,0),2)</f>
        <v>Bidê 3 furos - Linha Residencial</v>
      </c>
      <c r="C4737" s="41"/>
      <c r="D4737" s="26" t="str">
        <f>TRIM(INDEX(Orçamentária!C:C,MATCH(Composições!A4737,Orçamentária!A:A,0),1))</f>
        <v>un</v>
      </c>
      <c r="E4737" s="27"/>
      <c r="F4737" s="42" t="s">
        <v>568</v>
      </c>
      <c r="G4737" s="28" t="str">
        <f>IF(ISNUMBER(F4737),E4737*F4737,"")</f>
        <v/>
      </c>
      <c r="H4737" s="29"/>
      <c r="I4737" s="30"/>
      <c r="J4737" s="155">
        <v>0</v>
      </c>
    </row>
    <row r="4738" spans="1:10" hidden="1" x14ac:dyDescent="0.25">
      <c r="A4738" s="176"/>
      <c r="B4738" s="175"/>
      <c r="C4738" s="32"/>
      <c r="D4738" s="32"/>
      <c r="E4738" s="33"/>
      <c r="F4738" s="43" t="s">
        <v>568</v>
      </c>
      <c r="G4738" s="31" t="str">
        <f>IF(ISNUMBER(F4738),E4738*F4738,"")</f>
        <v/>
      </c>
      <c r="H4738" s="35"/>
      <c r="I4738" s="31"/>
      <c r="J4738" s="155">
        <v>0</v>
      </c>
    </row>
    <row r="4739" spans="1:10" hidden="1" x14ac:dyDescent="0.25">
      <c r="A4739" s="176"/>
      <c r="B4739" s="175"/>
      <c r="C4739" s="36" t="s">
        <v>3649</v>
      </c>
      <c r="D4739" s="47" t="s">
        <v>297</v>
      </c>
      <c r="E4739" s="37">
        <v>1</v>
      </c>
      <c r="F4739" s="34" t="s">
        <v>568</v>
      </c>
      <c r="G4739" s="34" t="str">
        <f>IF(ISNUMBER(F4739),E4739*F4739,"")</f>
        <v/>
      </c>
      <c r="H4739" s="39">
        <f>SUM(G4739:G4743)</f>
        <v>43.007305599999995</v>
      </c>
      <c r="I4739" s="40"/>
      <c r="J4739" s="155">
        <v>0</v>
      </c>
    </row>
    <row r="4740" spans="1:10" ht="25.5" hidden="1" x14ac:dyDescent="0.25">
      <c r="A4740" s="176"/>
      <c r="B4740" s="175"/>
      <c r="C4740" s="36" t="s">
        <v>363</v>
      </c>
      <c r="D4740" s="47" t="s">
        <v>297</v>
      </c>
      <c r="E4740" s="37">
        <v>2</v>
      </c>
      <c r="F4740" s="34">
        <v>10.953499999999998</v>
      </c>
      <c r="G4740" s="34">
        <f>IF(ISNUMBER(F4740),E4740*F4740,"")</f>
        <v>21.906999999999996</v>
      </c>
      <c r="H4740" s="35"/>
      <c r="I4740" s="31"/>
      <c r="J4740" s="155">
        <v>0</v>
      </c>
    </row>
    <row r="4741" spans="1:10" hidden="1" x14ac:dyDescent="0.25">
      <c r="A4741" s="176"/>
      <c r="B4741" s="175"/>
      <c r="C4741" s="36" t="s">
        <v>3615</v>
      </c>
      <c r="D4741" s="47" t="s">
        <v>42</v>
      </c>
      <c r="E4741" s="37">
        <v>8.8099999999999998E-2</v>
      </c>
      <c r="F4741" s="34">
        <v>52.8675</v>
      </c>
      <c r="G4741" s="34">
        <f>IF(ISNUMBER(F4741),E4741*F4741,"")</f>
        <v>4.6576267499999995</v>
      </c>
      <c r="H4741" s="35"/>
      <c r="I4741" s="31"/>
      <c r="J4741" s="155">
        <v>0</v>
      </c>
    </row>
    <row r="4742" spans="1:10" hidden="1" x14ac:dyDescent="0.25">
      <c r="A4742" s="176"/>
      <c r="B4742" s="175"/>
      <c r="C4742" s="36" t="s">
        <v>39</v>
      </c>
      <c r="D4742" s="47" t="s">
        <v>12</v>
      </c>
      <c r="E4742" s="37">
        <v>0.49680000000000002</v>
      </c>
      <c r="F4742" s="31">
        <v>21.622</v>
      </c>
      <c r="G4742" s="34">
        <f>IF(ISNUMBER(F4742),E4742*F4742,"")</f>
        <v>10.7418096</v>
      </c>
      <c r="H4742" s="35"/>
      <c r="I4742" s="31"/>
      <c r="J4742" s="155">
        <v>0</v>
      </c>
    </row>
    <row r="4743" spans="1:10" hidden="1" x14ac:dyDescent="0.25">
      <c r="A4743" s="176"/>
      <c r="B4743" s="175"/>
      <c r="C4743" s="36" t="s">
        <v>23</v>
      </c>
      <c r="D4743" s="47" t="s">
        <v>12</v>
      </c>
      <c r="E4743" s="37">
        <v>0.34949999999999998</v>
      </c>
      <c r="F4743" s="31">
        <v>16.311500000000002</v>
      </c>
      <c r="G4743" s="34">
        <f>IF(ISNUMBER(F4743),E4743*F4743,"")</f>
        <v>5.7008692500000002</v>
      </c>
      <c r="H4743" s="35"/>
      <c r="I4743" s="31"/>
      <c r="J4743" s="155">
        <v>0</v>
      </c>
    </row>
    <row r="4744" spans="1:10" ht="15.75" hidden="1" thickBot="1" x14ac:dyDescent="0.3">
      <c r="A4744" s="177"/>
      <c r="B4744" s="178"/>
      <c r="C4744" s="36"/>
      <c r="D4744" s="36"/>
      <c r="E4744" s="37"/>
      <c r="F4744" s="31" t="s">
        <v>568</v>
      </c>
      <c r="G4744" s="31" t="str">
        <f>IF(ISNUMBER(F4744),E4744*F4744,"")</f>
        <v/>
      </c>
      <c r="H4744" s="35"/>
      <c r="I4744" s="31"/>
      <c r="J4744" s="155">
        <v>0</v>
      </c>
    </row>
    <row r="4745" spans="1:10" ht="15.75" hidden="1" thickBot="1" x14ac:dyDescent="0.3">
      <c r="A4745" s="172" t="s">
        <v>3504</v>
      </c>
      <c r="B4745" s="174" t="str">
        <f>INDEX(Orçamentária!A:B,MATCH(Composições!A4745,Orçamentária!A:A,0),2)</f>
        <v>Chuveiro de metal com tubo de parede – Linha Residencial</v>
      </c>
      <c r="C4745" s="41"/>
      <c r="D4745" s="26" t="str">
        <f>TRIM(INDEX(Orçamentária!C:C,MATCH(Composições!A4745,Orçamentária!A:A,0),1))</f>
        <v>un</v>
      </c>
      <c r="E4745" s="27"/>
      <c r="F4745" s="49" t="s">
        <v>568</v>
      </c>
      <c r="G4745" s="28" t="str">
        <f>IF(ISNUMBER(F4745),E4745*F4745,"")</f>
        <v/>
      </c>
      <c r="H4745" s="29"/>
      <c r="I4745" s="30"/>
      <c r="J4745" s="155">
        <v>0</v>
      </c>
    </row>
    <row r="4746" spans="1:10" hidden="1" x14ac:dyDescent="0.25">
      <c r="A4746" s="173"/>
      <c r="B4746" s="175"/>
      <c r="C4746" s="32"/>
      <c r="D4746" s="32"/>
      <c r="E4746" s="33"/>
      <c r="F4746" s="54" t="s">
        <v>568</v>
      </c>
      <c r="G4746" s="54" t="str">
        <f>IF(ISNUMBER(F4746),E4746*F4746,"")</f>
        <v/>
      </c>
      <c r="H4746" s="73"/>
      <c r="I4746" s="74"/>
      <c r="J4746" s="155">
        <v>0</v>
      </c>
    </row>
    <row r="4747" spans="1:10" ht="25.5" hidden="1" x14ac:dyDescent="0.25">
      <c r="A4747" s="173"/>
      <c r="B4747" s="175"/>
      <c r="C4747" s="36" t="s">
        <v>3650</v>
      </c>
      <c r="D4747" s="36" t="s">
        <v>297</v>
      </c>
      <c r="E4747" s="37">
        <v>1</v>
      </c>
      <c r="F4747" s="54" t="s">
        <v>568</v>
      </c>
      <c r="G4747" s="54" t="str">
        <f>IF(ISNUMBER(F4747),E4747*F4747,"")</f>
        <v/>
      </c>
      <c r="H4747" s="39">
        <f>SUM(G4747:G4750)</f>
        <v>12.03138045</v>
      </c>
      <c r="I4747" s="40"/>
      <c r="J4747" s="155">
        <v>0</v>
      </c>
    </row>
    <row r="4748" spans="1:10" hidden="1" x14ac:dyDescent="0.25">
      <c r="A4748" s="173"/>
      <c r="B4748" s="175"/>
      <c r="C4748" s="36" t="s">
        <v>1125</v>
      </c>
      <c r="D4748" s="36" t="s">
        <v>297</v>
      </c>
      <c r="E4748" s="37">
        <v>2.1000000000000001E-2</v>
      </c>
      <c r="F4748" s="54">
        <v>3.7049999999999996</v>
      </c>
      <c r="G4748" s="54">
        <f>IF(ISNUMBER(F4748),E4748*F4748,"")</f>
        <v>7.7804999999999999E-2</v>
      </c>
      <c r="H4748" s="73"/>
      <c r="I4748" s="74"/>
      <c r="J4748" s="155">
        <v>0</v>
      </c>
    </row>
    <row r="4749" spans="1:10" ht="25.5" hidden="1" x14ac:dyDescent="0.25">
      <c r="A4749" s="173"/>
      <c r="B4749" s="175"/>
      <c r="C4749" s="36" t="s">
        <v>1009</v>
      </c>
      <c r="D4749" s="36" t="s">
        <v>755</v>
      </c>
      <c r="E4749" s="37">
        <v>0.44669999999999999</v>
      </c>
      <c r="F4749" s="54">
        <v>21.622</v>
      </c>
      <c r="G4749" s="54">
        <f>IF(ISNUMBER(F4749),E4749*F4749,"")</f>
        <v>9.6585473999999998</v>
      </c>
      <c r="H4749" s="73"/>
      <c r="I4749" s="74"/>
      <c r="J4749" s="155">
        <v>0</v>
      </c>
    </row>
    <row r="4750" spans="1:10" hidden="1" x14ac:dyDescent="0.25">
      <c r="A4750" s="173"/>
      <c r="B4750" s="175"/>
      <c r="C4750" s="36" t="s">
        <v>756</v>
      </c>
      <c r="D4750" s="36" t="s">
        <v>755</v>
      </c>
      <c r="E4750" s="37">
        <v>0.14069999999999999</v>
      </c>
      <c r="F4750" s="54">
        <v>16.311500000000002</v>
      </c>
      <c r="G4750" s="54">
        <f>IF(ISNUMBER(F4750),E4750*F4750,"")</f>
        <v>2.29502805</v>
      </c>
      <c r="H4750" s="73"/>
      <c r="I4750" s="74"/>
      <c r="J4750" s="155">
        <v>0</v>
      </c>
    </row>
    <row r="4751" spans="1:10" ht="15.75" hidden="1" thickBot="1" x14ac:dyDescent="0.3">
      <c r="A4751" s="185"/>
      <c r="B4751" s="178"/>
      <c r="C4751" s="36"/>
      <c r="D4751" s="36"/>
      <c r="E4751" s="37"/>
      <c r="F4751" s="54" t="s">
        <v>568</v>
      </c>
      <c r="G4751" s="54" t="str">
        <f>IF(ISNUMBER(F4751),E4751*F4751,"")</f>
        <v/>
      </c>
      <c r="H4751" s="73"/>
      <c r="I4751" s="74"/>
      <c r="J4751" s="155">
        <v>0</v>
      </c>
    </row>
    <row r="4752" spans="1:10" ht="15.75" hidden="1" thickBot="1" x14ac:dyDescent="0.3">
      <c r="A4752" s="172" t="s">
        <v>3505</v>
      </c>
      <c r="B4752" s="174" t="str">
        <f>INDEX(Orçamentária!A:B,MATCH(Composições!A4752,Orçamentária!A:A,0),2)</f>
        <v>Misturador para bidê – Linha Residencial</v>
      </c>
      <c r="C4752" s="41"/>
      <c r="D4752" s="26" t="str">
        <f>TRIM(INDEX(Orçamentária!C:C,MATCH(Composições!A4752,Orçamentária!A:A,0),1))</f>
        <v>un</v>
      </c>
      <c r="E4752" s="27"/>
      <c r="F4752" s="49" t="s">
        <v>568</v>
      </c>
      <c r="G4752" s="28" t="str">
        <f>IF(ISNUMBER(F4752),E4752*F4752,"")</f>
        <v/>
      </c>
      <c r="H4752" s="29"/>
      <c r="I4752" s="30"/>
      <c r="J4752" s="155">
        <v>0</v>
      </c>
    </row>
    <row r="4753" spans="1:10" hidden="1" x14ac:dyDescent="0.25">
      <c r="A4753" s="173"/>
      <c r="B4753" s="175"/>
      <c r="C4753" s="32"/>
      <c r="D4753" s="32"/>
      <c r="E4753" s="33"/>
      <c r="F4753" s="54" t="s">
        <v>568</v>
      </c>
      <c r="G4753" s="54" t="str">
        <f>IF(ISNUMBER(F4753),E4753*F4753,"")</f>
        <v/>
      </c>
      <c r="H4753" s="73"/>
      <c r="I4753" s="74"/>
      <c r="J4753" s="155">
        <v>0</v>
      </c>
    </row>
    <row r="4754" spans="1:10" hidden="1" x14ac:dyDescent="0.25">
      <c r="A4754" s="173"/>
      <c r="B4754" s="175"/>
      <c r="C4754" s="36" t="s">
        <v>1125</v>
      </c>
      <c r="D4754" s="36" t="s">
        <v>297</v>
      </c>
      <c r="E4754" s="37">
        <v>4.2000000000000003E-2</v>
      </c>
      <c r="F4754" s="54">
        <v>3.7049999999999996</v>
      </c>
      <c r="G4754" s="54">
        <f>IF(ISNUMBER(F4754),E4754*F4754,"")</f>
        <v>0.15561</v>
      </c>
      <c r="H4754" s="39">
        <f>SUM(G4754:G4757)</f>
        <v>12.5545616</v>
      </c>
      <c r="I4754" s="40"/>
      <c r="J4754" s="155">
        <v>0</v>
      </c>
    </row>
    <row r="4755" spans="1:10" hidden="1" x14ac:dyDescent="0.25">
      <c r="A4755" s="173"/>
      <c r="B4755" s="175"/>
      <c r="C4755" s="36" t="s">
        <v>3648</v>
      </c>
      <c r="D4755" s="36" t="s">
        <v>297</v>
      </c>
      <c r="E4755" s="37">
        <v>1</v>
      </c>
      <c r="F4755" s="54" t="s">
        <v>568</v>
      </c>
      <c r="G4755" s="54" t="str">
        <f>IF(ISNUMBER(F4755),E4755*F4755,"")</f>
        <v/>
      </c>
      <c r="H4755" s="73"/>
      <c r="I4755" s="74"/>
      <c r="J4755" s="155">
        <v>0</v>
      </c>
    </row>
    <row r="4756" spans="1:10" ht="25.5" hidden="1" x14ac:dyDescent="0.25">
      <c r="A4756" s="173"/>
      <c r="B4756" s="175"/>
      <c r="C4756" s="36" t="s">
        <v>1009</v>
      </c>
      <c r="D4756" s="36" t="s">
        <v>755</v>
      </c>
      <c r="E4756" s="37">
        <v>0.46329999999999999</v>
      </c>
      <c r="F4756" s="54">
        <v>21.622</v>
      </c>
      <c r="G4756" s="54">
        <f>IF(ISNUMBER(F4756),E4756*F4756,"")</f>
        <v>10.0174726</v>
      </c>
      <c r="H4756" s="73"/>
      <c r="I4756" s="74"/>
      <c r="J4756" s="155">
        <v>0</v>
      </c>
    </row>
    <row r="4757" spans="1:10" hidden="1" x14ac:dyDescent="0.25">
      <c r="A4757" s="173"/>
      <c r="B4757" s="175"/>
      <c r="C4757" s="36" t="s">
        <v>756</v>
      </c>
      <c r="D4757" s="36" t="s">
        <v>755</v>
      </c>
      <c r="E4757" s="37">
        <v>0.14599999999999999</v>
      </c>
      <c r="F4757" s="54">
        <v>16.311500000000002</v>
      </c>
      <c r="G4757" s="54">
        <f>IF(ISNUMBER(F4757),E4757*F4757,"")</f>
        <v>2.3814790000000001</v>
      </c>
      <c r="H4757" s="73"/>
      <c r="I4757" s="74"/>
      <c r="J4757" s="155">
        <v>0</v>
      </c>
    </row>
    <row r="4758" spans="1:10" ht="15.75" hidden="1" thickBot="1" x14ac:dyDescent="0.3">
      <c r="A4758" s="185"/>
      <c r="B4758" s="178"/>
      <c r="C4758" s="36"/>
      <c r="D4758" s="36"/>
      <c r="E4758" s="37"/>
      <c r="F4758" s="54" t="s">
        <v>568</v>
      </c>
      <c r="G4758" s="54" t="str">
        <f>IF(ISNUMBER(F4758),E4758*F4758,"")</f>
        <v/>
      </c>
      <c r="H4758" s="73"/>
      <c r="I4758" s="74"/>
      <c r="J4758" s="155">
        <v>0</v>
      </c>
    </row>
    <row r="4759" spans="1:10" ht="15.75" hidden="1" thickBot="1" x14ac:dyDescent="0.3">
      <c r="A4759" s="172" t="s">
        <v>3506</v>
      </c>
      <c r="B4759" s="174" t="str">
        <f>INDEX(Orçamentária!A:B,MATCH(Composições!A4759,Orçamentária!A:A,0),2)</f>
        <v>Misturador de mesa para cozinha bica móvel – Linha Residencial</v>
      </c>
      <c r="C4759" s="41"/>
      <c r="D4759" s="26" t="str">
        <f>TRIM(INDEX(Orçamentária!C:C,MATCH(Composições!A4759,Orçamentária!A:A,0),1))</f>
        <v>un</v>
      </c>
      <c r="E4759" s="27"/>
      <c r="F4759" s="49" t="s">
        <v>568</v>
      </c>
      <c r="G4759" s="28" t="str">
        <f>IF(ISNUMBER(F4759),E4759*F4759,"")</f>
        <v/>
      </c>
      <c r="H4759" s="29"/>
      <c r="I4759" s="30"/>
      <c r="J4759" s="155">
        <v>0</v>
      </c>
    </row>
    <row r="4760" spans="1:10" hidden="1" x14ac:dyDescent="0.25">
      <c r="A4760" s="173"/>
      <c r="B4760" s="175"/>
      <c r="C4760" s="32"/>
      <c r="D4760" s="32"/>
      <c r="E4760" s="33"/>
      <c r="F4760" s="54" t="s">
        <v>568</v>
      </c>
      <c r="G4760" s="54" t="str">
        <f>IF(ISNUMBER(F4760),E4760*F4760,"")</f>
        <v/>
      </c>
      <c r="H4760" s="73"/>
      <c r="I4760" s="74"/>
      <c r="J4760" s="155">
        <v>0</v>
      </c>
    </row>
    <row r="4761" spans="1:10" hidden="1" x14ac:dyDescent="0.25">
      <c r="A4761" s="173"/>
      <c r="B4761" s="175"/>
      <c r="C4761" s="36" t="s">
        <v>1125</v>
      </c>
      <c r="D4761" s="36" t="s">
        <v>297</v>
      </c>
      <c r="E4761" s="37">
        <v>4.2000000000000003E-2</v>
      </c>
      <c r="F4761" s="54">
        <v>3.7049999999999996</v>
      </c>
      <c r="G4761" s="54">
        <f>IF(ISNUMBER(F4761),E4761*F4761,"")</f>
        <v>0.15561</v>
      </c>
      <c r="H4761" s="39">
        <f>SUM(G4761:G4764)</f>
        <v>6.2197963000000005</v>
      </c>
      <c r="I4761" s="40"/>
      <c r="J4761" s="155">
        <v>0</v>
      </c>
    </row>
    <row r="4762" spans="1:10" ht="25.5" hidden="1" x14ac:dyDescent="0.25">
      <c r="A4762" s="173"/>
      <c r="B4762" s="175"/>
      <c r="C4762" s="36" t="s">
        <v>3647</v>
      </c>
      <c r="D4762" s="36" t="s">
        <v>297</v>
      </c>
      <c r="E4762" s="37">
        <v>1</v>
      </c>
      <c r="F4762" s="54" t="s">
        <v>568</v>
      </c>
      <c r="G4762" s="54" t="str">
        <f>IF(ISNUMBER(F4762),E4762*F4762,"")</f>
        <v/>
      </c>
      <c r="H4762" s="73"/>
      <c r="I4762" s="74"/>
      <c r="J4762" s="155">
        <v>0</v>
      </c>
    </row>
    <row r="4763" spans="1:10" ht="25.5" hidden="1" x14ac:dyDescent="0.25">
      <c r="A4763" s="173"/>
      <c r="B4763" s="175"/>
      <c r="C4763" s="36" t="s">
        <v>1009</v>
      </c>
      <c r="D4763" s="36" t="s">
        <v>755</v>
      </c>
      <c r="E4763" s="37">
        <v>0.2266</v>
      </c>
      <c r="F4763" s="54">
        <v>21.622</v>
      </c>
      <c r="G4763" s="54">
        <f>IF(ISNUMBER(F4763),E4763*F4763,"")</f>
        <v>4.8995451999999995</v>
      </c>
      <c r="H4763" s="73"/>
      <c r="I4763" s="74"/>
      <c r="J4763" s="155">
        <v>0</v>
      </c>
    </row>
    <row r="4764" spans="1:10" hidden="1" x14ac:dyDescent="0.25">
      <c r="A4764" s="173"/>
      <c r="B4764" s="175"/>
      <c r="C4764" s="36" t="s">
        <v>756</v>
      </c>
      <c r="D4764" s="36" t="s">
        <v>755</v>
      </c>
      <c r="E4764" s="37">
        <v>7.1400000000000005E-2</v>
      </c>
      <c r="F4764" s="54">
        <v>16.311500000000002</v>
      </c>
      <c r="G4764" s="54">
        <f>IF(ISNUMBER(F4764),E4764*F4764,"")</f>
        <v>1.1646411000000003</v>
      </c>
      <c r="H4764" s="73"/>
      <c r="I4764" s="74"/>
      <c r="J4764" s="155">
        <v>0</v>
      </c>
    </row>
    <row r="4765" spans="1:10" ht="15.75" hidden="1" thickBot="1" x14ac:dyDescent="0.3">
      <c r="A4765" s="185"/>
      <c r="B4765" s="178"/>
      <c r="C4765" s="36"/>
      <c r="D4765" s="36"/>
      <c r="E4765" s="37"/>
      <c r="F4765" s="54" t="s">
        <v>568</v>
      </c>
      <c r="G4765" s="54" t="str">
        <f>IF(ISNUMBER(F4765),E4765*F4765,"")</f>
        <v/>
      </c>
      <c r="H4765" s="73"/>
      <c r="I4765" s="74"/>
      <c r="J4765" s="155">
        <v>0</v>
      </c>
    </row>
    <row r="4766" spans="1:10" ht="15.75" hidden="1" thickBot="1" x14ac:dyDescent="0.3">
      <c r="A4766" s="172" t="s">
        <v>3507</v>
      </c>
      <c r="B4766" s="174" t="str">
        <f>INDEX(Orçamentária!A:B,MATCH(Composições!A4766,Orçamentária!A:A,0),2)</f>
        <v>Misturador de mesa para lavatório bica alta – Linha Residencial</v>
      </c>
      <c r="C4766" s="41"/>
      <c r="D4766" s="26" t="str">
        <f>TRIM(INDEX(Orçamentária!C:C,MATCH(Composições!A4766,Orçamentária!A:A,0),1))</f>
        <v>un</v>
      </c>
      <c r="E4766" s="27"/>
      <c r="F4766" s="49" t="s">
        <v>568</v>
      </c>
      <c r="G4766" s="28" t="str">
        <f>IF(ISNUMBER(F4766),E4766*F4766,"")</f>
        <v/>
      </c>
      <c r="H4766" s="29"/>
      <c r="I4766" s="30"/>
      <c r="J4766" s="155">
        <v>0</v>
      </c>
    </row>
    <row r="4767" spans="1:10" hidden="1" x14ac:dyDescent="0.25">
      <c r="A4767" s="173"/>
      <c r="B4767" s="175"/>
      <c r="C4767" s="32"/>
      <c r="D4767" s="32"/>
      <c r="E4767" s="33"/>
      <c r="F4767" s="54" t="s">
        <v>568</v>
      </c>
      <c r="G4767" s="54" t="str">
        <f>IF(ISNUMBER(F4767),E4767*F4767,"")</f>
        <v/>
      </c>
      <c r="H4767" s="73"/>
      <c r="I4767" s="74"/>
      <c r="J4767" s="155">
        <v>0</v>
      </c>
    </row>
    <row r="4768" spans="1:10" hidden="1" x14ac:dyDescent="0.25">
      <c r="A4768" s="173"/>
      <c r="B4768" s="175"/>
      <c r="C4768" s="36" t="s">
        <v>1125</v>
      </c>
      <c r="D4768" s="36" t="s">
        <v>297</v>
      </c>
      <c r="E4768" s="37">
        <v>4.2000000000000003E-2</v>
      </c>
      <c r="F4768" s="54">
        <v>3.7049999999999996</v>
      </c>
      <c r="G4768" s="54">
        <f>IF(ISNUMBER(F4768),E4768*F4768,"")</f>
        <v>0.15561</v>
      </c>
      <c r="H4768" s="39">
        <f>SUM(G4768:G4771)</f>
        <v>12.5545616</v>
      </c>
      <c r="I4768" s="40"/>
      <c r="J4768" s="155">
        <v>0</v>
      </c>
    </row>
    <row r="4769" spans="1:10" ht="25.5" hidden="1" x14ac:dyDescent="0.25">
      <c r="A4769" s="173"/>
      <c r="B4769" s="175"/>
      <c r="C4769" s="36" t="s">
        <v>3652</v>
      </c>
      <c r="D4769" s="36" t="s">
        <v>297</v>
      </c>
      <c r="E4769" s="37">
        <v>1</v>
      </c>
      <c r="F4769" s="54" t="s">
        <v>568</v>
      </c>
      <c r="G4769" s="54" t="str">
        <f>IF(ISNUMBER(F4769),E4769*F4769,"")</f>
        <v/>
      </c>
      <c r="H4769" s="73"/>
      <c r="I4769" s="74"/>
      <c r="J4769" s="155">
        <v>0</v>
      </c>
    </row>
    <row r="4770" spans="1:10" ht="25.5" hidden="1" x14ac:dyDescent="0.25">
      <c r="A4770" s="173"/>
      <c r="B4770" s="175"/>
      <c r="C4770" s="36" t="s">
        <v>1009</v>
      </c>
      <c r="D4770" s="36" t="s">
        <v>755</v>
      </c>
      <c r="E4770" s="37">
        <v>0.46329999999999999</v>
      </c>
      <c r="F4770" s="54">
        <v>21.622</v>
      </c>
      <c r="G4770" s="54">
        <f>IF(ISNUMBER(F4770),E4770*F4770,"")</f>
        <v>10.0174726</v>
      </c>
      <c r="H4770" s="73"/>
      <c r="I4770" s="74"/>
      <c r="J4770" s="155">
        <v>0</v>
      </c>
    </row>
    <row r="4771" spans="1:10" hidden="1" x14ac:dyDescent="0.25">
      <c r="A4771" s="173"/>
      <c r="B4771" s="175"/>
      <c r="C4771" s="36" t="s">
        <v>756</v>
      </c>
      <c r="D4771" s="36" t="s">
        <v>755</v>
      </c>
      <c r="E4771" s="37">
        <v>0.14599999999999999</v>
      </c>
      <c r="F4771" s="54">
        <v>16.311500000000002</v>
      </c>
      <c r="G4771" s="54">
        <f>IF(ISNUMBER(F4771),E4771*F4771,"")</f>
        <v>2.3814790000000001</v>
      </c>
      <c r="H4771" s="73"/>
      <c r="I4771" s="74"/>
      <c r="J4771" s="155">
        <v>0</v>
      </c>
    </row>
    <row r="4772" spans="1:10" ht="15.75" hidden="1" thickBot="1" x14ac:dyDescent="0.3">
      <c r="A4772" s="185"/>
      <c r="B4772" s="178"/>
      <c r="C4772" s="36"/>
      <c r="D4772" s="36"/>
      <c r="E4772" s="37"/>
      <c r="F4772" s="54" t="s">
        <v>568</v>
      </c>
      <c r="G4772" s="54" t="str">
        <f>IF(ISNUMBER(F4772),E4772*F4772,"")</f>
        <v/>
      </c>
      <c r="H4772" s="73"/>
      <c r="I4772" s="74"/>
      <c r="J4772" s="155">
        <v>0</v>
      </c>
    </row>
    <row r="4773" spans="1:10" ht="15.75" hidden="1" thickBot="1" x14ac:dyDescent="0.3">
      <c r="A4773" s="172" t="s">
        <v>3508</v>
      </c>
      <c r="B4773" s="174" t="str">
        <f>INDEX(Orçamentária!A:B,MATCH(Composições!A4773,Orçamentária!A:A,0),2)</f>
        <v>Misturador de parede para cozinha bica móvel – Linha Residencial</v>
      </c>
      <c r="C4773" s="41"/>
      <c r="D4773" s="26" t="str">
        <f>TRIM(INDEX(Orçamentária!C:C,MATCH(Composições!A4773,Orçamentária!A:A,0),1))</f>
        <v>un</v>
      </c>
      <c r="E4773" s="27"/>
      <c r="F4773" s="49" t="s">
        <v>568</v>
      </c>
      <c r="G4773" s="28" t="str">
        <f>IF(ISNUMBER(F4773),E4773*F4773,"")</f>
        <v/>
      </c>
      <c r="H4773" s="29"/>
      <c r="I4773" s="30"/>
      <c r="J4773" s="155">
        <v>0</v>
      </c>
    </row>
    <row r="4774" spans="1:10" hidden="1" x14ac:dyDescent="0.25">
      <c r="A4774" s="173"/>
      <c r="B4774" s="175"/>
      <c r="C4774" s="32"/>
      <c r="D4774" s="32"/>
      <c r="E4774" s="33"/>
      <c r="F4774" s="54" t="s">
        <v>568</v>
      </c>
      <c r="G4774" s="54" t="str">
        <f>IF(ISNUMBER(F4774),E4774*F4774,"")</f>
        <v/>
      </c>
      <c r="H4774" s="73"/>
      <c r="I4774" s="74"/>
      <c r="J4774" s="155">
        <v>0</v>
      </c>
    </row>
    <row r="4775" spans="1:10" hidden="1" x14ac:dyDescent="0.25">
      <c r="A4775" s="173"/>
      <c r="B4775" s="175"/>
      <c r="C4775" s="36" t="s">
        <v>1125</v>
      </c>
      <c r="D4775" s="36" t="s">
        <v>297</v>
      </c>
      <c r="E4775" s="37">
        <v>4.2000000000000003E-2</v>
      </c>
      <c r="F4775" s="54">
        <v>3.7049999999999996</v>
      </c>
      <c r="G4775" s="54">
        <f>IF(ISNUMBER(F4775),E4775*F4775,"")</f>
        <v>0.15561</v>
      </c>
      <c r="H4775" s="39">
        <f>SUM(G4775:G4778)</f>
        <v>6.2197963000000005</v>
      </c>
      <c r="I4775" s="40"/>
      <c r="J4775" s="155">
        <v>0</v>
      </c>
    </row>
    <row r="4776" spans="1:10" ht="25.5" hidden="1" x14ac:dyDescent="0.25">
      <c r="A4776" s="173"/>
      <c r="B4776" s="175"/>
      <c r="C4776" s="36" t="s">
        <v>3653</v>
      </c>
      <c r="D4776" s="36" t="s">
        <v>297</v>
      </c>
      <c r="E4776" s="37">
        <v>1</v>
      </c>
      <c r="F4776" s="54" t="s">
        <v>568</v>
      </c>
      <c r="G4776" s="54" t="str">
        <f>IF(ISNUMBER(F4776),E4776*F4776,"")</f>
        <v/>
      </c>
      <c r="H4776" s="73"/>
      <c r="I4776" s="74"/>
      <c r="J4776" s="155">
        <v>0</v>
      </c>
    </row>
    <row r="4777" spans="1:10" ht="25.5" hidden="1" x14ac:dyDescent="0.25">
      <c r="A4777" s="173"/>
      <c r="B4777" s="175"/>
      <c r="C4777" s="36" t="s">
        <v>1009</v>
      </c>
      <c r="D4777" s="36" t="s">
        <v>755</v>
      </c>
      <c r="E4777" s="37">
        <v>0.2266</v>
      </c>
      <c r="F4777" s="54">
        <v>21.622</v>
      </c>
      <c r="G4777" s="54">
        <f>IF(ISNUMBER(F4777),E4777*F4777,"")</f>
        <v>4.8995451999999995</v>
      </c>
      <c r="H4777" s="73"/>
      <c r="I4777" s="74"/>
      <c r="J4777" s="155">
        <v>0</v>
      </c>
    </row>
    <row r="4778" spans="1:10" hidden="1" x14ac:dyDescent="0.25">
      <c r="A4778" s="173"/>
      <c r="B4778" s="175"/>
      <c r="C4778" s="36" t="s">
        <v>756</v>
      </c>
      <c r="D4778" s="36" t="s">
        <v>755</v>
      </c>
      <c r="E4778" s="37">
        <v>7.1400000000000005E-2</v>
      </c>
      <c r="F4778" s="54">
        <v>16.311500000000002</v>
      </c>
      <c r="G4778" s="54">
        <f>IF(ISNUMBER(F4778),E4778*F4778,"")</f>
        <v>1.1646411000000003</v>
      </c>
      <c r="H4778" s="73"/>
      <c r="I4778" s="74"/>
      <c r="J4778" s="155">
        <v>0</v>
      </c>
    </row>
    <row r="4779" spans="1:10" ht="15.75" hidden="1" thickBot="1" x14ac:dyDescent="0.3">
      <c r="A4779" s="185"/>
      <c r="B4779" s="178"/>
      <c r="C4779" s="36"/>
      <c r="D4779" s="36"/>
      <c r="E4779" s="37"/>
      <c r="F4779" s="54" t="s">
        <v>568</v>
      </c>
      <c r="G4779" s="54" t="str">
        <f>IF(ISNUMBER(F4779),E4779*F4779,"")</f>
        <v/>
      </c>
      <c r="H4779" s="73"/>
      <c r="I4779" s="74"/>
      <c r="J4779" s="155">
        <v>0</v>
      </c>
    </row>
    <row r="4780" spans="1:10" ht="15.75" hidden="1" thickBot="1" x14ac:dyDescent="0.3">
      <c r="A4780" s="172" t="s">
        <v>3509</v>
      </c>
      <c r="B4780" s="174" t="str">
        <f>INDEX(Orçamentária!A:B,MATCH(Composições!A4780,Orçamentária!A:A,0),2)</f>
        <v>Dobradiça automática vidro/vidro para box de vidro temperado</v>
      </c>
      <c r="C4780" s="41"/>
      <c r="D4780" s="26" t="str">
        <f>TRIM(INDEX(Orçamentária!C:C,MATCH(Composições!A4780,Orçamentária!A:A,0),1))</f>
        <v>un</v>
      </c>
      <c r="E4780" s="27"/>
      <c r="F4780" s="42" t="s">
        <v>568</v>
      </c>
      <c r="G4780" s="28" t="str">
        <f>IF(ISNUMBER(F4780),E4780*F4780,"")</f>
        <v/>
      </c>
      <c r="H4780" s="29"/>
      <c r="I4780" s="30"/>
      <c r="J4780" s="155">
        <v>0</v>
      </c>
    </row>
    <row r="4781" spans="1:10" hidden="1" x14ac:dyDescent="0.25">
      <c r="A4781" s="176"/>
      <c r="B4781" s="175"/>
      <c r="C4781" s="32"/>
      <c r="D4781" s="32"/>
      <c r="E4781" s="33"/>
      <c r="F4781" s="43" t="s">
        <v>568</v>
      </c>
      <c r="G4781" s="34" t="str">
        <f>IF(ISNUMBER(F4781),E4781*F4781,"")</f>
        <v/>
      </c>
      <c r="H4781" s="35"/>
      <c r="I4781" s="31"/>
      <c r="J4781" s="155">
        <v>0</v>
      </c>
    </row>
    <row r="4782" spans="1:10" hidden="1" x14ac:dyDescent="0.25">
      <c r="A4782" s="176"/>
      <c r="B4782" s="175"/>
      <c r="C4782" s="36" t="s">
        <v>68</v>
      </c>
      <c r="D4782" s="36" t="s">
        <v>12</v>
      </c>
      <c r="E4782" s="37">
        <v>0.3</v>
      </c>
      <c r="F4782" s="34">
        <v>20.539000000000001</v>
      </c>
      <c r="G4782" s="34">
        <f>IF(ISNUMBER(F4782),E4782*F4782,"")</f>
        <v>6.1617000000000006</v>
      </c>
      <c r="H4782" s="39">
        <f>SUM(G4782:G4783)</f>
        <v>6.1617000000000006</v>
      </c>
      <c r="I4782" s="40"/>
      <c r="J4782" s="155">
        <v>0</v>
      </c>
    </row>
    <row r="4783" spans="1:10" ht="25.5" hidden="1" x14ac:dyDescent="0.25">
      <c r="A4783" s="176"/>
      <c r="B4783" s="175"/>
      <c r="C4783" s="36" t="s">
        <v>3654</v>
      </c>
      <c r="D4783" s="47" t="s">
        <v>20</v>
      </c>
      <c r="E4783" s="37">
        <v>1</v>
      </c>
      <c r="F4783" s="31" t="s">
        <v>568</v>
      </c>
      <c r="G4783" s="34" t="str">
        <f>IF(ISNUMBER(F4783),E4783*F4783,"")</f>
        <v/>
      </c>
      <c r="H4783" s="35"/>
      <c r="I4783" s="31"/>
      <c r="J4783" s="155">
        <v>0</v>
      </c>
    </row>
    <row r="4784" spans="1:10" ht="15.75" hidden="1" thickBot="1" x14ac:dyDescent="0.3">
      <c r="A4784" s="177"/>
      <c r="B4784" s="178"/>
      <c r="C4784" s="36"/>
      <c r="D4784" s="36"/>
      <c r="E4784" s="37"/>
      <c r="F4784" s="31" t="s">
        <v>568</v>
      </c>
      <c r="G4784" s="34" t="str">
        <f>IF(ISNUMBER(F4784),E4784*F4784,"")</f>
        <v/>
      </c>
      <c r="H4784" s="35"/>
      <c r="I4784" s="31"/>
      <c r="J4784" s="155">
        <v>0</v>
      </c>
    </row>
    <row r="4785" spans="1:10" ht="15.75" hidden="1" thickBot="1" x14ac:dyDescent="0.3">
      <c r="A4785" s="172" t="s">
        <v>3510</v>
      </c>
      <c r="B4785" s="174" t="str">
        <f>INDEX(Orçamentária!A:B,MATCH(Composições!A4785,Orçamentária!A:A,0),2)</f>
        <v>Luminária tipo arandela – Linha Residencial</v>
      </c>
      <c r="C4785" s="41"/>
      <c r="D4785" s="26" t="str">
        <f>TRIM(INDEX(Orçamentária!C:C,MATCH(Composições!A4785,Orçamentária!A:A,0),1))</f>
        <v>un</v>
      </c>
      <c r="E4785" s="27"/>
      <c r="F4785" s="42" t="s">
        <v>568</v>
      </c>
      <c r="G4785" s="28" t="str">
        <f>IF(ISNUMBER(F4785),E4785*F4785,"")</f>
        <v/>
      </c>
      <c r="H4785" s="29"/>
      <c r="I4785" s="30"/>
      <c r="J4785" s="155">
        <v>0</v>
      </c>
    </row>
    <row r="4786" spans="1:10" hidden="1" x14ac:dyDescent="0.25">
      <c r="A4786" s="176"/>
      <c r="B4786" s="175"/>
      <c r="C4786" s="32"/>
      <c r="D4786" s="32"/>
      <c r="E4786" s="33"/>
      <c r="F4786" s="43" t="s">
        <v>568</v>
      </c>
      <c r="G4786" s="31" t="str">
        <f>IF(ISNUMBER(F4786),E4786*F4786,"")</f>
        <v/>
      </c>
      <c r="H4786" s="35"/>
      <c r="I4786" s="31"/>
      <c r="J4786" s="155">
        <v>0</v>
      </c>
    </row>
    <row r="4787" spans="1:10" ht="25.5" hidden="1" x14ac:dyDescent="0.25">
      <c r="A4787" s="176"/>
      <c r="B4787" s="175"/>
      <c r="C4787" s="36" t="s">
        <v>3656</v>
      </c>
      <c r="D4787" s="36" t="s">
        <v>149</v>
      </c>
      <c r="E4787" s="37">
        <v>1</v>
      </c>
      <c r="F4787" s="34" t="s">
        <v>568</v>
      </c>
      <c r="G4787" s="34" t="str">
        <f>IF(ISNUMBER(F4787),E4787*F4787,"")</f>
        <v/>
      </c>
      <c r="H4787" s="39">
        <f>SUM(G4787:G4790)</f>
        <v>13.9617928</v>
      </c>
      <c r="I4787" s="40"/>
      <c r="J4787" s="155">
        <v>0</v>
      </c>
    </row>
    <row r="4788" spans="1:10" ht="25.5" hidden="1" x14ac:dyDescent="0.25">
      <c r="A4788" s="176"/>
      <c r="B4788" s="175"/>
      <c r="C4788" s="36" t="s">
        <v>3655</v>
      </c>
      <c r="D4788" s="36" t="s">
        <v>149</v>
      </c>
      <c r="E4788" s="37">
        <v>1</v>
      </c>
      <c r="F4788" s="34" t="s">
        <v>568</v>
      </c>
      <c r="G4788" s="34" t="str">
        <f>IF(ISNUMBER(F4788),E4788*F4788,"")</f>
        <v/>
      </c>
      <c r="H4788" s="45"/>
      <c r="I4788" s="46"/>
      <c r="J4788" s="155">
        <v>0</v>
      </c>
    </row>
    <row r="4789" spans="1:10" hidden="1" x14ac:dyDescent="0.25">
      <c r="A4789" s="176"/>
      <c r="B4789" s="175"/>
      <c r="C4789" s="36" t="s">
        <v>74</v>
      </c>
      <c r="D4789" s="47" t="s">
        <v>12</v>
      </c>
      <c r="E4789" s="37">
        <v>0.19719999999999999</v>
      </c>
      <c r="F4789" s="31">
        <v>17.366</v>
      </c>
      <c r="G4789" s="31">
        <f>IF(ISNUMBER(F4789),E4789*F4789,"")</f>
        <v>3.4245751999999996</v>
      </c>
      <c r="H4789" s="35"/>
      <c r="I4789" s="31"/>
      <c r="J4789" s="155">
        <v>0</v>
      </c>
    </row>
    <row r="4790" spans="1:10" hidden="1" x14ac:dyDescent="0.25">
      <c r="A4790" s="176"/>
      <c r="B4790" s="175"/>
      <c r="C4790" s="36" t="s">
        <v>30</v>
      </c>
      <c r="D4790" s="36" t="s">
        <v>12</v>
      </c>
      <c r="E4790" s="37">
        <v>0.47320000000000001</v>
      </c>
      <c r="F4790" s="31">
        <v>22.268000000000001</v>
      </c>
      <c r="G4790" s="31">
        <f>IF(ISNUMBER(F4790),E4790*F4790,"")</f>
        <v>10.5372176</v>
      </c>
      <c r="H4790" s="35"/>
      <c r="I4790" s="31"/>
      <c r="J4790" s="155">
        <v>0</v>
      </c>
    </row>
    <row r="4791" spans="1:10" ht="15.75" hidden="1" thickBot="1" x14ac:dyDescent="0.3">
      <c r="A4791" s="177"/>
      <c r="B4791" s="178"/>
      <c r="C4791" s="36"/>
      <c r="D4791" s="36"/>
      <c r="E4791" s="37"/>
      <c r="F4791" s="31" t="s">
        <v>568</v>
      </c>
      <c r="G4791" s="31" t="str">
        <f>IF(ISNUMBER(F4791),E4791*F4791,"")</f>
        <v/>
      </c>
      <c r="H4791" s="35"/>
      <c r="I4791" s="31"/>
      <c r="J4791" s="155">
        <v>0</v>
      </c>
    </row>
    <row r="4792" spans="1:10" ht="15.75" hidden="1" thickBot="1" x14ac:dyDescent="0.3">
      <c r="A4792" s="172" t="s">
        <v>3511</v>
      </c>
      <c r="B4792" s="174" t="str">
        <f>INDEX(Orçamentária!A:B,MATCH(Composições!A4792,Orçamentária!A:A,0),2)</f>
        <v>Tê misturador de transição 1/2” ou 3/4” – Linha Residencial</v>
      </c>
      <c r="C4792" s="41"/>
      <c r="D4792" s="26" t="str">
        <f>TRIM(INDEX(Orçamentária!C:C,MATCH(Composições!A4792,Orçamentária!A:A,0),1))</f>
        <v>un</v>
      </c>
      <c r="E4792" s="27"/>
      <c r="F4792" s="42" t="s">
        <v>568</v>
      </c>
      <c r="G4792" s="28" t="str">
        <f>IF(ISNUMBER(F4792),E4792*F4792,"")</f>
        <v/>
      </c>
      <c r="H4792" s="29"/>
      <c r="I4792" s="30"/>
      <c r="J4792" s="155">
        <v>0</v>
      </c>
    </row>
    <row r="4793" spans="1:10" hidden="1" x14ac:dyDescent="0.25">
      <c r="A4793" s="176"/>
      <c r="B4793" s="175"/>
      <c r="C4793" s="32"/>
      <c r="D4793" s="32"/>
      <c r="E4793" s="33"/>
      <c r="F4793" s="43" t="s">
        <v>568</v>
      </c>
      <c r="G4793" s="31" t="str">
        <f>IF(ISNUMBER(F4793),E4793*F4793,"")</f>
        <v/>
      </c>
      <c r="H4793" s="35"/>
      <c r="I4793" s="31"/>
      <c r="J4793" s="155">
        <v>0</v>
      </c>
    </row>
    <row r="4794" spans="1:10" hidden="1" x14ac:dyDescent="0.25">
      <c r="A4794" s="176"/>
      <c r="B4794" s="175"/>
      <c r="C4794" s="36" t="s">
        <v>3434</v>
      </c>
      <c r="D4794" s="36" t="s">
        <v>297</v>
      </c>
      <c r="E4794" s="37">
        <v>1.2E-2</v>
      </c>
      <c r="F4794" s="34">
        <v>21.184999999999999</v>
      </c>
      <c r="G4794" s="34">
        <f>IF(ISNUMBER(F4794),E4794*F4794,"")</f>
        <v>0.25422</v>
      </c>
      <c r="H4794" s="39">
        <f>SUM(G4794:G4797)</f>
        <v>37.417099</v>
      </c>
      <c r="I4794" s="40"/>
      <c r="J4794" s="155">
        <v>0</v>
      </c>
    </row>
    <row r="4795" spans="1:10" ht="25.5" hidden="1" x14ac:dyDescent="0.25">
      <c r="A4795" s="176"/>
      <c r="B4795" s="175"/>
      <c r="C4795" s="36" t="s">
        <v>3469</v>
      </c>
      <c r="D4795" s="36" t="s">
        <v>297</v>
      </c>
      <c r="E4795" s="37">
        <v>1</v>
      </c>
      <c r="F4795" s="34">
        <v>30.114999999999998</v>
      </c>
      <c r="G4795" s="34">
        <f>IF(ISNUMBER(F4795),E4795*F4795,"")</f>
        <v>30.114999999999998</v>
      </c>
      <c r="H4795" s="45"/>
      <c r="I4795" s="46"/>
      <c r="J4795" s="155">
        <v>0</v>
      </c>
    </row>
    <row r="4796" spans="1:10" ht="25.5" hidden="1" x14ac:dyDescent="0.25">
      <c r="A4796" s="176"/>
      <c r="B4796" s="175"/>
      <c r="C4796" s="36" t="s">
        <v>1008</v>
      </c>
      <c r="D4796" s="47" t="s">
        <v>755</v>
      </c>
      <c r="E4796" s="37">
        <v>0.183</v>
      </c>
      <c r="F4796" s="31">
        <v>16.891000000000002</v>
      </c>
      <c r="G4796" s="31">
        <f>IF(ISNUMBER(F4796),E4796*F4796,"")</f>
        <v>3.0910530000000001</v>
      </c>
      <c r="H4796" s="35"/>
      <c r="I4796" s="31"/>
      <c r="J4796" s="155">
        <v>0</v>
      </c>
    </row>
    <row r="4797" spans="1:10" ht="25.5" hidden="1" x14ac:dyDescent="0.25">
      <c r="A4797" s="176"/>
      <c r="B4797" s="175"/>
      <c r="C4797" s="36" t="s">
        <v>1009</v>
      </c>
      <c r="D4797" s="36" t="s">
        <v>755</v>
      </c>
      <c r="E4797" s="37">
        <v>0.183</v>
      </c>
      <c r="F4797" s="31">
        <v>21.622</v>
      </c>
      <c r="G4797" s="31">
        <f>IF(ISNUMBER(F4797),E4797*F4797,"")</f>
        <v>3.956826</v>
      </c>
      <c r="H4797" s="35"/>
      <c r="I4797" s="31"/>
      <c r="J4797" s="155">
        <v>0</v>
      </c>
    </row>
    <row r="4798" spans="1:10" ht="15.75" hidden="1" thickBot="1" x14ac:dyDescent="0.3">
      <c r="A4798" s="177"/>
      <c r="B4798" s="178"/>
      <c r="C4798" s="36"/>
      <c r="D4798" s="36"/>
      <c r="E4798" s="37"/>
      <c r="F4798" s="31" t="s">
        <v>568</v>
      </c>
      <c r="G4798" s="31" t="str">
        <f>IF(ISNUMBER(F4798),E4798*F4798,"")</f>
        <v/>
      </c>
      <c r="H4798" s="35"/>
      <c r="I4798" s="31"/>
      <c r="J4798" s="155">
        <v>0</v>
      </c>
    </row>
    <row r="4799" spans="1:10" ht="15.75" hidden="1" thickBot="1" x14ac:dyDescent="0.3">
      <c r="A4799" s="172" t="s">
        <v>3512</v>
      </c>
      <c r="B4799" s="174" t="str">
        <f>INDEX(Orçamentária!A:B,MATCH(Composições!A4799,Orçamentária!A:A,0),2)</f>
        <v>Base para válvula de descarga 1 1/2”</v>
      </c>
      <c r="C4799" s="41"/>
      <c r="D4799" s="26" t="str">
        <f>TRIM(INDEX(Orçamentária!C:C,MATCH(Composições!A4799,Orçamentária!A:A,0),1))</f>
        <v>un</v>
      </c>
      <c r="E4799" s="27"/>
      <c r="F4799" s="42" t="s">
        <v>568</v>
      </c>
      <c r="G4799" s="28" t="str">
        <f>IF(ISNUMBER(F4799),E4799*F4799,"")</f>
        <v/>
      </c>
      <c r="H4799" s="29"/>
      <c r="I4799" s="30"/>
      <c r="J4799" s="155">
        <v>0</v>
      </c>
    </row>
    <row r="4800" spans="1:10" hidden="1" x14ac:dyDescent="0.25">
      <c r="A4800" s="176"/>
      <c r="B4800" s="175"/>
      <c r="C4800" s="32"/>
      <c r="D4800" s="32"/>
      <c r="E4800" s="33"/>
      <c r="F4800" s="43" t="s">
        <v>568</v>
      </c>
      <c r="G4800" s="31" t="str">
        <f>IF(ISNUMBER(F4800),E4800*F4800,"")</f>
        <v/>
      </c>
      <c r="H4800" s="35"/>
      <c r="I4800" s="31"/>
      <c r="J4800" s="155">
        <v>0</v>
      </c>
    </row>
    <row r="4801" spans="1:10" hidden="1" x14ac:dyDescent="0.25">
      <c r="A4801" s="176"/>
      <c r="B4801" s="175"/>
      <c r="C4801" s="36" t="s">
        <v>346</v>
      </c>
      <c r="D4801" s="36" t="s">
        <v>297</v>
      </c>
      <c r="E4801" s="37">
        <v>1.9E-2</v>
      </c>
      <c r="F4801" s="34">
        <v>13.661</v>
      </c>
      <c r="G4801" s="34">
        <f>IF(ISNUMBER(F4801),E4801*F4801,"")</f>
        <v>0.25955899999999998</v>
      </c>
      <c r="H4801" s="39">
        <f>SUM(G4801:G4804)</f>
        <v>24.568964600000001</v>
      </c>
      <c r="I4801" s="40"/>
      <c r="J4801" s="155">
        <v>0</v>
      </c>
    </row>
    <row r="4802" spans="1:10" hidden="1" x14ac:dyDescent="0.25">
      <c r="A4802" s="176"/>
      <c r="B4802" s="175"/>
      <c r="C4802" s="36" t="s">
        <v>3657</v>
      </c>
      <c r="D4802" s="36" t="s">
        <v>297</v>
      </c>
      <c r="E4802" s="37">
        <v>1</v>
      </c>
      <c r="F4802" s="34" t="s">
        <v>568</v>
      </c>
      <c r="G4802" s="34" t="str">
        <f>IF(ISNUMBER(F4802),E4802*F4802,"")</f>
        <v/>
      </c>
      <c r="H4802" s="45"/>
      <c r="I4802" s="46"/>
      <c r="J4802" s="155">
        <v>0</v>
      </c>
    </row>
    <row r="4803" spans="1:10" ht="25.5" hidden="1" x14ac:dyDescent="0.25">
      <c r="A4803" s="176"/>
      <c r="B4803" s="175"/>
      <c r="C4803" s="36" t="s">
        <v>1008</v>
      </c>
      <c r="D4803" s="47" t="s">
        <v>755</v>
      </c>
      <c r="E4803" s="37">
        <f>ROUND(0.789*0.8,4)</f>
        <v>0.63119999999999998</v>
      </c>
      <c r="F4803" s="31">
        <v>16.891000000000002</v>
      </c>
      <c r="G4803" s="31">
        <f>IF(ISNUMBER(F4803),E4803*F4803,"")</f>
        <v>10.661599200000001</v>
      </c>
      <c r="H4803" s="35"/>
      <c r="I4803" s="31"/>
      <c r="J4803" s="155">
        <v>0</v>
      </c>
    </row>
    <row r="4804" spans="1:10" ht="25.5" hidden="1" x14ac:dyDescent="0.25">
      <c r="A4804" s="176"/>
      <c r="B4804" s="175"/>
      <c r="C4804" s="36" t="s">
        <v>1009</v>
      </c>
      <c r="D4804" s="36" t="s">
        <v>755</v>
      </c>
      <c r="E4804" s="37">
        <f>ROUND(0.789*0.8,4)</f>
        <v>0.63119999999999998</v>
      </c>
      <c r="F4804" s="31">
        <v>21.622</v>
      </c>
      <c r="G4804" s="31">
        <f>IF(ISNUMBER(F4804),E4804*F4804,"")</f>
        <v>13.6478064</v>
      </c>
      <c r="H4804" s="35"/>
      <c r="I4804" s="31"/>
      <c r="J4804" s="155">
        <v>0</v>
      </c>
    </row>
    <row r="4805" spans="1:10" ht="15.75" hidden="1" thickBot="1" x14ac:dyDescent="0.3">
      <c r="A4805" s="177"/>
      <c r="B4805" s="178"/>
      <c r="C4805" s="36"/>
      <c r="D4805" s="36"/>
      <c r="E4805" s="37"/>
      <c r="F4805" s="31" t="s">
        <v>568</v>
      </c>
      <c r="G4805" s="31" t="str">
        <f>IF(ISNUMBER(F4805),E4805*F4805,"")</f>
        <v/>
      </c>
      <c r="H4805" s="35"/>
      <c r="I4805" s="31"/>
      <c r="J4805" s="155">
        <v>0</v>
      </c>
    </row>
    <row r="4806" spans="1:10" ht="15.75" hidden="1" thickBot="1" x14ac:dyDescent="0.3">
      <c r="A4806" s="172" t="s">
        <v>3513</v>
      </c>
      <c r="B4806" s="174" t="str">
        <f>INDEX(Orçamentária!A:B,MATCH(Composições!A4806,Orçamentária!A:A,0),2)</f>
        <v>Base para válvula de descarga 1 1/4”</v>
      </c>
      <c r="C4806" s="41"/>
      <c r="D4806" s="26" t="str">
        <f>TRIM(INDEX(Orçamentária!C:C,MATCH(Composições!A4806,Orçamentária!A:A,0),1))</f>
        <v>un</v>
      </c>
      <c r="E4806" s="27"/>
      <c r="F4806" s="42" t="s">
        <v>568</v>
      </c>
      <c r="G4806" s="28" t="str">
        <f>IF(ISNUMBER(F4806),E4806*F4806,"")</f>
        <v/>
      </c>
      <c r="H4806" s="29"/>
      <c r="I4806" s="30"/>
      <c r="J4806" s="155">
        <v>0</v>
      </c>
    </row>
    <row r="4807" spans="1:10" hidden="1" x14ac:dyDescent="0.25">
      <c r="A4807" s="176"/>
      <c r="B4807" s="175"/>
      <c r="C4807" s="32"/>
      <c r="D4807" s="32"/>
      <c r="E4807" s="33"/>
      <c r="F4807" s="43" t="s">
        <v>568</v>
      </c>
      <c r="G4807" s="31" t="str">
        <f>IF(ISNUMBER(F4807),E4807*F4807,"")</f>
        <v/>
      </c>
      <c r="H4807" s="35"/>
      <c r="I4807" s="31"/>
      <c r="J4807" s="155">
        <v>0</v>
      </c>
    </row>
    <row r="4808" spans="1:10" hidden="1" x14ac:dyDescent="0.25">
      <c r="A4808" s="176"/>
      <c r="B4808" s="175"/>
      <c r="C4808" s="36" t="s">
        <v>346</v>
      </c>
      <c r="D4808" s="36" t="s">
        <v>297</v>
      </c>
      <c r="E4808" s="37">
        <v>1.9E-2</v>
      </c>
      <c r="F4808" s="34">
        <v>13.661</v>
      </c>
      <c r="G4808" s="34">
        <f>IF(ISNUMBER(F4808),E4808*F4808,"")</f>
        <v>0.25955899999999998</v>
      </c>
      <c r="H4808" s="39">
        <f>SUM(G4808:G4811)</f>
        <v>24.568964600000001</v>
      </c>
      <c r="I4808" s="40"/>
      <c r="J4808" s="155">
        <v>0</v>
      </c>
    </row>
    <row r="4809" spans="1:10" hidden="1" x14ac:dyDescent="0.25">
      <c r="A4809" s="176"/>
      <c r="B4809" s="175"/>
      <c r="C4809" s="36" t="s">
        <v>3658</v>
      </c>
      <c r="D4809" s="36" t="s">
        <v>297</v>
      </c>
      <c r="E4809" s="37">
        <v>1</v>
      </c>
      <c r="F4809" s="34" t="s">
        <v>568</v>
      </c>
      <c r="G4809" s="34" t="str">
        <f>IF(ISNUMBER(F4809),E4809*F4809,"")</f>
        <v/>
      </c>
      <c r="H4809" s="45"/>
      <c r="I4809" s="46"/>
      <c r="J4809" s="155">
        <v>0</v>
      </c>
    </row>
    <row r="4810" spans="1:10" ht="25.5" hidden="1" x14ac:dyDescent="0.25">
      <c r="A4810" s="176"/>
      <c r="B4810" s="175"/>
      <c r="C4810" s="36" t="s">
        <v>1008</v>
      </c>
      <c r="D4810" s="47" t="s">
        <v>755</v>
      </c>
      <c r="E4810" s="37">
        <f t="shared" ref="E4810:E4811" si="0">ROUND(0.789*0.8,4)</f>
        <v>0.63119999999999998</v>
      </c>
      <c r="F4810" s="31">
        <v>16.891000000000002</v>
      </c>
      <c r="G4810" s="31">
        <f>IF(ISNUMBER(F4810),E4810*F4810,"")</f>
        <v>10.661599200000001</v>
      </c>
      <c r="H4810" s="35"/>
      <c r="I4810" s="31"/>
      <c r="J4810" s="155">
        <v>0</v>
      </c>
    </row>
    <row r="4811" spans="1:10" ht="25.5" hidden="1" x14ac:dyDescent="0.25">
      <c r="A4811" s="176"/>
      <c r="B4811" s="175"/>
      <c r="C4811" s="36" t="s">
        <v>1009</v>
      </c>
      <c r="D4811" s="36" t="s">
        <v>755</v>
      </c>
      <c r="E4811" s="37">
        <f t="shared" si="0"/>
        <v>0.63119999999999998</v>
      </c>
      <c r="F4811" s="31">
        <v>21.622</v>
      </c>
      <c r="G4811" s="31">
        <f>IF(ISNUMBER(F4811),E4811*F4811,"")</f>
        <v>13.6478064</v>
      </c>
      <c r="H4811" s="35"/>
      <c r="I4811" s="31"/>
      <c r="J4811" s="155">
        <v>0</v>
      </c>
    </row>
    <row r="4812" spans="1:10" ht="15.75" hidden="1" thickBot="1" x14ac:dyDescent="0.3">
      <c r="A4812" s="177"/>
      <c r="B4812" s="178"/>
      <c r="C4812" s="36"/>
      <c r="D4812" s="36"/>
      <c r="E4812" s="37"/>
      <c r="F4812" s="31" t="s">
        <v>568</v>
      </c>
      <c r="G4812" s="31" t="str">
        <f>IF(ISNUMBER(F4812),E4812*F4812,"")</f>
        <v/>
      </c>
      <c r="H4812" s="35"/>
      <c r="I4812" s="31"/>
      <c r="J4812" s="155">
        <v>0</v>
      </c>
    </row>
    <row r="4813" spans="1:10" ht="15.75" hidden="1" thickBot="1" x14ac:dyDescent="0.3">
      <c r="A4813" s="172" t="s">
        <v>3514</v>
      </c>
      <c r="B4813" s="174" t="str">
        <f>INDEX(Orçamentária!A:B,MATCH(Composições!A4813,Orçamentária!A:A,0),2)</f>
        <v>Anel de Vedação para bacia sanitária</v>
      </c>
      <c r="C4813" s="41"/>
      <c r="D4813" s="26" t="str">
        <f>TRIM(INDEX(Orçamentária!C:C,MATCH(Composições!A4813,Orçamentária!A:A,0),1))</f>
        <v>un</v>
      </c>
      <c r="E4813" s="27"/>
      <c r="F4813" s="42" t="s">
        <v>568</v>
      </c>
      <c r="G4813" s="28" t="str">
        <f>IF(ISNUMBER(F4813),E4813*F4813,"")</f>
        <v/>
      </c>
      <c r="H4813" s="29"/>
      <c r="I4813" s="30"/>
      <c r="J4813" s="155">
        <v>0</v>
      </c>
    </row>
    <row r="4814" spans="1:10" hidden="1" x14ac:dyDescent="0.25">
      <c r="A4814" s="176"/>
      <c r="B4814" s="175"/>
      <c r="C4814" s="32"/>
      <c r="D4814" s="32"/>
      <c r="E4814" s="33"/>
      <c r="F4814" s="43" t="s">
        <v>568</v>
      </c>
      <c r="G4814" s="34" t="str">
        <f>IF(ISNUMBER(F4814),E4814*F4814,"")</f>
        <v/>
      </c>
      <c r="H4814" s="35"/>
      <c r="I4814" s="31"/>
      <c r="J4814" s="155">
        <v>0</v>
      </c>
    </row>
    <row r="4815" spans="1:10" hidden="1" x14ac:dyDescent="0.25">
      <c r="A4815" s="176"/>
      <c r="B4815" s="175"/>
      <c r="C4815" s="36" t="s">
        <v>325</v>
      </c>
      <c r="D4815" s="47" t="s">
        <v>20</v>
      </c>
      <c r="E4815" s="37">
        <v>1</v>
      </c>
      <c r="F4815" s="34">
        <v>2.7454999999999998</v>
      </c>
      <c r="G4815" s="54">
        <f>IF(ISNUMBER(F4815),E4815*F4815,"")</f>
        <v>2.7454999999999998</v>
      </c>
      <c r="H4815" s="39">
        <f>SUM(G4815:G4816)</f>
        <v>4.9077000000000002</v>
      </c>
      <c r="I4815" s="31"/>
      <c r="J4815" s="155">
        <v>0</v>
      </c>
    </row>
    <row r="4816" spans="1:10" ht="25.5" hidden="1" x14ac:dyDescent="0.25">
      <c r="A4816" s="176"/>
      <c r="B4816" s="175"/>
      <c r="C4816" s="36" t="s">
        <v>1009</v>
      </c>
      <c r="D4816" s="36" t="s">
        <v>755</v>
      </c>
      <c r="E4816" s="37">
        <v>0.1</v>
      </c>
      <c r="F4816" s="31">
        <v>21.622</v>
      </c>
      <c r="G4816" s="31">
        <f>IF(ISNUMBER(F4816),E4816*F4816,"")</f>
        <v>2.1621999999999999</v>
      </c>
      <c r="H4816" s="35"/>
      <c r="I4816" s="31"/>
      <c r="J4816" s="155">
        <v>0</v>
      </c>
    </row>
    <row r="4817" spans="1:10" ht="15.75" hidden="1" thickBot="1" x14ac:dyDescent="0.3">
      <c r="A4817" s="177"/>
      <c r="B4817" s="178"/>
      <c r="C4817" s="36"/>
      <c r="D4817" s="36"/>
      <c r="E4817" s="37"/>
      <c r="F4817" s="31" t="s">
        <v>568</v>
      </c>
      <c r="G4817" s="34" t="str">
        <f>IF(ISNUMBER(F4817),E4817*F4817,"")</f>
        <v/>
      </c>
      <c r="H4817" s="35"/>
      <c r="I4817" s="31"/>
      <c r="J4817" s="155">
        <v>0</v>
      </c>
    </row>
    <row r="4818" spans="1:10" ht="15.75" hidden="1" thickBot="1" x14ac:dyDescent="0.3">
      <c r="A4818" s="179" t="s">
        <v>3515</v>
      </c>
      <c r="B4818" s="182" t="str">
        <f>INDEX(Orçamentária!A:B,MATCH(Composições!A4818,Orçamentária!A:A,0),2)</f>
        <v>Folha de porta em madeira e MDF 2,10x0,60m</v>
      </c>
      <c r="C4818" s="41"/>
      <c r="D4818" s="26" t="str">
        <f>TRIM(INDEX(Orçamentária!C:C,MATCH(Composições!A4818,Orçamentária!A:A,0),1))</f>
        <v>un</v>
      </c>
      <c r="E4818" s="27"/>
      <c r="F4818" s="42" t="s">
        <v>568</v>
      </c>
      <c r="G4818" s="28" t="str">
        <f>IF(ISNUMBER(F4818),E4818*F4818,"")</f>
        <v/>
      </c>
      <c r="H4818" s="29"/>
      <c r="I4818" s="30"/>
      <c r="J4818" s="155">
        <v>0</v>
      </c>
    </row>
    <row r="4819" spans="1:10" hidden="1" x14ac:dyDescent="0.25">
      <c r="A4819" s="180"/>
      <c r="B4819" s="183"/>
      <c r="C4819" s="32"/>
      <c r="D4819" s="32"/>
      <c r="E4819" s="33"/>
      <c r="F4819" s="43" t="s">
        <v>568</v>
      </c>
      <c r="G4819" s="31" t="str">
        <f>IF(ISNUMBER(F4819),E4819*F4819,"")</f>
        <v/>
      </c>
      <c r="H4819" s="35"/>
      <c r="I4819" s="31"/>
      <c r="J4819" s="155">
        <v>0</v>
      </c>
    </row>
    <row r="4820" spans="1:10" ht="51" hidden="1" x14ac:dyDescent="0.25">
      <c r="A4820" s="180"/>
      <c r="B4820" s="183"/>
      <c r="C4820" s="36" t="s">
        <v>3810</v>
      </c>
      <c r="D4820" s="47" t="s">
        <v>297</v>
      </c>
      <c r="E4820" s="37">
        <v>1</v>
      </c>
      <c r="F4820" s="34">
        <v>161.9845</v>
      </c>
      <c r="G4820" s="34">
        <f>IF(ISNUMBER(F4820),E4820*F4820,"")</f>
        <v>161.9845</v>
      </c>
      <c r="H4820" s="39">
        <f>SUM(G4820:G4822)</f>
        <v>192.82659960000001</v>
      </c>
      <c r="I4820" s="40"/>
      <c r="J4820" s="155">
        <v>0</v>
      </c>
    </row>
    <row r="4821" spans="1:10" hidden="1" x14ac:dyDescent="0.25">
      <c r="A4821" s="180"/>
      <c r="B4821" s="183"/>
      <c r="C4821" s="36" t="s">
        <v>754</v>
      </c>
      <c r="D4821" s="47" t="s">
        <v>755</v>
      </c>
      <c r="E4821" s="37">
        <f>ROUND(1.282*0.8,4)</f>
        <v>1.0256000000000001</v>
      </c>
      <c r="F4821" s="31">
        <v>21.916499999999999</v>
      </c>
      <c r="G4821" s="34">
        <f>IF(ISNUMBER(F4821),E4821*F4821,"")</f>
        <v>22.4775624</v>
      </c>
      <c r="H4821" s="35"/>
      <c r="I4821" s="31"/>
      <c r="J4821" s="155">
        <v>0</v>
      </c>
    </row>
    <row r="4822" spans="1:10" hidden="1" x14ac:dyDescent="0.25">
      <c r="A4822" s="180"/>
      <c r="B4822" s="183"/>
      <c r="C4822" s="36" t="s">
        <v>756</v>
      </c>
      <c r="D4822" s="47" t="s">
        <v>755</v>
      </c>
      <c r="E4822" s="37">
        <f>ROUND(0.641*0.8,4)</f>
        <v>0.51280000000000003</v>
      </c>
      <c r="F4822" s="31">
        <v>16.311500000000002</v>
      </c>
      <c r="G4822" s="34">
        <f>IF(ISNUMBER(F4822),E4822*F4822,"")</f>
        <v>8.3645372000000009</v>
      </c>
      <c r="H4822" s="35"/>
      <c r="I4822" s="31"/>
      <c r="J4822" s="155">
        <v>0</v>
      </c>
    </row>
    <row r="4823" spans="1:10" hidden="1" x14ac:dyDescent="0.25">
      <c r="A4823" s="180"/>
      <c r="B4823" s="183"/>
      <c r="C4823" s="36"/>
      <c r="D4823" s="47"/>
      <c r="E4823" s="37"/>
      <c r="F4823" s="34" t="s">
        <v>568</v>
      </c>
      <c r="G4823" s="34" t="str">
        <f>IF(ISNUMBER(F4823),E4823*F4823,"")</f>
        <v/>
      </c>
      <c r="H4823" s="35"/>
      <c r="I4823" s="31"/>
      <c r="J4823" s="155">
        <v>0</v>
      </c>
    </row>
    <row r="4824" spans="1:10" ht="15.75" hidden="1" thickBot="1" x14ac:dyDescent="0.3">
      <c r="A4824" s="179" t="s">
        <v>3516</v>
      </c>
      <c r="B4824" s="182" t="str">
        <f>INDEX(Orçamentária!A:B,MATCH(Composições!A4824,Orçamentária!A:A,0),2)</f>
        <v>Folha de porta em madeira e MDF 2,10x0,70m</v>
      </c>
      <c r="C4824" s="41"/>
      <c r="D4824" s="26" t="str">
        <f>TRIM(INDEX(Orçamentária!C:C,MATCH(Composições!A4824,Orçamentária!A:A,0),1))</f>
        <v>un</v>
      </c>
      <c r="E4824" s="27"/>
      <c r="F4824" s="42" t="s">
        <v>568</v>
      </c>
      <c r="G4824" s="28" t="str">
        <f>IF(ISNUMBER(F4824),E4824*F4824,"")</f>
        <v/>
      </c>
      <c r="H4824" s="29"/>
      <c r="I4824" s="30"/>
      <c r="J4824" s="155">
        <v>0</v>
      </c>
    </row>
    <row r="4825" spans="1:10" hidden="1" x14ac:dyDescent="0.25">
      <c r="A4825" s="180"/>
      <c r="B4825" s="183"/>
      <c r="C4825" s="32"/>
      <c r="D4825" s="32"/>
      <c r="E4825" s="33"/>
      <c r="F4825" s="43" t="s">
        <v>568</v>
      </c>
      <c r="G4825" s="31" t="str">
        <f>IF(ISNUMBER(F4825),E4825*F4825,"")</f>
        <v/>
      </c>
      <c r="H4825" s="35"/>
      <c r="I4825" s="31"/>
      <c r="J4825" s="155">
        <v>0</v>
      </c>
    </row>
    <row r="4826" spans="1:10" ht="51" hidden="1" x14ac:dyDescent="0.25">
      <c r="A4826" s="180"/>
      <c r="B4826" s="183"/>
      <c r="C4826" s="36" t="s">
        <v>3805</v>
      </c>
      <c r="D4826" s="47" t="s">
        <v>297</v>
      </c>
      <c r="E4826" s="37">
        <v>1</v>
      </c>
      <c r="F4826" s="34">
        <v>176.07300000000001</v>
      </c>
      <c r="G4826" s="34">
        <f>IF(ISNUMBER(F4826),E4826*F4826,"")</f>
        <v>176.07300000000001</v>
      </c>
      <c r="H4826" s="39">
        <f>SUM(G4826:G4828)</f>
        <v>210.09072920000003</v>
      </c>
      <c r="I4826" s="40"/>
      <c r="J4826" s="155">
        <v>0</v>
      </c>
    </row>
    <row r="4827" spans="1:10" hidden="1" x14ac:dyDescent="0.25">
      <c r="A4827" s="180"/>
      <c r="B4827" s="183"/>
      <c r="C4827" s="36" t="s">
        <v>754</v>
      </c>
      <c r="D4827" s="47" t="s">
        <v>755</v>
      </c>
      <c r="E4827" s="37">
        <f>ROUND(1.414*0.8,4)</f>
        <v>1.1312</v>
      </c>
      <c r="F4827" s="31">
        <v>21.916499999999999</v>
      </c>
      <c r="G4827" s="34">
        <f>IF(ISNUMBER(F4827),E4827*F4827,"")</f>
        <v>24.7919448</v>
      </c>
      <c r="H4827" s="35"/>
      <c r="I4827" s="31"/>
      <c r="J4827" s="155">
        <v>0</v>
      </c>
    </row>
    <row r="4828" spans="1:10" hidden="1" x14ac:dyDescent="0.25">
      <c r="A4828" s="180"/>
      <c r="B4828" s="183"/>
      <c r="C4828" s="36" t="s">
        <v>756</v>
      </c>
      <c r="D4828" s="47" t="s">
        <v>755</v>
      </c>
      <c r="E4828" s="37">
        <f>ROUND(0.707*0.8,4)</f>
        <v>0.56559999999999999</v>
      </c>
      <c r="F4828" s="31">
        <v>16.311500000000002</v>
      </c>
      <c r="G4828" s="34">
        <f>IF(ISNUMBER(F4828),E4828*F4828,"")</f>
        <v>9.225784400000002</v>
      </c>
      <c r="H4828" s="35"/>
      <c r="I4828" s="31"/>
      <c r="J4828" s="155">
        <v>0</v>
      </c>
    </row>
    <row r="4829" spans="1:10" hidden="1" x14ac:dyDescent="0.25">
      <c r="A4829" s="180"/>
      <c r="B4829" s="183"/>
      <c r="C4829" s="36"/>
      <c r="D4829" s="47"/>
      <c r="E4829" s="37"/>
      <c r="F4829" s="34" t="s">
        <v>568</v>
      </c>
      <c r="G4829" s="34" t="str">
        <f>IF(ISNUMBER(F4829),E4829*F4829,"")</f>
        <v/>
      </c>
      <c r="H4829" s="35"/>
      <c r="I4829" s="31"/>
      <c r="J4829" s="155">
        <v>0</v>
      </c>
    </row>
    <row r="4830" spans="1:10" ht="15.75" hidden="1" thickBot="1" x14ac:dyDescent="0.3">
      <c r="A4830" s="179" t="s">
        <v>3517</v>
      </c>
      <c r="B4830" s="182" t="str">
        <f>INDEX(Orçamentária!A:B,MATCH(Composições!A4830,Orçamentária!A:A,0),2)</f>
        <v>Folha de porta em madeira e MDF 2,10x0,80m</v>
      </c>
      <c r="C4830" s="41"/>
      <c r="D4830" s="26" t="str">
        <f>TRIM(INDEX(Orçamentária!C:C,MATCH(Composições!A4830,Orçamentária!A:A,0),1))</f>
        <v>un</v>
      </c>
      <c r="E4830" s="27"/>
      <c r="F4830" s="42" t="s">
        <v>568</v>
      </c>
      <c r="G4830" s="28" t="str">
        <f>IF(ISNUMBER(F4830),E4830*F4830,"")</f>
        <v/>
      </c>
      <c r="H4830" s="29"/>
      <c r="I4830" s="30"/>
      <c r="J4830" s="155">
        <v>0</v>
      </c>
    </row>
    <row r="4831" spans="1:10" hidden="1" x14ac:dyDescent="0.25">
      <c r="A4831" s="180"/>
      <c r="B4831" s="183"/>
      <c r="C4831" s="32"/>
      <c r="D4831" s="32"/>
      <c r="E4831" s="33"/>
      <c r="F4831" s="43" t="s">
        <v>568</v>
      </c>
      <c r="G4831" s="31" t="str">
        <f>IF(ISNUMBER(F4831),E4831*F4831,"")</f>
        <v/>
      </c>
      <c r="H4831" s="35"/>
      <c r="I4831" s="31"/>
      <c r="J4831" s="155">
        <v>0</v>
      </c>
    </row>
    <row r="4832" spans="1:10" ht="51" hidden="1" x14ac:dyDescent="0.25">
      <c r="A4832" s="180"/>
      <c r="B4832" s="183"/>
      <c r="C4832" s="36" t="s">
        <v>3807</v>
      </c>
      <c r="D4832" s="47" t="s">
        <v>297</v>
      </c>
      <c r="E4832" s="37">
        <v>1</v>
      </c>
      <c r="F4832" s="34">
        <v>198.85399999999998</v>
      </c>
      <c r="G4832" s="34">
        <f>IF(ISNUMBER(F4832),E4832*F4832,"")</f>
        <v>198.85399999999998</v>
      </c>
      <c r="H4832" s="39">
        <f>SUM(G4832:G4834)</f>
        <v>236.04735879999998</v>
      </c>
      <c r="I4832" s="40"/>
      <c r="J4832" s="155">
        <v>0</v>
      </c>
    </row>
    <row r="4833" spans="1:10" hidden="1" x14ac:dyDescent="0.25">
      <c r="A4833" s="180"/>
      <c r="B4833" s="183"/>
      <c r="C4833" s="36" t="s">
        <v>754</v>
      </c>
      <c r="D4833" s="47" t="s">
        <v>755</v>
      </c>
      <c r="E4833" s="37">
        <f>ROUND(1.546*0.8,4)</f>
        <v>1.2367999999999999</v>
      </c>
      <c r="F4833" s="31">
        <v>21.916499999999999</v>
      </c>
      <c r="G4833" s="34">
        <f>IF(ISNUMBER(F4833),E4833*F4833,"")</f>
        <v>27.106327199999996</v>
      </c>
      <c r="H4833" s="35"/>
      <c r="I4833" s="31"/>
      <c r="J4833" s="155">
        <v>0</v>
      </c>
    </row>
    <row r="4834" spans="1:10" hidden="1" x14ac:dyDescent="0.25">
      <c r="A4834" s="180"/>
      <c r="B4834" s="183"/>
      <c r="C4834" s="36" t="s">
        <v>756</v>
      </c>
      <c r="D4834" s="47" t="s">
        <v>755</v>
      </c>
      <c r="E4834" s="37">
        <f>ROUND(0.773*0.8,4)</f>
        <v>0.61839999999999995</v>
      </c>
      <c r="F4834" s="31">
        <v>16.311500000000002</v>
      </c>
      <c r="G4834" s="34">
        <f>IF(ISNUMBER(F4834),E4834*F4834,"")</f>
        <v>10.087031600000001</v>
      </c>
      <c r="H4834" s="35"/>
      <c r="I4834" s="31"/>
      <c r="J4834" s="155">
        <v>0</v>
      </c>
    </row>
    <row r="4835" spans="1:10" hidden="1" x14ac:dyDescent="0.25">
      <c r="A4835" s="180"/>
      <c r="B4835" s="183"/>
      <c r="C4835" s="36"/>
      <c r="D4835" s="47"/>
      <c r="E4835" s="37"/>
      <c r="F4835" s="34" t="s">
        <v>568</v>
      </c>
      <c r="G4835" s="34" t="str">
        <f>IF(ISNUMBER(F4835),E4835*F4835,"")</f>
        <v/>
      </c>
      <c r="H4835" s="35"/>
      <c r="I4835" s="31"/>
      <c r="J4835" s="155">
        <v>0</v>
      </c>
    </row>
    <row r="4836" spans="1:10" ht="15.75" hidden="1" thickBot="1" x14ac:dyDescent="0.3">
      <c r="A4836" s="179" t="s">
        <v>3518</v>
      </c>
      <c r="B4836" s="182" t="str">
        <f>INDEX(Orçamentária!A:B,MATCH(Composições!A4836,Orçamentária!A:A,0),2)</f>
        <v>Folha de porta em madeira e MDF 2,10x0,90m</v>
      </c>
      <c r="C4836" s="41"/>
      <c r="D4836" s="26" t="str">
        <f>TRIM(INDEX(Orçamentária!C:C,MATCH(Composições!A4836,Orçamentária!A:A,0),1))</f>
        <v>un</v>
      </c>
      <c r="E4836" s="27"/>
      <c r="F4836" s="42" t="s">
        <v>568</v>
      </c>
      <c r="G4836" s="28" t="str">
        <f>IF(ISNUMBER(F4836),E4836*F4836,"")</f>
        <v/>
      </c>
      <c r="H4836" s="29"/>
      <c r="I4836" s="30"/>
      <c r="J4836" s="155">
        <v>0</v>
      </c>
    </row>
    <row r="4837" spans="1:10" hidden="1" x14ac:dyDescent="0.25">
      <c r="A4837" s="180"/>
      <c r="B4837" s="183"/>
      <c r="C4837" s="32"/>
      <c r="D4837" s="32"/>
      <c r="E4837" s="33"/>
      <c r="F4837" s="43" t="s">
        <v>568</v>
      </c>
      <c r="G4837" s="31" t="str">
        <f>IF(ISNUMBER(F4837),E4837*F4837,"")</f>
        <v/>
      </c>
      <c r="H4837" s="35"/>
      <c r="I4837" s="31"/>
      <c r="J4837" s="155">
        <v>0</v>
      </c>
    </row>
    <row r="4838" spans="1:10" ht="51" hidden="1" x14ac:dyDescent="0.25">
      <c r="A4838" s="180"/>
      <c r="B4838" s="183"/>
      <c r="C4838" s="36" t="s">
        <v>3809</v>
      </c>
      <c r="D4838" s="47" t="s">
        <v>297</v>
      </c>
      <c r="E4838" s="37">
        <v>1</v>
      </c>
      <c r="F4838" s="34">
        <v>222.23349999999999</v>
      </c>
      <c r="G4838" s="34">
        <f>IF(ISNUMBER(F4838),E4838*F4838,"")</f>
        <v>222.23349999999999</v>
      </c>
      <c r="H4838" s="39">
        <f>SUM(G4838:G4840)</f>
        <v>262.60248840000003</v>
      </c>
      <c r="I4838" s="40"/>
      <c r="J4838" s="155">
        <v>0</v>
      </c>
    </row>
    <row r="4839" spans="1:10" hidden="1" x14ac:dyDescent="0.25">
      <c r="A4839" s="180"/>
      <c r="B4839" s="183"/>
      <c r="C4839" s="36" t="s">
        <v>754</v>
      </c>
      <c r="D4839" s="47" t="s">
        <v>755</v>
      </c>
      <c r="E4839" s="37">
        <f>ROUND(1.678*0.8,4)</f>
        <v>1.3424</v>
      </c>
      <c r="F4839" s="31">
        <v>21.916499999999999</v>
      </c>
      <c r="G4839" s="34">
        <f>IF(ISNUMBER(F4839),E4839*F4839,"")</f>
        <v>29.420709599999999</v>
      </c>
      <c r="H4839" s="35"/>
      <c r="I4839" s="31"/>
      <c r="J4839" s="155">
        <v>0</v>
      </c>
    </row>
    <row r="4840" spans="1:10" hidden="1" x14ac:dyDescent="0.25">
      <c r="A4840" s="180"/>
      <c r="B4840" s="183"/>
      <c r="C4840" s="36" t="s">
        <v>756</v>
      </c>
      <c r="D4840" s="47" t="s">
        <v>755</v>
      </c>
      <c r="E4840" s="37">
        <f>ROUND(0.839*0.8,4)</f>
        <v>0.67120000000000002</v>
      </c>
      <c r="F4840" s="31">
        <v>16.311500000000002</v>
      </c>
      <c r="G4840" s="34">
        <f>IF(ISNUMBER(F4840),E4840*F4840,"")</f>
        <v>10.948278800000002</v>
      </c>
      <c r="H4840" s="35"/>
      <c r="I4840" s="31"/>
      <c r="J4840" s="155">
        <v>0</v>
      </c>
    </row>
    <row r="4841" spans="1:10" hidden="1" x14ac:dyDescent="0.25">
      <c r="A4841" s="180"/>
      <c r="B4841" s="183"/>
      <c r="C4841" s="36"/>
      <c r="D4841" s="47"/>
      <c r="E4841" s="37"/>
      <c r="F4841" s="34" t="s">
        <v>568</v>
      </c>
      <c r="G4841" s="34" t="str">
        <f>IF(ISNUMBER(F4841),E4841*F4841,"")</f>
        <v/>
      </c>
      <c r="H4841" s="35"/>
      <c r="I4841" s="31"/>
      <c r="J4841" s="155">
        <v>0</v>
      </c>
    </row>
    <row r="4842" spans="1:10" ht="15.75" hidden="1" thickBot="1" x14ac:dyDescent="0.3">
      <c r="A4842" s="179" t="s">
        <v>3519</v>
      </c>
      <c r="B4842" s="182" t="str">
        <f>INDEX(Orçamentária!A:B,MATCH(Composições!A4842,Orçamentária!A:A,0),2)</f>
        <v>Remoção de boiler</v>
      </c>
      <c r="C4842" s="41"/>
      <c r="D4842" s="26" t="str">
        <f>TRIM(INDEX(Orçamentária!C:C,MATCH(Composições!A4842,Orçamentária!A:A,0),1))</f>
        <v>un</v>
      </c>
      <c r="E4842" s="27"/>
      <c r="F4842" s="42" t="s">
        <v>568</v>
      </c>
      <c r="G4842" s="28" t="str">
        <f>IF(ISNUMBER(F4842),E4842*F4842,"")</f>
        <v/>
      </c>
      <c r="H4842" s="29"/>
      <c r="I4842" s="30"/>
      <c r="J4842" s="155">
        <v>0</v>
      </c>
    </row>
    <row r="4843" spans="1:10" hidden="1" x14ac:dyDescent="0.25">
      <c r="A4843" s="180"/>
      <c r="B4843" s="183"/>
      <c r="C4843" s="32"/>
      <c r="D4843" s="32"/>
      <c r="E4843" s="33"/>
      <c r="F4843" s="43" t="s">
        <v>568</v>
      </c>
      <c r="G4843" s="31" t="str">
        <f>IF(ISNUMBER(F4843),E4843*F4843,"")</f>
        <v/>
      </c>
      <c r="H4843" s="35"/>
      <c r="I4843" s="31"/>
      <c r="J4843" s="155">
        <v>0</v>
      </c>
    </row>
    <row r="4844" spans="1:10" ht="25.5" hidden="1" x14ac:dyDescent="0.25">
      <c r="A4844" s="180"/>
      <c r="B4844" s="183"/>
      <c r="C4844" s="36" t="s">
        <v>1008</v>
      </c>
      <c r="D4844" s="47" t="s">
        <v>755</v>
      </c>
      <c r="E4844" s="37">
        <f>4*0.3</f>
        <v>1.2</v>
      </c>
      <c r="F4844" s="31">
        <v>16.891000000000002</v>
      </c>
      <c r="G4844" s="31">
        <f>IF(ISNUMBER(F4844),E4844*F4844,"")</f>
        <v>20.269200000000001</v>
      </c>
      <c r="H4844" s="39">
        <f>SUM(G4844:G4847)</f>
        <v>69.995999999999995</v>
      </c>
      <c r="I4844" s="40"/>
      <c r="J4844" s="155">
        <v>0</v>
      </c>
    </row>
    <row r="4845" spans="1:10" ht="25.5" hidden="1" x14ac:dyDescent="0.25">
      <c r="A4845" s="180"/>
      <c r="B4845" s="183"/>
      <c r="C4845" s="36" t="s">
        <v>1009</v>
      </c>
      <c r="D4845" s="36" t="s">
        <v>755</v>
      </c>
      <c r="E4845" s="37">
        <f>4*0.3</f>
        <v>1.2</v>
      </c>
      <c r="F4845" s="31">
        <v>21.622</v>
      </c>
      <c r="G4845" s="31">
        <f>IF(ISNUMBER(F4845),E4845*F4845,"")</f>
        <v>25.946400000000001</v>
      </c>
      <c r="H4845" s="45"/>
      <c r="I4845" s="46"/>
      <c r="J4845" s="155">
        <v>0</v>
      </c>
    </row>
    <row r="4846" spans="1:10" hidden="1" x14ac:dyDescent="0.25">
      <c r="A4846" s="180"/>
      <c r="B4846" s="183"/>
      <c r="C4846" s="36" t="s">
        <v>74</v>
      </c>
      <c r="D4846" s="47" t="s">
        <v>755</v>
      </c>
      <c r="E4846" s="37">
        <f>2*0.3</f>
        <v>0.6</v>
      </c>
      <c r="F4846" s="31">
        <v>17.366</v>
      </c>
      <c r="G4846" s="31">
        <f>IF(ISNUMBER(F4846),E4846*F4846,"")</f>
        <v>10.419599999999999</v>
      </c>
      <c r="H4846" s="35"/>
      <c r="I4846" s="31"/>
      <c r="J4846" s="155">
        <v>0</v>
      </c>
    </row>
    <row r="4847" spans="1:10" hidden="1" x14ac:dyDescent="0.25">
      <c r="A4847" s="180"/>
      <c r="B4847" s="183"/>
      <c r="C4847" s="36" t="s">
        <v>30</v>
      </c>
      <c r="D4847" s="36" t="s">
        <v>755</v>
      </c>
      <c r="E4847" s="37">
        <f>2*0.3</f>
        <v>0.6</v>
      </c>
      <c r="F4847" s="31">
        <v>22.268000000000001</v>
      </c>
      <c r="G4847" s="31">
        <f>IF(ISNUMBER(F4847),E4847*F4847,"")</f>
        <v>13.360799999999999</v>
      </c>
      <c r="H4847" s="35"/>
      <c r="I4847" s="31"/>
      <c r="J4847" s="155">
        <v>0</v>
      </c>
    </row>
    <row r="4848" spans="1:10" ht="15.75" hidden="1" thickBot="1" x14ac:dyDescent="0.3">
      <c r="A4848" s="181"/>
      <c r="B4848" s="184"/>
      <c r="C4848" s="36"/>
      <c r="D4848" s="36"/>
      <c r="E4848" s="37"/>
      <c r="F4848" s="31" t="s">
        <v>568</v>
      </c>
      <c r="G4848" s="31" t="str">
        <f>IF(ISNUMBER(F4848),E4848*F4848,"")</f>
        <v/>
      </c>
      <c r="H4848" s="35"/>
      <c r="I4848" s="31"/>
      <c r="J4848" s="155">
        <v>0</v>
      </c>
    </row>
    <row r="4849" spans="1:10" ht="15.75" hidden="1" thickBot="1" x14ac:dyDescent="0.3">
      <c r="A4849" s="172" t="s">
        <v>3520</v>
      </c>
      <c r="B4849" s="174" t="str">
        <f>INDEX(Orçamentária!A:B,MATCH(Composições!A4849,Orçamentária!A:A,0),2)</f>
        <v>Remoção de tacos de madeira</v>
      </c>
      <c r="C4849" s="41"/>
      <c r="D4849" s="26" t="str">
        <f>TRIM(INDEX(Orçamentária!C:C,MATCH(Composições!A4849,Orçamentária!A:A,0),1))</f>
        <v>m2</v>
      </c>
      <c r="E4849" s="27"/>
      <c r="F4849" s="42" t="s">
        <v>568</v>
      </c>
      <c r="G4849" s="28" t="str">
        <f>IF(ISNUMBER(F4849),E4849*F4849,"")</f>
        <v/>
      </c>
      <c r="H4849" s="29"/>
      <c r="I4849" s="30"/>
      <c r="J4849" s="155">
        <v>0</v>
      </c>
    </row>
    <row r="4850" spans="1:10" hidden="1" x14ac:dyDescent="0.25">
      <c r="A4850" s="176"/>
      <c r="B4850" s="175"/>
      <c r="C4850" s="32"/>
      <c r="D4850" s="32"/>
      <c r="E4850" s="33"/>
      <c r="F4850" s="43" t="s">
        <v>568</v>
      </c>
      <c r="G4850" s="31" t="str">
        <f>IF(ISNUMBER(F4850),E4850*F4850,"")</f>
        <v/>
      </c>
      <c r="H4850" s="35"/>
      <c r="I4850" s="31"/>
      <c r="J4850" s="155">
        <v>0</v>
      </c>
    </row>
    <row r="4851" spans="1:10" hidden="1" x14ac:dyDescent="0.25">
      <c r="A4851" s="176"/>
      <c r="B4851" s="175"/>
      <c r="C4851" s="36" t="s">
        <v>754</v>
      </c>
      <c r="D4851" s="36" t="s">
        <v>755</v>
      </c>
      <c r="E4851" s="37">
        <v>0.12</v>
      </c>
      <c r="F4851" s="34">
        <v>21.916499999999999</v>
      </c>
      <c r="G4851" s="34">
        <f>IF(ISNUMBER(F4851),E4851*F4851,"")</f>
        <v>2.6299799999999998</v>
      </c>
      <c r="H4851" s="39">
        <f>SUM(G4851:G4852)</f>
        <v>24.79158</v>
      </c>
      <c r="I4851" s="40"/>
      <c r="J4851" s="155">
        <v>0</v>
      </c>
    </row>
    <row r="4852" spans="1:10" hidden="1" x14ac:dyDescent="0.25">
      <c r="A4852" s="176"/>
      <c r="B4852" s="175"/>
      <c r="C4852" s="36" t="s">
        <v>839</v>
      </c>
      <c r="D4852" s="36" t="s">
        <v>755</v>
      </c>
      <c r="E4852" s="37">
        <v>1.2</v>
      </c>
      <c r="F4852" s="34">
        <v>18.468</v>
      </c>
      <c r="G4852" s="34">
        <f>IF(ISNUMBER(F4852),E4852*F4852,"")</f>
        <v>22.1616</v>
      </c>
      <c r="H4852" s="45"/>
      <c r="I4852" s="46"/>
      <c r="J4852" s="155">
        <v>0</v>
      </c>
    </row>
    <row r="4853" spans="1:10" ht="15.75" hidden="1" thickBot="1" x14ac:dyDescent="0.3">
      <c r="A4853" s="177"/>
      <c r="B4853" s="178"/>
      <c r="C4853" s="36"/>
      <c r="D4853" s="36"/>
      <c r="E4853" s="37"/>
      <c r="F4853" s="31" t="s">
        <v>568</v>
      </c>
      <c r="G4853" s="31" t="str">
        <f>IF(ISNUMBER(F4853),E4853*F4853,"")</f>
        <v/>
      </c>
      <c r="H4853" s="35"/>
      <c r="I4853" s="31"/>
      <c r="J4853" s="155">
        <v>0</v>
      </c>
    </row>
    <row r="4854" spans="1:10" ht="15.75" hidden="1" thickBot="1" x14ac:dyDescent="0.3">
      <c r="A4854" s="172" t="s">
        <v>3521</v>
      </c>
      <c r="B4854" s="174" t="str">
        <f>INDEX(Orçamentária!A:B,MATCH(Composições!A4854,Orçamentária!A:A,0),2)</f>
        <v>Cerâmica 30x60cm - Glacier White - Portobello – Linha Residencial</v>
      </c>
      <c r="C4854" s="41"/>
      <c r="D4854" s="26" t="str">
        <f>TRIM(INDEX(Orçamentária!C:C,MATCH(Composições!A4854,Orçamentária!A:A,0),1))</f>
        <v>m2</v>
      </c>
      <c r="E4854" s="27"/>
      <c r="F4854" s="49" t="s">
        <v>568</v>
      </c>
      <c r="G4854" s="28" t="str">
        <f>IF(ISNUMBER(F4854),E4854*F4854,"")</f>
        <v/>
      </c>
      <c r="H4854" s="29"/>
      <c r="I4854" s="30"/>
      <c r="J4854" s="155">
        <v>0</v>
      </c>
    </row>
    <row r="4855" spans="1:10" hidden="1" x14ac:dyDescent="0.25">
      <c r="A4855" s="173"/>
      <c r="B4855" s="175"/>
      <c r="C4855" s="32"/>
      <c r="D4855" s="32"/>
      <c r="E4855" s="33"/>
      <c r="F4855" s="54" t="s">
        <v>568</v>
      </c>
      <c r="G4855" s="54" t="str">
        <f>IF(ISNUMBER(F4855),E4855*F4855,"")</f>
        <v/>
      </c>
      <c r="H4855" s="73"/>
      <c r="I4855" s="74"/>
      <c r="J4855" s="155">
        <v>0</v>
      </c>
    </row>
    <row r="4856" spans="1:10" ht="25.5" hidden="1" x14ac:dyDescent="0.25">
      <c r="A4856" s="173"/>
      <c r="B4856" s="175"/>
      <c r="C4856" s="36" t="s">
        <v>3659</v>
      </c>
      <c r="D4856" s="36" t="s">
        <v>95</v>
      </c>
      <c r="E4856" s="37">
        <v>1.08</v>
      </c>
      <c r="F4856" s="54" t="s">
        <v>568</v>
      </c>
      <c r="G4856" s="54" t="str">
        <f>IF(ISNUMBER(F4856),E4856*F4856,"")</f>
        <v/>
      </c>
      <c r="H4856" s="39">
        <f>SUM(G4856:G4860)</f>
        <v>25.792880000000004</v>
      </c>
      <c r="I4856" s="40"/>
      <c r="J4856" s="155">
        <v>0</v>
      </c>
    </row>
    <row r="4857" spans="1:10" hidden="1" x14ac:dyDescent="0.25">
      <c r="A4857" s="173"/>
      <c r="B4857" s="175"/>
      <c r="C4857" s="36" t="s">
        <v>3614</v>
      </c>
      <c r="D4857" s="36" t="s">
        <v>42</v>
      </c>
      <c r="E4857" s="37">
        <v>6.14</v>
      </c>
      <c r="F4857" s="54">
        <v>0.78849999999999998</v>
      </c>
      <c r="G4857" s="54">
        <f>IF(ISNUMBER(F4857),E4857*F4857,"")</f>
        <v>4.8413899999999996</v>
      </c>
      <c r="H4857" s="73"/>
      <c r="I4857" s="74"/>
      <c r="J4857" s="155">
        <v>0</v>
      </c>
    </row>
    <row r="4858" spans="1:10" hidden="1" x14ac:dyDescent="0.25">
      <c r="A4858" s="173"/>
      <c r="B4858" s="175"/>
      <c r="C4858" s="36" t="s">
        <v>3612</v>
      </c>
      <c r="D4858" s="36" t="s">
        <v>42</v>
      </c>
      <c r="E4858" s="37">
        <v>0.22</v>
      </c>
      <c r="F4858" s="54">
        <v>2.508</v>
      </c>
      <c r="G4858" s="54">
        <f>IF(ISNUMBER(F4858),E4858*F4858,"")</f>
        <v>0.55176000000000003</v>
      </c>
      <c r="H4858" s="73"/>
      <c r="I4858" s="74"/>
      <c r="J4858" s="155">
        <v>0</v>
      </c>
    </row>
    <row r="4859" spans="1:10" hidden="1" x14ac:dyDescent="0.25">
      <c r="A4859" s="173"/>
      <c r="B4859" s="175"/>
      <c r="C4859" s="36" t="s">
        <v>36</v>
      </c>
      <c r="D4859" s="36" t="s">
        <v>12</v>
      </c>
      <c r="E4859" s="37">
        <v>0.66</v>
      </c>
      <c r="F4859" s="54">
        <v>22.011500000000002</v>
      </c>
      <c r="G4859" s="54">
        <f>IF(ISNUMBER(F4859),E4859*F4859,"")</f>
        <v>14.527590000000002</v>
      </c>
      <c r="H4859" s="73"/>
      <c r="I4859" s="74"/>
      <c r="J4859" s="155">
        <v>0</v>
      </c>
    </row>
    <row r="4860" spans="1:10" hidden="1" x14ac:dyDescent="0.25">
      <c r="A4860" s="173"/>
      <c r="B4860" s="175"/>
      <c r="C4860" s="36" t="s">
        <v>23</v>
      </c>
      <c r="D4860" s="36" t="s">
        <v>12</v>
      </c>
      <c r="E4860" s="37">
        <v>0.36</v>
      </c>
      <c r="F4860" s="54">
        <v>16.311500000000002</v>
      </c>
      <c r="G4860" s="54">
        <f>IF(ISNUMBER(F4860),E4860*F4860,"")</f>
        <v>5.8721400000000008</v>
      </c>
      <c r="H4860" s="73"/>
      <c r="I4860" s="74"/>
      <c r="J4860" s="155">
        <v>0</v>
      </c>
    </row>
    <row r="4861" spans="1:10" hidden="1" x14ac:dyDescent="0.25">
      <c r="A4861" s="173"/>
      <c r="B4861" s="175"/>
      <c r="C4861" s="36"/>
      <c r="D4861" s="47"/>
      <c r="E4861" s="37"/>
      <c r="F4861" s="54" t="s">
        <v>568</v>
      </c>
      <c r="G4861" s="54" t="str">
        <f>IF(ISNUMBER(F4861),E4861*F4861,"")</f>
        <v/>
      </c>
      <c r="H4861" s="73"/>
      <c r="I4861" s="74"/>
      <c r="J4861" s="155">
        <v>0</v>
      </c>
    </row>
    <row r="4862" spans="1:10" ht="15.75" hidden="1" thickBot="1" x14ac:dyDescent="0.3">
      <c r="A4862" s="179" t="s">
        <v>3522</v>
      </c>
      <c r="B4862" s="182" t="str">
        <f>INDEX(Orçamentária!A:B,MATCH(Composições!A4862,Orçamentária!A:A,0),2)</f>
        <v>Instalação de tacos de madeira reaproveitados</v>
      </c>
      <c r="C4862" s="41"/>
      <c r="D4862" s="26" t="str">
        <f>TRIM(INDEX(Orçamentária!C:C,MATCH(Composições!A4862,Orçamentária!A:A,0),1))</f>
        <v>m2</v>
      </c>
      <c r="E4862" s="27"/>
      <c r="F4862" s="42" t="s">
        <v>568</v>
      </c>
      <c r="G4862" s="28" t="str">
        <f>IF(ISNUMBER(F4862),E4862*F4862,"")</f>
        <v/>
      </c>
      <c r="H4862" s="29"/>
      <c r="I4862" s="30"/>
      <c r="J4862" s="155">
        <v>0</v>
      </c>
    </row>
    <row r="4863" spans="1:10" hidden="1" x14ac:dyDescent="0.25">
      <c r="A4863" s="180"/>
      <c r="B4863" s="183"/>
      <c r="C4863" s="32"/>
      <c r="D4863" s="32"/>
      <c r="E4863" s="33"/>
      <c r="F4863" s="43" t="s">
        <v>568</v>
      </c>
      <c r="G4863" s="31" t="str">
        <f>IF(ISNUMBER(F4863),E4863*F4863,"")</f>
        <v/>
      </c>
      <c r="H4863" s="35"/>
      <c r="I4863" s="31"/>
      <c r="J4863" s="155">
        <v>0</v>
      </c>
    </row>
    <row r="4864" spans="1:10" hidden="1" x14ac:dyDescent="0.25">
      <c r="A4864" s="180"/>
      <c r="B4864" s="183"/>
      <c r="C4864" s="36" t="s">
        <v>1309</v>
      </c>
      <c r="D4864" s="36" t="s">
        <v>104</v>
      </c>
      <c r="E4864" s="37">
        <v>0.57499999999999996</v>
      </c>
      <c r="F4864" s="34">
        <v>17.499000000000002</v>
      </c>
      <c r="G4864" s="34">
        <f>IF(ISNUMBER(F4864),E4864*F4864,"")</f>
        <v>10.061925</v>
      </c>
      <c r="H4864" s="39">
        <f>SUM(G4864:G4866)</f>
        <v>28.681236249999998</v>
      </c>
      <c r="I4864" s="40"/>
      <c r="J4864" s="155">
        <v>0</v>
      </c>
    </row>
    <row r="4865" spans="1:10" hidden="1" x14ac:dyDescent="0.25">
      <c r="A4865" s="180"/>
      <c r="B4865" s="183"/>
      <c r="C4865" s="36" t="s">
        <v>756</v>
      </c>
      <c r="D4865" s="36" t="s">
        <v>755</v>
      </c>
      <c r="E4865" s="37">
        <v>0.2399</v>
      </c>
      <c r="F4865" s="34">
        <v>16.311500000000002</v>
      </c>
      <c r="G4865" s="34">
        <f>IF(ISNUMBER(F4865),E4865*F4865,"")</f>
        <v>3.9131288500000005</v>
      </c>
      <c r="H4865" s="45"/>
      <c r="I4865" s="46"/>
      <c r="J4865" s="155">
        <v>0</v>
      </c>
    </row>
    <row r="4866" spans="1:10" hidden="1" x14ac:dyDescent="0.25">
      <c r="A4866" s="180"/>
      <c r="B4866" s="183"/>
      <c r="C4866" s="36" t="s">
        <v>1287</v>
      </c>
      <c r="D4866" s="47" t="s">
        <v>755</v>
      </c>
      <c r="E4866" s="37">
        <v>0.57589999999999997</v>
      </c>
      <c r="F4866" s="31">
        <v>25.535999999999998</v>
      </c>
      <c r="G4866" s="31">
        <f>IF(ISNUMBER(F4866),E4866*F4866,"")</f>
        <v>14.706182399999998</v>
      </c>
      <c r="H4866" s="35"/>
      <c r="I4866" s="31"/>
      <c r="J4866" s="155">
        <v>0</v>
      </c>
    </row>
    <row r="4867" spans="1:10" ht="15.75" hidden="1" thickBot="1" x14ac:dyDescent="0.3">
      <c r="A4867" s="181"/>
      <c r="B4867" s="184"/>
      <c r="C4867" s="36"/>
      <c r="D4867" s="36"/>
      <c r="E4867" s="37"/>
      <c r="F4867" s="31" t="s">
        <v>568</v>
      </c>
      <c r="G4867" s="31" t="str">
        <f>IF(ISNUMBER(F4867),E4867*F4867,"")</f>
        <v/>
      </c>
      <c r="H4867" s="35"/>
      <c r="I4867" s="31"/>
      <c r="J4867" s="155">
        <v>0</v>
      </c>
    </row>
    <row r="4868" spans="1:10" ht="15.75" hidden="1" thickBot="1" x14ac:dyDescent="0.3">
      <c r="A4868" s="179" t="s">
        <v>3527</v>
      </c>
      <c r="B4868" s="182" t="str">
        <f>INDEX(Orçamentária!A:B,MATCH(Composições!A4868,Orçamentária!A:A,0),2)</f>
        <v>Instalação de cortinas reaproveitadas</v>
      </c>
      <c r="C4868" s="41"/>
      <c r="D4868" s="26" t="str">
        <f>TRIM(INDEX(Orçamentária!C:C,MATCH(Composições!A4868,Orçamentária!A:A,0),1))</f>
        <v>m</v>
      </c>
      <c r="E4868" s="27"/>
      <c r="F4868" s="42" t="s">
        <v>568</v>
      </c>
      <c r="G4868" s="28" t="str">
        <f>IF(ISNUMBER(F4868),E4868*F4868,"")</f>
        <v/>
      </c>
      <c r="H4868" s="29"/>
      <c r="I4868" s="30"/>
      <c r="J4868" s="155">
        <v>0</v>
      </c>
    </row>
    <row r="4869" spans="1:10" hidden="1" x14ac:dyDescent="0.25">
      <c r="A4869" s="180"/>
      <c r="B4869" s="183"/>
      <c r="C4869" s="32"/>
      <c r="D4869" s="32"/>
      <c r="E4869" s="33"/>
      <c r="F4869" s="43" t="s">
        <v>568</v>
      </c>
      <c r="G4869" s="31" t="str">
        <f>IF(ISNUMBER(F4869),E4869*F4869,"")</f>
        <v/>
      </c>
      <c r="H4869" s="35"/>
      <c r="I4869" s="31"/>
      <c r="J4869" s="155">
        <v>0</v>
      </c>
    </row>
    <row r="4870" spans="1:10" hidden="1" x14ac:dyDescent="0.25">
      <c r="A4870" s="180"/>
      <c r="B4870" s="183"/>
      <c r="C4870" s="36" t="s">
        <v>1470</v>
      </c>
      <c r="D4870" s="36" t="s">
        <v>755</v>
      </c>
      <c r="E4870" s="37">
        <v>0.5</v>
      </c>
      <c r="F4870" s="34">
        <v>19.3705</v>
      </c>
      <c r="G4870" s="34">
        <f>IF(ISNUMBER(F4870),E4870*F4870,"")</f>
        <v>9.6852499999999999</v>
      </c>
      <c r="H4870" s="39">
        <f>SUM(G4870:G4870)</f>
        <v>9.6852499999999999</v>
      </c>
      <c r="I4870" s="40"/>
      <c r="J4870" s="155">
        <v>0</v>
      </c>
    </row>
    <row r="4871" spans="1:10" ht="15.75" hidden="1" thickBot="1" x14ac:dyDescent="0.3">
      <c r="A4871" s="181"/>
      <c r="B4871" s="184"/>
      <c r="C4871" s="36"/>
      <c r="D4871" s="36"/>
      <c r="E4871" s="37"/>
      <c r="F4871" s="31" t="s">
        <v>568</v>
      </c>
      <c r="G4871" s="31" t="str">
        <f>IF(ISNUMBER(F4871),E4871*F4871,"")</f>
        <v/>
      </c>
      <c r="H4871" s="35"/>
      <c r="I4871" s="31"/>
      <c r="J4871" s="155">
        <v>0</v>
      </c>
    </row>
    <row r="4872" spans="1:10" ht="15.75" hidden="1" thickBot="1" x14ac:dyDescent="0.3">
      <c r="A4872" s="179" t="s">
        <v>3528</v>
      </c>
      <c r="B4872" s="182" t="str">
        <f>INDEX(Orçamentária!A:B,MATCH(Composições!A4872,Orçamentária!A:A,0),2)</f>
        <v>Tubo CPVC soldável 22mm – Linha Residencial</v>
      </c>
      <c r="C4872" s="41"/>
      <c r="D4872" s="26" t="str">
        <f>TRIM(INDEX(Orçamentária!C:C,MATCH(Composições!A4872,Orçamentária!A:A,0),1))</f>
        <v>m</v>
      </c>
      <c r="E4872" s="27"/>
      <c r="F4872" s="42" t="s">
        <v>568</v>
      </c>
      <c r="G4872" s="28" t="str">
        <f>IF(ISNUMBER(F4872),E4872*F4872,"")</f>
        <v/>
      </c>
      <c r="H4872" s="29"/>
      <c r="I4872" s="30"/>
      <c r="J4872" s="155">
        <v>0</v>
      </c>
    </row>
    <row r="4873" spans="1:10" hidden="1" x14ac:dyDescent="0.25">
      <c r="A4873" s="180"/>
      <c r="B4873" s="183"/>
      <c r="C4873" s="32"/>
      <c r="D4873" s="32"/>
      <c r="E4873" s="33"/>
      <c r="F4873" s="43" t="s">
        <v>568</v>
      </c>
      <c r="G4873" s="31" t="str">
        <f>IF(ISNUMBER(F4873),E4873*F4873,"")</f>
        <v/>
      </c>
      <c r="H4873" s="35"/>
      <c r="I4873" s="31"/>
      <c r="J4873" s="155">
        <v>0</v>
      </c>
    </row>
    <row r="4874" spans="1:10" hidden="1" x14ac:dyDescent="0.25">
      <c r="A4874" s="180"/>
      <c r="B4874" s="183"/>
      <c r="C4874" s="36" t="s">
        <v>3476</v>
      </c>
      <c r="D4874" s="36" t="s">
        <v>523</v>
      </c>
      <c r="E4874" s="37">
        <v>1.0609999999999999</v>
      </c>
      <c r="F4874" s="34">
        <v>12.3405</v>
      </c>
      <c r="G4874" s="34">
        <f>IF(ISNUMBER(F4874),E4874*F4874,"")</f>
        <v>13.093270499999999</v>
      </c>
      <c r="H4874" s="39">
        <f>SUM(G4874:G4876)</f>
        <v>26.1491775</v>
      </c>
      <c r="I4874" s="40"/>
      <c r="J4874" s="155">
        <v>0</v>
      </c>
    </row>
    <row r="4875" spans="1:10" ht="25.5" hidden="1" x14ac:dyDescent="0.25">
      <c r="A4875" s="180"/>
      <c r="B4875" s="183"/>
      <c r="C4875" s="36" t="s">
        <v>1008</v>
      </c>
      <c r="D4875" s="36" t="s">
        <v>755</v>
      </c>
      <c r="E4875" s="37">
        <v>0.33900000000000002</v>
      </c>
      <c r="F4875" s="34">
        <v>16.891000000000002</v>
      </c>
      <c r="G4875" s="34">
        <f>IF(ISNUMBER(F4875),E4875*F4875,"")</f>
        <v>5.7260490000000006</v>
      </c>
      <c r="H4875" s="45"/>
      <c r="I4875" s="46"/>
      <c r="J4875" s="155">
        <v>0</v>
      </c>
    </row>
    <row r="4876" spans="1:10" ht="25.5" hidden="1" x14ac:dyDescent="0.25">
      <c r="A4876" s="180"/>
      <c r="B4876" s="183"/>
      <c r="C4876" s="36" t="s">
        <v>1009</v>
      </c>
      <c r="D4876" s="47" t="s">
        <v>755</v>
      </c>
      <c r="E4876" s="37">
        <v>0.33900000000000002</v>
      </c>
      <c r="F4876" s="31">
        <v>21.622</v>
      </c>
      <c r="G4876" s="31">
        <f>IF(ISNUMBER(F4876),E4876*F4876,"")</f>
        <v>7.3298580000000007</v>
      </c>
      <c r="H4876" s="35"/>
      <c r="I4876" s="31"/>
      <c r="J4876" s="155">
        <v>0</v>
      </c>
    </row>
    <row r="4877" spans="1:10" ht="15.75" hidden="1" thickBot="1" x14ac:dyDescent="0.3">
      <c r="A4877" s="181"/>
      <c r="B4877" s="184"/>
      <c r="C4877" s="36"/>
      <c r="D4877" s="36"/>
      <c r="E4877" s="37"/>
      <c r="F4877" s="31" t="s">
        <v>568</v>
      </c>
      <c r="G4877" s="31" t="str">
        <f>IF(ISNUMBER(F4877),E4877*F4877,"")</f>
        <v/>
      </c>
      <c r="H4877" s="35"/>
      <c r="I4877" s="31"/>
      <c r="J4877" s="155">
        <v>0</v>
      </c>
    </row>
    <row r="4878" spans="1:10" ht="15.75" hidden="1" thickBot="1" x14ac:dyDescent="0.3">
      <c r="A4878" s="179" t="s">
        <v>3529</v>
      </c>
      <c r="B4878" s="182" t="str">
        <f>INDEX(Orçamentária!A:B,MATCH(Composições!A4878,Orçamentária!A:A,0),2)</f>
        <v>Tubo CPVC soldável 28mm – Linha Residencial</v>
      </c>
      <c r="C4878" s="41"/>
      <c r="D4878" s="26" t="str">
        <f>TRIM(INDEX(Orçamentária!C:C,MATCH(Composições!A4878,Orçamentária!A:A,0),1))</f>
        <v>m</v>
      </c>
      <c r="E4878" s="27"/>
      <c r="F4878" s="42" t="s">
        <v>568</v>
      </c>
      <c r="G4878" s="28" t="str">
        <f>IF(ISNUMBER(F4878),E4878*F4878,"")</f>
        <v/>
      </c>
      <c r="H4878" s="29"/>
      <c r="I4878" s="30"/>
      <c r="J4878" s="155">
        <v>0</v>
      </c>
    </row>
    <row r="4879" spans="1:10" hidden="1" x14ac:dyDescent="0.25">
      <c r="A4879" s="180"/>
      <c r="B4879" s="183"/>
      <c r="C4879" s="32"/>
      <c r="D4879" s="32"/>
      <c r="E4879" s="33"/>
      <c r="F4879" s="43" t="s">
        <v>568</v>
      </c>
      <c r="G4879" s="31" t="str">
        <f>IF(ISNUMBER(F4879),E4879*F4879,"")</f>
        <v/>
      </c>
      <c r="H4879" s="35"/>
      <c r="I4879" s="31"/>
      <c r="J4879" s="155">
        <v>0</v>
      </c>
    </row>
    <row r="4880" spans="1:10" hidden="1" x14ac:dyDescent="0.25">
      <c r="A4880" s="180"/>
      <c r="B4880" s="183"/>
      <c r="C4880" s="36" t="s">
        <v>3477</v>
      </c>
      <c r="D4880" s="36" t="s">
        <v>523</v>
      </c>
      <c r="E4880" s="37">
        <v>1.0609999999999999</v>
      </c>
      <c r="F4880" s="34">
        <v>19.817</v>
      </c>
      <c r="G4880" s="34">
        <f>IF(ISNUMBER(F4880),E4880*F4880,"")</f>
        <v>21.025836999999999</v>
      </c>
      <c r="H4880" s="39">
        <f>SUM(G4880:G4882)</f>
        <v>36.431037000000003</v>
      </c>
      <c r="I4880" s="40"/>
      <c r="J4880" s="155">
        <v>0</v>
      </c>
    </row>
    <row r="4881" spans="1:10" ht="25.5" hidden="1" x14ac:dyDescent="0.25">
      <c r="A4881" s="180"/>
      <c r="B4881" s="183"/>
      <c r="C4881" s="36" t="s">
        <v>1008</v>
      </c>
      <c r="D4881" s="36" t="s">
        <v>755</v>
      </c>
      <c r="E4881" s="37">
        <v>0.4</v>
      </c>
      <c r="F4881" s="34">
        <v>16.891000000000002</v>
      </c>
      <c r="G4881" s="34">
        <f>IF(ISNUMBER(F4881),E4881*F4881,"")</f>
        <v>6.7564000000000011</v>
      </c>
      <c r="H4881" s="45"/>
      <c r="I4881" s="46"/>
      <c r="J4881" s="155">
        <v>0</v>
      </c>
    </row>
    <row r="4882" spans="1:10" ht="25.5" hidden="1" x14ac:dyDescent="0.25">
      <c r="A4882" s="180"/>
      <c r="B4882" s="183"/>
      <c r="C4882" s="36" t="s">
        <v>1009</v>
      </c>
      <c r="D4882" s="47" t="s">
        <v>755</v>
      </c>
      <c r="E4882" s="37">
        <v>0.4</v>
      </c>
      <c r="F4882" s="31">
        <v>21.622</v>
      </c>
      <c r="G4882" s="31">
        <f>IF(ISNUMBER(F4882),E4882*F4882,"")</f>
        <v>8.6487999999999996</v>
      </c>
      <c r="H4882" s="35"/>
      <c r="I4882" s="31"/>
      <c r="J4882" s="155">
        <v>0</v>
      </c>
    </row>
    <row r="4883" spans="1:10" ht="15.75" hidden="1" thickBot="1" x14ac:dyDescent="0.3">
      <c r="A4883" s="181"/>
      <c r="B4883" s="184"/>
      <c r="C4883" s="36"/>
      <c r="D4883" s="36"/>
      <c r="E4883" s="37"/>
      <c r="F4883" s="31" t="s">
        <v>568</v>
      </c>
      <c r="G4883" s="31" t="str">
        <f>IF(ISNUMBER(F4883),E4883*F4883,"")</f>
        <v/>
      </c>
      <c r="H4883" s="35"/>
      <c r="I4883" s="31"/>
      <c r="J4883" s="155">
        <v>0</v>
      </c>
    </row>
    <row r="4884" spans="1:10" ht="15.75" hidden="1" thickBot="1" x14ac:dyDescent="0.3">
      <c r="A4884" s="172" t="s">
        <v>3530</v>
      </c>
      <c r="B4884" s="174" t="str">
        <f>INDEX(Orçamentária!A:B,MATCH(Composições!A4884,Orçamentária!A:A,0),2)</f>
        <v>Instalação de bidê reaproveitado</v>
      </c>
      <c r="C4884" s="41"/>
      <c r="D4884" s="26" t="str">
        <f>TRIM(INDEX(Orçamentária!C:C,MATCH(Composições!A4884,Orçamentária!A:A,0),1))</f>
        <v>un</v>
      </c>
      <c r="E4884" s="27"/>
      <c r="F4884" s="42" t="s">
        <v>568</v>
      </c>
      <c r="G4884" s="28" t="str">
        <f>IF(ISNUMBER(F4884),E4884*F4884,"")</f>
        <v/>
      </c>
      <c r="H4884" s="29"/>
      <c r="I4884" s="30"/>
      <c r="J4884" s="155">
        <v>0</v>
      </c>
    </row>
    <row r="4885" spans="1:10" hidden="1" x14ac:dyDescent="0.25">
      <c r="A4885" s="176"/>
      <c r="B4885" s="175"/>
      <c r="C4885" s="32"/>
      <c r="D4885" s="32"/>
      <c r="E4885" s="33"/>
      <c r="F4885" s="43" t="s">
        <v>568</v>
      </c>
      <c r="G4885" s="31" t="str">
        <f>IF(ISNUMBER(F4885),E4885*F4885,"")</f>
        <v/>
      </c>
      <c r="H4885" s="35"/>
      <c r="I4885" s="31"/>
      <c r="J4885" s="155">
        <v>0</v>
      </c>
    </row>
    <row r="4886" spans="1:10" ht="25.5" hidden="1" x14ac:dyDescent="0.25">
      <c r="A4886" s="176"/>
      <c r="B4886" s="175"/>
      <c r="C4886" s="36" t="s">
        <v>363</v>
      </c>
      <c r="D4886" s="47" t="s">
        <v>297</v>
      </c>
      <c r="E4886" s="37">
        <v>2</v>
      </c>
      <c r="F4886" s="34">
        <v>10.953499999999998</v>
      </c>
      <c r="G4886" s="34">
        <f>IF(ISNUMBER(F4886),E4886*F4886,"")</f>
        <v>21.906999999999996</v>
      </c>
      <c r="H4886" s="39">
        <f>SUM(G4886:G4889)</f>
        <v>43.007305599999995</v>
      </c>
      <c r="I4886" s="40"/>
      <c r="J4886" s="155">
        <v>0</v>
      </c>
    </row>
    <row r="4887" spans="1:10" hidden="1" x14ac:dyDescent="0.25">
      <c r="A4887" s="176"/>
      <c r="B4887" s="175"/>
      <c r="C4887" s="36" t="s">
        <v>3615</v>
      </c>
      <c r="D4887" s="47" t="s">
        <v>42</v>
      </c>
      <c r="E4887" s="37">
        <v>8.8099999999999998E-2</v>
      </c>
      <c r="F4887" s="34">
        <v>52.8675</v>
      </c>
      <c r="G4887" s="34">
        <f>IF(ISNUMBER(F4887),E4887*F4887,"")</f>
        <v>4.6576267499999995</v>
      </c>
      <c r="H4887" s="35"/>
      <c r="I4887" s="31"/>
      <c r="J4887" s="155">
        <v>0</v>
      </c>
    </row>
    <row r="4888" spans="1:10" hidden="1" x14ac:dyDescent="0.25">
      <c r="A4888" s="176"/>
      <c r="B4888" s="175"/>
      <c r="C4888" s="36" t="s">
        <v>39</v>
      </c>
      <c r="D4888" s="47" t="s">
        <v>12</v>
      </c>
      <c r="E4888" s="37">
        <v>0.49680000000000002</v>
      </c>
      <c r="F4888" s="31">
        <v>21.622</v>
      </c>
      <c r="G4888" s="34">
        <f>IF(ISNUMBER(F4888),E4888*F4888,"")</f>
        <v>10.7418096</v>
      </c>
      <c r="H4888" s="35"/>
      <c r="I4888" s="31"/>
      <c r="J4888" s="155">
        <v>0</v>
      </c>
    </row>
    <row r="4889" spans="1:10" hidden="1" x14ac:dyDescent="0.25">
      <c r="A4889" s="176"/>
      <c r="B4889" s="175"/>
      <c r="C4889" s="36" t="s">
        <v>23</v>
      </c>
      <c r="D4889" s="47" t="s">
        <v>12</v>
      </c>
      <c r="E4889" s="37">
        <v>0.34949999999999998</v>
      </c>
      <c r="F4889" s="31">
        <v>16.311500000000002</v>
      </c>
      <c r="G4889" s="34">
        <f>IF(ISNUMBER(F4889),E4889*F4889,"")</f>
        <v>5.7008692500000002</v>
      </c>
      <c r="H4889" s="35"/>
      <c r="I4889" s="31"/>
      <c r="J4889" s="155">
        <v>0</v>
      </c>
    </row>
    <row r="4890" spans="1:10" ht="15.75" hidden="1" thickBot="1" x14ac:dyDescent="0.3">
      <c r="A4890" s="177"/>
      <c r="B4890" s="178"/>
      <c r="C4890" s="36"/>
      <c r="D4890" s="36"/>
      <c r="E4890" s="37"/>
      <c r="F4890" s="31" t="s">
        <v>568</v>
      </c>
      <c r="G4890" s="31" t="str">
        <f>IF(ISNUMBER(F4890),E4890*F4890,"")</f>
        <v/>
      </c>
      <c r="H4890" s="35"/>
      <c r="I4890" s="31"/>
      <c r="J4890" s="155">
        <v>0</v>
      </c>
    </row>
    <row r="4891" spans="1:10" ht="15.75" hidden="1" thickBot="1" x14ac:dyDescent="0.3">
      <c r="A4891" s="172" t="s">
        <v>3531</v>
      </c>
      <c r="B4891" s="174" t="str">
        <f>INDEX(Orçamentária!A:B,MATCH(Composições!A4891,Orçamentária!A:A,0),2)</f>
        <v>Aquecedor elétrico para pia – Linha Residencial</v>
      </c>
      <c r="C4891" s="41"/>
      <c r="D4891" s="26" t="str">
        <f>TRIM(INDEX(Orçamentária!C:C,MATCH(Composições!A4891,Orçamentária!A:A,0),1))</f>
        <v>un</v>
      </c>
      <c r="E4891" s="27"/>
      <c r="F4891" s="42" t="s">
        <v>568</v>
      </c>
      <c r="G4891" s="28" t="str">
        <f>IF(ISNUMBER(F4891),E4891*F4891,"")</f>
        <v/>
      </c>
      <c r="H4891" s="29"/>
      <c r="I4891" s="30"/>
      <c r="J4891" s="155">
        <v>0</v>
      </c>
    </row>
    <row r="4892" spans="1:10" hidden="1" x14ac:dyDescent="0.25">
      <c r="A4892" s="176"/>
      <c r="B4892" s="175"/>
      <c r="C4892" s="32"/>
      <c r="D4892" s="32"/>
      <c r="E4892" s="33"/>
      <c r="F4892" s="43" t="s">
        <v>568</v>
      </c>
      <c r="G4892" s="31" t="str">
        <f>IF(ISNUMBER(F4892),E4892*F4892,"")</f>
        <v/>
      </c>
      <c r="H4892" s="35"/>
      <c r="I4892" s="31"/>
      <c r="J4892" s="155">
        <v>0</v>
      </c>
    </row>
    <row r="4893" spans="1:10" ht="25.5" hidden="1" x14ac:dyDescent="0.25">
      <c r="A4893" s="176"/>
      <c r="B4893" s="175"/>
      <c r="C4893" s="36" t="s">
        <v>1009</v>
      </c>
      <c r="D4893" s="47" t="s">
        <v>755</v>
      </c>
      <c r="E4893" s="37">
        <v>0.5</v>
      </c>
      <c r="F4893" s="31">
        <v>21.622</v>
      </c>
      <c r="G4893" s="31">
        <f>IF(ISNUMBER(F4893),E4893*F4893,"")</f>
        <v>10.811</v>
      </c>
      <c r="H4893" s="39">
        <f>SUM(G4893:G4896)</f>
        <v>19.384913400000002</v>
      </c>
      <c r="I4893" s="40"/>
      <c r="J4893" s="155">
        <v>0</v>
      </c>
    </row>
    <row r="4894" spans="1:10" ht="25.5" hidden="1" x14ac:dyDescent="0.25">
      <c r="A4894" s="176"/>
      <c r="B4894" s="175"/>
      <c r="C4894" s="36" t="s">
        <v>1008</v>
      </c>
      <c r="D4894" s="36" t="s">
        <v>755</v>
      </c>
      <c r="E4894" s="37">
        <v>0.5</v>
      </c>
      <c r="F4894" s="34">
        <v>16.891000000000002</v>
      </c>
      <c r="G4894" s="34">
        <f>IF(ISNUMBER(F4894),E4894*F4894,"")</f>
        <v>8.4455000000000009</v>
      </c>
      <c r="H4894" s="35"/>
      <c r="I4894" s="31"/>
      <c r="J4894" s="155">
        <v>0</v>
      </c>
    </row>
    <row r="4895" spans="1:10" hidden="1" x14ac:dyDescent="0.25">
      <c r="A4895" s="176"/>
      <c r="B4895" s="175"/>
      <c r="C4895" s="36" t="s">
        <v>346</v>
      </c>
      <c r="D4895" s="36" t="s">
        <v>297</v>
      </c>
      <c r="E4895" s="37">
        <f>0.47/50</f>
        <v>9.3999999999999986E-3</v>
      </c>
      <c r="F4895" s="34">
        <v>13.661</v>
      </c>
      <c r="G4895" s="34">
        <f>IF(ISNUMBER(F4895),E4895*F4895,"")</f>
        <v>0.12841339999999998</v>
      </c>
      <c r="H4895" s="35"/>
      <c r="I4895" s="31"/>
      <c r="J4895" s="155">
        <v>0</v>
      </c>
    </row>
    <row r="4896" spans="1:10" hidden="1" x14ac:dyDescent="0.25">
      <c r="A4896" s="176"/>
      <c r="B4896" s="175"/>
      <c r="C4896" s="36" t="s">
        <v>3660</v>
      </c>
      <c r="D4896" s="36" t="s">
        <v>297</v>
      </c>
      <c r="E4896" s="37">
        <v>1</v>
      </c>
      <c r="F4896" s="31" t="s">
        <v>568</v>
      </c>
      <c r="G4896" s="34" t="str">
        <f>IF(ISNUMBER(F4896),E4896*F4896,"")</f>
        <v/>
      </c>
      <c r="H4896" s="35"/>
      <c r="I4896" s="31"/>
      <c r="J4896" s="155">
        <v>0</v>
      </c>
    </row>
    <row r="4897" spans="1:10" ht="15.75" hidden="1" thickBot="1" x14ac:dyDescent="0.3">
      <c r="A4897" s="177"/>
      <c r="B4897" s="178"/>
      <c r="C4897" s="36"/>
      <c r="D4897" s="36"/>
      <c r="E4897" s="37"/>
      <c r="F4897" s="31" t="s">
        <v>568</v>
      </c>
      <c r="G4897" s="31" t="str">
        <f>IF(ISNUMBER(F4897),E4897*F4897,"")</f>
        <v/>
      </c>
      <c r="H4897" s="35"/>
      <c r="I4897" s="31"/>
      <c r="J4897" s="155">
        <v>0</v>
      </c>
    </row>
    <row r="4898" spans="1:10" ht="15.75" hidden="1" thickBot="1" x14ac:dyDescent="0.3">
      <c r="A4898" s="172" t="s">
        <v>3532</v>
      </c>
      <c r="B4898" s="174" t="str">
        <f>INDEX(Orçamentária!A:B,MATCH(Composições!A4898,Orçamentária!A:A,0),2)</f>
        <v>Chuveiro elétrico – Linha Residencial</v>
      </c>
      <c r="C4898" s="41"/>
      <c r="D4898" s="26" t="str">
        <f>TRIM(INDEX(Orçamentária!C:C,MATCH(Composições!A4898,Orçamentária!A:A,0),1))</f>
        <v>un</v>
      </c>
      <c r="E4898" s="27"/>
      <c r="F4898" s="49" t="s">
        <v>568</v>
      </c>
      <c r="G4898" s="28" t="str">
        <f>IF(ISNUMBER(F4898),E4898*F4898,"")</f>
        <v/>
      </c>
      <c r="H4898" s="29"/>
      <c r="I4898" s="30"/>
      <c r="J4898" s="155">
        <v>0</v>
      </c>
    </row>
    <row r="4899" spans="1:10" hidden="1" x14ac:dyDescent="0.25">
      <c r="A4899" s="173"/>
      <c r="B4899" s="175"/>
      <c r="C4899" s="32"/>
      <c r="D4899" s="32"/>
      <c r="E4899" s="33"/>
      <c r="F4899" s="54" t="s">
        <v>568</v>
      </c>
      <c r="G4899" s="54" t="str">
        <f>IF(ISNUMBER(F4899),E4899*F4899,"")</f>
        <v/>
      </c>
      <c r="H4899" s="73"/>
      <c r="I4899" s="74"/>
      <c r="J4899" s="155">
        <v>0</v>
      </c>
    </row>
    <row r="4900" spans="1:10" hidden="1" x14ac:dyDescent="0.25">
      <c r="A4900" s="173"/>
      <c r="B4900" s="175"/>
      <c r="C4900" s="36" t="s">
        <v>3767</v>
      </c>
      <c r="D4900" s="36" t="s">
        <v>297</v>
      </c>
      <c r="E4900" s="37">
        <v>1</v>
      </c>
      <c r="F4900" s="54" t="s">
        <v>568</v>
      </c>
      <c r="G4900" s="54" t="str">
        <f>IF(ISNUMBER(F4900),E4900*F4900,"")</f>
        <v/>
      </c>
      <c r="H4900" s="39">
        <f>SUM(G4900:G4903)</f>
        <v>12.03138045</v>
      </c>
      <c r="I4900" s="40"/>
      <c r="J4900" s="155">
        <v>0</v>
      </c>
    </row>
    <row r="4901" spans="1:10" hidden="1" x14ac:dyDescent="0.25">
      <c r="A4901" s="173"/>
      <c r="B4901" s="175"/>
      <c r="C4901" s="36" t="s">
        <v>1125</v>
      </c>
      <c r="D4901" s="36" t="s">
        <v>297</v>
      </c>
      <c r="E4901" s="37">
        <v>2.1000000000000001E-2</v>
      </c>
      <c r="F4901" s="54">
        <v>3.7049999999999996</v>
      </c>
      <c r="G4901" s="54">
        <f>IF(ISNUMBER(F4901),E4901*F4901,"")</f>
        <v>7.7804999999999999E-2</v>
      </c>
      <c r="H4901" s="73"/>
      <c r="I4901" s="74"/>
      <c r="J4901" s="155">
        <v>0</v>
      </c>
    </row>
    <row r="4902" spans="1:10" ht="25.5" hidden="1" x14ac:dyDescent="0.25">
      <c r="A4902" s="173"/>
      <c r="B4902" s="175"/>
      <c r="C4902" s="36" t="s">
        <v>1009</v>
      </c>
      <c r="D4902" s="36" t="s">
        <v>755</v>
      </c>
      <c r="E4902" s="37">
        <v>0.44669999999999999</v>
      </c>
      <c r="F4902" s="54">
        <v>21.622</v>
      </c>
      <c r="G4902" s="54">
        <f>IF(ISNUMBER(F4902),E4902*F4902,"")</f>
        <v>9.6585473999999998</v>
      </c>
      <c r="H4902" s="73"/>
      <c r="I4902" s="74"/>
      <c r="J4902" s="155">
        <v>0</v>
      </c>
    </row>
    <row r="4903" spans="1:10" hidden="1" x14ac:dyDescent="0.25">
      <c r="A4903" s="173"/>
      <c r="B4903" s="175"/>
      <c r="C4903" s="36" t="s">
        <v>756</v>
      </c>
      <c r="D4903" s="36" t="s">
        <v>755</v>
      </c>
      <c r="E4903" s="37">
        <v>0.14069999999999999</v>
      </c>
      <c r="F4903" s="54">
        <v>16.311500000000002</v>
      </c>
      <c r="G4903" s="54">
        <f>IF(ISNUMBER(F4903),E4903*F4903,"")</f>
        <v>2.29502805</v>
      </c>
      <c r="H4903" s="73"/>
      <c r="I4903" s="74"/>
      <c r="J4903" s="155">
        <v>0</v>
      </c>
    </row>
    <row r="4904" spans="1:10" ht="15.75" hidden="1" thickBot="1" x14ac:dyDescent="0.3">
      <c r="A4904" s="185"/>
      <c r="B4904" s="178"/>
      <c r="C4904" s="36"/>
      <c r="D4904" s="36"/>
      <c r="E4904" s="37"/>
      <c r="F4904" s="54" t="s">
        <v>568</v>
      </c>
      <c r="G4904" s="54" t="str">
        <f>IF(ISNUMBER(F4904),E4904*F4904,"")</f>
        <v/>
      </c>
      <c r="H4904" s="73"/>
      <c r="I4904" s="74"/>
      <c r="J4904" s="155">
        <v>0</v>
      </c>
    </row>
    <row r="4905" spans="1:10" ht="15.75" hidden="1" thickBot="1" x14ac:dyDescent="0.3">
      <c r="A4905" s="172" t="s">
        <v>3533</v>
      </c>
      <c r="B4905" s="174" t="str">
        <f>INDEX(Orçamentária!A:B,MATCH(Composições!A4905,Orçamentária!A:A,0),2)</f>
        <v>Instalação de boiler reaproveitado</v>
      </c>
      <c r="C4905" s="41"/>
      <c r="D4905" s="26" t="str">
        <f>TRIM(INDEX(Orçamentária!C:C,MATCH(Composições!A4905,Orçamentária!A:A,0),1))</f>
        <v>un</v>
      </c>
      <c r="E4905" s="27"/>
      <c r="F4905" s="49" t="s">
        <v>568</v>
      </c>
      <c r="G4905" s="28" t="str">
        <f>IF(ISNUMBER(F4905),E4905*F4905,"")</f>
        <v/>
      </c>
      <c r="H4905" s="29"/>
      <c r="I4905" s="30"/>
      <c r="J4905" s="155">
        <v>0</v>
      </c>
    </row>
    <row r="4906" spans="1:10" hidden="1" x14ac:dyDescent="0.25">
      <c r="A4906" s="173"/>
      <c r="B4906" s="175"/>
      <c r="C4906" s="32"/>
      <c r="D4906" s="32"/>
      <c r="E4906" s="33"/>
      <c r="F4906" s="54" t="s">
        <v>568</v>
      </c>
      <c r="G4906" s="54" t="str">
        <f>IF(ISNUMBER(F4906),E4906*F4906,"")</f>
        <v/>
      </c>
      <c r="H4906" s="73"/>
      <c r="I4906" s="74"/>
      <c r="J4906" s="155">
        <v>0</v>
      </c>
    </row>
    <row r="4907" spans="1:10" ht="25.5" hidden="1" x14ac:dyDescent="0.25">
      <c r="A4907" s="173"/>
      <c r="B4907" s="175"/>
      <c r="C4907" s="36" t="s">
        <v>1008</v>
      </c>
      <c r="D4907" s="47" t="s">
        <v>755</v>
      </c>
      <c r="E4907" s="37">
        <v>4</v>
      </c>
      <c r="F4907" s="31">
        <v>16.891000000000002</v>
      </c>
      <c r="G4907" s="54">
        <f>IF(ISNUMBER(F4907),E4907*F4907,"")</f>
        <v>67.564000000000007</v>
      </c>
      <c r="H4907" s="39">
        <f>SUM(G4907:G4911)</f>
        <v>233.76460000000003</v>
      </c>
      <c r="I4907" s="40"/>
      <c r="J4907" s="155">
        <v>0</v>
      </c>
    </row>
    <row r="4908" spans="1:10" ht="25.5" hidden="1" x14ac:dyDescent="0.25">
      <c r="A4908" s="173"/>
      <c r="B4908" s="175"/>
      <c r="C4908" s="36" t="s">
        <v>1009</v>
      </c>
      <c r="D4908" s="36" t="s">
        <v>755</v>
      </c>
      <c r="E4908" s="37">
        <v>4</v>
      </c>
      <c r="F4908" s="31">
        <v>21.622</v>
      </c>
      <c r="G4908" s="54">
        <f>IF(ISNUMBER(F4908),E4908*F4908,"")</f>
        <v>86.488</v>
      </c>
      <c r="H4908" s="73"/>
      <c r="I4908" s="74"/>
      <c r="J4908" s="155">
        <v>0</v>
      </c>
    </row>
    <row r="4909" spans="1:10" hidden="1" x14ac:dyDescent="0.25">
      <c r="A4909" s="173"/>
      <c r="B4909" s="175"/>
      <c r="C4909" s="36" t="s">
        <v>74</v>
      </c>
      <c r="D4909" s="47" t="s">
        <v>755</v>
      </c>
      <c r="E4909" s="37">
        <v>2</v>
      </c>
      <c r="F4909" s="31">
        <v>17.366</v>
      </c>
      <c r="G4909" s="54">
        <f>IF(ISNUMBER(F4909),E4909*F4909,"")</f>
        <v>34.731999999999999</v>
      </c>
      <c r="H4909" s="73"/>
      <c r="I4909" s="74"/>
      <c r="J4909" s="155">
        <v>0</v>
      </c>
    </row>
    <row r="4910" spans="1:10" hidden="1" x14ac:dyDescent="0.25">
      <c r="A4910" s="173"/>
      <c r="B4910" s="175"/>
      <c r="C4910" s="36" t="s">
        <v>30</v>
      </c>
      <c r="D4910" s="36" t="s">
        <v>755</v>
      </c>
      <c r="E4910" s="37">
        <v>2</v>
      </c>
      <c r="F4910" s="31">
        <v>22.268000000000001</v>
      </c>
      <c r="G4910" s="54">
        <f>IF(ISNUMBER(F4910),E4910*F4910,"")</f>
        <v>44.536000000000001</v>
      </c>
      <c r="H4910" s="73"/>
      <c r="I4910" s="74"/>
      <c r="J4910" s="155">
        <v>0</v>
      </c>
    </row>
    <row r="4911" spans="1:10" hidden="1" x14ac:dyDescent="0.25">
      <c r="A4911" s="173"/>
      <c r="B4911" s="175"/>
      <c r="C4911" s="36" t="s">
        <v>1125</v>
      </c>
      <c r="D4911" s="36" t="s">
        <v>297</v>
      </c>
      <c r="E4911" s="37">
        <f>1.2/10</f>
        <v>0.12</v>
      </c>
      <c r="F4911" s="54">
        <v>3.7049999999999996</v>
      </c>
      <c r="G4911" s="54">
        <f>IF(ISNUMBER(F4911),E4911*F4911,"")</f>
        <v>0.44459999999999994</v>
      </c>
      <c r="H4911" s="73"/>
      <c r="I4911" s="74"/>
      <c r="J4911" s="155">
        <v>0</v>
      </c>
    </row>
    <row r="4912" spans="1:10" hidden="1" x14ac:dyDescent="0.25">
      <c r="A4912" s="173"/>
      <c r="B4912" s="175"/>
      <c r="C4912" s="36"/>
      <c r="D4912" s="47"/>
      <c r="E4912" s="37"/>
      <c r="F4912" s="54" t="s">
        <v>568</v>
      </c>
      <c r="G4912" s="54" t="str">
        <f>IF(ISNUMBER(F4912),E4912*F4912,"")</f>
        <v/>
      </c>
      <c r="H4912" s="73"/>
      <c r="I4912" s="74"/>
      <c r="J4912" s="155">
        <v>0</v>
      </c>
    </row>
    <row r="4913" spans="1:10" ht="15.75" hidden="1" thickBot="1" x14ac:dyDescent="0.3">
      <c r="A4913" s="172" t="s">
        <v>3534</v>
      </c>
      <c r="B4913" s="174" t="str">
        <f>INDEX(Orçamentária!A:B,MATCH(Composições!A4913,Orçamentária!A:A,0),2)</f>
        <v>Prateleira – Linha Residencial</v>
      </c>
      <c r="C4913" s="41"/>
      <c r="D4913" s="26" t="str">
        <f>TRIM(INDEX(Orçamentária!C:C,MATCH(Composições!A4913,Orçamentária!A:A,0),1))</f>
        <v>un</v>
      </c>
      <c r="E4913" s="27"/>
      <c r="F4913" s="42" t="s">
        <v>568</v>
      </c>
      <c r="G4913" s="28" t="str">
        <f>IF(ISNUMBER(F4913),E4913*F4913,"")</f>
        <v/>
      </c>
      <c r="H4913" s="29"/>
      <c r="I4913" s="30"/>
      <c r="J4913" s="155">
        <v>0</v>
      </c>
    </row>
    <row r="4914" spans="1:10" hidden="1" x14ac:dyDescent="0.25">
      <c r="A4914" s="176"/>
      <c r="B4914" s="175"/>
      <c r="C4914" s="32"/>
      <c r="D4914" s="32"/>
      <c r="E4914" s="33"/>
      <c r="F4914" s="43" t="s">
        <v>568</v>
      </c>
      <c r="G4914" s="31" t="str">
        <f>IF(ISNUMBER(F4914),E4914*F4914,"")</f>
        <v/>
      </c>
      <c r="H4914" s="35"/>
      <c r="I4914" s="31"/>
      <c r="J4914" s="155">
        <v>0</v>
      </c>
    </row>
    <row r="4915" spans="1:10" ht="25.5" hidden="1" x14ac:dyDescent="0.25">
      <c r="A4915" s="176"/>
      <c r="B4915" s="175"/>
      <c r="C4915" s="36" t="s">
        <v>3661</v>
      </c>
      <c r="D4915" s="47" t="s">
        <v>149</v>
      </c>
      <c r="E4915" s="37">
        <v>1</v>
      </c>
      <c r="F4915" s="34" t="s">
        <v>568</v>
      </c>
      <c r="G4915" s="34" t="str">
        <f>IF(ISNUMBER(F4915),E4915*F4915,"")</f>
        <v/>
      </c>
      <c r="H4915" s="39">
        <f>SUM(G4915:G4917)</f>
        <v>16.9208414</v>
      </c>
      <c r="I4915" s="40"/>
      <c r="J4915" s="155">
        <v>0</v>
      </c>
    </row>
    <row r="4916" spans="1:10" hidden="1" x14ac:dyDescent="0.25">
      <c r="A4916" s="176"/>
      <c r="B4916" s="175"/>
      <c r="C4916" s="36" t="s">
        <v>39</v>
      </c>
      <c r="D4916" s="47" t="s">
        <v>12</v>
      </c>
      <c r="E4916" s="37">
        <v>0.63229999999999997</v>
      </c>
      <c r="F4916" s="31">
        <v>21.622</v>
      </c>
      <c r="G4916" s="34">
        <f>IF(ISNUMBER(F4916),E4916*F4916,"")</f>
        <v>13.6715906</v>
      </c>
      <c r="H4916" s="35"/>
      <c r="I4916" s="31"/>
      <c r="J4916" s="155">
        <v>0</v>
      </c>
    </row>
    <row r="4917" spans="1:10" hidden="1" x14ac:dyDescent="0.25">
      <c r="A4917" s="176"/>
      <c r="B4917" s="175"/>
      <c r="C4917" s="36" t="s">
        <v>23</v>
      </c>
      <c r="D4917" s="47" t="s">
        <v>12</v>
      </c>
      <c r="E4917" s="37">
        <v>0.19919999999999999</v>
      </c>
      <c r="F4917" s="31">
        <v>16.311500000000002</v>
      </c>
      <c r="G4917" s="34">
        <f>IF(ISNUMBER(F4917),E4917*F4917,"")</f>
        <v>3.2492508000000004</v>
      </c>
      <c r="H4917" s="35"/>
      <c r="I4917" s="31"/>
      <c r="J4917" s="155">
        <v>0</v>
      </c>
    </row>
    <row r="4918" spans="1:10" ht="15.75" hidden="1" thickBot="1" x14ac:dyDescent="0.3">
      <c r="A4918" s="177"/>
      <c r="B4918" s="178"/>
      <c r="C4918" s="36"/>
      <c r="D4918" s="36"/>
      <c r="E4918" s="37"/>
      <c r="F4918" s="31" t="s">
        <v>568</v>
      </c>
      <c r="G4918" s="31" t="str">
        <f>IF(ISNUMBER(F4918),E4918*F4918,"")</f>
        <v/>
      </c>
      <c r="H4918" s="35"/>
      <c r="I4918" s="31"/>
      <c r="J4918" s="155">
        <v>0</v>
      </c>
    </row>
    <row r="4919" spans="1:10" ht="15.75" hidden="1" thickBot="1" x14ac:dyDescent="0.3">
      <c r="A4919" s="172" t="s">
        <v>3535</v>
      </c>
      <c r="B4919" s="174" t="str">
        <f>INDEX(Orçamentária!A:B,MATCH(Composições!A4919,Orçamentária!A:A,0),2)</f>
        <v>Saboneteira – Linha Residencial</v>
      </c>
      <c r="C4919" s="41"/>
      <c r="D4919" s="26" t="str">
        <f>TRIM(INDEX(Orçamentária!C:C,MATCH(Composições!A4919,Orçamentária!A:A,0),1))</f>
        <v>un</v>
      </c>
      <c r="E4919" s="27"/>
      <c r="F4919" s="42" t="s">
        <v>568</v>
      </c>
      <c r="G4919" s="28" t="str">
        <f>IF(ISNUMBER(F4919),E4919*F4919,"")</f>
        <v/>
      </c>
      <c r="H4919" s="29"/>
      <c r="I4919" s="30"/>
      <c r="J4919" s="155">
        <v>0</v>
      </c>
    </row>
    <row r="4920" spans="1:10" hidden="1" x14ac:dyDescent="0.25">
      <c r="A4920" s="176"/>
      <c r="B4920" s="175"/>
      <c r="C4920" s="32"/>
      <c r="D4920" s="32"/>
      <c r="E4920" s="33"/>
      <c r="F4920" s="43" t="s">
        <v>568</v>
      </c>
      <c r="G4920" s="31" t="str">
        <f>IF(ISNUMBER(F4920),E4920*F4920,"")</f>
        <v/>
      </c>
      <c r="H4920" s="35"/>
      <c r="I4920" s="31"/>
      <c r="J4920" s="155">
        <v>0</v>
      </c>
    </row>
    <row r="4921" spans="1:10" ht="25.5" hidden="1" x14ac:dyDescent="0.25">
      <c r="A4921" s="176"/>
      <c r="B4921" s="175"/>
      <c r="C4921" s="36" t="s">
        <v>3662</v>
      </c>
      <c r="D4921" s="47" t="s">
        <v>149</v>
      </c>
      <c r="E4921" s="37">
        <v>1</v>
      </c>
      <c r="F4921" s="34" t="s">
        <v>568</v>
      </c>
      <c r="G4921" s="34" t="str">
        <f>IF(ISNUMBER(F4921),E4921*F4921,"")</f>
        <v/>
      </c>
      <c r="H4921" s="39">
        <f>SUM(G4921:G4923)</f>
        <v>8.4615018000000006</v>
      </c>
      <c r="I4921" s="40"/>
      <c r="J4921" s="155">
        <v>0</v>
      </c>
    </row>
    <row r="4922" spans="1:10" hidden="1" x14ac:dyDescent="0.25">
      <c r="A4922" s="176"/>
      <c r="B4922" s="175"/>
      <c r="C4922" s="36" t="s">
        <v>39</v>
      </c>
      <c r="D4922" s="47" t="s">
        <v>12</v>
      </c>
      <c r="E4922" s="37">
        <v>0.31619999999999998</v>
      </c>
      <c r="F4922" s="31">
        <v>21.622</v>
      </c>
      <c r="G4922" s="34">
        <f>IF(ISNUMBER(F4922),E4922*F4922,"")</f>
        <v>6.8368763999999995</v>
      </c>
      <c r="H4922" s="35"/>
      <c r="I4922" s="31"/>
      <c r="J4922" s="155">
        <v>0</v>
      </c>
    </row>
    <row r="4923" spans="1:10" hidden="1" x14ac:dyDescent="0.25">
      <c r="A4923" s="176"/>
      <c r="B4923" s="175"/>
      <c r="C4923" s="36" t="s">
        <v>23</v>
      </c>
      <c r="D4923" s="47" t="s">
        <v>12</v>
      </c>
      <c r="E4923" s="37">
        <v>9.9599999999999994E-2</v>
      </c>
      <c r="F4923" s="31">
        <v>16.311500000000002</v>
      </c>
      <c r="G4923" s="34">
        <f>IF(ISNUMBER(F4923),E4923*F4923,"")</f>
        <v>1.6246254000000002</v>
      </c>
      <c r="H4923" s="35"/>
      <c r="I4923" s="31"/>
      <c r="J4923" s="155">
        <v>0</v>
      </c>
    </row>
    <row r="4924" spans="1:10" ht="15.75" hidden="1" thickBot="1" x14ac:dyDescent="0.3">
      <c r="A4924" s="177"/>
      <c r="B4924" s="178"/>
      <c r="C4924" s="36"/>
      <c r="D4924" s="36"/>
      <c r="E4924" s="37"/>
      <c r="F4924" s="31" t="s">
        <v>568</v>
      </c>
      <c r="G4924" s="31" t="str">
        <f>IF(ISNUMBER(F4924),E4924*F4924,"")</f>
        <v/>
      </c>
      <c r="H4924" s="35"/>
      <c r="I4924" s="31"/>
      <c r="J4924" s="155">
        <v>0</v>
      </c>
    </row>
    <row r="4925" spans="1:10" ht="15.75" hidden="1" thickBot="1" x14ac:dyDescent="0.3">
      <c r="A4925" s="172" t="s">
        <v>3536</v>
      </c>
      <c r="B4925" s="174" t="str">
        <f>INDEX(Orçamentária!A:B,MATCH(Composições!A4925,Orçamentária!A:A,0),2)</f>
        <v>Módulo campainha eletrônica – Linha Residencial</v>
      </c>
      <c r="C4925" s="41"/>
      <c r="D4925" s="26" t="str">
        <f>TRIM(INDEX(Orçamentária!C:C,MATCH(Composições!A4925,Orçamentária!A:A,0),1))</f>
        <v>un</v>
      </c>
      <c r="E4925" s="27"/>
      <c r="F4925" s="42" t="s">
        <v>568</v>
      </c>
      <c r="G4925" s="28" t="str">
        <f>IF(ISNUMBER(F4925),E4925*F4925,"")</f>
        <v/>
      </c>
      <c r="H4925" s="29"/>
      <c r="I4925" s="30"/>
      <c r="J4925" s="155">
        <v>0</v>
      </c>
    </row>
    <row r="4926" spans="1:10" hidden="1" x14ac:dyDescent="0.25">
      <c r="A4926" s="176"/>
      <c r="B4926" s="175"/>
      <c r="C4926" s="32"/>
      <c r="D4926" s="32"/>
      <c r="E4926" s="33"/>
      <c r="F4926" s="43" t="s">
        <v>568</v>
      </c>
      <c r="G4926" s="31" t="str">
        <f>IF(ISNUMBER(F4926),E4926*F4926,"")</f>
        <v/>
      </c>
      <c r="H4926" s="35"/>
      <c r="I4926" s="31"/>
      <c r="J4926" s="155">
        <v>0</v>
      </c>
    </row>
    <row r="4927" spans="1:10" hidden="1" x14ac:dyDescent="0.25">
      <c r="A4927" s="176"/>
      <c r="B4927" s="175"/>
      <c r="C4927" s="36" t="s">
        <v>3663</v>
      </c>
      <c r="D4927" s="36" t="s">
        <v>20</v>
      </c>
      <c r="E4927" s="37">
        <v>1</v>
      </c>
      <c r="F4927" s="34" t="s">
        <v>568</v>
      </c>
      <c r="G4927" s="31" t="str">
        <f>IF(ISNUMBER(F4927),E4927*F4927,"")</f>
        <v/>
      </c>
      <c r="H4927" s="39">
        <f>SUM(G4927:G4929)</f>
        <v>13.911534</v>
      </c>
      <c r="I4927" s="40"/>
      <c r="J4927" s="155">
        <v>0</v>
      </c>
    </row>
    <row r="4928" spans="1:10" hidden="1" x14ac:dyDescent="0.25">
      <c r="A4928" s="176"/>
      <c r="B4928" s="175"/>
      <c r="C4928" s="36" t="s">
        <v>74</v>
      </c>
      <c r="D4928" s="36" t="s">
        <v>12</v>
      </c>
      <c r="E4928" s="37">
        <v>0.35099999999999998</v>
      </c>
      <c r="F4928" s="31">
        <v>17.366</v>
      </c>
      <c r="G4928" s="34">
        <f>IF(ISNUMBER(F4928),E4928*F4928,"")</f>
        <v>6.0954659999999992</v>
      </c>
      <c r="H4928" s="35"/>
      <c r="I4928" s="31"/>
      <c r="J4928" s="155">
        <v>0</v>
      </c>
    </row>
    <row r="4929" spans="1:10" hidden="1" x14ac:dyDescent="0.25">
      <c r="A4929" s="176"/>
      <c r="B4929" s="175"/>
      <c r="C4929" s="36" t="s">
        <v>30</v>
      </c>
      <c r="D4929" s="36" t="s">
        <v>12</v>
      </c>
      <c r="E4929" s="37">
        <v>0.35099999999999998</v>
      </c>
      <c r="F4929" s="31">
        <v>22.268000000000001</v>
      </c>
      <c r="G4929" s="34">
        <f>IF(ISNUMBER(F4929),E4929*F4929,"")</f>
        <v>7.8160679999999996</v>
      </c>
      <c r="H4929" s="35"/>
      <c r="I4929" s="31"/>
      <c r="J4929" s="155">
        <v>0</v>
      </c>
    </row>
    <row r="4930" spans="1:10" ht="15.75" hidden="1" thickBot="1" x14ac:dyDescent="0.3">
      <c r="A4930" s="177"/>
      <c r="B4930" s="178"/>
      <c r="C4930" s="36"/>
      <c r="D4930" s="36"/>
      <c r="E4930" s="37"/>
      <c r="F4930" s="31" t="s">
        <v>568</v>
      </c>
      <c r="G4930" s="31" t="str">
        <f>IF(ISNUMBER(F4930),E4930*F4930,"")</f>
        <v/>
      </c>
      <c r="H4930" s="35"/>
      <c r="I4930" s="31"/>
      <c r="J4930" s="155">
        <v>0</v>
      </c>
    </row>
    <row r="4931" spans="1:10" ht="15.75" hidden="1" thickBot="1" x14ac:dyDescent="0.3">
      <c r="A4931" s="172" t="s">
        <v>3537</v>
      </c>
      <c r="B4931" s="174" t="str">
        <f>INDEX(Orçamentária!A:B,MATCH(Composições!A4931,Orçamentária!A:A,0),2)</f>
        <v>Módulo pulsador – Linha Residencial</v>
      </c>
      <c r="C4931" s="41"/>
      <c r="D4931" s="26" t="str">
        <f>TRIM(INDEX(Orçamentária!C:C,MATCH(Composições!A4931,Orçamentária!A:A,0),1))</f>
        <v>un</v>
      </c>
      <c r="E4931" s="27"/>
      <c r="F4931" s="42" t="s">
        <v>568</v>
      </c>
      <c r="G4931" s="28" t="str">
        <f>IF(ISNUMBER(F4931),E4931*F4931,"")</f>
        <v/>
      </c>
      <c r="H4931" s="29"/>
      <c r="I4931" s="30"/>
      <c r="J4931" s="155">
        <v>0</v>
      </c>
    </row>
    <row r="4932" spans="1:10" hidden="1" x14ac:dyDescent="0.25">
      <c r="A4932" s="176"/>
      <c r="B4932" s="175"/>
      <c r="C4932" s="32"/>
      <c r="D4932" s="32"/>
      <c r="E4932" s="33"/>
      <c r="F4932" s="43" t="s">
        <v>568</v>
      </c>
      <c r="G4932" s="31" t="str">
        <f>IF(ISNUMBER(F4932),E4932*F4932,"")</f>
        <v/>
      </c>
      <c r="H4932" s="35"/>
      <c r="I4932" s="31"/>
      <c r="J4932" s="155">
        <v>0</v>
      </c>
    </row>
    <row r="4933" spans="1:10" hidden="1" x14ac:dyDescent="0.25">
      <c r="A4933" s="176"/>
      <c r="B4933" s="175"/>
      <c r="C4933" s="36" t="s">
        <v>3464</v>
      </c>
      <c r="D4933" s="36" t="s">
        <v>297</v>
      </c>
      <c r="E4933" s="37">
        <v>1</v>
      </c>
      <c r="F4933" s="34">
        <v>4.75</v>
      </c>
      <c r="G4933" s="31">
        <f>IF(ISNUMBER(F4933),E4933*F4933,"")</f>
        <v>4.75</v>
      </c>
      <c r="H4933" s="39">
        <f>SUM(G4933:G4935)</f>
        <v>13.667650000000002</v>
      </c>
      <c r="I4933" s="40"/>
      <c r="J4933" s="155">
        <v>0</v>
      </c>
    </row>
    <row r="4934" spans="1:10" hidden="1" x14ac:dyDescent="0.25">
      <c r="A4934" s="176"/>
      <c r="B4934" s="175"/>
      <c r="C4934" s="36" t="s">
        <v>74</v>
      </c>
      <c r="D4934" s="36" t="s">
        <v>12</v>
      </c>
      <c r="E4934" s="37">
        <v>0.22500000000000001</v>
      </c>
      <c r="F4934" s="31">
        <v>17.366</v>
      </c>
      <c r="G4934" s="34">
        <f>IF(ISNUMBER(F4934),E4934*F4934,"")</f>
        <v>3.9073500000000001</v>
      </c>
      <c r="H4934" s="35"/>
      <c r="I4934" s="31"/>
      <c r="J4934" s="155">
        <v>0</v>
      </c>
    </row>
    <row r="4935" spans="1:10" hidden="1" x14ac:dyDescent="0.25">
      <c r="A4935" s="176"/>
      <c r="B4935" s="175"/>
      <c r="C4935" s="36" t="s">
        <v>30</v>
      </c>
      <c r="D4935" s="36" t="s">
        <v>12</v>
      </c>
      <c r="E4935" s="37">
        <v>0.22500000000000001</v>
      </c>
      <c r="F4935" s="31">
        <v>22.268000000000001</v>
      </c>
      <c r="G4935" s="34">
        <f>IF(ISNUMBER(F4935),E4935*F4935,"")</f>
        <v>5.0103</v>
      </c>
      <c r="H4935" s="35"/>
      <c r="I4935" s="31"/>
      <c r="J4935" s="155">
        <v>0</v>
      </c>
    </row>
    <row r="4936" spans="1:10" ht="15.75" hidden="1" thickBot="1" x14ac:dyDescent="0.3">
      <c r="A4936" s="177"/>
      <c r="B4936" s="178"/>
      <c r="C4936" s="36"/>
      <c r="D4936" s="36"/>
      <c r="E4936" s="37"/>
      <c r="F4936" s="31" t="s">
        <v>568</v>
      </c>
      <c r="G4936" s="31" t="str">
        <f>IF(ISNUMBER(F4936),E4936*F4936,"")</f>
        <v/>
      </c>
      <c r="H4936" s="35"/>
      <c r="I4936" s="31"/>
      <c r="J4936" s="155">
        <v>0</v>
      </c>
    </row>
    <row r="4937" spans="1:10" ht="15.75" hidden="1" thickBot="1" x14ac:dyDescent="0.3">
      <c r="A4937" s="172" t="s">
        <v>3538</v>
      </c>
      <c r="B4937" s="174" t="str">
        <f>INDEX(Orçamentária!A:B,MATCH(Composições!A4937,Orçamentária!A:A,0),2)</f>
        <v>Luminária redonda de sobrepor (plafond) – Linha Residencial</v>
      </c>
      <c r="C4937" s="41"/>
      <c r="D4937" s="26" t="str">
        <f>TRIM(INDEX(Orçamentária!C:C,MATCH(Composições!A4937,Orçamentária!A:A,0),1))</f>
        <v>un</v>
      </c>
      <c r="E4937" s="27"/>
      <c r="F4937" s="42" t="s">
        <v>568</v>
      </c>
      <c r="G4937" s="28" t="str">
        <f>IF(ISNUMBER(F4937),E4937*F4937,"")</f>
        <v/>
      </c>
      <c r="H4937" s="29"/>
      <c r="I4937" s="30"/>
      <c r="J4937" s="155">
        <v>0</v>
      </c>
    </row>
    <row r="4938" spans="1:10" hidden="1" x14ac:dyDescent="0.25">
      <c r="A4938" s="176"/>
      <c r="B4938" s="175"/>
      <c r="C4938" s="32"/>
      <c r="D4938" s="32"/>
      <c r="E4938" s="33"/>
      <c r="F4938" s="43" t="s">
        <v>568</v>
      </c>
      <c r="G4938" s="31" t="str">
        <f>IF(ISNUMBER(F4938),E4938*F4938,"")</f>
        <v/>
      </c>
      <c r="H4938" s="35"/>
      <c r="I4938" s="31"/>
      <c r="J4938" s="155">
        <v>0</v>
      </c>
    </row>
    <row r="4939" spans="1:10" ht="38.25" hidden="1" x14ac:dyDescent="0.25">
      <c r="A4939" s="176"/>
      <c r="B4939" s="175"/>
      <c r="C4939" s="36" t="s">
        <v>3458</v>
      </c>
      <c r="D4939" s="36" t="s">
        <v>297</v>
      </c>
      <c r="E4939" s="37">
        <v>1</v>
      </c>
      <c r="F4939" s="34">
        <v>52.924500000000002</v>
      </c>
      <c r="G4939" s="34">
        <f>IF(ISNUMBER(F4939),E4939*F4939,"")</f>
        <v>52.924500000000002</v>
      </c>
      <c r="H4939" s="39">
        <f>SUM(G4939:G4942)</f>
        <v>99.826573800000006</v>
      </c>
      <c r="I4939" s="40"/>
      <c r="J4939" s="155">
        <v>0</v>
      </c>
    </row>
    <row r="4940" spans="1:10" ht="25.5" hidden="1" x14ac:dyDescent="0.25">
      <c r="A4940" s="176"/>
      <c r="B4940" s="175"/>
      <c r="C4940" s="36" t="s">
        <v>3457</v>
      </c>
      <c r="D4940" s="36" t="s">
        <v>297</v>
      </c>
      <c r="E4940" s="37">
        <v>2</v>
      </c>
      <c r="F4940" s="34">
        <v>13.242999999999999</v>
      </c>
      <c r="G4940" s="34">
        <f>IF(ISNUMBER(F4940),E4940*F4940,"")</f>
        <v>26.485999999999997</v>
      </c>
      <c r="H4940" s="45"/>
      <c r="I4940" s="46"/>
      <c r="J4940" s="155">
        <v>0</v>
      </c>
    </row>
    <row r="4941" spans="1:10" hidden="1" x14ac:dyDescent="0.25">
      <c r="A4941" s="176"/>
      <c r="B4941" s="175"/>
      <c r="C4941" s="36" t="s">
        <v>74</v>
      </c>
      <c r="D4941" s="47" t="s">
        <v>12</v>
      </c>
      <c r="E4941" s="37">
        <v>0.2883</v>
      </c>
      <c r="F4941" s="31">
        <v>17.366</v>
      </c>
      <c r="G4941" s="31">
        <f>IF(ISNUMBER(F4941),E4941*F4941,"")</f>
        <v>5.0066177999999999</v>
      </c>
      <c r="H4941" s="35"/>
      <c r="I4941" s="31"/>
      <c r="J4941" s="155">
        <v>0</v>
      </c>
    </row>
    <row r="4942" spans="1:10" hidden="1" x14ac:dyDescent="0.25">
      <c r="A4942" s="176"/>
      <c r="B4942" s="175"/>
      <c r="C4942" s="36" t="s">
        <v>30</v>
      </c>
      <c r="D4942" s="36" t="s">
        <v>12</v>
      </c>
      <c r="E4942" s="37">
        <v>0.69199999999999995</v>
      </c>
      <c r="F4942" s="31">
        <v>22.268000000000001</v>
      </c>
      <c r="G4942" s="31">
        <f>IF(ISNUMBER(F4942),E4942*F4942,"")</f>
        <v>15.409455999999999</v>
      </c>
      <c r="H4942" s="35"/>
      <c r="I4942" s="31"/>
      <c r="J4942" s="155">
        <v>0</v>
      </c>
    </row>
    <row r="4943" spans="1:10" ht="15.75" hidden="1" thickBot="1" x14ac:dyDescent="0.3">
      <c r="A4943" s="177"/>
      <c r="B4943" s="178"/>
      <c r="C4943" s="36"/>
      <c r="D4943" s="36"/>
      <c r="E4943" s="37"/>
      <c r="F4943" s="31" t="s">
        <v>568</v>
      </c>
      <c r="G4943" s="31" t="str">
        <f>IF(ISNUMBER(F4943),E4943*F4943,"")</f>
        <v/>
      </c>
      <c r="H4943" s="35"/>
      <c r="I4943" s="31"/>
      <c r="J4943" s="155">
        <v>0</v>
      </c>
    </row>
    <row r="4944" spans="1:10" ht="15.75" hidden="1" thickBot="1" x14ac:dyDescent="0.3">
      <c r="A4944" s="179" t="s">
        <v>3664</v>
      </c>
      <c r="B4944" s="182" t="str">
        <f>INDEX(Orçamentária!A:B,MATCH(Composições!A4944,Orçamentária!A:A,0),2)</f>
        <v>Bandeira de porta, em madeira e MDF</v>
      </c>
      <c r="C4944" s="41"/>
      <c r="D4944" s="26" t="str">
        <f>TRIM(INDEX(Orçamentária!C:C,MATCH(Composições!A4944,Orçamentária!A:A,0),1))</f>
        <v>m2</v>
      </c>
      <c r="E4944" s="27"/>
      <c r="F4944" s="42" t="s">
        <v>568</v>
      </c>
      <c r="G4944" s="28" t="str">
        <f>IF(ISNUMBER(F4944),E4944*F4944,"")</f>
        <v/>
      </c>
      <c r="H4944" s="29"/>
      <c r="I4944" s="30"/>
      <c r="J4944" s="155">
        <v>0</v>
      </c>
    </row>
    <row r="4945" spans="1:10" hidden="1" x14ac:dyDescent="0.25">
      <c r="A4945" s="180"/>
      <c r="B4945" s="183"/>
      <c r="C4945" s="32"/>
      <c r="D4945" s="32"/>
      <c r="E4945" s="33"/>
      <c r="F4945" s="43" t="s">
        <v>568</v>
      </c>
      <c r="G4945" s="31" t="str">
        <f>IF(ISNUMBER(F4945),E4945*F4945,"")</f>
        <v/>
      </c>
      <c r="H4945" s="35"/>
      <c r="I4945" s="31"/>
      <c r="J4945" s="155">
        <v>0</v>
      </c>
    </row>
    <row r="4946" spans="1:10" ht="51" hidden="1" x14ac:dyDescent="0.25">
      <c r="A4946" s="180"/>
      <c r="B4946" s="183"/>
      <c r="C4946" s="36" t="s">
        <v>3807</v>
      </c>
      <c r="D4946" s="47" t="s">
        <v>297</v>
      </c>
      <c r="E4946" s="37">
        <f>1/(0.8*2.1)</f>
        <v>0.59523809523809523</v>
      </c>
      <c r="F4946" s="34">
        <v>198.85399999999998</v>
      </c>
      <c r="G4946" s="34">
        <f>IF(ISNUMBER(F4946),E4946*F4946,"")</f>
        <v>118.36547619047619</v>
      </c>
      <c r="H4946" s="39">
        <f>SUM(G4946:G4949)</f>
        <v>163.25716664047619</v>
      </c>
      <c r="I4946" s="40"/>
      <c r="J4946" s="155">
        <v>0</v>
      </c>
    </row>
    <row r="4947" spans="1:10" hidden="1" x14ac:dyDescent="0.25">
      <c r="A4947" s="180"/>
      <c r="B4947" s="183"/>
      <c r="C4947" s="36" t="s">
        <v>3439</v>
      </c>
      <c r="D4947" s="47" t="s">
        <v>523</v>
      </c>
      <c r="E4947" s="37">
        <f>1/0.8</f>
        <v>1.25</v>
      </c>
      <c r="F4947" s="31">
        <v>18.201999999999998</v>
      </c>
      <c r="G4947" s="34">
        <f>IF(ISNUMBER(F4947),E4947*F4947,"")</f>
        <v>22.752499999999998</v>
      </c>
      <c r="H4947" s="35"/>
      <c r="I4947" s="31"/>
      <c r="J4947" s="155">
        <v>0</v>
      </c>
    </row>
    <row r="4948" spans="1:10" hidden="1" x14ac:dyDescent="0.25">
      <c r="A4948" s="180"/>
      <c r="B4948" s="183"/>
      <c r="C4948" s="36" t="s">
        <v>754</v>
      </c>
      <c r="D4948" s="47" t="s">
        <v>755</v>
      </c>
      <c r="E4948" s="37">
        <f>ROUND(1.546*0.8/(2.1*0.8),4)</f>
        <v>0.73619999999999997</v>
      </c>
      <c r="F4948" s="31">
        <v>21.916499999999999</v>
      </c>
      <c r="G4948" s="34">
        <f>IF(ISNUMBER(F4948),E4948*F4948,"")</f>
        <v>16.134927299999998</v>
      </c>
      <c r="H4948" s="35"/>
      <c r="I4948" s="31"/>
      <c r="J4948" s="155">
        <v>0</v>
      </c>
    </row>
    <row r="4949" spans="1:10" hidden="1" x14ac:dyDescent="0.25">
      <c r="A4949" s="180"/>
      <c r="B4949" s="183"/>
      <c r="C4949" s="36" t="s">
        <v>756</v>
      </c>
      <c r="D4949" s="47" t="s">
        <v>755</v>
      </c>
      <c r="E4949" s="37">
        <f>ROUND(0.773*0.8/(2.1*0.8),4)</f>
        <v>0.36809999999999998</v>
      </c>
      <c r="F4949" s="31">
        <v>16.311500000000002</v>
      </c>
      <c r="G4949" s="34">
        <f>IF(ISNUMBER(F4949),E4949*F4949,"")</f>
        <v>6.0042631500000008</v>
      </c>
      <c r="H4949" s="35"/>
      <c r="I4949" s="31"/>
      <c r="J4949" s="155">
        <v>0</v>
      </c>
    </row>
    <row r="4950" spans="1:10" hidden="1" x14ac:dyDescent="0.25">
      <c r="A4950" s="180"/>
      <c r="B4950" s="183"/>
      <c r="C4950" s="36"/>
      <c r="D4950" s="47"/>
      <c r="E4950" s="37"/>
      <c r="F4950" s="34" t="s">
        <v>568</v>
      </c>
      <c r="G4950" s="34" t="str">
        <f>IF(ISNUMBER(F4950),E4950*F4950,"")</f>
        <v/>
      </c>
      <c r="H4950" s="35"/>
      <c r="I4950" s="31"/>
      <c r="J4950" s="155">
        <v>0</v>
      </c>
    </row>
    <row r="4951" spans="1:10" ht="15.75" hidden="1" thickBot="1" x14ac:dyDescent="0.3">
      <c r="A4951" s="179" t="s">
        <v>3666</v>
      </c>
      <c r="B4951" s="182" t="str">
        <f>INDEX(Orçamentária!A:B,MATCH(Composições!A4951,Orçamentária!A:A,0),2)</f>
        <v>Bandeira de porta, em madeira pintada</v>
      </c>
      <c r="C4951" s="41"/>
      <c r="D4951" s="26" t="str">
        <f>TRIM(INDEX(Orçamentária!C:C,MATCH(Composições!A4951,Orçamentária!A:A,0),1))</f>
        <v>m2</v>
      </c>
      <c r="E4951" s="27"/>
      <c r="F4951" s="42" t="s">
        <v>568</v>
      </c>
      <c r="G4951" s="28" t="str">
        <f>IF(ISNUMBER(F4951),E4951*F4951,"")</f>
        <v/>
      </c>
      <c r="H4951" s="29"/>
      <c r="I4951" s="30"/>
      <c r="J4951" s="155">
        <v>0</v>
      </c>
    </row>
    <row r="4952" spans="1:10" hidden="1" x14ac:dyDescent="0.25">
      <c r="A4952" s="180"/>
      <c r="B4952" s="183"/>
      <c r="C4952" s="32"/>
      <c r="D4952" s="32"/>
      <c r="E4952" s="33"/>
      <c r="F4952" s="43" t="s">
        <v>568</v>
      </c>
      <c r="G4952" s="31" t="str">
        <f>IF(ISNUMBER(F4952),E4952*F4952,"")</f>
        <v/>
      </c>
      <c r="H4952" s="35"/>
      <c r="I4952" s="31"/>
      <c r="J4952" s="155">
        <v>0</v>
      </c>
    </row>
    <row r="4953" spans="1:10" ht="51" hidden="1" x14ac:dyDescent="0.25">
      <c r="A4953" s="180"/>
      <c r="B4953" s="183"/>
      <c r="C4953" s="36" t="s">
        <v>3808</v>
      </c>
      <c r="D4953" s="47" t="s">
        <v>297</v>
      </c>
      <c r="E4953" s="37">
        <f>1/(0.8*2.1)</f>
        <v>0.59523809523809523</v>
      </c>
      <c r="F4953" s="34">
        <v>194.2465</v>
      </c>
      <c r="G4953" s="34">
        <f>IF(ISNUMBER(F4953),E4953*F4953,"")</f>
        <v>115.62291666666667</v>
      </c>
      <c r="H4953" s="39">
        <f>SUM(G4953:G4960)</f>
        <v>179.77383711666667</v>
      </c>
      <c r="I4953" s="40"/>
      <c r="J4953" s="155">
        <v>0</v>
      </c>
    </row>
    <row r="4954" spans="1:10" hidden="1" x14ac:dyDescent="0.25">
      <c r="A4954" s="180"/>
      <c r="B4954" s="183"/>
      <c r="C4954" s="36" t="s">
        <v>3439</v>
      </c>
      <c r="D4954" s="47" t="s">
        <v>523</v>
      </c>
      <c r="E4954" s="37">
        <f>1/0.8</f>
        <v>1.25</v>
      </c>
      <c r="F4954" s="31">
        <v>18.201999999999998</v>
      </c>
      <c r="G4954" s="34">
        <f>IF(ISNUMBER(F4954),E4954*F4954,"")</f>
        <v>22.752499999999998</v>
      </c>
      <c r="H4954" s="35"/>
      <c r="I4954" s="31"/>
      <c r="J4954" s="155">
        <v>0</v>
      </c>
    </row>
    <row r="4955" spans="1:10" hidden="1" x14ac:dyDescent="0.25">
      <c r="A4955" s="180"/>
      <c r="B4955" s="183"/>
      <c r="C4955" s="36" t="s">
        <v>754</v>
      </c>
      <c r="D4955" s="47" t="s">
        <v>755</v>
      </c>
      <c r="E4955" s="37">
        <f>ROUND(1.546*0.8/(0.8*2.1),4)</f>
        <v>0.73619999999999997</v>
      </c>
      <c r="F4955" s="31">
        <v>21.916499999999999</v>
      </c>
      <c r="G4955" s="34">
        <f>IF(ISNUMBER(F4955),E4955*F4955,"")</f>
        <v>16.134927299999998</v>
      </c>
      <c r="H4955" s="35"/>
      <c r="I4955" s="31"/>
      <c r="J4955" s="155">
        <v>0</v>
      </c>
    </row>
    <row r="4956" spans="1:10" hidden="1" x14ac:dyDescent="0.25">
      <c r="A4956" s="180"/>
      <c r="B4956" s="183"/>
      <c r="C4956" s="36" t="s">
        <v>756</v>
      </c>
      <c r="D4956" s="47" t="s">
        <v>755</v>
      </c>
      <c r="E4956" s="37">
        <f>ROUND(0.773*0.8/(0.8*2.1),4)</f>
        <v>0.36809999999999998</v>
      </c>
      <c r="F4956" s="31">
        <v>16.311500000000002</v>
      </c>
      <c r="G4956" s="34">
        <f>IF(ISNUMBER(F4956),E4956*F4956,"")</f>
        <v>6.0042631500000008</v>
      </c>
      <c r="H4956" s="35"/>
      <c r="I4956" s="31"/>
      <c r="J4956" s="155">
        <v>0</v>
      </c>
    </row>
    <row r="4957" spans="1:10" hidden="1" x14ac:dyDescent="0.25">
      <c r="A4957" s="180"/>
      <c r="B4957" s="183"/>
      <c r="C4957" s="36" t="s">
        <v>208</v>
      </c>
      <c r="D4957" s="36" t="s">
        <v>20</v>
      </c>
      <c r="E4957" s="37">
        <v>1</v>
      </c>
      <c r="F4957" s="34">
        <v>0.61749999999999994</v>
      </c>
      <c r="G4957" s="31">
        <f>IF(ISNUMBER(F4957),E4957*F4957,"")</f>
        <v>0.61749999999999994</v>
      </c>
      <c r="H4957" s="35"/>
      <c r="I4957" s="40"/>
      <c r="J4957" s="155">
        <v>0</v>
      </c>
    </row>
    <row r="4958" spans="1:10" hidden="1" x14ac:dyDescent="0.25">
      <c r="A4958" s="180"/>
      <c r="B4958" s="183"/>
      <c r="C4958" s="36" t="s">
        <v>217</v>
      </c>
      <c r="D4958" s="50" t="s">
        <v>104</v>
      </c>
      <c r="E4958" s="37">
        <v>0.108</v>
      </c>
      <c r="F4958" s="34">
        <v>42.01</v>
      </c>
      <c r="G4958" s="31">
        <f>IF(ISNUMBER(F4958),E4958*F4958,"")</f>
        <v>4.5370799999999996</v>
      </c>
      <c r="H4958" s="35"/>
      <c r="I4958" s="31"/>
      <c r="J4958" s="155">
        <v>0</v>
      </c>
    </row>
    <row r="4959" spans="1:10" hidden="1" x14ac:dyDescent="0.25">
      <c r="A4959" s="180"/>
      <c r="B4959" s="183"/>
      <c r="C4959" s="36" t="s">
        <v>102</v>
      </c>
      <c r="D4959" s="36" t="s">
        <v>12</v>
      </c>
      <c r="E4959" s="37">
        <v>0.4</v>
      </c>
      <c r="F4959" s="31">
        <v>23.027999999999999</v>
      </c>
      <c r="G4959" s="31">
        <f>IF(ISNUMBER(F4959),E4959*F4959,"")</f>
        <v>9.2111999999999998</v>
      </c>
      <c r="H4959" s="35"/>
      <c r="I4959" s="31"/>
      <c r="J4959" s="155">
        <v>0</v>
      </c>
    </row>
    <row r="4960" spans="1:10" hidden="1" x14ac:dyDescent="0.25">
      <c r="A4960" s="180"/>
      <c r="B4960" s="183"/>
      <c r="C4960" s="36" t="s">
        <v>23</v>
      </c>
      <c r="D4960" s="36" t="s">
        <v>12</v>
      </c>
      <c r="E4960" s="37">
        <v>0.3</v>
      </c>
      <c r="F4960" s="31">
        <v>16.311500000000002</v>
      </c>
      <c r="G4960" s="31">
        <f>IF(ISNUMBER(F4960),E4960*F4960,"")</f>
        <v>4.8934500000000005</v>
      </c>
      <c r="H4960" s="35"/>
      <c r="I4960" s="31"/>
      <c r="J4960" s="155">
        <v>0</v>
      </c>
    </row>
    <row r="4961" spans="1:10" hidden="1" x14ac:dyDescent="0.25">
      <c r="A4961" s="180"/>
      <c r="B4961" s="183"/>
      <c r="C4961" s="36"/>
      <c r="D4961" s="36"/>
      <c r="E4961" s="37"/>
      <c r="F4961" s="31"/>
      <c r="G4961" s="31"/>
      <c r="H4961" s="35"/>
      <c r="I4961" s="31"/>
      <c r="J4961" s="155">
        <v>0</v>
      </c>
    </row>
    <row r="4962" spans="1:10" hidden="1" x14ac:dyDescent="0.25">
      <c r="A4962" s="180"/>
      <c r="B4962" s="183"/>
      <c r="C4962" s="2" t="s">
        <v>3482</v>
      </c>
      <c r="D4962" s="36"/>
      <c r="E4962" s="37"/>
      <c r="F4962" s="31"/>
      <c r="G4962" s="31"/>
      <c r="H4962" s="35"/>
      <c r="I4962" s="31"/>
      <c r="J4962" s="155">
        <v>0</v>
      </c>
    </row>
    <row r="4963" spans="1:10" hidden="1" x14ac:dyDescent="0.25">
      <c r="A4963" s="180"/>
      <c r="B4963" s="183"/>
      <c r="C4963" s="36"/>
      <c r="D4963" s="47"/>
      <c r="E4963" s="37"/>
      <c r="F4963" s="34" t="s">
        <v>568</v>
      </c>
      <c r="G4963" s="34" t="str">
        <f>IF(ISNUMBER(F4963),E4963*F4963,"")</f>
        <v/>
      </c>
      <c r="H4963" s="35"/>
      <c r="I4963" s="31"/>
      <c r="J4963" s="155">
        <v>0</v>
      </c>
    </row>
    <row r="4964" spans="1:10" ht="15.75" hidden="1" thickBot="1" x14ac:dyDescent="0.3">
      <c r="A4964" s="172" t="s">
        <v>3694</v>
      </c>
      <c r="B4964" s="174" t="str">
        <f>INDEX(Orçamentária!A:B,MATCH(Composições!A4964,Orçamentária!A:A,0),2)</f>
        <v>Cambota elastomérica de 8”</v>
      </c>
      <c r="C4964" s="41"/>
      <c r="D4964" s="26" t="str">
        <f>TRIM(INDEX(Orçamentária!C:C,MATCH(Composições!A4964,Orçamentária!A:A,0),1))</f>
        <v>un</v>
      </c>
      <c r="E4964" s="27"/>
      <c r="F4964" s="49" t="s">
        <v>568</v>
      </c>
      <c r="G4964" s="28" t="str">
        <f>IF(ISNUMBER(F4964),E4964*F4964,"")</f>
        <v/>
      </c>
      <c r="H4964" s="29"/>
      <c r="I4964" s="30"/>
      <c r="J4964" s="155">
        <v>0</v>
      </c>
    </row>
    <row r="4965" spans="1:10" hidden="1" x14ac:dyDescent="0.25">
      <c r="A4965" s="173"/>
      <c r="B4965" s="175"/>
      <c r="C4965" s="32"/>
      <c r="D4965" s="32"/>
      <c r="E4965" s="33"/>
      <c r="F4965" s="54" t="s">
        <v>568</v>
      </c>
      <c r="G4965" s="54" t="str">
        <f>IF(ISNUMBER(F4965),E4965*F4965,"")</f>
        <v/>
      </c>
      <c r="H4965" s="73"/>
      <c r="I4965" s="74"/>
      <c r="J4965" s="155">
        <v>0</v>
      </c>
    </row>
    <row r="4966" spans="1:10" ht="25.5" hidden="1" x14ac:dyDescent="0.25">
      <c r="A4966" s="173"/>
      <c r="B4966" s="175"/>
      <c r="C4966" s="36" t="s">
        <v>1008</v>
      </c>
      <c r="D4966" s="47" t="s">
        <v>755</v>
      </c>
      <c r="E4966" s="37">
        <v>0.93</v>
      </c>
      <c r="F4966" s="31">
        <v>16.891000000000002</v>
      </c>
      <c r="G4966" s="54">
        <f>IF(ISNUMBER(F4966),E4966*F4966,"")</f>
        <v>15.708630000000003</v>
      </c>
      <c r="H4966" s="39">
        <f>SUM(G4966:G4968)</f>
        <v>35.817090000000007</v>
      </c>
      <c r="I4966" s="40"/>
      <c r="J4966" s="155">
        <v>0</v>
      </c>
    </row>
    <row r="4967" spans="1:10" ht="25.5" hidden="1" x14ac:dyDescent="0.25">
      <c r="A4967" s="173"/>
      <c r="B4967" s="175"/>
      <c r="C4967" s="36" t="s">
        <v>1009</v>
      </c>
      <c r="D4967" s="36" t="s">
        <v>755</v>
      </c>
      <c r="E4967" s="37">
        <v>0.93</v>
      </c>
      <c r="F4967" s="31">
        <v>21.622</v>
      </c>
      <c r="G4967" s="54">
        <f>IF(ISNUMBER(F4967),E4967*F4967,"")</f>
        <v>20.108460000000001</v>
      </c>
      <c r="H4967" s="73"/>
      <c r="I4967" s="74"/>
      <c r="J4967" s="155">
        <v>0</v>
      </c>
    </row>
    <row r="4968" spans="1:10" hidden="1" x14ac:dyDescent="0.25">
      <c r="A4968" s="173"/>
      <c r="B4968" s="175"/>
      <c r="C4968" s="36" t="s">
        <v>3754</v>
      </c>
      <c r="D4968" s="36" t="s">
        <v>297</v>
      </c>
      <c r="E4968" s="37">
        <v>1</v>
      </c>
      <c r="F4968" s="31" t="s">
        <v>568</v>
      </c>
      <c r="G4968" s="54" t="str">
        <f>IF(ISNUMBER(F4968),E4968*F4968,"")</f>
        <v/>
      </c>
      <c r="H4968" s="73"/>
      <c r="I4968" s="74"/>
      <c r="J4968" s="155">
        <v>0</v>
      </c>
    </row>
    <row r="4969" spans="1:10" hidden="1" x14ac:dyDescent="0.25">
      <c r="A4969" s="173"/>
      <c r="B4969" s="175"/>
      <c r="C4969" s="36"/>
      <c r="D4969" s="47"/>
      <c r="E4969" s="37"/>
      <c r="F4969" s="54" t="s">
        <v>568</v>
      </c>
      <c r="G4969" s="54" t="str">
        <f>IF(ISNUMBER(F4969),E4969*F4969,"")</f>
        <v/>
      </c>
      <c r="H4969" s="73"/>
      <c r="I4969" s="74"/>
      <c r="J4969" s="155">
        <v>0</v>
      </c>
    </row>
    <row r="4970" spans="1:10" ht="15.75" hidden="1" thickBot="1" x14ac:dyDescent="0.3">
      <c r="A4970" s="172" t="s">
        <v>3696</v>
      </c>
      <c r="B4970" s="174" t="str">
        <f>INDEX(Orçamentária!A:B,MATCH(Composições!A4970,Orçamentária!A:A,0),2)</f>
        <v>Curva raio curto 45° em aço carbono para solda de topo DN 125 (5" NPS)</v>
      </c>
      <c r="C4970" s="41"/>
      <c r="D4970" s="26" t="str">
        <f>TRIM(INDEX(Orçamentária!C:C,MATCH(Composições!A4970,Orçamentária!A:A,0),1))</f>
        <v>un</v>
      </c>
      <c r="E4970" s="27"/>
      <c r="F4970" s="49" t="s">
        <v>568</v>
      </c>
      <c r="G4970" s="28" t="str">
        <f>IF(ISNUMBER(F4970),E4970*F4970,"")</f>
        <v/>
      </c>
      <c r="H4970" s="29"/>
      <c r="I4970" s="30"/>
      <c r="J4970" s="155">
        <v>0</v>
      </c>
    </row>
    <row r="4971" spans="1:10" hidden="1" x14ac:dyDescent="0.25">
      <c r="A4971" s="173"/>
      <c r="B4971" s="175"/>
      <c r="C4971" s="32"/>
      <c r="D4971" s="32"/>
      <c r="E4971" s="33"/>
      <c r="F4971" s="54" t="s">
        <v>568</v>
      </c>
      <c r="G4971" s="54" t="str">
        <f>IF(ISNUMBER(F4971),E4971*F4971,"")</f>
        <v/>
      </c>
      <c r="H4971" s="73"/>
      <c r="I4971" s="74"/>
      <c r="J4971" s="155">
        <v>0</v>
      </c>
    </row>
    <row r="4972" spans="1:10" hidden="1" x14ac:dyDescent="0.25">
      <c r="A4972" s="173"/>
      <c r="B4972" s="175"/>
      <c r="C4972" s="36" t="s">
        <v>1250</v>
      </c>
      <c r="D4972" s="47" t="s">
        <v>953</v>
      </c>
      <c r="E4972" s="37">
        <f>ROUND(0.089*1.3,4)</f>
        <v>0.1157</v>
      </c>
      <c r="F4972" s="31">
        <v>18.1355</v>
      </c>
      <c r="G4972" s="54">
        <f>IF(ISNUMBER(F4972),E4972*F4972,"")</f>
        <v>2.09827735</v>
      </c>
      <c r="H4972" s="39">
        <f>SUM(G4972:G4976)</f>
        <v>75.984498850000008</v>
      </c>
      <c r="I4972" s="40"/>
      <c r="J4972" s="155">
        <v>0</v>
      </c>
    </row>
    <row r="4973" spans="1:10" ht="25.5" hidden="1" x14ac:dyDescent="0.25">
      <c r="A4973" s="173"/>
      <c r="B4973" s="175"/>
      <c r="C4973" s="36" t="s">
        <v>3755</v>
      </c>
      <c r="D4973" s="36" t="s">
        <v>297</v>
      </c>
      <c r="E4973" s="37">
        <v>1</v>
      </c>
      <c r="F4973" s="31" t="s">
        <v>568</v>
      </c>
      <c r="G4973" s="54" t="str">
        <f>IF(ISNUMBER(F4973),E4973*F4973,"")</f>
        <v/>
      </c>
      <c r="H4973" s="73"/>
      <c r="I4973" s="74"/>
      <c r="J4973" s="155">
        <v>0</v>
      </c>
    </row>
    <row r="4974" spans="1:10" ht="25.5" hidden="1" x14ac:dyDescent="0.25">
      <c r="A4974" s="173"/>
      <c r="B4974" s="175"/>
      <c r="C4974" s="36" t="s">
        <v>1008</v>
      </c>
      <c r="D4974" s="47" t="s">
        <v>755</v>
      </c>
      <c r="E4974" s="37">
        <f>ROUND(0.93*1.3,4)</f>
        <v>1.2090000000000001</v>
      </c>
      <c r="F4974" s="31">
        <v>16.891000000000002</v>
      </c>
      <c r="G4974" s="54">
        <f>IF(ISNUMBER(F4974),E4974*F4974,"")</f>
        <v>20.421219000000004</v>
      </c>
      <c r="H4974" s="73"/>
      <c r="I4974" s="74"/>
      <c r="J4974" s="155">
        <v>0</v>
      </c>
    </row>
    <row r="4975" spans="1:10" ht="25.5" hidden="1" x14ac:dyDescent="0.25">
      <c r="A4975" s="173"/>
      <c r="B4975" s="175"/>
      <c r="C4975" s="36" t="s">
        <v>1009</v>
      </c>
      <c r="D4975" s="36" t="s">
        <v>755</v>
      </c>
      <c r="E4975" s="37">
        <f>ROUND(0.93*1.3,4)</f>
        <v>1.2090000000000001</v>
      </c>
      <c r="F4975" s="31">
        <v>21.622</v>
      </c>
      <c r="G4975" s="54">
        <f>IF(ISNUMBER(F4975),E4975*F4975,"")</f>
        <v>26.140998</v>
      </c>
      <c r="H4975" s="73"/>
      <c r="I4975" s="74"/>
      <c r="J4975" s="155">
        <v>0</v>
      </c>
    </row>
    <row r="4976" spans="1:10" hidden="1" x14ac:dyDescent="0.25">
      <c r="A4976" s="173"/>
      <c r="B4976" s="175"/>
      <c r="C4976" s="36" t="s">
        <v>3430</v>
      </c>
      <c r="D4976" s="36" t="s">
        <v>755</v>
      </c>
      <c r="E4976" s="37">
        <f>ROUND(0.93*1.3,4)</f>
        <v>1.2090000000000001</v>
      </c>
      <c r="F4976" s="54">
        <v>22.600499999999997</v>
      </c>
      <c r="G4976" s="54">
        <f>IF(ISNUMBER(F4976),E4976*F4976,"")</f>
        <v>27.324004499999997</v>
      </c>
      <c r="H4976" s="73"/>
      <c r="I4976" s="74"/>
      <c r="J4976" s="155">
        <v>0</v>
      </c>
    </row>
    <row r="4977" spans="1:10" hidden="1" x14ac:dyDescent="0.25">
      <c r="A4977" s="173"/>
      <c r="B4977" s="175"/>
      <c r="C4977" s="36"/>
      <c r="D4977" s="47"/>
      <c r="E4977" s="37"/>
      <c r="F4977" s="54" t="s">
        <v>568</v>
      </c>
      <c r="G4977" s="54" t="str">
        <f>IF(ISNUMBER(F4977),E4977*F4977,"")</f>
        <v/>
      </c>
      <c r="H4977" s="73"/>
      <c r="I4977" s="74"/>
      <c r="J4977" s="155">
        <v>0</v>
      </c>
    </row>
    <row r="4978" spans="1:10" ht="15.75" hidden="1" thickBot="1" x14ac:dyDescent="0.3">
      <c r="A4978" s="172" t="s">
        <v>3698</v>
      </c>
      <c r="B4978" s="174" t="str">
        <f>INDEX(Orçamentária!A:B,MATCH(Composições!A4978,Orçamentária!A:A,0),2)</f>
        <v>Curva raio curto 90° em aço carbono para solda de topo DN 125 (5" NPS)</v>
      </c>
      <c r="C4978" s="41"/>
      <c r="D4978" s="26" t="str">
        <f>TRIM(INDEX(Orçamentária!C:C,MATCH(Composições!A4978,Orçamentária!A:A,0),1))</f>
        <v>un</v>
      </c>
      <c r="E4978" s="27"/>
      <c r="F4978" s="49" t="s">
        <v>568</v>
      </c>
      <c r="G4978" s="28" t="str">
        <f>IF(ISNUMBER(F4978),E4978*F4978,"")</f>
        <v/>
      </c>
      <c r="H4978" s="29"/>
      <c r="I4978" s="30"/>
      <c r="J4978" s="155">
        <v>0</v>
      </c>
    </row>
    <row r="4979" spans="1:10" hidden="1" x14ac:dyDescent="0.25">
      <c r="A4979" s="173"/>
      <c r="B4979" s="175"/>
      <c r="C4979" s="32"/>
      <c r="D4979" s="32"/>
      <c r="E4979" s="33"/>
      <c r="F4979" s="54" t="s">
        <v>568</v>
      </c>
      <c r="G4979" s="54" t="str">
        <f>IF(ISNUMBER(F4979),E4979*F4979,"")</f>
        <v/>
      </c>
      <c r="H4979" s="73"/>
      <c r="I4979" s="74"/>
      <c r="J4979" s="155">
        <v>0</v>
      </c>
    </row>
    <row r="4980" spans="1:10" hidden="1" x14ac:dyDescent="0.25">
      <c r="A4980" s="173"/>
      <c r="B4980" s="175"/>
      <c r="C4980" s="36" t="s">
        <v>1250</v>
      </c>
      <c r="D4980" s="47" t="s">
        <v>953</v>
      </c>
      <c r="E4980" s="37">
        <f>ROUND(0.089*1.3,4)</f>
        <v>0.1157</v>
      </c>
      <c r="F4980" s="31">
        <v>18.1355</v>
      </c>
      <c r="G4980" s="54">
        <f>IF(ISNUMBER(F4980),E4980*F4980,"")</f>
        <v>2.09827735</v>
      </c>
      <c r="H4980" s="39">
        <f>SUM(G4980:G4984)</f>
        <v>75.984498850000008</v>
      </c>
      <c r="I4980" s="40"/>
      <c r="J4980" s="155">
        <v>0</v>
      </c>
    </row>
    <row r="4981" spans="1:10" ht="25.5" hidden="1" x14ac:dyDescent="0.25">
      <c r="A4981" s="173"/>
      <c r="B4981" s="175"/>
      <c r="C4981" s="36" t="s">
        <v>3756</v>
      </c>
      <c r="D4981" s="36" t="s">
        <v>297</v>
      </c>
      <c r="E4981" s="37">
        <v>1</v>
      </c>
      <c r="F4981" s="31" t="s">
        <v>568</v>
      </c>
      <c r="G4981" s="54" t="str">
        <f>IF(ISNUMBER(F4981),E4981*F4981,"")</f>
        <v/>
      </c>
      <c r="H4981" s="73"/>
      <c r="I4981" s="74"/>
      <c r="J4981" s="155">
        <v>0</v>
      </c>
    </row>
    <row r="4982" spans="1:10" ht="25.5" hidden="1" x14ac:dyDescent="0.25">
      <c r="A4982" s="173"/>
      <c r="B4982" s="175"/>
      <c r="C4982" s="36" t="s">
        <v>1008</v>
      </c>
      <c r="D4982" s="47" t="s">
        <v>755</v>
      </c>
      <c r="E4982" s="37">
        <f>ROUND(0.93*1.3,4)</f>
        <v>1.2090000000000001</v>
      </c>
      <c r="F4982" s="31">
        <v>16.891000000000002</v>
      </c>
      <c r="G4982" s="54">
        <f>IF(ISNUMBER(F4982),E4982*F4982,"")</f>
        <v>20.421219000000004</v>
      </c>
      <c r="H4982" s="73"/>
      <c r="I4982" s="74"/>
      <c r="J4982" s="155">
        <v>0</v>
      </c>
    </row>
    <row r="4983" spans="1:10" ht="25.5" hidden="1" x14ac:dyDescent="0.25">
      <c r="A4983" s="173"/>
      <c r="B4983" s="175"/>
      <c r="C4983" s="36" t="s">
        <v>1009</v>
      </c>
      <c r="D4983" s="36" t="s">
        <v>755</v>
      </c>
      <c r="E4983" s="37">
        <f>ROUND(0.93*1.3,4)</f>
        <v>1.2090000000000001</v>
      </c>
      <c r="F4983" s="31">
        <v>21.622</v>
      </c>
      <c r="G4983" s="54">
        <f>IF(ISNUMBER(F4983),E4983*F4983,"")</f>
        <v>26.140998</v>
      </c>
      <c r="H4983" s="73"/>
      <c r="I4983" s="74"/>
      <c r="J4983" s="155">
        <v>0</v>
      </c>
    </row>
    <row r="4984" spans="1:10" hidden="1" x14ac:dyDescent="0.25">
      <c r="A4984" s="173"/>
      <c r="B4984" s="175"/>
      <c r="C4984" s="36" t="s">
        <v>3430</v>
      </c>
      <c r="D4984" s="36" t="s">
        <v>755</v>
      </c>
      <c r="E4984" s="37">
        <f>ROUND(0.93*1.3,4)</f>
        <v>1.2090000000000001</v>
      </c>
      <c r="F4984" s="54">
        <v>22.600499999999997</v>
      </c>
      <c r="G4984" s="54">
        <f>IF(ISNUMBER(F4984),E4984*F4984,"")</f>
        <v>27.324004499999997</v>
      </c>
      <c r="H4984" s="73"/>
      <c r="I4984" s="74"/>
      <c r="J4984" s="155">
        <v>0</v>
      </c>
    </row>
    <row r="4985" spans="1:10" hidden="1" x14ac:dyDescent="0.25">
      <c r="A4985" s="173"/>
      <c r="B4985" s="175"/>
      <c r="C4985" s="36"/>
      <c r="D4985" s="47"/>
      <c r="E4985" s="37"/>
      <c r="F4985" s="54" t="s">
        <v>568</v>
      </c>
      <c r="G4985" s="54" t="str">
        <f>IF(ISNUMBER(F4985),E4985*F4985,"")</f>
        <v/>
      </c>
      <c r="H4985" s="73"/>
      <c r="I4985" s="74"/>
      <c r="J4985" s="155">
        <v>0</v>
      </c>
    </row>
    <row r="4986" spans="1:10" ht="15.75" hidden="1" thickBot="1" x14ac:dyDescent="0.3">
      <c r="A4986" s="172" t="s">
        <v>3700</v>
      </c>
      <c r="B4986" s="174" t="str">
        <f>INDEX(Orçamentária!A:B,MATCH(Composições!A4986,Orçamentária!A:A,0),2)</f>
        <v>Curva raio longo 90° em aço carbono para solda de topo DN 125 (5" NPS)</v>
      </c>
      <c r="C4986" s="41"/>
      <c r="D4986" s="26" t="str">
        <f>TRIM(INDEX(Orçamentária!C:C,MATCH(Composições!A4986,Orçamentária!A:A,0),1))</f>
        <v>un</v>
      </c>
      <c r="E4986" s="27"/>
      <c r="F4986" s="49" t="s">
        <v>568</v>
      </c>
      <c r="G4986" s="28" t="str">
        <f>IF(ISNUMBER(F4986),E4986*F4986,"")</f>
        <v/>
      </c>
      <c r="H4986" s="29"/>
      <c r="I4986" s="30"/>
      <c r="J4986" s="155">
        <v>0</v>
      </c>
    </row>
    <row r="4987" spans="1:10" hidden="1" x14ac:dyDescent="0.25">
      <c r="A4987" s="173"/>
      <c r="B4987" s="175"/>
      <c r="C4987" s="32"/>
      <c r="D4987" s="32"/>
      <c r="E4987" s="33"/>
      <c r="F4987" s="54" t="s">
        <v>568</v>
      </c>
      <c r="G4987" s="54" t="str">
        <f>IF(ISNUMBER(F4987),E4987*F4987,"")</f>
        <v/>
      </c>
      <c r="H4987" s="73"/>
      <c r="I4987" s="74"/>
      <c r="J4987" s="155">
        <v>0</v>
      </c>
    </row>
    <row r="4988" spans="1:10" hidden="1" x14ac:dyDescent="0.25">
      <c r="A4988" s="173"/>
      <c r="B4988" s="175"/>
      <c r="C4988" s="36" t="s">
        <v>1250</v>
      </c>
      <c r="D4988" s="47" t="s">
        <v>953</v>
      </c>
      <c r="E4988" s="37">
        <f>ROUND(0.089*1.3,4)</f>
        <v>0.1157</v>
      </c>
      <c r="F4988" s="31">
        <v>18.1355</v>
      </c>
      <c r="G4988" s="54">
        <f>IF(ISNUMBER(F4988),E4988*F4988,"")</f>
        <v>2.09827735</v>
      </c>
      <c r="H4988" s="39">
        <f>SUM(G4988:G4992)</f>
        <v>75.984498850000008</v>
      </c>
      <c r="I4988" s="40"/>
      <c r="J4988" s="155">
        <v>0</v>
      </c>
    </row>
    <row r="4989" spans="1:10" ht="25.5" hidden="1" x14ac:dyDescent="0.25">
      <c r="A4989" s="173"/>
      <c r="B4989" s="175"/>
      <c r="C4989" s="36" t="s">
        <v>3757</v>
      </c>
      <c r="D4989" s="36" t="s">
        <v>297</v>
      </c>
      <c r="E4989" s="37">
        <v>1</v>
      </c>
      <c r="F4989" s="31" t="s">
        <v>568</v>
      </c>
      <c r="G4989" s="54" t="str">
        <f>IF(ISNUMBER(F4989),E4989*F4989,"")</f>
        <v/>
      </c>
      <c r="H4989" s="73"/>
      <c r="I4989" s="74"/>
      <c r="J4989" s="155">
        <v>0</v>
      </c>
    </row>
    <row r="4990" spans="1:10" ht="25.5" hidden="1" x14ac:dyDescent="0.25">
      <c r="A4990" s="173"/>
      <c r="B4990" s="175"/>
      <c r="C4990" s="36" t="s">
        <v>1008</v>
      </c>
      <c r="D4990" s="47" t="s">
        <v>755</v>
      </c>
      <c r="E4990" s="37">
        <f>ROUND(0.93*1.3,4)</f>
        <v>1.2090000000000001</v>
      </c>
      <c r="F4990" s="31">
        <v>16.891000000000002</v>
      </c>
      <c r="G4990" s="54">
        <f>IF(ISNUMBER(F4990),E4990*F4990,"")</f>
        <v>20.421219000000004</v>
      </c>
      <c r="H4990" s="73"/>
      <c r="I4990" s="74"/>
      <c r="J4990" s="155">
        <v>0</v>
      </c>
    </row>
    <row r="4991" spans="1:10" ht="25.5" hidden="1" x14ac:dyDescent="0.25">
      <c r="A4991" s="173"/>
      <c r="B4991" s="175"/>
      <c r="C4991" s="36" t="s">
        <v>1009</v>
      </c>
      <c r="D4991" s="36" t="s">
        <v>755</v>
      </c>
      <c r="E4991" s="37">
        <f>ROUND(0.93*1.3,4)</f>
        <v>1.2090000000000001</v>
      </c>
      <c r="F4991" s="31">
        <v>21.622</v>
      </c>
      <c r="G4991" s="54">
        <f>IF(ISNUMBER(F4991),E4991*F4991,"")</f>
        <v>26.140998</v>
      </c>
      <c r="H4991" s="73"/>
      <c r="I4991" s="74"/>
      <c r="J4991" s="155">
        <v>0</v>
      </c>
    </row>
    <row r="4992" spans="1:10" hidden="1" x14ac:dyDescent="0.25">
      <c r="A4992" s="173"/>
      <c r="B4992" s="175"/>
      <c r="C4992" s="36" t="s">
        <v>3430</v>
      </c>
      <c r="D4992" s="36" t="s">
        <v>755</v>
      </c>
      <c r="E4992" s="37">
        <f>ROUND(0.93*1.3,4)</f>
        <v>1.2090000000000001</v>
      </c>
      <c r="F4992" s="54">
        <v>22.600499999999997</v>
      </c>
      <c r="G4992" s="54">
        <f>IF(ISNUMBER(F4992),E4992*F4992,"")</f>
        <v>27.324004499999997</v>
      </c>
      <c r="H4992" s="73"/>
      <c r="I4992" s="74"/>
      <c r="J4992" s="155">
        <v>0</v>
      </c>
    </row>
    <row r="4993" spans="1:10" hidden="1" x14ac:dyDescent="0.25">
      <c r="A4993" s="173"/>
      <c r="B4993" s="175"/>
      <c r="C4993" s="36"/>
      <c r="D4993" s="47"/>
      <c r="E4993" s="37"/>
      <c r="F4993" s="54" t="s">
        <v>568</v>
      </c>
      <c r="G4993" s="54" t="str">
        <f>IF(ISNUMBER(F4993),E4993*F4993,"")</f>
        <v/>
      </c>
      <c r="H4993" s="73"/>
      <c r="I4993" s="74"/>
      <c r="J4993" s="155">
        <v>0</v>
      </c>
    </row>
    <row r="4994" spans="1:10" ht="15.75" hidden="1" thickBot="1" x14ac:dyDescent="0.3">
      <c r="A4994" s="172" t="s">
        <v>3702</v>
      </c>
      <c r="B4994" s="174" t="str">
        <f>INDEX(Orçamentária!A:B,MATCH(Composições!A4994,Orçamentária!A:A,0),2)</f>
        <v>Curva raio longo 90° em aço carbono para solda de topo DN 200 (8" NPS)</v>
      </c>
      <c r="C4994" s="41"/>
      <c r="D4994" s="26" t="str">
        <f>TRIM(INDEX(Orçamentária!C:C,MATCH(Composições!A4994,Orçamentária!A:A,0),1))</f>
        <v>un</v>
      </c>
      <c r="E4994" s="27"/>
      <c r="F4994" s="49" t="s">
        <v>568</v>
      </c>
      <c r="G4994" s="28" t="str">
        <f>IF(ISNUMBER(F4994),E4994*F4994,"")</f>
        <v/>
      </c>
      <c r="H4994" s="29"/>
      <c r="I4994" s="30"/>
      <c r="J4994" s="155">
        <v>0</v>
      </c>
    </row>
    <row r="4995" spans="1:10" hidden="1" x14ac:dyDescent="0.25">
      <c r="A4995" s="173"/>
      <c r="B4995" s="175"/>
      <c r="C4995" s="32"/>
      <c r="D4995" s="32"/>
      <c r="E4995" s="33"/>
      <c r="F4995" s="54" t="s">
        <v>568</v>
      </c>
      <c r="G4995" s="54" t="str">
        <f>IF(ISNUMBER(F4995),E4995*F4995,"")</f>
        <v/>
      </c>
      <c r="H4995" s="73"/>
      <c r="I4995" s="74"/>
      <c r="J4995" s="155">
        <v>0</v>
      </c>
    </row>
    <row r="4996" spans="1:10" hidden="1" x14ac:dyDescent="0.25">
      <c r="A4996" s="173"/>
      <c r="B4996" s="175"/>
      <c r="C4996" s="36" t="s">
        <v>1250</v>
      </c>
      <c r="D4996" s="47" t="s">
        <v>953</v>
      </c>
      <c r="E4996" s="37">
        <f>ROUND(0.089*1.5,4)</f>
        <v>0.13350000000000001</v>
      </c>
      <c r="F4996" s="31">
        <v>18.1355</v>
      </c>
      <c r="G4996" s="54">
        <f>IF(ISNUMBER(F4996),E4996*F4996,"")</f>
        <v>2.4210892500000001</v>
      </c>
      <c r="H4996" s="39">
        <f>SUM(G4996:G5000)</f>
        <v>87.674421749999993</v>
      </c>
      <c r="I4996" s="40"/>
      <c r="J4996" s="155">
        <v>0</v>
      </c>
    </row>
    <row r="4997" spans="1:10" ht="25.5" hidden="1" x14ac:dyDescent="0.25">
      <c r="A4997" s="173"/>
      <c r="B4997" s="175"/>
      <c r="C4997" s="36" t="s">
        <v>3758</v>
      </c>
      <c r="D4997" s="36" t="s">
        <v>297</v>
      </c>
      <c r="E4997" s="37">
        <v>1</v>
      </c>
      <c r="F4997" s="31" t="s">
        <v>568</v>
      </c>
      <c r="G4997" s="54" t="str">
        <f>IF(ISNUMBER(F4997),E4997*F4997,"")</f>
        <v/>
      </c>
      <c r="H4997" s="73"/>
      <c r="I4997" s="74"/>
      <c r="J4997" s="155">
        <v>0</v>
      </c>
    </row>
    <row r="4998" spans="1:10" ht="25.5" hidden="1" x14ac:dyDescent="0.25">
      <c r="A4998" s="173"/>
      <c r="B4998" s="175"/>
      <c r="C4998" s="36" t="s">
        <v>1008</v>
      </c>
      <c r="D4998" s="47" t="s">
        <v>755</v>
      </c>
      <c r="E4998" s="37">
        <f>ROUND(0.93*1.5,4)</f>
        <v>1.395</v>
      </c>
      <c r="F4998" s="31">
        <v>16.891000000000002</v>
      </c>
      <c r="G4998" s="54">
        <f>IF(ISNUMBER(F4998),E4998*F4998,"")</f>
        <v>23.562945000000003</v>
      </c>
      <c r="H4998" s="73"/>
      <c r="I4998" s="74"/>
      <c r="J4998" s="155">
        <v>0</v>
      </c>
    </row>
    <row r="4999" spans="1:10" ht="25.5" hidden="1" x14ac:dyDescent="0.25">
      <c r="A4999" s="173"/>
      <c r="B4999" s="175"/>
      <c r="C4999" s="36" t="s">
        <v>1009</v>
      </c>
      <c r="D4999" s="36" t="s">
        <v>755</v>
      </c>
      <c r="E4999" s="37">
        <f>ROUND(0.93*1.5,4)</f>
        <v>1.395</v>
      </c>
      <c r="F4999" s="31">
        <v>21.622</v>
      </c>
      <c r="G4999" s="54">
        <f>IF(ISNUMBER(F4999),E4999*F4999,"")</f>
        <v>30.162690000000001</v>
      </c>
      <c r="H4999" s="73"/>
      <c r="I4999" s="74"/>
      <c r="J4999" s="155">
        <v>0</v>
      </c>
    </row>
    <row r="5000" spans="1:10" hidden="1" x14ac:dyDescent="0.25">
      <c r="A5000" s="173"/>
      <c r="B5000" s="175"/>
      <c r="C5000" s="36" t="s">
        <v>3430</v>
      </c>
      <c r="D5000" s="36" t="s">
        <v>755</v>
      </c>
      <c r="E5000" s="37">
        <f>ROUND(0.93*1.5,4)</f>
        <v>1.395</v>
      </c>
      <c r="F5000" s="54">
        <v>22.600499999999997</v>
      </c>
      <c r="G5000" s="54">
        <f>IF(ISNUMBER(F5000),E5000*F5000,"")</f>
        <v>31.527697499999995</v>
      </c>
      <c r="H5000" s="73"/>
      <c r="I5000" s="74"/>
      <c r="J5000" s="155">
        <v>0</v>
      </c>
    </row>
    <row r="5001" spans="1:10" hidden="1" x14ac:dyDescent="0.25">
      <c r="A5001" s="173"/>
      <c r="B5001" s="175"/>
      <c r="C5001" s="36"/>
      <c r="D5001" s="47"/>
      <c r="E5001" s="37"/>
      <c r="F5001" s="54" t="s">
        <v>568</v>
      </c>
      <c r="G5001" s="54" t="str">
        <f>IF(ISNUMBER(F5001),E5001*F5001,"")</f>
        <v/>
      </c>
      <c r="H5001" s="73"/>
      <c r="I5001" s="74"/>
      <c r="J5001" s="155">
        <v>0</v>
      </c>
    </row>
    <row r="5002" spans="1:10" ht="15.75" hidden="1" thickBot="1" x14ac:dyDescent="0.3">
      <c r="A5002" s="172" t="s">
        <v>3704</v>
      </c>
      <c r="B5002" s="174" t="str">
        <f>INDEX(Orçamentária!A:B,MATCH(Composições!A5002,Orçamentária!A:A,0),2)</f>
        <v>Eliminador de ar para líquidos DN 20 (3/4" NPS)</v>
      </c>
      <c r="C5002" s="41"/>
      <c r="D5002" s="26" t="str">
        <f>TRIM(INDEX(Orçamentária!C:C,MATCH(Composições!A5002,Orçamentária!A:A,0),1))</f>
        <v>un</v>
      </c>
      <c r="E5002" s="27"/>
      <c r="F5002" s="49" t="s">
        <v>568</v>
      </c>
      <c r="G5002" s="28" t="str">
        <f>IF(ISNUMBER(F5002),E5002*F5002,"")</f>
        <v/>
      </c>
      <c r="H5002" s="29"/>
      <c r="I5002" s="30"/>
      <c r="J5002" s="155">
        <v>0</v>
      </c>
    </row>
    <row r="5003" spans="1:10" hidden="1" x14ac:dyDescent="0.25">
      <c r="A5003" s="173"/>
      <c r="B5003" s="175"/>
      <c r="C5003" s="32"/>
      <c r="D5003" s="32"/>
      <c r="E5003" s="33"/>
      <c r="F5003" s="54" t="s">
        <v>568</v>
      </c>
      <c r="G5003" s="54" t="str">
        <f>IF(ISNUMBER(F5003),E5003*F5003,"")</f>
        <v/>
      </c>
      <c r="H5003" s="73"/>
      <c r="I5003" s="74"/>
      <c r="J5003" s="155">
        <v>0</v>
      </c>
    </row>
    <row r="5004" spans="1:10" ht="25.5" hidden="1" x14ac:dyDescent="0.25">
      <c r="A5004" s="173"/>
      <c r="B5004" s="175"/>
      <c r="C5004" s="36" t="s">
        <v>3759</v>
      </c>
      <c r="D5004" s="36" t="s">
        <v>297</v>
      </c>
      <c r="E5004" s="37">
        <v>1</v>
      </c>
      <c r="F5004" s="31" t="s">
        <v>568</v>
      </c>
      <c r="G5004" s="54" t="str">
        <f>IF(ISNUMBER(F5004),E5004*F5004,"")</f>
        <v/>
      </c>
      <c r="H5004" s="39">
        <f>SUM(G5004:G5006)</f>
        <v>15.097096000000002</v>
      </c>
      <c r="I5004" s="40"/>
      <c r="J5004" s="155">
        <v>0</v>
      </c>
    </row>
    <row r="5005" spans="1:10" ht="25.5" hidden="1" x14ac:dyDescent="0.25">
      <c r="A5005" s="173"/>
      <c r="B5005" s="175"/>
      <c r="C5005" s="36" t="s">
        <v>1008</v>
      </c>
      <c r="D5005" s="47" t="s">
        <v>755</v>
      </c>
      <c r="E5005" s="37">
        <v>0.39200000000000002</v>
      </c>
      <c r="F5005" s="31">
        <v>16.891000000000002</v>
      </c>
      <c r="G5005" s="54">
        <f>IF(ISNUMBER(F5005),E5005*F5005,"")</f>
        <v>6.6212720000000012</v>
      </c>
      <c r="H5005" s="73"/>
      <c r="I5005" s="74"/>
      <c r="J5005" s="155">
        <v>0</v>
      </c>
    </row>
    <row r="5006" spans="1:10" ht="25.5" hidden="1" x14ac:dyDescent="0.25">
      <c r="A5006" s="173"/>
      <c r="B5006" s="175"/>
      <c r="C5006" s="36" t="s">
        <v>1009</v>
      </c>
      <c r="D5006" s="36" t="s">
        <v>755</v>
      </c>
      <c r="E5006" s="37">
        <v>0.39200000000000002</v>
      </c>
      <c r="F5006" s="31">
        <v>21.622</v>
      </c>
      <c r="G5006" s="54">
        <f>IF(ISNUMBER(F5006),E5006*F5006,"")</f>
        <v>8.4758240000000011</v>
      </c>
      <c r="H5006" s="73"/>
      <c r="I5006" s="74"/>
      <c r="J5006" s="155">
        <v>0</v>
      </c>
    </row>
    <row r="5007" spans="1:10" hidden="1" x14ac:dyDescent="0.25">
      <c r="A5007" s="173"/>
      <c r="B5007" s="175"/>
      <c r="C5007" s="36"/>
      <c r="D5007" s="47"/>
      <c r="E5007" s="37"/>
      <c r="F5007" s="54" t="s">
        <v>568</v>
      </c>
      <c r="G5007" s="54" t="str">
        <f>IF(ISNUMBER(F5007),E5007*F5007,"")</f>
        <v/>
      </c>
      <c r="H5007" s="73"/>
      <c r="I5007" s="74"/>
      <c r="J5007" s="155">
        <v>0</v>
      </c>
    </row>
    <row r="5008" spans="1:10" ht="15.75" hidden="1" thickBot="1" x14ac:dyDescent="0.3">
      <c r="A5008" s="172" t="s">
        <v>3706</v>
      </c>
      <c r="B5008" s="174" t="str">
        <f>INDEX(Orçamentária!A:B,MATCH(Composições!A5008,Orçamentária!A:A,0),2)</f>
        <v>Flange de pescoço, aço carbono, classe 150, DN 125 (5" NPS)</v>
      </c>
      <c r="C5008" s="41"/>
      <c r="D5008" s="26" t="str">
        <f>TRIM(INDEX(Orçamentária!C:C,MATCH(Composições!A5008,Orçamentária!A:A,0),1))</f>
        <v>un</v>
      </c>
      <c r="E5008" s="27"/>
      <c r="F5008" s="49" t="s">
        <v>568</v>
      </c>
      <c r="G5008" s="28" t="str">
        <f>IF(ISNUMBER(F5008),E5008*F5008,"")</f>
        <v/>
      </c>
      <c r="H5008" s="29"/>
      <c r="I5008" s="30"/>
      <c r="J5008" s="155">
        <v>0</v>
      </c>
    </row>
    <row r="5009" spans="1:10" hidden="1" x14ac:dyDescent="0.25">
      <c r="A5009" s="173"/>
      <c r="B5009" s="175"/>
      <c r="C5009" s="32"/>
      <c r="D5009" s="32"/>
      <c r="E5009" s="33"/>
      <c r="F5009" s="54" t="s">
        <v>568</v>
      </c>
      <c r="G5009" s="54" t="str">
        <f>IF(ISNUMBER(F5009),E5009*F5009,"")</f>
        <v/>
      </c>
      <c r="H5009" s="73"/>
      <c r="I5009" s="74"/>
      <c r="J5009" s="155">
        <v>0</v>
      </c>
    </row>
    <row r="5010" spans="1:10" hidden="1" x14ac:dyDescent="0.25">
      <c r="A5010" s="173"/>
      <c r="B5010" s="175"/>
      <c r="C5010" s="36" t="s">
        <v>1250</v>
      </c>
      <c r="D5010" s="47" t="s">
        <v>953</v>
      </c>
      <c r="E5010" s="37">
        <f>ROUND(0.089*1.3,4)</f>
        <v>0.1157</v>
      </c>
      <c r="F5010" s="31">
        <v>18.1355</v>
      </c>
      <c r="G5010" s="54">
        <f>IF(ISNUMBER(F5010),E5010*F5010,"")</f>
        <v>2.09827735</v>
      </c>
      <c r="H5010" s="39">
        <f>SUM(G5010:G5014)</f>
        <v>75.984498850000008</v>
      </c>
      <c r="I5010" s="40"/>
      <c r="J5010" s="155">
        <v>0</v>
      </c>
    </row>
    <row r="5011" spans="1:10" hidden="1" x14ac:dyDescent="0.25">
      <c r="A5011" s="173"/>
      <c r="B5011" s="175"/>
      <c r="C5011" s="36" t="s">
        <v>3760</v>
      </c>
      <c r="D5011" s="36" t="s">
        <v>297</v>
      </c>
      <c r="E5011" s="37">
        <v>1</v>
      </c>
      <c r="F5011" s="31" t="s">
        <v>568</v>
      </c>
      <c r="G5011" s="54" t="str">
        <f>IF(ISNUMBER(F5011),E5011*F5011,"")</f>
        <v/>
      </c>
      <c r="H5011" s="73"/>
      <c r="I5011" s="74"/>
      <c r="J5011" s="155">
        <v>0</v>
      </c>
    </row>
    <row r="5012" spans="1:10" ht="25.5" hidden="1" x14ac:dyDescent="0.25">
      <c r="A5012" s="173"/>
      <c r="B5012" s="175"/>
      <c r="C5012" s="36" t="s">
        <v>1008</v>
      </c>
      <c r="D5012" s="47" t="s">
        <v>755</v>
      </c>
      <c r="E5012" s="37">
        <f>ROUND(0.93*1.3,4)</f>
        <v>1.2090000000000001</v>
      </c>
      <c r="F5012" s="31">
        <v>16.891000000000002</v>
      </c>
      <c r="G5012" s="54">
        <f>IF(ISNUMBER(F5012),E5012*F5012,"")</f>
        <v>20.421219000000004</v>
      </c>
      <c r="H5012" s="73"/>
      <c r="I5012" s="74"/>
      <c r="J5012" s="155">
        <v>0</v>
      </c>
    </row>
    <row r="5013" spans="1:10" ht="25.5" hidden="1" x14ac:dyDescent="0.25">
      <c r="A5013" s="173"/>
      <c r="B5013" s="175"/>
      <c r="C5013" s="36" t="s">
        <v>1009</v>
      </c>
      <c r="D5013" s="36" t="s">
        <v>755</v>
      </c>
      <c r="E5013" s="37">
        <f>ROUND(0.93*1.3,4)</f>
        <v>1.2090000000000001</v>
      </c>
      <c r="F5013" s="31">
        <v>21.622</v>
      </c>
      <c r="G5013" s="54">
        <f>IF(ISNUMBER(F5013),E5013*F5013,"")</f>
        <v>26.140998</v>
      </c>
      <c r="H5013" s="73"/>
      <c r="I5013" s="74"/>
      <c r="J5013" s="155">
        <v>0</v>
      </c>
    </row>
    <row r="5014" spans="1:10" hidden="1" x14ac:dyDescent="0.25">
      <c r="A5014" s="173"/>
      <c r="B5014" s="175"/>
      <c r="C5014" s="36" t="s">
        <v>3430</v>
      </c>
      <c r="D5014" s="36" t="s">
        <v>755</v>
      </c>
      <c r="E5014" s="37">
        <f>ROUND(0.93*1.3,4)</f>
        <v>1.2090000000000001</v>
      </c>
      <c r="F5014" s="54">
        <v>22.600499999999997</v>
      </c>
      <c r="G5014" s="54">
        <f>IF(ISNUMBER(F5014),E5014*F5014,"")</f>
        <v>27.324004499999997</v>
      </c>
      <c r="H5014" s="73"/>
      <c r="I5014" s="74"/>
      <c r="J5014" s="155">
        <v>0</v>
      </c>
    </row>
    <row r="5015" spans="1:10" hidden="1" x14ac:dyDescent="0.25">
      <c r="A5015" s="173"/>
      <c r="B5015" s="175"/>
      <c r="C5015" s="36"/>
      <c r="D5015" s="47"/>
      <c r="E5015" s="37"/>
      <c r="F5015" s="54" t="s">
        <v>568</v>
      </c>
      <c r="G5015" s="54" t="str">
        <f>IF(ISNUMBER(F5015),E5015*F5015,"")</f>
        <v/>
      </c>
      <c r="H5015" s="73"/>
      <c r="I5015" s="74"/>
      <c r="J5015" s="155">
        <v>0</v>
      </c>
    </row>
    <row r="5016" spans="1:10" ht="15.75" hidden="1" thickBot="1" x14ac:dyDescent="0.3">
      <c r="A5016" s="172" t="s">
        <v>3708</v>
      </c>
      <c r="B5016" s="174" t="str">
        <f>INDEX(Orçamentária!A:B,MATCH(Composições!A5016,Orçamentária!A:A,0),2)</f>
        <v>Isolamento elastomérico para tubulações de ferro de 5”</v>
      </c>
      <c r="C5016" s="41"/>
      <c r="D5016" s="26" t="str">
        <f>TRIM(INDEX(Orçamentária!C:C,MATCH(Composições!A5016,Orçamentária!A:A,0),1))</f>
        <v>m</v>
      </c>
      <c r="E5016" s="27"/>
      <c r="F5016" s="49" t="s">
        <v>568</v>
      </c>
      <c r="G5016" s="28" t="str">
        <f>IF(ISNUMBER(F5016),E5016*F5016,"")</f>
        <v/>
      </c>
      <c r="H5016" s="29"/>
      <c r="I5016" s="30"/>
      <c r="J5016" s="155">
        <v>0</v>
      </c>
    </row>
    <row r="5017" spans="1:10" hidden="1" x14ac:dyDescent="0.25">
      <c r="A5017" s="173"/>
      <c r="B5017" s="175"/>
      <c r="C5017" s="32"/>
      <c r="D5017" s="32"/>
      <c r="E5017" s="33"/>
      <c r="F5017" s="54" t="s">
        <v>568</v>
      </c>
      <c r="G5017" s="54" t="str">
        <f>IF(ISNUMBER(F5017),E5017*F5017,"")</f>
        <v/>
      </c>
      <c r="H5017" s="73"/>
      <c r="I5017" s="74"/>
      <c r="J5017" s="155">
        <v>0</v>
      </c>
    </row>
    <row r="5018" spans="1:10" ht="38.25" hidden="1" x14ac:dyDescent="0.25">
      <c r="A5018" s="173"/>
      <c r="B5018" s="175"/>
      <c r="C5018" s="36" t="s">
        <v>3761</v>
      </c>
      <c r="D5018" s="36" t="s">
        <v>93</v>
      </c>
      <c r="E5018" s="37">
        <v>1.0210999999999999</v>
      </c>
      <c r="F5018" s="31" t="s">
        <v>568</v>
      </c>
      <c r="G5018" s="54" t="str">
        <f>IF(ISNUMBER(F5018),E5018*F5018,"")</f>
        <v/>
      </c>
      <c r="H5018" s="39">
        <f>SUM(G5018:G5020)</f>
        <v>3.6972480000000005</v>
      </c>
      <c r="I5018" s="40"/>
      <c r="J5018" s="155">
        <v>0</v>
      </c>
    </row>
    <row r="5019" spans="1:10" ht="25.5" hidden="1" x14ac:dyDescent="0.25">
      <c r="A5019" s="173"/>
      <c r="B5019" s="175"/>
      <c r="C5019" s="36" t="s">
        <v>1008</v>
      </c>
      <c r="D5019" s="47" t="s">
        <v>755</v>
      </c>
      <c r="E5019" s="37">
        <f>5*0.064*0.3</f>
        <v>9.6000000000000002E-2</v>
      </c>
      <c r="F5019" s="31">
        <v>16.891000000000002</v>
      </c>
      <c r="G5019" s="54">
        <f>IF(ISNUMBER(F5019),E5019*F5019,"")</f>
        <v>1.6215360000000003</v>
      </c>
      <c r="H5019" s="73"/>
      <c r="I5019" s="74"/>
      <c r="J5019" s="155">
        <v>0</v>
      </c>
    </row>
    <row r="5020" spans="1:10" ht="25.5" hidden="1" x14ac:dyDescent="0.25">
      <c r="A5020" s="173"/>
      <c r="B5020" s="175"/>
      <c r="C5020" s="36" t="s">
        <v>1009</v>
      </c>
      <c r="D5020" s="36" t="s">
        <v>755</v>
      </c>
      <c r="E5020" s="37">
        <f>5*0.064*0.3</f>
        <v>9.6000000000000002E-2</v>
      </c>
      <c r="F5020" s="31">
        <v>21.622</v>
      </c>
      <c r="G5020" s="54">
        <f>IF(ISNUMBER(F5020),E5020*F5020,"")</f>
        <v>2.0757120000000002</v>
      </c>
      <c r="H5020" s="73"/>
      <c r="I5020" s="74"/>
      <c r="J5020" s="155">
        <v>0</v>
      </c>
    </row>
    <row r="5021" spans="1:10" hidden="1" x14ac:dyDescent="0.25">
      <c r="A5021" s="173"/>
      <c r="B5021" s="175"/>
      <c r="C5021" s="36"/>
      <c r="D5021" s="47"/>
      <c r="E5021" s="37"/>
      <c r="F5021" s="54" t="s">
        <v>568</v>
      </c>
      <c r="G5021" s="54" t="str">
        <f>IF(ISNUMBER(F5021),E5021*F5021,"")</f>
        <v/>
      </c>
      <c r="H5021" s="73"/>
      <c r="I5021" s="74"/>
      <c r="J5021" s="155">
        <v>0</v>
      </c>
    </row>
    <row r="5022" spans="1:10" ht="15.75" hidden="1" thickBot="1" x14ac:dyDescent="0.3">
      <c r="A5022" s="172" t="s">
        <v>3710</v>
      </c>
      <c r="B5022" s="174" t="str">
        <f>INDEX(Orçamentária!A:B,MATCH(Composições!A5022,Orçamentária!A:A,0),2)</f>
        <v>Meia luva em aço carbono DN 15 (1/2" NPS)</v>
      </c>
      <c r="C5022" s="41"/>
      <c r="D5022" s="26" t="str">
        <f>TRIM(INDEX(Orçamentária!C:C,MATCH(Composições!A5022,Orçamentária!A:A,0),1))</f>
        <v>un</v>
      </c>
      <c r="E5022" s="27"/>
      <c r="F5022" s="49" t="s">
        <v>568</v>
      </c>
      <c r="G5022" s="28" t="str">
        <f>IF(ISNUMBER(F5022),E5022*F5022,"")</f>
        <v/>
      </c>
      <c r="H5022" s="29"/>
      <c r="I5022" s="30"/>
      <c r="J5022" s="155">
        <v>0</v>
      </c>
    </row>
    <row r="5023" spans="1:10" hidden="1" x14ac:dyDescent="0.25">
      <c r="A5023" s="173"/>
      <c r="B5023" s="175"/>
      <c r="C5023" s="32"/>
      <c r="D5023" s="32"/>
      <c r="E5023" s="33"/>
      <c r="F5023" s="54" t="s">
        <v>568</v>
      </c>
      <c r="G5023" s="54" t="str">
        <f>IF(ISNUMBER(F5023),E5023*F5023,"")</f>
        <v/>
      </c>
      <c r="H5023" s="73"/>
      <c r="I5023" s="74"/>
      <c r="J5023" s="155">
        <v>0</v>
      </c>
    </row>
    <row r="5024" spans="1:10" hidden="1" x14ac:dyDescent="0.25">
      <c r="A5024" s="173"/>
      <c r="B5024" s="175"/>
      <c r="C5024" s="36" t="s">
        <v>1250</v>
      </c>
      <c r="D5024" s="47" t="s">
        <v>953</v>
      </c>
      <c r="E5024" s="37">
        <v>8.9999999999999993E-3</v>
      </c>
      <c r="F5024" s="31">
        <v>18.1355</v>
      </c>
      <c r="G5024" s="54">
        <f>IF(ISNUMBER(F5024),E5024*F5024,"")</f>
        <v>0.16321949999999999</v>
      </c>
      <c r="H5024" s="39">
        <f>SUM(G5024:G5028)</f>
        <v>7.1301585000000003</v>
      </c>
      <c r="I5024" s="40"/>
      <c r="J5024" s="155">
        <v>0</v>
      </c>
    </row>
    <row r="5025" spans="1:10" ht="25.5" hidden="1" x14ac:dyDescent="0.25">
      <c r="A5025" s="173"/>
      <c r="B5025" s="175"/>
      <c r="C5025" s="36" t="s">
        <v>3762</v>
      </c>
      <c r="D5025" s="36" t="s">
        <v>297</v>
      </c>
      <c r="E5025" s="37">
        <v>1</v>
      </c>
      <c r="F5025" s="31" t="s">
        <v>568</v>
      </c>
      <c r="G5025" s="54" t="str">
        <f>IF(ISNUMBER(F5025),E5025*F5025,"")</f>
        <v/>
      </c>
      <c r="H5025" s="73"/>
      <c r="I5025" s="74"/>
      <c r="J5025" s="155">
        <v>0</v>
      </c>
    </row>
    <row r="5026" spans="1:10" ht="25.5" hidden="1" x14ac:dyDescent="0.25">
      <c r="A5026" s="173"/>
      <c r="B5026" s="175"/>
      <c r="C5026" s="36" t="s">
        <v>1008</v>
      </c>
      <c r="D5026" s="47" t="s">
        <v>755</v>
      </c>
      <c r="E5026" s="37">
        <v>0.114</v>
      </c>
      <c r="F5026" s="31">
        <v>16.891000000000002</v>
      </c>
      <c r="G5026" s="54">
        <f>IF(ISNUMBER(F5026),E5026*F5026,"")</f>
        <v>1.9255740000000003</v>
      </c>
      <c r="H5026" s="73"/>
      <c r="I5026" s="74"/>
      <c r="J5026" s="155">
        <v>0</v>
      </c>
    </row>
    <row r="5027" spans="1:10" ht="25.5" hidden="1" x14ac:dyDescent="0.25">
      <c r="A5027" s="173"/>
      <c r="B5027" s="175"/>
      <c r="C5027" s="36" t="s">
        <v>1009</v>
      </c>
      <c r="D5027" s="36" t="s">
        <v>755</v>
      </c>
      <c r="E5027" s="37">
        <v>0.114</v>
      </c>
      <c r="F5027" s="31">
        <v>21.622</v>
      </c>
      <c r="G5027" s="54">
        <f>IF(ISNUMBER(F5027),E5027*F5027,"")</f>
        <v>2.4649079999999999</v>
      </c>
      <c r="H5027" s="73"/>
      <c r="I5027" s="74"/>
      <c r="J5027" s="155">
        <v>0</v>
      </c>
    </row>
    <row r="5028" spans="1:10" hidden="1" x14ac:dyDescent="0.25">
      <c r="A5028" s="173"/>
      <c r="B5028" s="175"/>
      <c r="C5028" s="36" t="s">
        <v>3430</v>
      </c>
      <c r="D5028" s="36" t="s">
        <v>755</v>
      </c>
      <c r="E5028" s="37">
        <v>0.114</v>
      </c>
      <c r="F5028" s="54">
        <v>22.600499999999997</v>
      </c>
      <c r="G5028" s="54">
        <f>IF(ISNUMBER(F5028),E5028*F5028,"")</f>
        <v>2.5764569999999996</v>
      </c>
      <c r="H5028" s="73"/>
      <c r="I5028" s="74"/>
      <c r="J5028" s="155">
        <v>0</v>
      </c>
    </row>
    <row r="5029" spans="1:10" hidden="1" x14ac:dyDescent="0.25">
      <c r="A5029" s="173"/>
      <c r="B5029" s="175"/>
      <c r="C5029" s="36"/>
      <c r="D5029" s="47"/>
      <c r="E5029" s="37"/>
      <c r="F5029" s="54" t="s">
        <v>568</v>
      </c>
      <c r="G5029" s="54" t="str">
        <f>IF(ISNUMBER(F5029),E5029*F5029,"")</f>
        <v/>
      </c>
      <c r="H5029" s="73"/>
      <c r="I5029" s="74"/>
      <c r="J5029" s="155">
        <v>0</v>
      </c>
    </row>
    <row r="5030" spans="1:10" ht="15.75" hidden="1" thickBot="1" x14ac:dyDescent="0.3">
      <c r="A5030" s="172" t="s">
        <v>3712</v>
      </c>
      <c r="B5030" s="174" t="str">
        <f>INDEX(Orçamentária!A:B,MATCH(Composições!A5030,Orçamentária!A:A,0),2)</f>
        <v>Redução concêntrica em aço carbono para solda de topo DN 200 (8" NPS) × DN 125 (5" NPS)</v>
      </c>
      <c r="C5030" s="41"/>
      <c r="D5030" s="26" t="str">
        <f>TRIM(INDEX(Orçamentária!C:C,MATCH(Composições!A5030,Orçamentária!A:A,0),1))</f>
        <v>un</v>
      </c>
      <c r="E5030" s="27"/>
      <c r="F5030" s="49" t="s">
        <v>568</v>
      </c>
      <c r="G5030" s="28" t="str">
        <f>IF(ISNUMBER(F5030),E5030*F5030,"")</f>
        <v/>
      </c>
      <c r="H5030" s="29"/>
      <c r="I5030" s="30"/>
      <c r="J5030" s="155">
        <v>0</v>
      </c>
    </row>
    <row r="5031" spans="1:10" hidden="1" x14ac:dyDescent="0.25">
      <c r="A5031" s="173"/>
      <c r="B5031" s="175"/>
      <c r="C5031" s="32"/>
      <c r="D5031" s="32"/>
      <c r="E5031" s="33"/>
      <c r="F5031" s="54" t="s">
        <v>568</v>
      </c>
      <c r="G5031" s="54" t="str">
        <f>IF(ISNUMBER(F5031),E5031*F5031,"")</f>
        <v/>
      </c>
      <c r="H5031" s="73"/>
      <c r="I5031" s="74"/>
      <c r="J5031" s="155">
        <v>0</v>
      </c>
    </row>
    <row r="5032" spans="1:10" hidden="1" x14ac:dyDescent="0.25">
      <c r="A5032" s="173"/>
      <c r="B5032" s="175"/>
      <c r="C5032" s="36" t="s">
        <v>1250</v>
      </c>
      <c r="D5032" s="47" t="s">
        <v>953</v>
      </c>
      <c r="E5032" s="37">
        <f>ROUND(0.089*1.3,4)</f>
        <v>0.1157</v>
      </c>
      <c r="F5032" s="31">
        <v>18.1355</v>
      </c>
      <c r="G5032" s="54">
        <f>IF(ISNUMBER(F5032),E5032*F5032,"")</f>
        <v>2.09827735</v>
      </c>
      <c r="H5032" s="39">
        <f>SUM(G5032:G5036)</f>
        <v>51.355758350000002</v>
      </c>
      <c r="I5032" s="40"/>
      <c r="J5032" s="155">
        <v>0</v>
      </c>
    </row>
    <row r="5033" spans="1:10" ht="25.5" hidden="1" x14ac:dyDescent="0.25">
      <c r="A5033" s="173"/>
      <c r="B5033" s="175"/>
      <c r="C5033" s="36" t="s">
        <v>3763</v>
      </c>
      <c r="D5033" s="36" t="s">
        <v>297</v>
      </c>
      <c r="E5033" s="37">
        <v>1</v>
      </c>
      <c r="F5033" s="31" t="s">
        <v>568</v>
      </c>
      <c r="G5033" s="54" t="str">
        <f>IF(ISNUMBER(F5033),E5033*F5033,"")</f>
        <v/>
      </c>
      <c r="H5033" s="73"/>
      <c r="I5033" s="74"/>
      <c r="J5033" s="155">
        <v>0</v>
      </c>
    </row>
    <row r="5034" spans="1:10" ht="25.5" hidden="1" x14ac:dyDescent="0.25">
      <c r="A5034" s="173"/>
      <c r="B5034" s="175"/>
      <c r="C5034" s="36" t="s">
        <v>1008</v>
      </c>
      <c r="D5034" s="47" t="s">
        <v>755</v>
      </c>
      <c r="E5034" s="37">
        <f>ROUND(0.62*1.3,4)</f>
        <v>0.80600000000000005</v>
      </c>
      <c r="F5034" s="31">
        <v>16.891000000000002</v>
      </c>
      <c r="G5034" s="54">
        <f>IF(ISNUMBER(F5034),E5034*F5034,"")</f>
        <v>13.614146000000002</v>
      </c>
      <c r="H5034" s="73"/>
      <c r="I5034" s="74"/>
      <c r="J5034" s="155">
        <v>0</v>
      </c>
    </row>
    <row r="5035" spans="1:10" ht="25.5" hidden="1" x14ac:dyDescent="0.25">
      <c r="A5035" s="173"/>
      <c r="B5035" s="175"/>
      <c r="C5035" s="36" t="s">
        <v>1009</v>
      </c>
      <c r="D5035" s="36" t="s">
        <v>755</v>
      </c>
      <c r="E5035" s="37">
        <f t="shared" ref="E5035:E5036" si="1">ROUND(0.62*1.3,4)</f>
        <v>0.80600000000000005</v>
      </c>
      <c r="F5035" s="31">
        <v>21.622</v>
      </c>
      <c r="G5035" s="54">
        <f>IF(ISNUMBER(F5035),E5035*F5035,"")</f>
        <v>17.427332</v>
      </c>
      <c r="H5035" s="73"/>
      <c r="I5035" s="74"/>
      <c r="J5035" s="155">
        <v>0</v>
      </c>
    </row>
    <row r="5036" spans="1:10" hidden="1" x14ac:dyDescent="0.25">
      <c r="A5036" s="173"/>
      <c r="B5036" s="175"/>
      <c r="C5036" s="36" t="s">
        <v>3430</v>
      </c>
      <c r="D5036" s="36" t="s">
        <v>755</v>
      </c>
      <c r="E5036" s="37">
        <f t="shared" si="1"/>
        <v>0.80600000000000005</v>
      </c>
      <c r="F5036" s="54">
        <v>22.600499999999997</v>
      </c>
      <c r="G5036" s="54">
        <f>IF(ISNUMBER(F5036),E5036*F5036,"")</f>
        <v>18.216002999999997</v>
      </c>
      <c r="H5036" s="73"/>
      <c r="I5036" s="74"/>
      <c r="J5036" s="155">
        <v>0</v>
      </c>
    </row>
    <row r="5037" spans="1:10" hidden="1" x14ac:dyDescent="0.25">
      <c r="A5037" s="173"/>
      <c r="B5037" s="175"/>
      <c r="C5037" s="36"/>
      <c r="D5037" s="47"/>
      <c r="E5037" s="37"/>
      <c r="F5037" s="54" t="s">
        <v>568</v>
      </c>
      <c r="G5037" s="54" t="str">
        <f>IF(ISNUMBER(F5037),E5037*F5037,"")</f>
        <v/>
      </c>
      <c r="H5037" s="73"/>
      <c r="I5037" s="74"/>
      <c r="J5037" s="155">
        <v>0</v>
      </c>
    </row>
    <row r="5038" spans="1:10" ht="15.75" hidden="1" thickBot="1" x14ac:dyDescent="0.3">
      <c r="A5038" s="172" t="s">
        <v>3724</v>
      </c>
      <c r="B5038" s="174" t="str">
        <f>INDEX(Orçamentária!A:B,MATCH(Composições!A5038,Orçamentária!A:A,0),2)</f>
        <v>Tê em aço carbono para solda de topo DN 200 (8" NPS)</v>
      </c>
      <c r="C5038" s="41"/>
      <c r="D5038" s="26" t="str">
        <f>TRIM(INDEX(Orçamentária!C:C,MATCH(Composições!A5038,Orçamentária!A:A,0),1))</f>
        <v>un</v>
      </c>
      <c r="E5038" s="27"/>
      <c r="F5038" s="49" t="s">
        <v>568</v>
      </c>
      <c r="G5038" s="28" t="str">
        <f>IF(ISNUMBER(F5038),E5038*F5038,"")</f>
        <v/>
      </c>
      <c r="H5038" s="29"/>
      <c r="I5038" s="30"/>
      <c r="J5038" s="155">
        <v>0</v>
      </c>
    </row>
    <row r="5039" spans="1:10" hidden="1" x14ac:dyDescent="0.25">
      <c r="A5039" s="173"/>
      <c r="B5039" s="175"/>
      <c r="C5039" s="32"/>
      <c r="D5039" s="32"/>
      <c r="E5039" s="33"/>
      <c r="F5039" s="54" t="s">
        <v>568</v>
      </c>
      <c r="G5039" s="54" t="str">
        <f>IF(ISNUMBER(F5039),E5039*F5039,"")</f>
        <v/>
      </c>
      <c r="H5039" s="73"/>
      <c r="I5039" s="74"/>
      <c r="J5039" s="155">
        <v>0</v>
      </c>
    </row>
    <row r="5040" spans="1:10" hidden="1" x14ac:dyDescent="0.25">
      <c r="A5040" s="173"/>
      <c r="B5040" s="175"/>
      <c r="C5040" s="36" t="s">
        <v>1250</v>
      </c>
      <c r="D5040" s="47" t="s">
        <v>953</v>
      </c>
      <c r="E5040" s="37">
        <f>ROUND(0.133*1.3,4)</f>
        <v>0.1729</v>
      </c>
      <c r="F5040" s="31">
        <v>18.1355</v>
      </c>
      <c r="G5040" s="54">
        <f>IF(ISNUMBER(F5040),E5040*F5040,"")</f>
        <v>3.1356279499999999</v>
      </c>
      <c r="H5040" s="39">
        <f>SUM(G5040:G5044)</f>
        <v>79.564171049999999</v>
      </c>
      <c r="I5040" s="40"/>
      <c r="J5040" s="155">
        <v>0</v>
      </c>
    </row>
    <row r="5041" spans="1:10" hidden="1" x14ac:dyDescent="0.25">
      <c r="A5041" s="173"/>
      <c r="B5041" s="175"/>
      <c r="C5041" s="36" t="s">
        <v>3764</v>
      </c>
      <c r="D5041" s="36" t="s">
        <v>297</v>
      </c>
      <c r="E5041" s="37">
        <v>1</v>
      </c>
      <c r="F5041" s="31" t="s">
        <v>568</v>
      </c>
      <c r="G5041" s="54" t="str">
        <f>IF(ISNUMBER(F5041),E5041*F5041,"")</f>
        <v/>
      </c>
      <c r="H5041" s="73"/>
      <c r="I5041" s="74"/>
      <c r="J5041" s="155">
        <v>0</v>
      </c>
    </row>
    <row r="5042" spans="1:10" ht="25.5" hidden="1" x14ac:dyDescent="0.25">
      <c r="A5042" s="173"/>
      <c r="B5042" s="175"/>
      <c r="C5042" s="36" t="s">
        <v>1008</v>
      </c>
      <c r="D5042" s="47" t="s">
        <v>755</v>
      </c>
      <c r="E5042" s="37">
        <f>ROUND(0.962*1.3,4)</f>
        <v>1.2505999999999999</v>
      </c>
      <c r="F5042" s="31">
        <v>16.891000000000002</v>
      </c>
      <c r="G5042" s="54">
        <f>IF(ISNUMBER(F5042),E5042*F5042,"")</f>
        <v>21.1238846</v>
      </c>
      <c r="H5042" s="73"/>
      <c r="I5042" s="74"/>
      <c r="J5042" s="155">
        <v>0</v>
      </c>
    </row>
    <row r="5043" spans="1:10" ht="25.5" hidden="1" x14ac:dyDescent="0.25">
      <c r="A5043" s="173"/>
      <c r="B5043" s="175"/>
      <c r="C5043" s="36" t="s">
        <v>1009</v>
      </c>
      <c r="D5043" s="36" t="s">
        <v>755</v>
      </c>
      <c r="E5043" s="37">
        <f t="shared" ref="E5043:E5044" si="2">ROUND(0.962*1.3,4)</f>
        <v>1.2505999999999999</v>
      </c>
      <c r="F5043" s="31">
        <v>21.622</v>
      </c>
      <c r="G5043" s="54">
        <f>IF(ISNUMBER(F5043),E5043*F5043,"")</f>
        <v>27.040473199999997</v>
      </c>
      <c r="H5043" s="73"/>
      <c r="I5043" s="74"/>
      <c r="J5043" s="155">
        <v>0</v>
      </c>
    </row>
    <row r="5044" spans="1:10" hidden="1" x14ac:dyDescent="0.25">
      <c r="A5044" s="173"/>
      <c r="B5044" s="175"/>
      <c r="C5044" s="36" t="s">
        <v>3430</v>
      </c>
      <c r="D5044" s="36" t="s">
        <v>755</v>
      </c>
      <c r="E5044" s="37">
        <f t="shared" si="2"/>
        <v>1.2505999999999999</v>
      </c>
      <c r="F5044" s="54">
        <v>22.600499999999997</v>
      </c>
      <c r="G5044" s="54">
        <f>IF(ISNUMBER(F5044),E5044*F5044,"")</f>
        <v>28.264185299999994</v>
      </c>
      <c r="H5044" s="73"/>
      <c r="I5044" s="74"/>
      <c r="J5044" s="155">
        <v>0</v>
      </c>
    </row>
    <row r="5045" spans="1:10" hidden="1" x14ac:dyDescent="0.25">
      <c r="A5045" s="173"/>
      <c r="B5045" s="175"/>
      <c r="C5045" s="36"/>
      <c r="D5045" s="47"/>
      <c r="E5045" s="37"/>
      <c r="F5045" s="54" t="s">
        <v>568</v>
      </c>
      <c r="G5045" s="54" t="str">
        <f>IF(ISNUMBER(F5045),E5045*F5045,"")</f>
        <v/>
      </c>
      <c r="H5045" s="73"/>
      <c r="I5045" s="74"/>
      <c r="J5045" s="155">
        <v>0</v>
      </c>
    </row>
    <row r="5046" spans="1:10" ht="15.75" hidden="1" thickBot="1" x14ac:dyDescent="0.3">
      <c r="A5046" s="172" t="s">
        <v>3726</v>
      </c>
      <c r="B5046" s="174" t="str">
        <f>INDEX(Orçamentária!A:B,MATCH(Composições!A5046,Orçamentária!A:A,0),2)</f>
        <v>Tubo de aço-carbono preto DN 125 (5" NPS)</v>
      </c>
      <c r="C5046" s="41"/>
      <c r="D5046" s="26" t="str">
        <f>TRIM(INDEX(Orçamentária!C:C,MATCH(Composições!A5046,Orçamentária!A:A,0),1))</f>
        <v>m</v>
      </c>
      <c r="E5046" s="27"/>
      <c r="F5046" s="49" t="s">
        <v>568</v>
      </c>
      <c r="G5046" s="28" t="str">
        <f>IF(ISNUMBER(F5046),E5046*F5046,"")</f>
        <v/>
      </c>
      <c r="H5046" s="29"/>
      <c r="I5046" s="30"/>
      <c r="J5046" s="155">
        <v>0</v>
      </c>
    </row>
    <row r="5047" spans="1:10" hidden="1" x14ac:dyDescent="0.25">
      <c r="A5047" s="173"/>
      <c r="B5047" s="175"/>
      <c r="C5047" s="32"/>
      <c r="D5047" s="32"/>
      <c r="E5047" s="33"/>
      <c r="F5047" s="54" t="s">
        <v>568</v>
      </c>
      <c r="G5047" s="54" t="str">
        <f>IF(ISNUMBER(F5047),E5047*F5047,"")</f>
        <v/>
      </c>
      <c r="H5047" s="73"/>
      <c r="I5047" s="74"/>
      <c r="J5047" s="155">
        <v>0</v>
      </c>
    </row>
    <row r="5048" spans="1:10" ht="38.25" hidden="1" x14ac:dyDescent="0.25">
      <c r="A5048" s="173"/>
      <c r="B5048" s="175"/>
      <c r="C5048" s="36" t="s">
        <v>3412</v>
      </c>
      <c r="D5048" s="47" t="s">
        <v>997</v>
      </c>
      <c r="E5048" s="37">
        <v>2.1100000000000001E-2</v>
      </c>
      <c r="F5048" s="31">
        <v>128.37349999999998</v>
      </c>
      <c r="G5048" s="54">
        <f>IF(ISNUMBER(F5048),E5048*F5048,"")</f>
        <v>2.7086808499999995</v>
      </c>
      <c r="H5048" s="39">
        <f>SUM(G5048:G5054)</f>
        <v>408.97768659999997</v>
      </c>
      <c r="I5048" s="40"/>
      <c r="J5048" s="155">
        <v>0</v>
      </c>
    </row>
    <row r="5049" spans="1:10" ht="38.25" hidden="1" x14ac:dyDescent="0.25">
      <c r="A5049" s="173"/>
      <c r="B5049" s="175"/>
      <c r="C5049" s="36" t="s">
        <v>3416</v>
      </c>
      <c r="D5049" s="36" t="s">
        <v>999</v>
      </c>
      <c r="E5049" s="37">
        <v>4.0300000000000002E-2</v>
      </c>
      <c r="F5049" s="31">
        <v>51.337999999999994</v>
      </c>
      <c r="G5049" s="54">
        <f>IF(ISNUMBER(F5049),E5049*F5049,"")</f>
        <v>2.0689213999999998</v>
      </c>
      <c r="H5049" s="73"/>
      <c r="I5049" s="74"/>
      <c r="J5049" s="155">
        <v>0</v>
      </c>
    </row>
    <row r="5050" spans="1:10" hidden="1" x14ac:dyDescent="0.25">
      <c r="A5050" s="173"/>
      <c r="B5050" s="175"/>
      <c r="C5050" s="36" t="s">
        <v>136</v>
      </c>
      <c r="D5050" s="47" t="s">
        <v>953</v>
      </c>
      <c r="E5050" s="37">
        <f>ROUND(0.1875*0.6,4)</f>
        <v>0.1125</v>
      </c>
      <c r="F5050" s="31">
        <v>18.885999999999999</v>
      </c>
      <c r="G5050" s="54">
        <f>IF(ISNUMBER(F5050),E5050*F5050,"")</f>
        <v>2.1246749999999999</v>
      </c>
      <c r="H5050" s="73"/>
      <c r="I5050" s="74"/>
      <c r="J5050" s="155">
        <v>0</v>
      </c>
    </row>
    <row r="5051" spans="1:10" hidden="1" x14ac:dyDescent="0.25">
      <c r="A5051" s="173"/>
      <c r="B5051" s="175"/>
      <c r="C5051" s="36" t="s">
        <v>3427</v>
      </c>
      <c r="D5051" s="36" t="s">
        <v>755</v>
      </c>
      <c r="E5051" s="37">
        <v>6.5600000000000006E-2</v>
      </c>
      <c r="F5051" s="31">
        <v>17.251999999999999</v>
      </c>
      <c r="G5051" s="54">
        <f>IF(ISNUMBER(F5051),E5051*F5051,"")</f>
        <v>1.1317311999999999</v>
      </c>
      <c r="H5051" s="73"/>
      <c r="I5051" s="74"/>
      <c r="J5051" s="155">
        <v>0</v>
      </c>
    </row>
    <row r="5052" spans="1:10" hidden="1" x14ac:dyDescent="0.25">
      <c r="A5052" s="173"/>
      <c r="B5052" s="175"/>
      <c r="C5052" s="36" t="s">
        <v>756</v>
      </c>
      <c r="D5052" s="36" t="s">
        <v>755</v>
      </c>
      <c r="E5052" s="37">
        <v>6.5600000000000006E-2</v>
      </c>
      <c r="F5052" s="54">
        <v>16.311500000000002</v>
      </c>
      <c r="G5052" s="54">
        <f>IF(ISNUMBER(F5052),E5052*F5052,"")</f>
        <v>1.0700344000000002</v>
      </c>
      <c r="H5052" s="73"/>
      <c r="I5052" s="74"/>
      <c r="J5052" s="155">
        <v>0</v>
      </c>
    </row>
    <row r="5053" spans="1:10" hidden="1" x14ac:dyDescent="0.25">
      <c r="A5053" s="173"/>
      <c r="B5053" s="175"/>
      <c r="C5053" s="36" t="s">
        <v>3430</v>
      </c>
      <c r="D5053" s="36" t="s">
        <v>755</v>
      </c>
      <c r="E5053" s="37">
        <f>ROUND(0.4792*0.6,4)</f>
        <v>0.28749999999999998</v>
      </c>
      <c r="F5053" s="54">
        <v>22.600499999999997</v>
      </c>
      <c r="G5053" s="54">
        <f>IF(ISNUMBER(F5053),E5053*F5053,"")</f>
        <v>6.4976437499999982</v>
      </c>
      <c r="H5053" s="73"/>
      <c r="I5053" s="74"/>
      <c r="J5053" s="155">
        <v>0</v>
      </c>
    </row>
    <row r="5054" spans="1:10" ht="25.5" hidden="1" x14ac:dyDescent="0.25">
      <c r="A5054" s="173"/>
      <c r="B5054" s="175"/>
      <c r="C5054" s="36" t="s">
        <v>3608</v>
      </c>
      <c r="D5054" s="36" t="s">
        <v>523</v>
      </c>
      <c r="E5054" s="37">
        <v>1</v>
      </c>
      <c r="F5054" s="54">
        <v>393.37599999999998</v>
      </c>
      <c r="G5054" s="54">
        <f>IF(ISNUMBER(F5054),E5054*F5054,"")</f>
        <v>393.37599999999998</v>
      </c>
      <c r="H5054" s="73"/>
      <c r="I5054" s="74"/>
      <c r="J5054" s="155">
        <v>0</v>
      </c>
    </row>
    <row r="5055" spans="1:10" hidden="1" x14ac:dyDescent="0.25">
      <c r="A5055" s="173"/>
      <c r="B5055" s="175"/>
      <c r="C5055" s="36"/>
      <c r="D5055" s="47"/>
      <c r="E5055" s="37"/>
      <c r="F5055" s="54" t="s">
        <v>568</v>
      </c>
      <c r="G5055" s="54" t="str">
        <f>IF(ISNUMBER(F5055),E5055*F5055,"")</f>
        <v/>
      </c>
      <c r="H5055" s="73"/>
      <c r="I5055" s="74"/>
      <c r="J5055" s="155">
        <v>0</v>
      </c>
    </row>
    <row r="5056" spans="1:10" ht="15.75" hidden="1" thickBot="1" x14ac:dyDescent="0.3">
      <c r="A5056" s="172" t="s">
        <v>3728</v>
      </c>
      <c r="B5056" s="174" t="str">
        <f>INDEX(Orçamentária!A:B,MATCH(Composições!A5056,Orçamentária!A:A,0),2)</f>
        <v>Tubo de aço-carbono preto DN 200 (8" NPS)</v>
      </c>
      <c r="C5056" s="41"/>
      <c r="D5056" s="26" t="str">
        <f>TRIM(INDEX(Orçamentária!C:C,MATCH(Composições!A5056,Orçamentária!A:A,0),1))</f>
        <v>m</v>
      </c>
      <c r="E5056" s="27"/>
      <c r="F5056" s="49" t="s">
        <v>568</v>
      </c>
      <c r="G5056" s="28" t="str">
        <f>IF(ISNUMBER(F5056),E5056*F5056,"")</f>
        <v/>
      </c>
      <c r="H5056" s="29"/>
      <c r="I5056" s="30"/>
      <c r="J5056" s="155">
        <v>0</v>
      </c>
    </row>
    <row r="5057" spans="1:10" hidden="1" x14ac:dyDescent="0.25">
      <c r="A5057" s="173"/>
      <c r="B5057" s="175"/>
      <c r="C5057" s="32"/>
      <c r="D5057" s="32"/>
      <c r="E5057" s="33"/>
      <c r="F5057" s="54" t="s">
        <v>568</v>
      </c>
      <c r="G5057" s="54" t="str">
        <f>IF(ISNUMBER(F5057),E5057*F5057,"")</f>
        <v/>
      </c>
      <c r="H5057" s="73"/>
      <c r="I5057" s="74"/>
      <c r="J5057" s="155">
        <v>0</v>
      </c>
    </row>
    <row r="5058" spans="1:10" ht="38.25" hidden="1" x14ac:dyDescent="0.25">
      <c r="A5058" s="173"/>
      <c r="B5058" s="175"/>
      <c r="C5058" s="36" t="s">
        <v>3412</v>
      </c>
      <c r="D5058" s="47" t="s">
        <v>997</v>
      </c>
      <c r="E5058" s="37">
        <v>2.1100000000000001E-2</v>
      </c>
      <c r="F5058" s="31">
        <v>128.37349999999998</v>
      </c>
      <c r="G5058" s="54">
        <f>IF(ISNUMBER(F5058),E5058*F5058,"")</f>
        <v>2.7086808499999995</v>
      </c>
      <c r="H5058" s="39">
        <f>SUM(G5058:G5064)</f>
        <v>685.19679954999992</v>
      </c>
      <c r="I5058" s="40"/>
      <c r="J5058" s="155">
        <v>0</v>
      </c>
    </row>
    <row r="5059" spans="1:10" ht="38.25" hidden="1" x14ac:dyDescent="0.25">
      <c r="A5059" s="173"/>
      <c r="B5059" s="175"/>
      <c r="C5059" s="36" t="s">
        <v>3416</v>
      </c>
      <c r="D5059" s="36" t="s">
        <v>999</v>
      </c>
      <c r="E5059" s="37">
        <v>4.0300000000000002E-2</v>
      </c>
      <c r="F5059" s="31">
        <v>51.337999999999994</v>
      </c>
      <c r="G5059" s="54">
        <f>IF(ISNUMBER(F5059),E5059*F5059,"")</f>
        <v>2.0689213999999998</v>
      </c>
      <c r="H5059" s="73"/>
      <c r="I5059" s="74"/>
      <c r="J5059" s="155">
        <v>0</v>
      </c>
    </row>
    <row r="5060" spans="1:10" hidden="1" x14ac:dyDescent="0.25">
      <c r="A5060" s="173"/>
      <c r="B5060" s="175"/>
      <c r="C5060" s="36" t="s">
        <v>136</v>
      </c>
      <c r="D5060" s="47" t="s">
        <v>953</v>
      </c>
      <c r="E5060" s="37">
        <f>ROUND(0.1875*0.8,4)</f>
        <v>0.15</v>
      </c>
      <c r="F5060" s="31">
        <v>18.885999999999999</v>
      </c>
      <c r="G5060" s="54">
        <f>IF(ISNUMBER(F5060),E5060*F5060,"")</f>
        <v>2.8329</v>
      </c>
      <c r="H5060" s="73"/>
      <c r="I5060" s="74"/>
      <c r="J5060" s="155">
        <v>0</v>
      </c>
    </row>
    <row r="5061" spans="1:10" hidden="1" x14ac:dyDescent="0.25">
      <c r="A5061" s="173"/>
      <c r="B5061" s="175"/>
      <c r="C5061" s="36" t="s">
        <v>3427</v>
      </c>
      <c r="D5061" s="36" t="s">
        <v>755</v>
      </c>
      <c r="E5061" s="37">
        <v>6.5600000000000006E-2</v>
      </c>
      <c r="F5061" s="31">
        <v>17.251999999999999</v>
      </c>
      <c r="G5061" s="54">
        <f>IF(ISNUMBER(F5061),E5061*F5061,"")</f>
        <v>1.1317311999999999</v>
      </c>
      <c r="H5061" s="73"/>
      <c r="I5061" s="74"/>
      <c r="J5061" s="155">
        <v>0</v>
      </c>
    </row>
    <row r="5062" spans="1:10" hidden="1" x14ac:dyDescent="0.25">
      <c r="A5062" s="173"/>
      <c r="B5062" s="175"/>
      <c r="C5062" s="36" t="s">
        <v>756</v>
      </c>
      <c r="D5062" s="36" t="s">
        <v>755</v>
      </c>
      <c r="E5062" s="37">
        <v>6.5600000000000006E-2</v>
      </c>
      <c r="F5062" s="54">
        <v>16.311500000000002</v>
      </c>
      <c r="G5062" s="54">
        <f>IF(ISNUMBER(F5062),E5062*F5062,"")</f>
        <v>1.0700344000000002</v>
      </c>
      <c r="H5062" s="73"/>
      <c r="I5062" s="74"/>
      <c r="J5062" s="155">
        <v>0</v>
      </c>
    </row>
    <row r="5063" spans="1:10" hidden="1" x14ac:dyDescent="0.25">
      <c r="A5063" s="173"/>
      <c r="B5063" s="175"/>
      <c r="C5063" s="36" t="s">
        <v>3430</v>
      </c>
      <c r="D5063" s="36" t="s">
        <v>755</v>
      </c>
      <c r="E5063" s="37">
        <f>ROUND(0.4792*0.8,4)</f>
        <v>0.38340000000000002</v>
      </c>
      <c r="F5063" s="54">
        <v>22.600499999999997</v>
      </c>
      <c r="G5063" s="54">
        <f>IF(ISNUMBER(F5063),E5063*F5063,"")</f>
        <v>8.6650316999999983</v>
      </c>
      <c r="H5063" s="73"/>
      <c r="I5063" s="74"/>
      <c r="J5063" s="155">
        <v>0</v>
      </c>
    </row>
    <row r="5064" spans="1:10" ht="25.5" hidden="1" x14ac:dyDescent="0.25">
      <c r="A5064" s="173"/>
      <c r="B5064" s="175"/>
      <c r="C5064" s="36" t="s">
        <v>3475</v>
      </c>
      <c r="D5064" s="36" t="s">
        <v>523</v>
      </c>
      <c r="E5064" s="37">
        <v>1</v>
      </c>
      <c r="F5064" s="54">
        <v>666.71949999999993</v>
      </c>
      <c r="G5064" s="54">
        <f>IF(ISNUMBER(F5064),E5064*F5064,"")</f>
        <v>666.71949999999993</v>
      </c>
      <c r="H5064" s="73"/>
      <c r="I5064" s="74"/>
      <c r="J5064" s="155">
        <v>0</v>
      </c>
    </row>
    <row r="5065" spans="1:10" hidden="1" x14ac:dyDescent="0.25">
      <c r="A5065" s="173"/>
      <c r="B5065" s="175"/>
      <c r="C5065" s="36"/>
      <c r="D5065" s="47"/>
      <c r="E5065" s="37"/>
      <c r="F5065" s="54" t="s">
        <v>568</v>
      </c>
      <c r="G5065" s="54" t="str">
        <f>IF(ISNUMBER(F5065),E5065*F5065,"")</f>
        <v/>
      </c>
      <c r="H5065" s="73"/>
      <c r="I5065" s="74"/>
      <c r="J5065" s="155">
        <v>0</v>
      </c>
    </row>
    <row r="5066" spans="1:10" ht="15.75" hidden="1" thickBot="1" x14ac:dyDescent="0.3">
      <c r="A5066" s="172" t="s">
        <v>3730</v>
      </c>
      <c r="B5066" s="174" t="str">
        <f>INDEX(Orçamentária!A:B,MATCH(Composições!A5066,Orçamentária!A:A,0),2)</f>
        <v>Válvula de esfera em bronze 1/2”</v>
      </c>
      <c r="C5066" s="41"/>
      <c r="D5066" s="26" t="str">
        <f>TRIM(INDEX(Orçamentária!C:C,MATCH(Composições!A5066,Orçamentária!A:A,0),1))</f>
        <v>un</v>
      </c>
      <c r="E5066" s="27"/>
      <c r="F5066" s="49" t="s">
        <v>568</v>
      </c>
      <c r="G5066" s="28" t="str">
        <f>IF(ISNUMBER(F5066),E5066*F5066,"")</f>
        <v/>
      </c>
      <c r="H5066" s="29"/>
      <c r="I5066" s="30"/>
      <c r="J5066" s="155">
        <v>0</v>
      </c>
    </row>
    <row r="5067" spans="1:10" hidden="1" x14ac:dyDescent="0.25">
      <c r="A5067" s="173"/>
      <c r="B5067" s="175"/>
      <c r="C5067" s="32"/>
      <c r="D5067" s="32"/>
      <c r="E5067" s="33"/>
      <c r="F5067" s="54" t="s">
        <v>568</v>
      </c>
      <c r="G5067" s="54" t="str">
        <f>IF(ISNUMBER(F5067),E5067*F5067,"")</f>
        <v/>
      </c>
      <c r="H5067" s="73"/>
      <c r="I5067" s="74"/>
      <c r="J5067" s="155">
        <v>0</v>
      </c>
    </row>
    <row r="5068" spans="1:10" hidden="1" x14ac:dyDescent="0.25">
      <c r="A5068" s="173"/>
      <c r="B5068" s="175"/>
      <c r="C5068" s="36" t="s">
        <v>346</v>
      </c>
      <c r="D5068" s="36" t="s">
        <v>297</v>
      </c>
      <c r="E5068" s="37">
        <v>9.4999999999999998E-3</v>
      </c>
      <c r="F5068" s="31">
        <v>13.661</v>
      </c>
      <c r="G5068" s="54">
        <f>IF(ISNUMBER(F5068),E5068*F5068,"")</f>
        <v>0.12977949999999999</v>
      </c>
      <c r="H5068" s="39">
        <f>SUM(G5068:G5071)</f>
        <v>71.46359799999999</v>
      </c>
      <c r="I5068" s="40"/>
      <c r="J5068" s="155">
        <v>0</v>
      </c>
    </row>
    <row r="5069" spans="1:10" hidden="1" x14ac:dyDescent="0.25">
      <c r="A5069" s="173"/>
      <c r="B5069" s="175"/>
      <c r="C5069" s="36" t="s">
        <v>1211</v>
      </c>
      <c r="D5069" s="36" t="s">
        <v>297</v>
      </c>
      <c r="E5069" s="37">
        <v>1</v>
      </c>
      <c r="F5069" s="31">
        <v>41.505499999999998</v>
      </c>
      <c r="G5069" s="54">
        <f>IF(ISNUMBER(F5069),E5069*F5069,"")</f>
        <v>41.505499999999998</v>
      </c>
      <c r="H5069" s="73"/>
      <c r="I5069" s="74"/>
      <c r="J5069" s="155">
        <v>0</v>
      </c>
    </row>
    <row r="5070" spans="1:10" ht="25.5" hidden="1" x14ac:dyDescent="0.25">
      <c r="A5070" s="173"/>
      <c r="B5070" s="175"/>
      <c r="C5070" s="36" t="s">
        <v>1008</v>
      </c>
      <c r="D5070" s="47" t="s">
        <v>755</v>
      </c>
      <c r="E5070" s="37">
        <v>0.77449999999999997</v>
      </c>
      <c r="F5070" s="31">
        <v>16.891000000000002</v>
      </c>
      <c r="G5070" s="54">
        <f>IF(ISNUMBER(F5070),E5070*F5070,"")</f>
        <v>13.082079500000001</v>
      </c>
      <c r="H5070" s="73"/>
      <c r="I5070" s="74"/>
      <c r="J5070" s="155">
        <v>0</v>
      </c>
    </row>
    <row r="5071" spans="1:10" ht="25.5" hidden="1" x14ac:dyDescent="0.25">
      <c r="A5071" s="173"/>
      <c r="B5071" s="175"/>
      <c r="C5071" s="36" t="s">
        <v>1009</v>
      </c>
      <c r="D5071" s="36" t="s">
        <v>755</v>
      </c>
      <c r="E5071" s="37">
        <v>0.77449999999999997</v>
      </c>
      <c r="F5071" s="31">
        <v>21.622</v>
      </c>
      <c r="G5071" s="54">
        <f>IF(ISNUMBER(F5071),E5071*F5071,"")</f>
        <v>16.746238999999999</v>
      </c>
      <c r="H5071" s="73"/>
      <c r="I5071" s="74"/>
      <c r="J5071" s="155">
        <v>0</v>
      </c>
    </row>
    <row r="5072" spans="1:10" hidden="1" x14ac:dyDescent="0.25">
      <c r="A5072" s="173"/>
      <c r="B5072" s="175"/>
      <c r="C5072" s="36"/>
      <c r="D5072" s="47"/>
      <c r="E5072" s="37"/>
      <c r="F5072" s="54" t="s">
        <v>568</v>
      </c>
      <c r="G5072" s="54" t="str">
        <f>IF(ISNUMBER(F5072),E5072*F5072,"")</f>
        <v/>
      </c>
      <c r="H5072" s="73"/>
      <c r="I5072" s="74"/>
      <c r="J5072" s="155">
        <v>0</v>
      </c>
    </row>
    <row r="5073" spans="1:10" ht="15.75" hidden="1" thickBot="1" x14ac:dyDescent="0.3">
      <c r="A5073" s="172" t="s">
        <v>3732</v>
      </c>
      <c r="B5073" s="174" t="str">
        <f>INDEX(Orçamentária!A:B,MATCH(Composições!A5073,Orçamentária!A:A,0),2)</f>
        <v>Válvula gaveta com flange DN 125 (5" NPS)</v>
      </c>
      <c r="C5073" s="41"/>
      <c r="D5073" s="26" t="str">
        <f>TRIM(INDEX(Orçamentária!C:C,MATCH(Composições!A5073,Orçamentária!A:A,0),1))</f>
        <v>un</v>
      </c>
      <c r="E5073" s="27"/>
      <c r="F5073" s="49" t="s">
        <v>568</v>
      </c>
      <c r="G5073" s="28" t="str">
        <f>IF(ISNUMBER(F5073),E5073*F5073,"")</f>
        <v/>
      </c>
      <c r="H5073" s="29"/>
      <c r="I5073" s="30"/>
      <c r="J5073" s="155">
        <v>0</v>
      </c>
    </row>
    <row r="5074" spans="1:10" hidden="1" x14ac:dyDescent="0.25">
      <c r="A5074" s="173"/>
      <c r="B5074" s="175"/>
      <c r="C5074" s="32"/>
      <c r="D5074" s="32"/>
      <c r="E5074" s="33"/>
      <c r="F5074" s="54" t="s">
        <v>568</v>
      </c>
      <c r="G5074" s="54" t="str">
        <f>IF(ISNUMBER(F5074),E5074*F5074,"")</f>
        <v/>
      </c>
      <c r="H5074" s="73"/>
      <c r="I5074" s="74"/>
      <c r="J5074" s="155">
        <v>0</v>
      </c>
    </row>
    <row r="5075" spans="1:10" hidden="1" x14ac:dyDescent="0.25">
      <c r="A5075" s="173"/>
      <c r="B5075" s="175"/>
      <c r="C5075" s="36" t="s">
        <v>346</v>
      </c>
      <c r="D5075" s="36" t="s">
        <v>297</v>
      </c>
      <c r="E5075" s="37">
        <v>5.7000000000000002E-2</v>
      </c>
      <c r="F5075" s="31">
        <v>13.661</v>
      </c>
      <c r="G5075" s="54">
        <f>IF(ISNUMBER(F5075),E5075*F5075,"")</f>
        <v>0.77867699999999995</v>
      </c>
      <c r="H5075" s="39">
        <f>SUM(G5075:G5078)</f>
        <v>33.399188000000002</v>
      </c>
      <c r="I5075" s="40"/>
      <c r="J5075" s="155">
        <v>0</v>
      </c>
    </row>
    <row r="5076" spans="1:10" hidden="1" x14ac:dyDescent="0.25">
      <c r="A5076" s="173"/>
      <c r="B5076" s="175"/>
      <c r="C5076" s="36" t="s">
        <v>3733</v>
      </c>
      <c r="D5076" s="36" t="s">
        <v>297</v>
      </c>
      <c r="E5076" s="37">
        <v>1</v>
      </c>
      <c r="F5076" s="31" t="s">
        <v>568</v>
      </c>
      <c r="G5076" s="54" t="str">
        <f>IF(ISNUMBER(F5076),E5076*F5076,"")</f>
        <v/>
      </c>
      <c r="H5076" s="73"/>
      <c r="I5076" s="74"/>
      <c r="J5076" s="155">
        <v>0</v>
      </c>
    </row>
    <row r="5077" spans="1:10" ht="25.5" hidden="1" x14ac:dyDescent="0.25">
      <c r="A5077" s="173"/>
      <c r="B5077" s="175"/>
      <c r="C5077" s="36" t="s">
        <v>1008</v>
      </c>
      <c r="D5077" s="47" t="s">
        <v>755</v>
      </c>
      <c r="E5077" s="37">
        <v>0.84699999999999998</v>
      </c>
      <c r="F5077" s="31">
        <v>16.891000000000002</v>
      </c>
      <c r="G5077" s="54">
        <f>IF(ISNUMBER(F5077),E5077*F5077,"")</f>
        <v>14.306677000000001</v>
      </c>
      <c r="H5077" s="73"/>
      <c r="I5077" s="74"/>
      <c r="J5077" s="155">
        <v>0</v>
      </c>
    </row>
    <row r="5078" spans="1:10" ht="25.5" hidden="1" x14ac:dyDescent="0.25">
      <c r="A5078" s="173"/>
      <c r="B5078" s="175"/>
      <c r="C5078" s="36" t="s">
        <v>1009</v>
      </c>
      <c r="D5078" s="36" t="s">
        <v>755</v>
      </c>
      <c r="E5078" s="37">
        <v>0.84699999999999998</v>
      </c>
      <c r="F5078" s="31">
        <v>21.622</v>
      </c>
      <c r="G5078" s="54">
        <f>IF(ISNUMBER(F5078),E5078*F5078,"")</f>
        <v>18.313834</v>
      </c>
      <c r="H5078" s="73"/>
      <c r="I5078" s="74"/>
      <c r="J5078" s="155">
        <v>0</v>
      </c>
    </row>
    <row r="5079" spans="1:10" hidden="1" x14ac:dyDescent="0.25">
      <c r="A5079" s="173"/>
      <c r="B5079" s="175"/>
      <c r="C5079" s="36"/>
      <c r="D5079" s="47"/>
      <c r="E5079" s="37"/>
      <c r="F5079" s="54" t="s">
        <v>568</v>
      </c>
      <c r="G5079" s="54" t="str">
        <f>IF(ISNUMBER(F5079),E5079*F5079,"")</f>
        <v/>
      </c>
      <c r="H5079" s="73"/>
      <c r="I5079" s="74"/>
      <c r="J5079" s="155">
        <v>0</v>
      </c>
    </row>
    <row r="5080" spans="1:10" ht="15.75" hidden="1" thickBot="1" x14ac:dyDescent="0.3">
      <c r="A5080" s="172" t="s">
        <v>3736</v>
      </c>
      <c r="B5080" s="174" t="str">
        <f>INDEX(Orçamentária!A:B,MATCH(Composições!A5080,Orçamentária!A:A,0),2)</f>
        <v>Cabo de fibra óptica monomodo 12 fibras</v>
      </c>
      <c r="C5080" s="41"/>
      <c r="D5080" s="26" t="str">
        <f>TRIM(INDEX(Orçamentária!C:C,MATCH(Composições!A5080,Orçamentária!A:A,0),1))</f>
        <v>m</v>
      </c>
      <c r="E5080" s="27"/>
      <c r="F5080" s="49" t="s">
        <v>568</v>
      </c>
      <c r="G5080" s="28" t="str">
        <f>IF(ISNUMBER(F5080),E5080*F5080,"")</f>
        <v/>
      </c>
      <c r="H5080" s="29"/>
      <c r="I5080" s="30"/>
      <c r="J5080" s="155">
        <v>0</v>
      </c>
    </row>
    <row r="5081" spans="1:10" hidden="1" x14ac:dyDescent="0.25">
      <c r="A5081" s="173"/>
      <c r="B5081" s="175"/>
      <c r="C5081" s="32"/>
      <c r="D5081" s="32"/>
      <c r="E5081" s="33"/>
      <c r="F5081" s="54" t="s">
        <v>568</v>
      </c>
      <c r="G5081" s="54" t="str">
        <f>IF(ISNUMBER(F5081),E5081*F5081,"")</f>
        <v/>
      </c>
      <c r="H5081" s="73"/>
      <c r="I5081" s="74"/>
      <c r="J5081" s="155">
        <v>0</v>
      </c>
    </row>
    <row r="5082" spans="1:10" hidden="1" x14ac:dyDescent="0.25">
      <c r="A5082" s="173"/>
      <c r="B5082" s="175"/>
      <c r="C5082" s="36" t="s">
        <v>3765</v>
      </c>
      <c r="D5082" s="36" t="s">
        <v>93</v>
      </c>
      <c r="E5082" s="37">
        <v>1.05</v>
      </c>
      <c r="F5082" s="31" t="s">
        <v>568</v>
      </c>
      <c r="G5082" s="54" t="str">
        <f>IF(ISNUMBER(F5082),E5082*F5082,"")</f>
        <v/>
      </c>
      <c r="H5082" s="39">
        <f>SUM(G5082:G5084)</f>
        <v>2.8179774000000002</v>
      </c>
      <c r="I5082" s="40"/>
      <c r="J5082" s="155">
        <v>0</v>
      </c>
    </row>
    <row r="5083" spans="1:10" hidden="1" x14ac:dyDescent="0.25">
      <c r="A5083" s="173"/>
      <c r="B5083" s="175"/>
      <c r="C5083" s="36" t="s">
        <v>1228</v>
      </c>
      <c r="D5083" s="47" t="s">
        <v>755</v>
      </c>
      <c r="E5083" s="37">
        <v>7.1099999999999997E-2</v>
      </c>
      <c r="F5083" s="31">
        <v>17.366</v>
      </c>
      <c r="G5083" s="54">
        <f>IF(ISNUMBER(F5083),E5083*F5083,"")</f>
        <v>1.2347226</v>
      </c>
      <c r="H5083" s="73"/>
      <c r="I5083" s="74"/>
      <c r="J5083" s="155">
        <v>0</v>
      </c>
    </row>
    <row r="5084" spans="1:10" hidden="1" x14ac:dyDescent="0.25">
      <c r="A5084" s="173"/>
      <c r="B5084" s="175"/>
      <c r="C5084" s="36" t="s">
        <v>1229</v>
      </c>
      <c r="D5084" s="36" t="s">
        <v>755</v>
      </c>
      <c r="E5084" s="37">
        <v>7.1099999999999997E-2</v>
      </c>
      <c r="F5084" s="31">
        <v>22.268000000000001</v>
      </c>
      <c r="G5084" s="54">
        <f>IF(ISNUMBER(F5084),E5084*F5084,"")</f>
        <v>1.5832548</v>
      </c>
      <c r="H5084" s="73"/>
      <c r="I5084" s="74"/>
      <c r="J5084" s="155">
        <v>0</v>
      </c>
    </row>
    <row r="5085" spans="1:10" hidden="1" x14ac:dyDescent="0.25">
      <c r="A5085" s="173"/>
      <c r="B5085" s="175"/>
      <c r="C5085" s="36"/>
      <c r="D5085" s="47"/>
      <c r="E5085" s="37"/>
      <c r="F5085" s="54" t="s">
        <v>568</v>
      </c>
      <c r="G5085" s="54" t="str">
        <f>IF(ISNUMBER(F5085),E5085*F5085,"")</f>
        <v/>
      </c>
      <c r="H5085" s="73"/>
      <c r="I5085" s="74"/>
      <c r="J5085" s="155">
        <v>0</v>
      </c>
    </row>
    <row r="5086" spans="1:10" ht="15.75" hidden="1" thickBot="1" x14ac:dyDescent="0.3">
      <c r="A5086" s="172" t="s">
        <v>3738</v>
      </c>
      <c r="B5086" s="174" t="str">
        <f>INDEX(Orçamentária!A:B,MATCH(Composições!A5086,Orçamentária!A:A,0),2)</f>
        <v>Cabo de fibra óptica monomodo 144 fibras</v>
      </c>
      <c r="C5086" s="41"/>
      <c r="D5086" s="26" t="str">
        <f>TRIM(INDEX(Orçamentária!C:C,MATCH(Composições!A5086,Orçamentária!A:A,0),1))</f>
        <v>m</v>
      </c>
      <c r="E5086" s="27"/>
      <c r="F5086" s="49" t="s">
        <v>568</v>
      </c>
      <c r="G5086" s="28" t="str">
        <f>IF(ISNUMBER(F5086),E5086*F5086,"")</f>
        <v/>
      </c>
      <c r="H5086" s="29"/>
      <c r="I5086" s="30"/>
      <c r="J5086" s="155">
        <v>0</v>
      </c>
    </row>
    <row r="5087" spans="1:10" hidden="1" x14ac:dyDescent="0.25">
      <c r="A5087" s="173"/>
      <c r="B5087" s="175"/>
      <c r="C5087" s="32"/>
      <c r="D5087" s="32"/>
      <c r="E5087" s="33"/>
      <c r="F5087" s="54" t="s">
        <v>568</v>
      </c>
      <c r="G5087" s="54" t="str">
        <f>IF(ISNUMBER(F5087),E5087*F5087,"")</f>
        <v/>
      </c>
      <c r="H5087" s="73"/>
      <c r="I5087" s="74"/>
      <c r="J5087" s="155">
        <v>0</v>
      </c>
    </row>
    <row r="5088" spans="1:10" hidden="1" x14ac:dyDescent="0.25">
      <c r="A5088" s="173"/>
      <c r="B5088" s="175"/>
      <c r="C5088" s="36" t="s">
        <v>3766</v>
      </c>
      <c r="D5088" s="36" t="s">
        <v>93</v>
      </c>
      <c r="E5088" s="37">
        <v>1.05</v>
      </c>
      <c r="F5088" s="31" t="s">
        <v>568</v>
      </c>
      <c r="G5088" s="54" t="str">
        <f>IF(ISNUMBER(F5088),E5088*F5088,"")</f>
        <v/>
      </c>
      <c r="H5088" s="39">
        <f>SUM(G5088:G5090)</f>
        <v>5.5011992000000003</v>
      </c>
      <c r="I5088" s="40"/>
      <c r="J5088" s="155">
        <v>0</v>
      </c>
    </row>
    <row r="5089" spans="1:10" hidden="1" x14ac:dyDescent="0.25">
      <c r="A5089" s="173"/>
      <c r="B5089" s="175"/>
      <c r="C5089" s="36" t="s">
        <v>1228</v>
      </c>
      <c r="D5089" s="47" t="s">
        <v>755</v>
      </c>
      <c r="E5089" s="37">
        <v>0.13880000000000001</v>
      </c>
      <c r="F5089" s="31">
        <v>17.366</v>
      </c>
      <c r="G5089" s="54">
        <f>IF(ISNUMBER(F5089),E5089*F5089,"")</f>
        <v>2.4104008000000001</v>
      </c>
      <c r="H5089" s="73"/>
      <c r="I5089" s="74"/>
      <c r="J5089" s="155">
        <v>0</v>
      </c>
    </row>
    <row r="5090" spans="1:10" hidden="1" x14ac:dyDescent="0.25">
      <c r="A5090" s="173"/>
      <c r="B5090" s="175"/>
      <c r="C5090" s="36" t="s">
        <v>1229</v>
      </c>
      <c r="D5090" s="36" t="s">
        <v>755</v>
      </c>
      <c r="E5090" s="37">
        <v>0.13880000000000001</v>
      </c>
      <c r="F5090" s="31">
        <v>22.268000000000001</v>
      </c>
      <c r="G5090" s="54">
        <f>IF(ISNUMBER(F5090),E5090*F5090,"")</f>
        <v>3.0907984000000002</v>
      </c>
      <c r="H5090" s="73"/>
      <c r="I5090" s="74"/>
      <c r="J5090" s="155">
        <v>0</v>
      </c>
    </row>
    <row r="5091" spans="1:10" hidden="1" x14ac:dyDescent="0.25">
      <c r="A5091" s="173"/>
      <c r="B5091" s="175"/>
      <c r="C5091" s="36"/>
      <c r="D5091" s="47"/>
      <c r="E5091" s="37"/>
      <c r="F5091" s="54" t="s">
        <v>568</v>
      </c>
      <c r="G5091" s="54" t="str">
        <f>IF(ISNUMBER(F5091),E5091*F5091,"")</f>
        <v/>
      </c>
      <c r="H5091" s="73"/>
      <c r="I5091" s="74"/>
      <c r="J5091" s="155">
        <v>0</v>
      </c>
    </row>
    <row r="5092" spans="1:10" ht="15.75" hidden="1" thickBot="1" x14ac:dyDescent="0.3">
      <c r="A5092" s="172" t="s">
        <v>3740</v>
      </c>
      <c r="B5092" s="174" t="str">
        <f>INDEX(Orçamentária!A:B,MATCH(Composições!A5092,Orçamentária!A:A,0),2)</f>
        <v>Caixa de passagem em alumínio 300x300x120mm</v>
      </c>
      <c r="C5092" s="41"/>
      <c r="D5092" s="26" t="str">
        <f>TRIM(INDEX(Orçamentária!C:C,MATCH(Composições!A5092,Orçamentária!A:A,0),1))</f>
        <v>un</v>
      </c>
      <c r="E5092" s="27"/>
      <c r="F5092" s="42" t="s">
        <v>568</v>
      </c>
      <c r="G5092" s="28" t="str">
        <f>IF(ISNUMBER(F5092),E5092*F5092,"")</f>
        <v/>
      </c>
      <c r="H5092" s="29"/>
      <c r="I5092" s="30"/>
      <c r="J5092" s="155">
        <v>0</v>
      </c>
    </row>
    <row r="5093" spans="1:10" hidden="1" x14ac:dyDescent="0.25">
      <c r="A5093" s="176"/>
      <c r="B5093" s="175"/>
      <c r="C5093" s="32"/>
      <c r="D5093" s="32"/>
      <c r="E5093" s="33"/>
      <c r="F5093" s="43" t="s">
        <v>568</v>
      </c>
      <c r="G5093" s="31" t="str">
        <f>IF(ISNUMBER(F5093),E5093*F5093,"")</f>
        <v/>
      </c>
      <c r="H5093" s="35"/>
      <c r="I5093" s="31"/>
      <c r="J5093" s="155">
        <v>0</v>
      </c>
    </row>
    <row r="5094" spans="1:10" hidden="1" x14ac:dyDescent="0.25">
      <c r="A5094" s="176"/>
      <c r="B5094" s="175"/>
      <c r="C5094" s="36" t="s">
        <v>30</v>
      </c>
      <c r="D5094" s="36" t="s">
        <v>12</v>
      </c>
      <c r="E5094" s="37">
        <v>0.34599999999999997</v>
      </c>
      <c r="F5094" s="31">
        <v>22.268000000000001</v>
      </c>
      <c r="G5094" s="34">
        <f>IF(ISNUMBER(F5094),E5094*F5094,"")</f>
        <v>7.7047279999999994</v>
      </c>
      <c r="H5094" s="39">
        <f>SUM(G5094:G5096)</f>
        <v>76.637506999999999</v>
      </c>
      <c r="I5094" s="40"/>
      <c r="J5094" s="155">
        <v>0</v>
      </c>
    </row>
    <row r="5095" spans="1:10" hidden="1" x14ac:dyDescent="0.25">
      <c r="A5095" s="176"/>
      <c r="B5095" s="175"/>
      <c r="C5095" s="36" t="s">
        <v>23</v>
      </c>
      <c r="D5095" s="36" t="s">
        <v>12</v>
      </c>
      <c r="E5095" s="37">
        <v>0.34599999999999997</v>
      </c>
      <c r="F5095" s="31">
        <v>16.311500000000002</v>
      </c>
      <c r="G5095" s="34">
        <f>IF(ISNUMBER(F5095),E5095*F5095,"")</f>
        <v>5.6437790000000003</v>
      </c>
      <c r="H5095" s="35"/>
      <c r="I5095" s="31"/>
      <c r="J5095" s="155">
        <v>0</v>
      </c>
    </row>
    <row r="5096" spans="1:10" ht="25.5" hidden="1" x14ac:dyDescent="0.25">
      <c r="A5096" s="176"/>
      <c r="B5096" s="175"/>
      <c r="C5096" s="36" t="s">
        <v>3438</v>
      </c>
      <c r="D5096" s="36" t="s">
        <v>20</v>
      </c>
      <c r="E5096" s="37">
        <v>1</v>
      </c>
      <c r="F5096" s="34">
        <v>63.289000000000001</v>
      </c>
      <c r="G5096" s="31">
        <f>IF(ISNUMBER(F5096),E5096*F5096,"")</f>
        <v>63.289000000000001</v>
      </c>
      <c r="H5096" s="35"/>
      <c r="I5096" s="31"/>
      <c r="J5096" s="155">
        <v>0</v>
      </c>
    </row>
    <row r="5097" spans="1:10" ht="15.75" hidden="1" thickBot="1" x14ac:dyDescent="0.3">
      <c r="A5097" s="177"/>
      <c r="B5097" s="178"/>
      <c r="C5097" s="36"/>
      <c r="D5097" s="36"/>
      <c r="E5097" s="37"/>
      <c r="F5097" s="31" t="s">
        <v>568</v>
      </c>
      <c r="G5097" s="31" t="str">
        <f>IF(ISNUMBER(F5097),E5097*F5097,"")</f>
        <v/>
      </c>
      <c r="H5097" s="35"/>
      <c r="I5097" s="31"/>
      <c r="J5097" s="155">
        <v>0</v>
      </c>
    </row>
    <row r="5098" spans="1:10" ht="15.75" hidden="1" thickBot="1" x14ac:dyDescent="0.3">
      <c r="A5098" s="179" t="s">
        <v>3742</v>
      </c>
      <c r="B5098" s="182" t="str">
        <f>INDEX(Orçamentária!A:B,MATCH(Composições!A5098,Orçamentária!A:A,0),2)</f>
        <v>Caixa de Passagem Subterrânea 1600x2000mm</v>
      </c>
      <c r="C5098" s="41"/>
      <c r="D5098" s="26" t="str">
        <f>TRIM(INDEX(Orçamentária!C:C,MATCH(Composições!A5098,Orçamentária!A:A,0),1))</f>
        <v>un</v>
      </c>
      <c r="E5098" s="27"/>
      <c r="F5098" s="42" t="s">
        <v>568</v>
      </c>
      <c r="G5098" s="28" t="str">
        <f>IF(ISNUMBER(F5098),E5098*F5098,"")</f>
        <v/>
      </c>
      <c r="H5098" s="29"/>
      <c r="I5098" s="30"/>
      <c r="J5098" s="155">
        <v>0</v>
      </c>
    </row>
    <row r="5099" spans="1:10" hidden="1" x14ac:dyDescent="0.25">
      <c r="A5099" s="180"/>
      <c r="B5099" s="183"/>
      <c r="C5099" s="32"/>
      <c r="D5099" s="32"/>
      <c r="E5099" s="33"/>
      <c r="F5099" s="43" t="s">
        <v>568</v>
      </c>
      <c r="G5099" s="31" t="str">
        <f>IF(ISNUMBER(F5099),E5099*F5099,"")</f>
        <v/>
      </c>
      <c r="H5099" s="35"/>
      <c r="I5099" s="31"/>
      <c r="J5099" s="155">
        <v>0</v>
      </c>
    </row>
    <row r="5100" spans="1:10" hidden="1" x14ac:dyDescent="0.25">
      <c r="A5100" s="180"/>
      <c r="B5100" s="183"/>
      <c r="C5100" s="36" t="s">
        <v>820</v>
      </c>
      <c r="D5100" s="36" t="s">
        <v>953</v>
      </c>
      <c r="E5100" s="37">
        <f>ROUND(22.81*1.3,4)</f>
        <v>29.652999999999999</v>
      </c>
      <c r="F5100" s="31">
        <v>9.5474999999999994</v>
      </c>
      <c r="G5100" s="34">
        <f>IF(ISNUMBER(F5100),E5100*F5100,"")</f>
        <v>283.11201749999998</v>
      </c>
      <c r="H5100" s="39">
        <f>SUM(G5100:G5111)</f>
        <v>1786.8423815648528</v>
      </c>
      <c r="I5100" s="40"/>
      <c r="J5100" s="155">
        <v>0</v>
      </c>
    </row>
    <row r="5101" spans="1:10" ht="25.5" hidden="1" x14ac:dyDescent="0.25">
      <c r="A5101" s="180"/>
      <c r="B5101" s="183"/>
      <c r="C5101" s="36" t="s">
        <v>3599</v>
      </c>
      <c r="D5101" s="36" t="s">
        <v>953</v>
      </c>
      <c r="E5101" s="37">
        <f>ROUND(0.684*1.3,4)</f>
        <v>0.88919999999999999</v>
      </c>
      <c r="F5101" s="31">
        <v>18.838499999999996</v>
      </c>
      <c r="G5101" s="34">
        <f>IF(ISNUMBER(F5101),E5101*F5101,"")</f>
        <v>16.751194199999997</v>
      </c>
      <c r="H5101" s="35"/>
      <c r="I5101" s="31"/>
      <c r="J5101" s="155">
        <v>0</v>
      </c>
    </row>
    <row r="5102" spans="1:10" ht="51" hidden="1" x14ac:dyDescent="0.25">
      <c r="A5102" s="180"/>
      <c r="B5102" s="183"/>
      <c r="C5102" s="36" t="s">
        <v>3421</v>
      </c>
      <c r="D5102" s="36" t="s">
        <v>1049</v>
      </c>
      <c r="E5102" s="37">
        <f>ROUND(7.02*1.3,4)</f>
        <v>9.1259999999999994</v>
      </c>
      <c r="F5102" s="34">
        <v>57.345162156320015</v>
      </c>
      <c r="G5102" s="31">
        <f>IF(ISNUMBER(F5102),E5102*F5102,"")</f>
        <v>523.33194983857641</v>
      </c>
      <c r="H5102" s="35"/>
      <c r="I5102" s="31"/>
      <c r="J5102" s="155">
        <v>0</v>
      </c>
    </row>
    <row r="5103" spans="1:10" ht="63.75" hidden="1" x14ac:dyDescent="0.25">
      <c r="A5103" s="180"/>
      <c r="B5103" s="183"/>
      <c r="C5103" s="36" t="s">
        <v>3423</v>
      </c>
      <c r="D5103" s="36" t="s">
        <v>1049</v>
      </c>
      <c r="E5103" s="37">
        <f>ROUND(6.5*1.3,4)</f>
        <v>8.4499999999999993</v>
      </c>
      <c r="F5103" s="31">
        <v>22.924060248819998</v>
      </c>
      <c r="G5103" s="34">
        <f>IF(ISNUMBER(F5103),E5103*F5103,"")</f>
        <v>193.70830910252897</v>
      </c>
      <c r="H5103" s="35"/>
      <c r="I5103" s="40"/>
      <c r="J5103" s="155">
        <v>0</v>
      </c>
    </row>
    <row r="5104" spans="1:10" ht="38.25" hidden="1" x14ac:dyDescent="0.25">
      <c r="A5104" s="180"/>
      <c r="B5104" s="183"/>
      <c r="C5104" s="36" t="s">
        <v>3422</v>
      </c>
      <c r="D5104" s="36" t="s">
        <v>1049</v>
      </c>
      <c r="E5104" s="37">
        <f>ROUND(6.5*1.3,4)</f>
        <v>8.4499999999999993</v>
      </c>
      <c r="F5104" s="31">
        <v>3.4381937636900002</v>
      </c>
      <c r="G5104" s="34">
        <f>IF(ISNUMBER(F5104),E5104*F5104,"")</f>
        <v>29.0527373031805</v>
      </c>
      <c r="H5104" s="35"/>
      <c r="I5104" s="31"/>
      <c r="J5104" s="155">
        <v>0</v>
      </c>
    </row>
    <row r="5105" spans="1:10" hidden="1" x14ac:dyDescent="0.25">
      <c r="A5105" s="180"/>
      <c r="B5105" s="183"/>
      <c r="C5105" s="36" t="s">
        <v>956</v>
      </c>
      <c r="D5105" s="36" t="s">
        <v>755</v>
      </c>
      <c r="E5105" s="37">
        <f>ROUND(0.9*1.3,4)</f>
        <v>1.17</v>
      </c>
      <c r="F5105" s="34">
        <v>21.973499999999998</v>
      </c>
      <c r="G5105" s="31">
        <f>IF(ISNUMBER(F5105),E5105*F5105,"")</f>
        <v>25.708994999999994</v>
      </c>
      <c r="H5105" s="35"/>
      <c r="I5105" s="31"/>
      <c r="J5105" s="155">
        <v>0</v>
      </c>
    </row>
    <row r="5106" spans="1:10" hidden="1" x14ac:dyDescent="0.25">
      <c r="A5106" s="180"/>
      <c r="B5106" s="183"/>
      <c r="C5106" s="36" t="s">
        <v>764</v>
      </c>
      <c r="D5106" s="36" t="s">
        <v>755</v>
      </c>
      <c r="E5106" s="37">
        <f>ROUND(5.62*1.3,4)</f>
        <v>7.306</v>
      </c>
      <c r="F5106" s="31">
        <v>22.087499999999999</v>
      </c>
      <c r="G5106" s="34">
        <f>IF(ISNUMBER(F5106),E5106*F5106,"")</f>
        <v>161.371275</v>
      </c>
      <c r="H5106" s="35"/>
      <c r="I5106" s="40"/>
      <c r="J5106" s="155">
        <v>0</v>
      </c>
    </row>
    <row r="5107" spans="1:10" hidden="1" x14ac:dyDescent="0.25">
      <c r="A5107" s="180"/>
      <c r="B5107" s="183"/>
      <c r="C5107" s="36" t="s">
        <v>756</v>
      </c>
      <c r="D5107" s="36" t="s">
        <v>755</v>
      </c>
      <c r="E5107" s="37">
        <f>ROUND(5.62*1.3,4)</f>
        <v>7.306</v>
      </c>
      <c r="F5107" s="31">
        <v>16.311500000000002</v>
      </c>
      <c r="G5107" s="34">
        <f>IF(ISNUMBER(F5107),E5107*F5107,"")</f>
        <v>119.17181900000001</v>
      </c>
      <c r="H5107" s="35"/>
      <c r="I5107" s="31"/>
      <c r="J5107" s="155">
        <v>0</v>
      </c>
    </row>
    <row r="5108" spans="1:10" ht="51" hidden="1" x14ac:dyDescent="0.25">
      <c r="A5108" s="180"/>
      <c r="B5108" s="183"/>
      <c r="C5108" s="36" t="s">
        <v>3420</v>
      </c>
      <c r="D5108" s="36" t="s">
        <v>1049</v>
      </c>
      <c r="E5108" s="37">
        <f>ROUND(0.47*1.3,4)</f>
        <v>0.61099999999999999</v>
      </c>
      <c r="F5108" s="34">
        <v>158.49843595500002</v>
      </c>
      <c r="G5108" s="31">
        <f>IF(ISNUMBER(F5108),E5108*F5108,"")</f>
        <v>96.842544368505003</v>
      </c>
      <c r="H5108" s="35"/>
      <c r="I5108" s="31"/>
      <c r="J5108" s="155">
        <v>0</v>
      </c>
    </row>
    <row r="5109" spans="1:10" ht="38.25" hidden="1" x14ac:dyDescent="0.25">
      <c r="A5109" s="180"/>
      <c r="B5109" s="183"/>
      <c r="C5109" s="36" t="s">
        <v>1543</v>
      </c>
      <c r="D5109" s="36" t="s">
        <v>123</v>
      </c>
      <c r="E5109" s="37">
        <f>ROUND(0.218*1.3,4)</f>
        <v>0.28339999999999999</v>
      </c>
      <c r="F5109" s="31">
        <v>366.76949528349991</v>
      </c>
      <c r="G5109" s="34">
        <f>IF(ISNUMBER(F5109),E5109*F5109,"")</f>
        <v>103.94247496334387</v>
      </c>
      <c r="H5109" s="35"/>
      <c r="I5109" s="40"/>
      <c r="J5109" s="155">
        <v>0</v>
      </c>
    </row>
    <row r="5110" spans="1:10" ht="25.5" hidden="1" x14ac:dyDescent="0.25">
      <c r="A5110" s="180"/>
      <c r="B5110" s="183"/>
      <c r="C5110" s="36" t="s">
        <v>1225</v>
      </c>
      <c r="D5110" s="36" t="s">
        <v>123</v>
      </c>
      <c r="E5110" s="37">
        <f>ROUND(0.169*1.3,4)</f>
        <v>0.21970000000000001</v>
      </c>
      <c r="F5110" s="31">
        <v>387.69040241229999</v>
      </c>
      <c r="G5110" s="34">
        <f>IF(ISNUMBER(F5110),E5110*F5110,"")</f>
        <v>85.175581409982314</v>
      </c>
      <c r="H5110" s="35"/>
      <c r="I5110" s="31"/>
      <c r="J5110" s="155">
        <v>0</v>
      </c>
    </row>
    <row r="5111" spans="1:10" ht="25.5" hidden="1" x14ac:dyDescent="0.25">
      <c r="A5111" s="180"/>
      <c r="B5111" s="183"/>
      <c r="C5111" s="36" t="s">
        <v>1130</v>
      </c>
      <c r="D5111" s="36" t="s">
        <v>123</v>
      </c>
      <c r="E5111" s="37">
        <f>ROUND(0.2808*1.3,4)</f>
        <v>0.36499999999999999</v>
      </c>
      <c r="F5111" s="34">
        <v>407.3246133664</v>
      </c>
      <c r="G5111" s="31">
        <f>IF(ISNUMBER(F5111),E5111*F5111,"")</f>
        <v>148.67348387873599</v>
      </c>
      <c r="H5111" s="35"/>
      <c r="I5111" s="31"/>
      <c r="J5111" s="155">
        <v>0</v>
      </c>
    </row>
    <row r="5112" spans="1:10" ht="15.75" hidden="1" thickBot="1" x14ac:dyDescent="0.3">
      <c r="A5112" s="181"/>
      <c r="B5112" s="184"/>
      <c r="C5112" s="36"/>
      <c r="D5112" s="36"/>
      <c r="E5112" s="37"/>
      <c r="F5112" s="31" t="s">
        <v>568</v>
      </c>
      <c r="G5112" s="31" t="str">
        <f>IF(ISNUMBER(F5112),E5112*F5112,"")</f>
        <v/>
      </c>
      <c r="H5112" s="35"/>
      <c r="I5112" s="31"/>
      <c r="J5112" s="155">
        <v>0</v>
      </c>
    </row>
    <row r="5113" spans="1:10" ht="15.75" hidden="1" thickBot="1" x14ac:dyDescent="0.3">
      <c r="A5113" s="172" t="s">
        <v>3744</v>
      </c>
      <c r="B5113" s="174" t="str">
        <f>INDEX(Orçamentária!A:B,MATCH(Composições!A5113,Orçamentária!A:A,0),2)</f>
        <v>Projeto Executivo de Rede de Telecomunicações Backbone</v>
      </c>
      <c r="C5113" s="41"/>
      <c r="D5113" s="26" t="str">
        <f>TRIM(INDEX(Orçamentária!C:C,MATCH(Composições!A5113,Orçamentária!A:A,0),1))</f>
        <v>un</v>
      </c>
      <c r="E5113" s="27"/>
      <c r="F5113" s="42" t="s">
        <v>568</v>
      </c>
      <c r="G5113" s="28" t="str">
        <f>IF(ISNUMBER(F5113),E5113*F5113,"")</f>
        <v/>
      </c>
      <c r="H5113" s="29"/>
      <c r="I5113" s="30"/>
      <c r="J5113" s="155">
        <v>0</v>
      </c>
    </row>
    <row r="5114" spans="1:10" hidden="1" x14ac:dyDescent="0.25">
      <c r="A5114" s="176"/>
      <c r="B5114" s="175"/>
      <c r="C5114" s="32"/>
      <c r="D5114" s="32"/>
      <c r="E5114" s="33"/>
      <c r="F5114" s="43" t="s">
        <v>568</v>
      </c>
      <c r="G5114" s="31" t="str">
        <f>IF(ISNUMBER(F5114),E5114*F5114,"")</f>
        <v/>
      </c>
      <c r="H5114" s="35"/>
      <c r="I5114" s="31"/>
      <c r="J5114" s="155">
        <v>0</v>
      </c>
    </row>
    <row r="5115" spans="1:10" hidden="1" x14ac:dyDescent="0.25">
      <c r="A5115" s="176"/>
      <c r="B5115" s="175"/>
      <c r="C5115" s="36" t="s">
        <v>18</v>
      </c>
      <c r="D5115" s="36" t="s">
        <v>12</v>
      </c>
      <c r="E5115" s="37">
        <v>40</v>
      </c>
      <c r="F5115" s="31">
        <v>100.6525</v>
      </c>
      <c r="G5115" s="34">
        <f>IF(ISNUMBER(F5115),E5115*F5115,"")</f>
        <v>4026.1000000000004</v>
      </c>
      <c r="H5115" s="39">
        <f>SUM(G5115:G5119)</f>
        <v>5239.1099999999997</v>
      </c>
      <c r="I5115" s="40"/>
      <c r="J5115" s="155">
        <v>0</v>
      </c>
    </row>
    <row r="5116" spans="1:10" hidden="1" x14ac:dyDescent="0.25">
      <c r="A5116" s="176"/>
      <c r="B5116" s="175"/>
      <c r="C5116" s="36" t="s">
        <v>3431</v>
      </c>
      <c r="D5116" s="36" t="s">
        <v>12</v>
      </c>
      <c r="E5116" s="37">
        <v>20</v>
      </c>
      <c r="F5116" s="31">
        <v>23.997</v>
      </c>
      <c r="G5116" s="34">
        <f>IF(ISNUMBER(F5116),E5116*F5116,"")</f>
        <v>479.94</v>
      </c>
      <c r="H5116" s="35"/>
      <c r="I5116" s="31"/>
      <c r="J5116" s="155">
        <v>0</v>
      </c>
    </row>
    <row r="5117" spans="1:10" hidden="1" x14ac:dyDescent="0.25">
      <c r="A5117" s="176"/>
      <c r="B5117" s="175"/>
      <c r="C5117" s="36" t="s">
        <v>3432</v>
      </c>
      <c r="D5117" s="36" t="s">
        <v>12</v>
      </c>
      <c r="E5117" s="37">
        <v>20</v>
      </c>
      <c r="F5117" s="31">
        <v>17.251999999999999</v>
      </c>
      <c r="G5117" s="34">
        <f>IF(ISNUMBER(F5117),E5117*F5117,"")</f>
        <v>345.03999999999996</v>
      </c>
      <c r="H5117" s="35"/>
      <c r="I5117" s="31"/>
      <c r="J5117" s="155">
        <v>0</v>
      </c>
    </row>
    <row r="5118" spans="1:10" hidden="1" x14ac:dyDescent="0.25">
      <c r="A5118" s="176"/>
      <c r="B5118" s="175"/>
      <c r="C5118" s="36" t="s">
        <v>3428</v>
      </c>
      <c r="D5118" s="36" t="s">
        <v>12</v>
      </c>
      <c r="E5118" s="37">
        <v>20</v>
      </c>
      <c r="F5118" s="31">
        <v>7.7044999999999995</v>
      </c>
      <c r="G5118" s="34">
        <f>IF(ISNUMBER(F5118),E5118*F5118,"")</f>
        <v>154.08999999999997</v>
      </c>
      <c r="H5118" s="35"/>
      <c r="I5118" s="31"/>
      <c r="J5118" s="155">
        <v>0</v>
      </c>
    </row>
    <row r="5119" spans="1:10" hidden="1" x14ac:dyDescent="0.25">
      <c r="A5119" s="176"/>
      <c r="B5119" s="175"/>
      <c r="C5119" s="36" t="s">
        <v>19</v>
      </c>
      <c r="D5119" s="36" t="s">
        <v>20</v>
      </c>
      <c r="E5119" s="37">
        <v>1</v>
      </c>
      <c r="F5119" s="34">
        <v>233.94</v>
      </c>
      <c r="G5119" s="31">
        <f>IF(ISNUMBER(F5119),E5119*F5119,"")</f>
        <v>233.94</v>
      </c>
      <c r="H5119" s="35"/>
      <c r="I5119" s="31"/>
      <c r="J5119" s="155">
        <v>0</v>
      </c>
    </row>
    <row r="5120" spans="1:10" ht="15.75" hidden="1" thickBot="1" x14ac:dyDescent="0.3">
      <c r="A5120" s="177"/>
      <c r="B5120" s="178"/>
      <c r="C5120" s="36"/>
      <c r="D5120" s="36"/>
      <c r="E5120" s="37"/>
      <c r="F5120" s="31" t="s">
        <v>568</v>
      </c>
      <c r="G5120" s="31" t="str">
        <f>IF(ISNUMBER(F5120),E5120*F5120,"")</f>
        <v/>
      </c>
      <c r="H5120" s="35"/>
      <c r="I5120" s="31"/>
      <c r="J5120" s="155">
        <v>0</v>
      </c>
    </row>
    <row r="5121" spans="1:10" ht="15.75" hidden="1" thickBot="1" x14ac:dyDescent="0.3">
      <c r="A5121" s="172" t="s">
        <v>3746</v>
      </c>
      <c r="B5121" s="174" t="str">
        <f>INDEX(Orçamentária!A:B,MATCH(Composições!A5121,Orçamentária!A:A,0),2)</f>
        <v>Eletroduto PEAD 2”</v>
      </c>
      <c r="C5121" s="41"/>
      <c r="D5121" s="26" t="str">
        <f>TRIM(INDEX(Orçamentária!C:C,MATCH(Composições!A5121,Orçamentária!A:A,0),1))</f>
        <v>m</v>
      </c>
      <c r="E5121" s="27"/>
      <c r="F5121" s="42" t="s">
        <v>568</v>
      </c>
      <c r="G5121" s="28" t="str">
        <f>IF(ISNUMBER(F5121),E5121*F5121,"")</f>
        <v/>
      </c>
      <c r="H5121" s="29"/>
      <c r="I5121" s="30"/>
      <c r="J5121" s="155">
        <v>0</v>
      </c>
    </row>
    <row r="5122" spans="1:10" hidden="1" x14ac:dyDescent="0.25">
      <c r="A5122" s="176"/>
      <c r="B5122" s="175"/>
      <c r="C5122" s="32"/>
      <c r="D5122" s="32"/>
      <c r="E5122" s="33"/>
      <c r="F5122" s="43" t="s">
        <v>568</v>
      </c>
      <c r="G5122" s="31" t="str">
        <f>IF(ISNUMBER(F5122),E5122*F5122,"")</f>
        <v/>
      </c>
      <c r="H5122" s="35"/>
      <c r="I5122" s="31"/>
      <c r="J5122" s="155">
        <v>0</v>
      </c>
    </row>
    <row r="5123" spans="1:10" ht="38.25" hidden="1" x14ac:dyDescent="0.25">
      <c r="A5123" s="176"/>
      <c r="B5123" s="175"/>
      <c r="C5123" s="36" t="s">
        <v>3448</v>
      </c>
      <c r="D5123" s="36" t="s">
        <v>523</v>
      </c>
      <c r="E5123" s="37">
        <v>1.1000000000000001</v>
      </c>
      <c r="F5123" s="31">
        <v>5.6050000000000004</v>
      </c>
      <c r="G5123" s="34">
        <f>IF(ISNUMBER(F5123),E5123*F5123,"")</f>
        <v>6.1655000000000006</v>
      </c>
      <c r="H5123" s="39">
        <f>SUM(G5123:G5125)</f>
        <v>10.327070000000001</v>
      </c>
      <c r="I5123" s="40"/>
      <c r="J5123" s="155">
        <v>0</v>
      </c>
    </row>
    <row r="5124" spans="1:10" hidden="1" x14ac:dyDescent="0.25">
      <c r="A5124" s="176"/>
      <c r="B5124" s="175"/>
      <c r="C5124" s="36" t="s">
        <v>1228</v>
      </c>
      <c r="D5124" s="36" t="s">
        <v>755</v>
      </c>
      <c r="E5124" s="37">
        <v>0.105</v>
      </c>
      <c r="F5124" s="31">
        <v>17.366</v>
      </c>
      <c r="G5124" s="34">
        <f>IF(ISNUMBER(F5124),E5124*F5124,"")</f>
        <v>1.8234299999999999</v>
      </c>
      <c r="H5124" s="35"/>
      <c r="I5124" s="31"/>
      <c r="J5124" s="155">
        <v>0</v>
      </c>
    </row>
    <row r="5125" spans="1:10" hidden="1" x14ac:dyDescent="0.25">
      <c r="A5125" s="176"/>
      <c r="B5125" s="175"/>
      <c r="C5125" s="36" t="s">
        <v>1229</v>
      </c>
      <c r="D5125" s="36" t="s">
        <v>755</v>
      </c>
      <c r="E5125" s="37">
        <v>0.105</v>
      </c>
      <c r="F5125" s="34">
        <v>22.268000000000001</v>
      </c>
      <c r="G5125" s="31">
        <f>IF(ISNUMBER(F5125),E5125*F5125,"")</f>
        <v>2.3381400000000001</v>
      </c>
      <c r="H5125" s="35"/>
      <c r="I5125" s="31"/>
      <c r="J5125" s="155">
        <v>0</v>
      </c>
    </row>
    <row r="5126" spans="1:10" ht="15.75" hidden="1" thickBot="1" x14ac:dyDescent="0.3">
      <c r="A5126" s="177"/>
      <c r="B5126" s="178"/>
      <c r="C5126" s="36"/>
      <c r="D5126" s="36"/>
      <c r="E5126" s="37"/>
      <c r="F5126" s="31" t="s">
        <v>568</v>
      </c>
      <c r="G5126" s="31" t="str">
        <f>IF(ISNUMBER(F5126),E5126*F5126,"")</f>
        <v/>
      </c>
      <c r="H5126" s="35"/>
      <c r="I5126" s="31"/>
      <c r="J5126" s="155">
        <v>0</v>
      </c>
    </row>
    <row r="5127" spans="1:10" ht="15.75" hidden="1" thickBot="1" x14ac:dyDescent="0.3">
      <c r="A5127" s="172" t="s">
        <v>3752</v>
      </c>
      <c r="B5127" s="174" t="str">
        <f>INDEX(Orçamentária!A:B,MATCH(Composições!A5127,Orçamentária!A:A,0),2)</f>
        <v>Tampa em Ferro Fundido - Circular DN-600 mm Classe 400</v>
      </c>
      <c r="C5127" s="41"/>
      <c r="D5127" s="26" t="str">
        <f>TRIM(INDEX(Orçamentária!C:C,MATCH(Composições!A5127,Orçamentária!A:A,0),1))</f>
        <v>un</v>
      </c>
      <c r="E5127" s="27"/>
      <c r="F5127" s="49" t="s">
        <v>568</v>
      </c>
      <c r="G5127" s="28" t="str">
        <f>IF(ISNUMBER(F5127),E5127*F5127,"")</f>
        <v/>
      </c>
      <c r="H5127" s="29"/>
      <c r="I5127" s="30"/>
      <c r="J5127" s="155">
        <v>0</v>
      </c>
    </row>
    <row r="5128" spans="1:10" hidden="1" x14ac:dyDescent="0.25">
      <c r="A5128" s="173"/>
      <c r="B5128" s="186"/>
      <c r="C5128" s="160"/>
      <c r="D5128" s="160"/>
      <c r="E5128" s="161"/>
      <c r="F5128" s="54" t="s">
        <v>568</v>
      </c>
      <c r="G5128" s="54" t="str">
        <f>IF(ISNUMBER(F5128),E5128*F5128,"")</f>
        <v/>
      </c>
      <c r="H5128" s="73"/>
      <c r="I5128" s="74"/>
      <c r="J5128" s="155">
        <v>0</v>
      </c>
    </row>
    <row r="5129" spans="1:10" ht="25.5" hidden="1" x14ac:dyDescent="0.25">
      <c r="A5129" s="173"/>
      <c r="B5129" s="186"/>
      <c r="C5129" s="162" t="s">
        <v>3468</v>
      </c>
      <c r="D5129" s="162" t="s">
        <v>297</v>
      </c>
      <c r="E5129" s="163">
        <v>1</v>
      </c>
      <c r="F5129" s="31">
        <v>768.83499999999992</v>
      </c>
      <c r="G5129" s="54">
        <f>IF(ISNUMBER(F5129),E5129*F5129,"")</f>
        <v>768.83499999999992</v>
      </c>
      <c r="H5129" s="39">
        <f>SUM(G5129:G5132)</f>
        <v>828.23455871461294</v>
      </c>
      <c r="I5129" s="40"/>
      <c r="J5129" s="155">
        <v>0</v>
      </c>
    </row>
    <row r="5130" spans="1:10" ht="38.25" hidden="1" x14ac:dyDescent="0.25">
      <c r="A5130" s="173"/>
      <c r="B5130" s="186"/>
      <c r="C5130" s="162" t="s">
        <v>1059</v>
      </c>
      <c r="D5130" s="162" t="s">
        <v>123</v>
      </c>
      <c r="E5130" s="163">
        <v>4.4999999999999997E-3</v>
      </c>
      <c r="F5130" s="31">
        <v>400.23526991400001</v>
      </c>
      <c r="G5130" s="54">
        <f>IF(ISNUMBER(F5130),E5130*F5130,"")</f>
        <v>1.8010587146129999</v>
      </c>
      <c r="H5130" s="73"/>
      <c r="I5130" s="74"/>
      <c r="J5130" s="155">
        <v>0</v>
      </c>
    </row>
    <row r="5131" spans="1:10" hidden="1" x14ac:dyDescent="0.25">
      <c r="A5131" s="173"/>
      <c r="B5131" s="186"/>
      <c r="C5131" s="162" t="s">
        <v>764</v>
      </c>
      <c r="D5131" s="164" t="s">
        <v>755</v>
      </c>
      <c r="E5131" s="163">
        <v>1.5</v>
      </c>
      <c r="F5131" s="31">
        <v>22.087499999999999</v>
      </c>
      <c r="G5131" s="54">
        <f>IF(ISNUMBER(F5131),E5131*F5131,"")</f>
        <v>33.131249999999994</v>
      </c>
      <c r="H5131" s="73"/>
      <c r="I5131" s="74"/>
      <c r="J5131" s="155">
        <v>0</v>
      </c>
    </row>
    <row r="5132" spans="1:10" hidden="1" x14ac:dyDescent="0.25">
      <c r="A5132" s="173"/>
      <c r="B5132" s="186"/>
      <c r="C5132" s="162" t="s">
        <v>756</v>
      </c>
      <c r="D5132" s="162" t="s">
        <v>755</v>
      </c>
      <c r="E5132" s="163">
        <v>1.5</v>
      </c>
      <c r="F5132" s="31">
        <v>16.311500000000002</v>
      </c>
      <c r="G5132" s="54">
        <f>IF(ISNUMBER(F5132),E5132*F5132,"")</f>
        <v>24.467250000000003</v>
      </c>
      <c r="H5132" s="73"/>
      <c r="I5132" s="74"/>
      <c r="J5132" s="155">
        <v>0</v>
      </c>
    </row>
    <row r="5133" spans="1:10" ht="15.75" hidden="1" thickBot="1" x14ac:dyDescent="0.3">
      <c r="A5133" s="185"/>
      <c r="B5133" s="178"/>
      <c r="C5133" s="55"/>
      <c r="D5133" s="165"/>
      <c r="E5133" s="66"/>
      <c r="F5133" s="76" t="s">
        <v>568</v>
      </c>
      <c r="G5133" s="76" t="str">
        <f>IF(ISNUMBER(F5133),E5133*F5133,"")</f>
        <v/>
      </c>
      <c r="H5133" s="77"/>
      <c r="I5133" s="74"/>
      <c r="J5133" s="155">
        <v>0</v>
      </c>
    </row>
    <row r="5134" spans="1:10" ht="15.75" hidden="1" thickBot="1" x14ac:dyDescent="0.3">
      <c r="A5134" s="172" t="s">
        <v>3788</v>
      </c>
      <c r="B5134" s="174" t="str">
        <f>INDEX(Orçamentária!A:B,MATCH(Composições!A5134,Orçamentária!A:A,0),2)</f>
        <v>Tubo multicamadas flexível 20 mm</v>
      </c>
      <c r="C5134" s="41"/>
      <c r="D5134" s="26" t="str">
        <f>TRIM(INDEX(Orçamentária!C:C,MATCH(Composições!A5134,Orçamentária!A:A,0),1))</f>
        <v>m</v>
      </c>
      <c r="E5134" s="27"/>
      <c r="F5134" s="49" t="s">
        <v>568</v>
      </c>
      <c r="G5134" s="28" t="str">
        <f>IF(ISNUMBER(F5134),E5134*F5134,"")</f>
        <v/>
      </c>
      <c r="H5134" s="29"/>
      <c r="I5134" s="30"/>
      <c r="J5134" s="155">
        <v>0</v>
      </c>
    </row>
    <row r="5135" spans="1:10" hidden="1" x14ac:dyDescent="0.25">
      <c r="A5135" s="173"/>
      <c r="B5135" s="175"/>
      <c r="C5135" s="167"/>
      <c r="D5135" s="167"/>
      <c r="E5135" s="168"/>
      <c r="F5135" s="54" t="s">
        <v>568</v>
      </c>
      <c r="G5135" s="54" t="str">
        <f>IF(ISNUMBER(F5135),E5135*F5135,"")</f>
        <v/>
      </c>
      <c r="H5135" s="73"/>
      <c r="I5135" s="74"/>
      <c r="J5135" s="155">
        <v>0</v>
      </c>
    </row>
    <row r="5136" spans="1:10" ht="25.5" hidden="1" x14ac:dyDescent="0.25">
      <c r="A5136" s="173"/>
      <c r="B5136" s="175"/>
      <c r="C5136" s="36" t="s">
        <v>3479</v>
      </c>
      <c r="D5136" s="36" t="s">
        <v>523</v>
      </c>
      <c r="E5136" s="37">
        <v>1.0216000000000001</v>
      </c>
      <c r="F5136" s="31">
        <v>15.855500000000001</v>
      </c>
      <c r="G5136" s="54">
        <f>IF(ISNUMBER(F5136),E5136*F5136,"")</f>
        <v>16.197978800000001</v>
      </c>
      <c r="H5136" s="39">
        <f>SUM(G5136:G5138)</f>
        <v>23.417602600000002</v>
      </c>
      <c r="I5136" s="40"/>
      <c r="J5136" s="155">
        <v>0</v>
      </c>
    </row>
    <row r="5137" spans="1:10" ht="25.5" hidden="1" x14ac:dyDescent="0.25">
      <c r="A5137" s="173"/>
      <c r="B5137" s="175"/>
      <c r="C5137" s="36" t="s">
        <v>1008</v>
      </c>
      <c r="D5137" s="47" t="s">
        <v>755</v>
      </c>
      <c r="E5137" s="37">
        <v>8.1799999999999998E-2</v>
      </c>
      <c r="F5137" s="31">
        <v>16.891000000000002</v>
      </c>
      <c r="G5137" s="54">
        <f>IF(ISNUMBER(F5137),E5137*F5137,"")</f>
        <v>1.3816838</v>
      </c>
      <c r="H5137" s="73"/>
      <c r="I5137" s="74"/>
      <c r="J5137" s="155">
        <v>0</v>
      </c>
    </row>
    <row r="5138" spans="1:10" ht="25.5" hidden="1" x14ac:dyDescent="0.25">
      <c r="A5138" s="173"/>
      <c r="B5138" s="175"/>
      <c r="C5138" s="36" t="s">
        <v>1009</v>
      </c>
      <c r="D5138" s="36" t="s">
        <v>755</v>
      </c>
      <c r="E5138" s="37">
        <v>0.27</v>
      </c>
      <c r="F5138" s="31">
        <v>21.622</v>
      </c>
      <c r="G5138" s="54">
        <f>IF(ISNUMBER(F5138),E5138*F5138,"")</f>
        <v>5.8379400000000006</v>
      </c>
      <c r="H5138" s="73"/>
      <c r="I5138" s="74"/>
      <c r="J5138" s="155">
        <v>0</v>
      </c>
    </row>
    <row r="5139" spans="1:10" hidden="1" x14ac:dyDescent="0.25">
      <c r="A5139" s="173"/>
      <c r="B5139" s="175"/>
      <c r="C5139" s="36"/>
      <c r="D5139" s="47"/>
      <c r="E5139" s="37"/>
      <c r="F5139" s="54" t="s">
        <v>568</v>
      </c>
      <c r="G5139" s="54" t="str">
        <f>IF(ISNUMBER(F5139),E5139*F5139,"")</f>
        <v/>
      </c>
      <c r="H5139" s="73"/>
      <c r="I5139" s="74"/>
      <c r="J5139" s="155">
        <v>0</v>
      </c>
    </row>
    <row r="5140" spans="1:10" ht="15.75" hidden="1" thickBot="1" x14ac:dyDescent="0.3">
      <c r="A5140" s="172" t="s">
        <v>3790</v>
      </c>
      <c r="B5140" s="174" t="str">
        <f>INDEX(Orçamentária!A:B,MATCH(Composições!A5140,Orçamentária!A:A,0),2)</f>
        <v>Tubo multicamadas flexível 26 mm</v>
      </c>
      <c r="C5140" s="41"/>
      <c r="D5140" s="26" t="str">
        <f>TRIM(INDEX(Orçamentária!C:C,MATCH(Composições!A5140,Orçamentária!A:A,0),1))</f>
        <v>m</v>
      </c>
      <c r="E5140" s="27"/>
      <c r="F5140" s="49" t="s">
        <v>568</v>
      </c>
      <c r="G5140" s="28" t="str">
        <f>IF(ISNUMBER(F5140),E5140*F5140,"")</f>
        <v/>
      </c>
      <c r="H5140" s="29"/>
      <c r="I5140" s="30"/>
      <c r="J5140" s="155">
        <v>0</v>
      </c>
    </row>
    <row r="5141" spans="1:10" hidden="1" x14ac:dyDescent="0.25">
      <c r="A5141" s="173"/>
      <c r="B5141" s="186"/>
      <c r="C5141" s="169"/>
      <c r="D5141" s="169"/>
      <c r="E5141" s="170"/>
      <c r="F5141" s="54" t="s">
        <v>568</v>
      </c>
      <c r="G5141" s="54" t="str">
        <f>IF(ISNUMBER(F5141),E5141*F5141,"")</f>
        <v/>
      </c>
      <c r="H5141" s="73"/>
      <c r="I5141" s="74"/>
      <c r="J5141" s="155">
        <v>0</v>
      </c>
    </row>
    <row r="5142" spans="1:10" ht="25.5" hidden="1" x14ac:dyDescent="0.25">
      <c r="A5142" s="173"/>
      <c r="B5142" s="186"/>
      <c r="C5142" s="36" t="s">
        <v>3478</v>
      </c>
      <c r="D5142" s="162" t="s">
        <v>523</v>
      </c>
      <c r="E5142" s="163">
        <v>1.0216000000000001</v>
      </c>
      <c r="F5142" s="31">
        <v>21.945</v>
      </c>
      <c r="G5142" s="54">
        <f>IF(ISNUMBER(F5142),E5142*F5142,"")</f>
        <v>22.419012000000002</v>
      </c>
      <c r="H5142" s="39">
        <f>SUM(G5142:G5144)</f>
        <v>31.056546900000004</v>
      </c>
      <c r="I5142" s="40"/>
      <c r="J5142" s="155">
        <v>0</v>
      </c>
    </row>
    <row r="5143" spans="1:10" ht="25.5" hidden="1" x14ac:dyDescent="0.25">
      <c r="A5143" s="173"/>
      <c r="B5143" s="186"/>
      <c r="C5143" s="162" t="s">
        <v>1008</v>
      </c>
      <c r="D5143" s="164" t="s">
        <v>755</v>
      </c>
      <c r="E5143" s="163">
        <v>9.7900000000000001E-2</v>
      </c>
      <c r="F5143" s="31">
        <v>16.891000000000002</v>
      </c>
      <c r="G5143" s="54">
        <f>IF(ISNUMBER(F5143),E5143*F5143,"")</f>
        <v>1.6536289000000002</v>
      </c>
      <c r="H5143" s="73"/>
      <c r="I5143" s="74"/>
      <c r="J5143" s="155">
        <v>0</v>
      </c>
    </row>
    <row r="5144" spans="1:10" ht="25.5" hidden="1" x14ac:dyDescent="0.25">
      <c r="A5144" s="173"/>
      <c r="B5144" s="186"/>
      <c r="C5144" s="162" t="s">
        <v>1009</v>
      </c>
      <c r="D5144" s="162" t="s">
        <v>755</v>
      </c>
      <c r="E5144" s="163">
        <v>0.32300000000000001</v>
      </c>
      <c r="F5144" s="31">
        <v>21.622</v>
      </c>
      <c r="G5144" s="54">
        <f>IF(ISNUMBER(F5144),E5144*F5144,"")</f>
        <v>6.9839060000000002</v>
      </c>
      <c r="H5144" s="73"/>
      <c r="I5144" s="74"/>
      <c r="J5144" s="155">
        <v>0</v>
      </c>
    </row>
    <row r="5145" spans="1:10" ht="15.75" hidden="1" thickBot="1" x14ac:dyDescent="0.3">
      <c r="A5145" s="185"/>
      <c r="B5145" s="178"/>
      <c r="C5145" s="55"/>
      <c r="D5145" s="165"/>
      <c r="E5145" s="66"/>
      <c r="F5145" s="76" t="s">
        <v>568</v>
      </c>
      <c r="G5145" s="76" t="str">
        <f>IF(ISNUMBER(F5145),E5145*F5145,"")</f>
        <v/>
      </c>
      <c r="H5145" s="77"/>
      <c r="I5145" s="74"/>
      <c r="J5145" s="155">
        <v>0</v>
      </c>
    </row>
  </sheetData>
  <protectedRanges>
    <protectedRange sqref="C216 C108 C3155:C3156 C815 C3299 C1859 C1865 C1901 C1877 C1895 C1871 C1883 C1889 C1907 C1913 C1818 C1823 C1919 C2406 C3160 C3287 C3196 C3217 C3164 C3171 C3133 C3202 C3212 C3186 C3192 C3204 C3293 C1940 C1945 C1950 C2732 C2424 C2752 C2757 C2412 C2416 C2420 C2428 C2432 C2436 C2440 C2444 C2448" name="COTACOES_92_6"/>
    <protectedRange sqref="C354" name="COTACOES_14_1_1"/>
    <protectedRange sqref="C420 C399" name="COTACOES_92_13_1"/>
    <protectedRange sqref="C506" name="COTACOES_92_4_1_1"/>
    <protectedRange sqref="C499" name="COTACOES_92_4_2_1"/>
    <protectedRange sqref="C793:C794 C761 C758:C759 C775:C776 C778 C799" name="COTACOES_92_3_1_1"/>
    <protectedRange sqref="C749" name="COTACOES_92_22_1"/>
    <protectedRange sqref="C1231" name="COTACOES_91_1_2_1"/>
    <protectedRange sqref="C1224" name="COTACOES_91_1_3_1"/>
    <protectedRange sqref="C1393:C1394" name="COTACOES_68_1_1"/>
    <protectedRange sqref="F1531 F1547 F1523 F1515 F1539" name="COTACOES_27_1_2_1_8_1"/>
    <protectedRange sqref="C1555 C1531 C1547 C1523 C1515 C1539" name="COTACOES_5_1_8_1"/>
    <protectedRange sqref="C1412:C1416 C1427:C1431 C1442:C1446 C1457:C1461 C1472:C1476 C1487:C1491 C1502:C1506" name="COTACOES_32_1_1"/>
    <protectedRange sqref="F1587 F1590 F1593" name="COTACOES_27_1_2_1_17_1"/>
    <protectedRange sqref="C1586:C1591 C1593:C1594" name="COTACOES_5_1_17_1"/>
    <protectedRange sqref="C1651 C1634 C1628 C1657 C4927 C4933" name="COTACOES_15_1_1"/>
    <protectedRange sqref="C1740:C1742 C1751:C1753" name="COTACOES_8_1_1"/>
    <protectedRange sqref="C1718:C1720 C1729:C1731 C4787:C4788 C4794:C4795 C4801:C4802 C4808:C4809 C4851:C4852 C4864:C4865 C4870 C4874:C4875 C4880:C4881 C4894:C4895 C4939:C4940" name="COTACOES_9_1_1_3"/>
    <protectedRange sqref="C1704" name="COTACOES_10_1_1"/>
    <protectedRange sqref="C1778" name="COTACOES_42_1_3"/>
    <protectedRange sqref="C1792" name="COTACOES_42_1_1_1"/>
    <protectedRange sqref="C1806" name="COTACOES_42_1_2_1"/>
    <protectedRange sqref="F1764" name="COTACOES_27_1_1_3_1"/>
    <protectedRange sqref="F1771" name="COTACOES_27_1_1_4_1"/>
    <protectedRange sqref="C1830" name="COTACOES_37_1_1"/>
    <protectedRange sqref="C1836" name="COTACOES_82_1_1"/>
    <protectedRange sqref="C1849" name="COTACOES_58_1_1"/>
    <protectedRange sqref="C1855" name="COTACOES_61_1_1"/>
    <protectedRange sqref="C1861" name="COTACOES_40_1_1"/>
    <protectedRange sqref="C1867" name="COTACOES_36_1_2"/>
    <protectedRange sqref="C1903" name="COTACOES_41_1_2"/>
    <protectedRange sqref="C1879 C1897" name="COTACOES_41_1_1_1"/>
    <protectedRange sqref="C1873" name="COTACOES_36_1_1_1"/>
    <protectedRange sqref="C1885 C1891" name="COTACOES_44_1_1"/>
    <protectedRange sqref="C1909" name="COTACOES_51_1_1"/>
    <protectedRange sqref="F1909" name="COTACOES_54_1_1"/>
    <protectedRange sqref="C1915 C2408 C3039:C3040 C3190 C3184 C3167 C3220 C3174:C3176 C2734 C2747 C2740 C2764" name="COTACOES_55_1_3"/>
    <protectedRange sqref="F1915" name="COTACOES_57_1_1"/>
    <protectedRange sqref="C1957" name="COTACOES_75_1_2"/>
    <protectedRange sqref="C1963" name="COTACOES_75_1_1_1"/>
    <protectedRange sqref="C1993 C1985" name="COTACOES_78_1_1"/>
    <protectedRange sqref="C1976" name="COTACOES_80_1_2"/>
    <protectedRange sqref="C1969" name="COTACOES_80_1_1_1"/>
    <protectedRange sqref="C2339" name="COTACOES_62_1_1"/>
    <protectedRange sqref="C2400" name="COTACOES_4_1_1"/>
    <protectedRange sqref="C833:C834" name="COTACOES_92_4_3"/>
    <protectedRange sqref="C784" name="COTACOES_92_2_7"/>
    <protectedRange sqref="C3313" name="COTACOES_92_2_3_2"/>
    <protectedRange sqref="C3316" name="COTACOES_55_1_1_3"/>
    <protectedRange sqref="C3321" name="COTACOES_92_2_5_1"/>
    <protectedRange sqref="C3327" name="COTACOES_55_1_2_1"/>
    <protectedRange sqref="C3611:C3613" name="COTACOES_55_1_1_1_1"/>
    <protectedRange sqref="C3631:C3633 C3646" name="COTACOES_55_1_1_2_1"/>
    <protectedRange sqref="C3637" name="COTACOES_92_1_2_1"/>
    <protectedRange sqref="C3640:C3642 C3707 C3644:C3645 C3647 C3713" name="COTACOES_55_1_1_4_1"/>
    <protectedRange sqref="C3742 C3751" name="COTACOES_92_12_1"/>
    <protectedRange sqref="C3745:C3746 C3754:C3755" name="COTACOES_55_1_5_1"/>
    <protectedRange sqref="C3759" name="COTACOES_92_14_1"/>
    <protectedRange sqref="C3761:C3763" name="COTACOES_55_1_6_1"/>
    <protectedRange sqref="C3771:C3781" name="COTACOES_92_15_1"/>
    <protectedRange sqref="C3834" name="COTACOES_9_1_1_1_1"/>
    <protectedRange sqref="C3843:C3845" name="COTACOES_9_1_1_2_1"/>
    <protectedRange sqref="C3873" name="COTACOES_92_16_1"/>
    <protectedRange sqref="C3876:C3877" name="COTACOES_55_1_7_2"/>
    <protectedRange sqref="C3886" name="COTACOES_92_17_2"/>
    <protectedRange sqref="C3892:C3894" name="COTACOES_55_1_8_1"/>
    <protectedRange sqref="C3858 C4036 C4069 C4076 C4083 C4101" name="COTACOES_55_1_7_1_2"/>
    <protectedRange sqref="C3912 C3921 C3930 C3939 C3948 C3957" name="COTACOES_92_17_1_1"/>
    <protectedRange sqref="C3978" name="COTACOES_55_1_7_1_1_1"/>
    <protectedRange sqref="C2452 C2664 C2456 C2460 C2472 C2476 C2480 C2484 C2488 C2492 C2496 C2500 C2504 C2508 C2512 C2516 C2520 C2524 C2528 C2532 C2536 C2540 C2544 C2548 C2552 C2556 C2560 C2564 C2568 C2668 C2464 C2468" name="COTACOES_92_3_2"/>
    <protectedRange sqref="C2572 C2576 C2580 C2600 C2592 C2594:C2595 C2602:C2603 C2608 C2610:C2611 C2616 C2620 C2624 C2628 C2636 C2640 C2644 C2648 C2656 C2632 C2660" name="COTACOES_92_5_2"/>
    <protectedRange sqref="C3995 C3985:C3987 C3991:C3992" name="COTACOES_55_1_7_1_1_1_1"/>
    <protectedRange sqref="C4248" name="COTACOES_92_17_1_1_1"/>
    <protectedRange sqref="C2672:C2674 C2678:C2680 C2684:C2686 C2690:C2692 C2696:C2698 C2702:C2704 C2714:C2716 C2720:C2722 C2726:C2728 C2708:C2710" name="COTACOES_92_3_2_1"/>
    <protectedRange sqref="C4230" name="COTACOES_92_17_1_1_1_1"/>
    <protectedRange sqref="C387" name="COTACOES_92_3_1_1_1"/>
    <protectedRange sqref="C408" name="COTACOES_92_3_1_1_2"/>
    <protectedRange sqref="C417" name="COTACOES_92_3_1_1_3"/>
    <protectedRange sqref="C796" name="COTACOES_92_3_1_1_4"/>
    <protectedRange sqref="C807" name="COTACOES_92_3_1_1_5"/>
    <protectedRange sqref="C2588" name="COTACOES_92_5_2_1"/>
    <protectedRange sqref="C4102" name="COTACOES_92_5_2_2"/>
  </protectedRanges>
  <autoFilter ref="A5:J5145">
    <filterColumn colId="9">
      <filters>
        <filter val="0,20"/>
        <filter val="0,97"/>
        <filter val="1,00"/>
        <filter val="1,60"/>
        <filter val="1,70"/>
        <filter val="1,74"/>
        <filter val="102,13"/>
        <filter val="107,00"/>
        <filter val="11,00"/>
        <filter val="110,00"/>
        <filter val="113,00"/>
        <filter val="116,63"/>
        <filter val="12,00"/>
        <filter val="120,00"/>
        <filter val="128,03"/>
        <filter val="15,00"/>
        <filter val="15,23"/>
        <filter val="155,50"/>
        <filter val="156,00"/>
        <filter val="158,60"/>
        <filter val="160,00"/>
        <filter val="17,00"/>
        <filter val="1790,00"/>
        <filter val="18,00"/>
        <filter val="19,00"/>
        <filter val="196,20"/>
        <filter val="2,00"/>
        <filter val="2,70"/>
        <filter val="20,00"/>
        <filter val="207,11"/>
        <filter val="212,81"/>
        <filter val="22,20"/>
        <filter val="22,73"/>
        <filter val="235,00"/>
        <filter val="238,20"/>
        <filter val="24,00"/>
        <filter val="246,00"/>
        <filter val="25,78"/>
        <filter val="256,65"/>
        <filter val="268,83"/>
        <filter val="3,00"/>
        <filter val="3,09"/>
        <filter val="3,92"/>
        <filter val="30,00"/>
        <filter val="310,61"/>
        <filter val="318,60"/>
        <filter val="323,20"/>
        <filter val="330,00"/>
        <filter val="34,00"/>
        <filter val="35,27"/>
        <filter val="370,00"/>
        <filter val="370,15"/>
        <filter val="382,00"/>
        <filter val="4,00"/>
        <filter val="4,72"/>
        <filter val="4,83"/>
        <filter val="4,95"/>
        <filter val="44,70"/>
        <filter val="492,00"/>
        <filter val="5,00"/>
        <filter val="5,04"/>
        <filter val="5,50"/>
        <filter val="52,18"/>
        <filter val="52,30"/>
        <filter val="54,67"/>
        <filter val="583,93"/>
        <filter val="59,00"/>
        <filter val="6,00"/>
        <filter val="6,10"/>
        <filter val="6,46"/>
        <filter val="67,00"/>
        <filter val="68,00"/>
        <filter val="68,05"/>
        <filter val="7,00"/>
        <filter val="738,00"/>
        <filter val="8,00"/>
        <filter val="83,00"/>
        <filter val="9,00"/>
        <filter val="9,20"/>
        <filter val="91,00"/>
        <filter val="92,18"/>
        <filter val="926,64"/>
        <filter val="93,00"/>
        <filter val="94,23"/>
      </filters>
    </filterColumn>
  </autoFilter>
  <mergeCells count="1478">
    <mergeCell ref="A2646:A2649"/>
    <mergeCell ref="B2646:B2649"/>
    <mergeCell ref="A2650:A2653"/>
    <mergeCell ref="B2650:B2653"/>
    <mergeCell ref="A2654:A2657"/>
    <mergeCell ref="B2654:B2657"/>
    <mergeCell ref="A2502:A2505"/>
    <mergeCell ref="B2502:B2505"/>
    <mergeCell ref="A2506:A2509"/>
    <mergeCell ref="B2506:B2509"/>
    <mergeCell ref="A2510:A2513"/>
    <mergeCell ref="B2510:B2513"/>
    <mergeCell ref="A2514:A2517"/>
    <mergeCell ref="B2514:B2517"/>
    <mergeCell ref="A2518:A2521"/>
    <mergeCell ref="B2518:B2521"/>
    <mergeCell ref="A2522:A2525"/>
    <mergeCell ref="B2522:B2525"/>
    <mergeCell ref="A2562:A2565"/>
    <mergeCell ref="B2562:B2565"/>
    <mergeCell ref="A2566:A2569"/>
    <mergeCell ref="B2566:B2569"/>
    <mergeCell ref="A2634:A2637"/>
    <mergeCell ref="B2634:B2637"/>
    <mergeCell ref="A2638:A2641"/>
    <mergeCell ref="B2638:B2641"/>
    <mergeCell ref="A2642:A2645"/>
    <mergeCell ref="B2642:B2645"/>
    <mergeCell ref="A2622:A2625"/>
    <mergeCell ref="B2622:B2625"/>
    <mergeCell ref="A2626:A2629"/>
    <mergeCell ref="B2626:B2629"/>
    <mergeCell ref="A2658:A2661"/>
    <mergeCell ref="B2658:B2661"/>
    <mergeCell ref="A2526:A2529"/>
    <mergeCell ref="B2526:B2529"/>
    <mergeCell ref="A2530:A2533"/>
    <mergeCell ref="B2530:B2533"/>
    <mergeCell ref="A2534:A2537"/>
    <mergeCell ref="B2534:B2537"/>
    <mergeCell ref="A2538:A2541"/>
    <mergeCell ref="B2538:B2541"/>
    <mergeCell ref="A2542:A2545"/>
    <mergeCell ref="B2542:B2545"/>
    <mergeCell ref="A2546:A2549"/>
    <mergeCell ref="B2546:B2549"/>
    <mergeCell ref="A2550:A2553"/>
    <mergeCell ref="B2550:B2553"/>
    <mergeCell ref="A2458:A2461"/>
    <mergeCell ref="B2458:B2461"/>
    <mergeCell ref="A2470:A2473"/>
    <mergeCell ref="B2470:B2473"/>
    <mergeCell ref="A2474:A2477"/>
    <mergeCell ref="B2474:B2477"/>
    <mergeCell ref="A2478:A2481"/>
    <mergeCell ref="B2478:B2481"/>
    <mergeCell ref="A2482:A2485"/>
    <mergeCell ref="B2482:B2485"/>
    <mergeCell ref="A2486:A2489"/>
    <mergeCell ref="B2486:B2489"/>
    <mergeCell ref="A2490:A2493"/>
    <mergeCell ref="B2490:B2493"/>
    <mergeCell ref="A2494:A2497"/>
    <mergeCell ref="B2494:B2497"/>
    <mergeCell ref="A5134:A5139"/>
    <mergeCell ref="B5134:B5139"/>
    <mergeCell ref="A5140:A5145"/>
    <mergeCell ref="B5140:B5145"/>
    <mergeCell ref="A4944:A4950"/>
    <mergeCell ref="B4944:B4950"/>
    <mergeCell ref="A4951:A4963"/>
    <mergeCell ref="B4951:B4963"/>
    <mergeCell ref="A4931:A4936"/>
    <mergeCell ref="B4931:B4936"/>
    <mergeCell ref="A4937:A4943"/>
    <mergeCell ref="B4937:B4943"/>
    <mergeCell ref="A4872:A4877"/>
    <mergeCell ref="B4872:B4877"/>
    <mergeCell ref="A4878:A4883"/>
    <mergeCell ref="B4878:B4883"/>
    <mergeCell ref="A4884:A4890"/>
    <mergeCell ref="B4884:B4890"/>
    <mergeCell ref="A4891:A4897"/>
    <mergeCell ref="B4891:B4897"/>
    <mergeCell ref="A4898:A4904"/>
    <mergeCell ref="B4898:B4904"/>
    <mergeCell ref="A4905:A4912"/>
    <mergeCell ref="B4905:B4912"/>
    <mergeCell ref="A4913:A4918"/>
    <mergeCell ref="B4913:B4918"/>
    <mergeCell ref="A4919:A4924"/>
    <mergeCell ref="B4919:B4924"/>
    <mergeCell ref="A4925:A4930"/>
    <mergeCell ref="B4925:B4930"/>
    <mergeCell ref="A4978:A4985"/>
    <mergeCell ref="B4978:B4985"/>
    <mergeCell ref="A4818:A4823"/>
    <mergeCell ref="B4818:B4823"/>
    <mergeCell ref="A4824:A4829"/>
    <mergeCell ref="B4824:B4829"/>
    <mergeCell ref="A4830:A4835"/>
    <mergeCell ref="B4830:B4835"/>
    <mergeCell ref="A4836:A4841"/>
    <mergeCell ref="B4836:B4841"/>
    <mergeCell ref="A4842:A4848"/>
    <mergeCell ref="B4842:B4848"/>
    <mergeCell ref="A4849:A4853"/>
    <mergeCell ref="B4849:B4853"/>
    <mergeCell ref="A4854:A4861"/>
    <mergeCell ref="B4854:B4861"/>
    <mergeCell ref="A4862:A4867"/>
    <mergeCell ref="B4862:B4867"/>
    <mergeCell ref="A4868:A4871"/>
    <mergeCell ref="B4868:B4871"/>
    <mergeCell ref="A4759:A4765"/>
    <mergeCell ref="B4759:B4765"/>
    <mergeCell ref="A4766:A4772"/>
    <mergeCell ref="B4766:B4772"/>
    <mergeCell ref="A4773:A4779"/>
    <mergeCell ref="B4773:B4779"/>
    <mergeCell ref="A4780:A4784"/>
    <mergeCell ref="B4780:B4784"/>
    <mergeCell ref="A4785:A4791"/>
    <mergeCell ref="B4785:B4791"/>
    <mergeCell ref="B4792:B4798"/>
    <mergeCell ref="A4792:A4798"/>
    <mergeCell ref="A4799:A4805"/>
    <mergeCell ref="B4799:B4805"/>
    <mergeCell ref="A4806:A4812"/>
    <mergeCell ref="B4806:B4812"/>
    <mergeCell ref="A4813:A4817"/>
    <mergeCell ref="B4813:B4817"/>
    <mergeCell ref="A4695:A4702"/>
    <mergeCell ref="B4695:B4702"/>
    <mergeCell ref="A4703:A4710"/>
    <mergeCell ref="B4703:B4710"/>
    <mergeCell ref="A4711:A4718"/>
    <mergeCell ref="B4711:B4718"/>
    <mergeCell ref="A4719:A4726"/>
    <mergeCell ref="B4719:B4726"/>
    <mergeCell ref="A4663:A4670"/>
    <mergeCell ref="B4663:B4670"/>
    <mergeCell ref="A4727:A4736"/>
    <mergeCell ref="B4727:B4736"/>
    <mergeCell ref="A4737:A4744"/>
    <mergeCell ref="B4737:B4744"/>
    <mergeCell ref="A4745:A4751"/>
    <mergeCell ref="B4745:B4751"/>
    <mergeCell ref="A4752:A4758"/>
    <mergeCell ref="B4752:B4758"/>
    <mergeCell ref="A4628:A4637"/>
    <mergeCell ref="B4628:B4637"/>
    <mergeCell ref="A4638:A4647"/>
    <mergeCell ref="B4638:B4647"/>
    <mergeCell ref="A4648:A4652"/>
    <mergeCell ref="B4648:B4652"/>
    <mergeCell ref="A4653:A4657"/>
    <mergeCell ref="B4653:B4657"/>
    <mergeCell ref="A4658:A4662"/>
    <mergeCell ref="B4658:B4662"/>
    <mergeCell ref="A4671:A4678"/>
    <mergeCell ref="B4671:B4678"/>
    <mergeCell ref="A4679:A4686"/>
    <mergeCell ref="B4679:B4686"/>
    <mergeCell ref="A4687:A4694"/>
    <mergeCell ref="B4687:B4694"/>
    <mergeCell ref="A4612:A4622"/>
    <mergeCell ref="B4612:B4622"/>
    <mergeCell ref="A4623:A4627"/>
    <mergeCell ref="B4623:B4627"/>
    <mergeCell ref="A4586:A4597"/>
    <mergeCell ref="B4586:B4597"/>
    <mergeCell ref="A4598:A4603"/>
    <mergeCell ref="B4598:B4603"/>
    <mergeCell ref="A4604:A4611"/>
    <mergeCell ref="B4604:B4611"/>
    <mergeCell ref="A4563:A4568"/>
    <mergeCell ref="B4563:B4568"/>
    <mergeCell ref="A4569:A4576"/>
    <mergeCell ref="B4569:B4576"/>
    <mergeCell ref="A4577:A4585"/>
    <mergeCell ref="B4577:B4585"/>
    <mergeCell ref="A4537:A4544"/>
    <mergeCell ref="B4537:B4544"/>
    <mergeCell ref="A4545:A4552"/>
    <mergeCell ref="B4545:B4552"/>
    <mergeCell ref="A4553:A4562"/>
    <mergeCell ref="B4553:B4562"/>
    <mergeCell ref="A4511:A4522"/>
    <mergeCell ref="B4511:B4522"/>
    <mergeCell ref="A4523:A4530"/>
    <mergeCell ref="B4523:B4530"/>
    <mergeCell ref="A4531:A4536"/>
    <mergeCell ref="B4531:B4536"/>
    <mergeCell ref="A4488:A4496"/>
    <mergeCell ref="B4488:B4496"/>
    <mergeCell ref="A4497:A4504"/>
    <mergeCell ref="B4497:B4504"/>
    <mergeCell ref="A4505:A4510"/>
    <mergeCell ref="B4505:B4510"/>
    <mergeCell ref="A4449:A4460"/>
    <mergeCell ref="B4449:B4460"/>
    <mergeCell ref="A4461:A4479"/>
    <mergeCell ref="B4461:B4479"/>
    <mergeCell ref="A4480:A4487"/>
    <mergeCell ref="B4480:B4487"/>
    <mergeCell ref="A4425:A4430"/>
    <mergeCell ref="B4425:B4430"/>
    <mergeCell ref="A4431:A4436"/>
    <mergeCell ref="B4431:B4436"/>
    <mergeCell ref="A4437:A4448"/>
    <mergeCell ref="B4437:B4448"/>
    <mergeCell ref="A4406:A4410"/>
    <mergeCell ref="B4406:B4410"/>
    <mergeCell ref="A4411:A4416"/>
    <mergeCell ref="B4411:B4416"/>
    <mergeCell ref="A4417:A4424"/>
    <mergeCell ref="B4417:B4424"/>
    <mergeCell ref="A4387:A4394"/>
    <mergeCell ref="B4387:B4394"/>
    <mergeCell ref="A4395:A4400"/>
    <mergeCell ref="B4395:B4400"/>
    <mergeCell ref="A4401:A4405"/>
    <mergeCell ref="B4401:B4405"/>
    <mergeCell ref="A4353:A4358"/>
    <mergeCell ref="B4353:B4358"/>
    <mergeCell ref="A4359:A4378"/>
    <mergeCell ref="B4359:B4378"/>
    <mergeCell ref="A4379:A4386"/>
    <mergeCell ref="B4379:B4386"/>
    <mergeCell ref="A4320:A4327"/>
    <mergeCell ref="B4320:B4327"/>
    <mergeCell ref="A4328:A4343"/>
    <mergeCell ref="B4328:B4343"/>
    <mergeCell ref="A4344:A4352"/>
    <mergeCell ref="B4344:B4352"/>
    <mergeCell ref="A4290:A4299"/>
    <mergeCell ref="B4290:B4299"/>
    <mergeCell ref="A4300:A4309"/>
    <mergeCell ref="B4300:B4309"/>
    <mergeCell ref="A4310:A4319"/>
    <mergeCell ref="B4310:B4319"/>
    <mergeCell ref="A4264:A4273"/>
    <mergeCell ref="B4264:B4273"/>
    <mergeCell ref="A4274:A4281"/>
    <mergeCell ref="B4274:B4281"/>
    <mergeCell ref="A4282:A4289"/>
    <mergeCell ref="B4282:B4289"/>
    <mergeCell ref="A4237:A4245"/>
    <mergeCell ref="B4237:B4245"/>
    <mergeCell ref="A4246:A4254"/>
    <mergeCell ref="B4246:B4254"/>
    <mergeCell ref="A4255:A4263"/>
    <mergeCell ref="B4255:B4263"/>
    <mergeCell ref="A4211:A4217"/>
    <mergeCell ref="B4211:B4217"/>
    <mergeCell ref="A4218:A4227"/>
    <mergeCell ref="B4218:B4227"/>
    <mergeCell ref="A4228:A4236"/>
    <mergeCell ref="B4228:B4236"/>
    <mergeCell ref="A4159:A4167"/>
    <mergeCell ref="B4159:B4167"/>
    <mergeCell ref="A4168:A4183"/>
    <mergeCell ref="B4168:B4183"/>
    <mergeCell ref="A4184:A4210"/>
    <mergeCell ref="B4184:B4210"/>
    <mergeCell ref="A4136:A4143"/>
    <mergeCell ref="B4136:B4143"/>
    <mergeCell ref="A4144:A4148"/>
    <mergeCell ref="B4144:B4148"/>
    <mergeCell ref="A4149:A4158"/>
    <mergeCell ref="B4149:B4158"/>
    <mergeCell ref="A4123:A4128"/>
    <mergeCell ref="B4123:B4128"/>
    <mergeCell ref="A4129:A4135"/>
    <mergeCell ref="B4129:B4135"/>
    <mergeCell ref="A4099:A4108"/>
    <mergeCell ref="B4099:B4108"/>
    <mergeCell ref="A4109:A4114"/>
    <mergeCell ref="B4109:B4114"/>
    <mergeCell ref="A4115:A4122"/>
    <mergeCell ref="B4115:B4122"/>
    <mergeCell ref="A4081:A4086"/>
    <mergeCell ref="B4081:B4086"/>
    <mergeCell ref="A4087:A4092"/>
    <mergeCell ref="B4087:B4092"/>
    <mergeCell ref="A4093:A4098"/>
    <mergeCell ref="B4093:B4098"/>
    <mergeCell ref="A4063:A4066"/>
    <mergeCell ref="B4063:B4066"/>
    <mergeCell ref="A4067:A4073"/>
    <mergeCell ref="B4067:B4073"/>
    <mergeCell ref="A4074:A4080"/>
    <mergeCell ref="B4074:B4080"/>
    <mergeCell ref="A4034:A4040"/>
    <mergeCell ref="B4034:B4040"/>
    <mergeCell ref="A4041:A4051"/>
    <mergeCell ref="B4041:B4051"/>
    <mergeCell ref="A4052:A4062"/>
    <mergeCell ref="B4052:B4062"/>
    <mergeCell ref="A4008:A4015"/>
    <mergeCell ref="B4008:B4015"/>
    <mergeCell ref="A4016:A4023"/>
    <mergeCell ref="B4016:B4023"/>
    <mergeCell ref="A4024:A4033"/>
    <mergeCell ref="B4024:B4033"/>
    <mergeCell ref="A3989:A3992"/>
    <mergeCell ref="B3989:B3992"/>
    <mergeCell ref="A3993:A3999"/>
    <mergeCell ref="B3993:B3999"/>
    <mergeCell ref="A4000:A4007"/>
    <mergeCell ref="B4000:B4007"/>
    <mergeCell ref="A3970:A3975"/>
    <mergeCell ref="B3970:B3975"/>
    <mergeCell ref="A3976:A3982"/>
    <mergeCell ref="B3976:B3982"/>
    <mergeCell ref="A3983:A3988"/>
    <mergeCell ref="B3983:B3988"/>
    <mergeCell ref="A3946:A3954"/>
    <mergeCell ref="B3946:B3954"/>
    <mergeCell ref="A3955:A3963"/>
    <mergeCell ref="B3955:B3963"/>
    <mergeCell ref="A3964:A3969"/>
    <mergeCell ref="B3964:B3969"/>
    <mergeCell ref="A3919:A3927"/>
    <mergeCell ref="B3919:B3927"/>
    <mergeCell ref="A3928:A3936"/>
    <mergeCell ref="B3928:B3936"/>
    <mergeCell ref="A3937:A3945"/>
    <mergeCell ref="B3937:B3945"/>
    <mergeCell ref="A3902:A3905"/>
    <mergeCell ref="B3902:B3905"/>
    <mergeCell ref="A3906:A3909"/>
    <mergeCell ref="B3906:B3909"/>
    <mergeCell ref="A3910:A3918"/>
    <mergeCell ref="B3910:B3918"/>
    <mergeCell ref="A3871:A3883"/>
    <mergeCell ref="B3871:B3883"/>
    <mergeCell ref="A3884:A3896"/>
    <mergeCell ref="B3884:B3896"/>
    <mergeCell ref="A3897:A3901"/>
    <mergeCell ref="B3897:B3901"/>
    <mergeCell ref="A3848:A3855"/>
    <mergeCell ref="B3848:B3855"/>
    <mergeCell ref="A3856:A3862"/>
    <mergeCell ref="B3856:B3862"/>
    <mergeCell ref="A3863:A3870"/>
    <mergeCell ref="B3863:B3870"/>
    <mergeCell ref="A3825:A3831"/>
    <mergeCell ref="B3825:B3831"/>
    <mergeCell ref="A3832:A3840"/>
    <mergeCell ref="B3832:B3840"/>
    <mergeCell ref="A3841:A3847"/>
    <mergeCell ref="B3841:B3847"/>
    <mergeCell ref="A3807:A3812"/>
    <mergeCell ref="B3807:B3812"/>
    <mergeCell ref="A3813:A3818"/>
    <mergeCell ref="B3813:B3818"/>
    <mergeCell ref="A3819:A3824"/>
    <mergeCell ref="B3819:B3824"/>
    <mergeCell ref="A3769:A3783"/>
    <mergeCell ref="B3769:B3783"/>
    <mergeCell ref="A3784:A3790"/>
    <mergeCell ref="B3784:B3790"/>
    <mergeCell ref="A3791:A3806"/>
    <mergeCell ref="B3791:B3806"/>
    <mergeCell ref="A3740:A3748"/>
    <mergeCell ref="B3740:B3748"/>
    <mergeCell ref="A3749:A3756"/>
    <mergeCell ref="B3749:B3756"/>
    <mergeCell ref="A3757:A3768"/>
    <mergeCell ref="B3757:B3768"/>
    <mergeCell ref="A3714:A3718"/>
    <mergeCell ref="B3714:B3718"/>
    <mergeCell ref="A3719:A3729"/>
    <mergeCell ref="B3719:B3729"/>
    <mergeCell ref="A3730:A3739"/>
    <mergeCell ref="B3730:B3739"/>
    <mergeCell ref="A3700:A3703"/>
    <mergeCell ref="B3700:B3703"/>
    <mergeCell ref="A3704:A3707"/>
    <mergeCell ref="B3704:B3707"/>
    <mergeCell ref="A3708:A3713"/>
    <mergeCell ref="B3708:B3713"/>
    <mergeCell ref="A3678:A3686"/>
    <mergeCell ref="B3678:B3686"/>
    <mergeCell ref="A3687:A3695"/>
    <mergeCell ref="B3687:B3695"/>
    <mergeCell ref="A3696:A3699"/>
    <mergeCell ref="B3696:B3699"/>
    <mergeCell ref="A3659:A3662"/>
    <mergeCell ref="B3659:B3662"/>
    <mergeCell ref="A3663:A3672"/>
    <mergeCell ref="B3663:B3672"/>
    <mergeCell ref="A3673:A3677"/>
    <mergeCell ref="B3673:B3677"/>
    <mergeCell ref="A3623:A3634"/>
    <mergeCell ref="B3623:B3634"/>
    <mergeCell ref="A3635:A3647"/>
    <mergeCell ref="B3635:B3647"/>
    <mergeCell ref="A3648:A3658"/>
    <mergeCell ref="B3648:B3658"/>
    <mergeCell ref="A3594:A3599"/>
    <mergeCell ref="B3594:B3599"/>
    <mergeCell ref="A3600:A3614"/>
    <mergeCell ref="B3600:B3614"/>
    <mergeCell ref="A3615:A3622"/>
    <mergeCell ref="B3615:B3622"/>
    <mergeCell ref="A3577:A3581"/>
    <mergeCell ref="B3577:B3581"/>
    <mergeCell ref="A3582:A3589"/>
    <mergeCell ref="B3582:B3589"/>
    <mergeCell ref="A3590:A3593"/>
    <mergeCell ref="B3590:B3593"/>
    <mergeCell ref="A3556:A3561"/>
    <mergeCell ref="B3556:B3561"/>
    <mergeCell ref="A3562:A3571"/>
    <mergeCell ref="B3562:B3571"/>
    <mergeCell ref="A3572:A3576"/>
    <mergeCell ref="B3572:B3576"/>
    <mergeCell ref="A3535:A3542"/>
    <mergeCell ref="B3535:B3542"/>
    <mergeCell ref="A3543:A3548"/>
    <mergeCell ref="B3543:B3548"/>
    <mergeCell ref="A3549:A3555"/>
    <mergeCell ref="B3549:B3555"/>
    <mergeCell ref="A3515:A3522"/>
    <mergeCell ref="B3515:B3522"/>
    <mergeCell ref="A3523:A3529"/>
    <mergeCell ref="B3523:B3529"/>
    <mergeCell ref="A3530:A3534"/>
    <mergeCell ref="B3530:B3534"/>
    <mergeCell ref="A3487:A3502"/>
    <mergeCell ref="B3487:B3502"/>
    <mergeCell ref="A3503:A3508"/>
    <mergeCell ref="B3503:B3508"/>
    <mergeCell ref="A3509:A3514"/>
    <mergeCell ref="B3509:B3514"/>
    <mergeCell ref="A3451:A3467"/>
    <mergeCell ref="B3451:B3467"/>
    <mergeCell ref="A3468:A3479"/>
    <mergeCell ref="B3468:B3479"/>
    <mergeCell ref="A3480:A3486"/>
    <mergeCell ref="B3480:B3486"/>
    <mergeCell ref="A3418:A3425"/>
    <mergeCell ref="B3418:B3425"/>
    <mergeCell ref="A3426:A3442"/>
    <mergeCell ref="B3426:B3442"/>
    <mergeCell ref="A3443:A3450"/>
    <mergeCell ref="B3443:B3450"/>
    <mergeCell ref="A3393:A3396"/>
    <mergeCell ref="B3393:B3396"/>
    <mergeCell ref="A3397:A3406"/>
    <mergeCell ref="B3397:B3406"/>
    <mergeCell ref="A3407:A3417"/>
    <mergeCell ref="B3407:B3417"/>
    <mergeCell ref="A3379:A3383"/>
    <mergeCell ref="B3379:B3383"/>
    <mergeCell ref="A3384:A3388"/>
    <mergeCell ref="B3384:B3388"/>
    <mergeCell ref="A3389:A3392"/>
    <mergeCell ref="B3389:B3392"/>
    <mergeCell ref="A3360:A3366"/>
    <mergeCell ref="B3360:B3366"/>
    <mergeCell ref="A3367:A3373"/>
    <mergeCell ref="B3367:B3373"/>
    <mergeCell ref="A3374:A3378"/>
    <mergeCell ref="B3374:B3378"/>
    <mergeCell ref="A3345:A3348"/>
    <mergeCell ref="B3345:B3348"/>
    <mergeCell ref="A3349:A3352"/>
    <mergeCell ref="B3349:B3352"/>
    <mergeCell ref="A3353:A3359"/>
    <mergeCell ref="B3353:B3359"/>
    <mergeCell ref="A3332:A3335"/>
    <mergeCell ref="B3332:B3335"/>
    <mergeCell ref="A3336:A3339"/>
    <mergeCell ref="B3336:B3339"/>
    <mergeCell ref="A3340:A3344"/>
    <mergeCell ref="B3340:B3344"/>
    <mergeCell ref="A3311:A3317"/>
    <mergeCell ref="B3311:B3317"/>
    <mergeCell ref="A3318:A3324"/>
    <mergeCell ref="B3318:B3324"/>
    <mergeCell ref="A3325:A3331"/>
    <mergeCell ref="B3325:B3331"/>
    <mergeCell ref="A3291:A3296"/>
    <mergeCell ref="B3291:B3296"/>
    <mergeCell ref="A3297:A3305"/>
    <mergeCell ref="B3297:B3305"/>
    <mergeCell ref="A3306:A3310"/>
    <mergeCell ref="B3306:B3310"/>
    <mergeCell ref="A3271:A3277"/>
    <mergeCell ref="B3271:B3277"/>
    <mergeCell ref="A3278:A3284"/>
    <mergeCell ref="B3278:B3284"/>
    <mergeCell ref="A3285:A3290"/>
    <mergeCell ref="B3285:B3290"/>
    <mergeCell ref="A3250:A3256"/>
    <mergeCell ref="B3250:B3256"/>
    <mergeCell ref="A3257:A3263"/>
    <mergeCell ref="B3257:B3263"/>
    <mergeCell ref="A3264:A3270"/>
    <mergeCell ref="B3264:B3270"/>
    <mergeCell ref="A3229:A3235"/>
    <mergeCell ref="B3229:B3235"/>
    <mergeCell ref="A3236:A3242"/>
    <mergeCell ref="B3236:B3242"/>
    <mergeCell ref="A3243:A3249"/>
    <mergeCell ref="B3243:B3249"/>
    <mergeCell ref="A3210:A3214"/>
    <mergeCell ref="B3210:B3214"/>
    <mergeCell ref="A3215:A3221"/>
    <mergeCell ref="B3215:B3221"/>
    <mergeCell ref="A3222:A3228"/>
    <mergeCell ref="B3222:B3228"/>
    <mergeCell ref="A3188:A3193"/>
    <mergeCell ref="B3188:B3193"/>
    <mergeCell ref="A3194:A3199"/>
    <mergeCell ref="B3194:B3199"/>
    <mergeCell ref="A3200:A3209"/>
    <mergeCell ref="B3200:B3209"/>
    <mergeCell ref="A3162:A3168"/>
    <mergeCell ref="B3162:B3168"/>
    <mergeCell ref="A3169:A3181"/>
    <mergeCell ref="B3169:B3181"/>
    <mergeCell ref="A3182:A3187"/>
    <mergeCell ref="B3182:B3187"/>
    <mergeCell ref="A3145:A3152"/>
    <mergeCell ref="B3145:B3152"/>
    <mergeCell ref="A3153:A3157"/>
    <mergeCell ref="B3153:B3157"/>
    <mergeCell ref="A3158:A3161"/>
    <mergeCell ref="B3158:B3161"/>
    <mergeCell ref="A3126:A3130"/>
    <mergeCell ref="B3126:B3130"/>
    <mergeCell ref="A3131:A3136"/>
    <mergeCell ref="B3131:B3136"/>
    <mergeCell ref="A3137:A3144"/>
    <mergeCell ref="B3137:B3144"/>
    <mergeCell ref="A3107:A3112"/>
    <mergeCell ref="B3107:B3112"/>
    <mergeCell ref="A3113:A3118"/>
    <mergeCell ref="B3113:B3118"/>
    <mergeCell ref="A3119:A3125"/>
    <mergeCell ref="B3119:B3125"/>
    <mergeCell ref="A3087:A3092"/>
    <mergeCell ref="B3087:B3092"/>
    <mergeCell ref="A3093:A3099"/>
    <mergeCell ref="B3093:B3099"/>
    <mergeCell ref="A3100:A3106"/>
    <mergeCell ref="B3100:B3106"/>
    <mergeCell ref="A3072:A3076"/>
    <mergeCell ref="B3072:B3076"/>
    <mergeCell ref="A3077:A3081"/>
    <mergeCell ref="B3077:B3081"/>
    <mergeCell ref="A3082:A3086"/>
    <mergeCell ref="B3082:B3086"/>
    <mergeCell ref="A3057:A3061"/>
    <mergeCell ref="B3057:B3061"/>
    <mergeCell ref="A3062:A3066"/>
    <mergeCell ref="B3062:B3066"/>
    <mergeCell ref="A3067:A3071"/>
    <mergeCell ref="B3067:B3071"/>
    <mergeCell ref="A3042:A3046"/>
    <mergeCell ref="B3042:B3046"/>
    <mergeCell ref="A3047:A3051"/>
    <mergeCell ref="B3047:B3051"/>
    <mergeCell ref="A3052:A3056"/>
    <mergeCell ref="B3052:B3056"/>
    <mergeCell ref="A3022:A3028"/>
    <mergeCell ref="B3022:B3028"/>
    <mergeCell ref="A3029:A3033"/>
    <mergeCell ref="B3029:B3033"/>
    <mergeCell ref="A3034:A3041"/>
    <mergeCell ref="B3034:B3041"/>
    <mergeCell ref="A3005:A3009"/>
    <mergeCell ref="B3005:B3009"/>
    <mergeCell ref="A3010:A3017"/>
    <mergeCell ref="B3010:B3017"/>
    <mergeCell ref="A3018:A3021"/>
    <mergeCell ref="B3018:B3021"/>
    <mergeCell ref="A2987:A2991"/>
    <mergeCell ref="B2987:B2991"/>
    <mergeCell ref="A2992:A2996"/>
    <mergeCell ref="B2992:B2996"/>
    <mergeCell ref="A2997:A3004"/>
    <mergeCell ref="B2997:B3004"/>
    <mergeCell ref="A2972:A2976"/>
    <mergeCell ref="B2972:B2976"/>
    <mergeCell ref="A2977:A2981"/>
    <mergeCell ref="B2977:B2981"/>
    <mergeCell ref="A2982:A2986"/>
    <mergeCell ref="B2982:B2986"/>
    <mergeCell ref="A2957:A2961"/>
    <mergeCell ref="B2957:B2961"/>
    <mergeCell ref="A2962:A2966"/>
    <mergeCell ref="B2962:B2966"/>
    <mergeCell ref="A2967:A2971"/>
    <mergeCell ref="B2967:B2971"/>
    <mergeCell ref="A2940:A2944"/>
    <mergeCell ref="B2940:B2944"/>
    <mergeCell ref="A2945:A2951"/>
    <mergeCell ref="B2945:B2951"/>
    <mergeCell ref="A2952:A2956"/>
    <mergeCell ref="B2952:B2956"/>
    <mergeCell ref="A2925:A2929"/>
    <mergeCell ref="B2925:B2929"/>
    <mergeCell ref="A2930:A2934"/>
    <mergeCell ref="B2930:B2934"/>
    <mergeCell ref="A2935:A2939"/>
    <mergeCell ref="B2935:B2939"/>
    <mergeCell ref="A2910:A2914"/>
    <mergeCell ref="B2910:B2914"/>
    <mergeCell ref="A2915:A2919"/>
    <mergeCell ref="B2915:B2919"/>
    <mergeCell ref="A2920:A2924"/>
    <mergeCell ref="B2920:B2924"/>
    <mergeCell ref="A2895:A2899"/>
    <mergeCell ref="B2895:B2899"/>
    <mergeCell ref="A2900:A2904"/>
    <mergeCell ref="B2900:B2904"/>
    <mergeCell ref="A2905:A2909"/>
    <mergeCell ref="B2905:B2909"/>
    <mergeCell ref="A2871:A2878"/>
    <mergeCell ref="B2871:B2878"/>
    <mergeCell ref="A2879:A2886"/>
    <mergeCell ref="B2879:B2886"/>
    <mergeCell ref="A2887:A2894"/>
    <mergeCell ref="B2887:B2894"/>
    <mergeCell ref="A2850:A2854"/>
    <mergeCell ref="B2850:B2854"/>
    <mergeCell ref="A2855:A2862"/>
    <mergeCell ref="B2855:B2862"/>
    <mergeCell ref="A2863:A2870"/>
    <mergeCell ref="B2863:B2870"/>
    <mergeCell ref="A2829:A2839"/>
    <mergeCell ref="B2829:B2839"/>
    <mergeCell ref="A2840:A2844"/>
    <mergeCell ref="B2840:B2844"/>
    <mergeCell ref="A2845:A2849"/>
    <mergeCell ref="B2845:B2849"/>
    <mergeCell ref="A2814:A2818"/>
    <mergeCell ref="B2814:B2818"/>
    <mergeCell ref="A2819:A2823"/>
    <mergeCell ref="B2819:B2823"/>
    <mergeCell ref="A2824:A2828"/>
    <mergeCell ref="B2824:B2828"/>
    <mergeCell ref="A2799:A2803"/>
    <mergeCell ref="B2799:B2803"/>
    <mergeCell ref="A2804:A2808"/>
    <mergeCell ref="B2804:B2808"/>
    <mergeCell ref="A2809:A2813"/>
    <mergeCell ref="B2809:B2813"/>
    <mergeCell ref="A2782:A2788"/>
    <mergeCell ref="B2782:B2788"/>
    <mergeCell ref="A2789:A2793"/>
    <mergeCell ref="B2789:B2793"/>
    <mergeCell ref="A2794:A2798"/>
    <mergeCell ref="B2794:B2798"/>
    <mergeCell ref="A2767:A2771"/>
    <mergeCell ref="B2767:B2771"/>
    <mergeCell ref="A2772:A2776"/>
    <mergeCell ref="B2772:B2776"/>
    <mergeCell ref="A2777:A2781"/>
    <mergeCell ref="B2777:B2781"/>
    <mergeCell ref="A2736:A2742"/>
    <mergeCell ref="B2736:B2742"/>
    <mergeCell ref="A2743:A2749"/>
    <mergeCell ref="B2743:B2749"/>
    <mergeCell ref="A2760:A2766"/>
    <mergeCell ref="B2760:B2766"/>
    <mergeCell ref="A2750:A2754"/>
    <mergeCell ref="B2750:B2754"/>
    <mergeCell ref="A2755:A2759"/>
    <mergeCell ref="B2755:B2759"/>
    <mergeCell ref="A2718:A2723"/>
    <mergeCell ref="B2718:B2723"/>
    <mergeCell ref="A2724:A2729"/>
    <mergeCell ref="B2724:B2729"/>
    <mergeCell ref="A2730:A2735"/>
    <mergeCell ref="B2730:B2735"/>
    <mergeCell ref="A2700:A2705"/>
    <mergeCell ref="B2700:B2705"/>
    <mergeCell ref="A2706:A2711"/>
    <mergeCell ref="B2706:B2711"/>
    <mergeCell ref="A2712:A2717"/>
    <mergeCell ref="B2712:B2717"/>
    <mergeCell ref="A2682:A2687"/>
    <mergeCell ref="B2682:B2687"/>
    <mergeCell ref="A2688:A2693"/>
    <mergeCell ref="B2688:B2693"/>
    <mergeCell ref="A2694:A2699"/>
    <mergeCell ref="B2694:B2699"/>
    <mergeCell ref="A2662:A2665"/>
    <mergeCell ref="B2662:B2665"/>
    <mergeCell ref="A2670:A2675"/>
    <mergeCell ref="B2670:B2675"/>
    <mergeCell ref="A2676:A2681"/>
    <mergeCell ref="B2676:B2681"/>
    <mergeCell ref="A2666:A2669"/>
    <mergeCell ref="B2666:B2669"/>
    <mergeCell ref="A2630:A2633"/>
    <mergeCell ref="B2630:B2633"/>
    <mergeCell ref="A2606:A2613"/>
    <mergeCell ref="B2606:B2613"/>
    <mergeCell ref="A2614:A2617"/>
    <mergeCell ref="B2614:B2617"/>
    <mergeCell ref="A2618:A2621"/>
    <mergeCell ref="B2618:B2621"/>
    <mergeCell ref="A2586:A2589"/>
    <mergeCell ref="B2586:B2589"/>
    <mergeCell ref="A2590:A2597"/>
    <mergeCell ref="B2590:B2597"/>
    <mergeCell ref="A2598:A2605"/>
    <mergeCell ref="B2598:B2605"/>
    <mergeCell ref="A2574:A2577"/>
    <mergeCell ref="B2574:B2577"/>
    <mergeCell ref="A2578:A2581"/>
    <mergeCell ref="B2578:B2581"/>
    <mergeCell ref="A2582:A2585"/>
    <mergeCell ref="B2582:B2585"/>
    <mergeCell ref="A2422:A2425"/>
    <mergeCell ref="B2422:B2425"/>
    <mergeCell ref="A2450:A2453"/>
    <mergeCell ref="B2450:B2453"/>
    <mergeCell ref="A2570:A2573"/>
    <mergeCell ref="B2570:B2573"/>
    <mergeCell ref="A2426:A2429"/>
    <mergeCell ref="B2426:B2429"/>
    <mergeCell ref="A2430:A2433"/>
    <mergeCell ref="B2430:B2433"/>
    <mergeCell ref="A2434:A2437"/>
    <mergeCell ref="B2434:B2437"/>
    <mergeCell ref="A2438:A2441"/>
    <mergeCell ref="B2438:B2441"/>
    <mergeCell ref="A2442:A2445"/>
    <mergeCell ref="B2442:B2445"/>
    <mergeCell ref="A2446:A2449"/>
    <mergeCell ref="B2446:B2449"/>
    <mergeCell ref="A2454:A2457"/>
    <mergeCell ref="B2454:B2457"/>
    <mergeCell ref="A2498:A2501"/>
    <mergeCell ref="B2498:B2501"/>
    <mergeCell ref="A2554:A2557"/>
    <mergeCell ref="B2554:B2557"/>
    <mergeCell ref="A2558:A2561"/>
    <mergeCell ref="B2558:B2561"/>
    <mergeCell ref="A2462:A2465"/>
    <mergeCell ref="B2462:B2465"/>
    <mergeCell ref="A2466:A2469"/>
    <mergeCell ref="B2466:B2469"/>
    <mergeCell ref="A2391:A2396"/>
    <mergeCell ref="B2391:B2396"/>
    <mergeCell ref="A2397:A2403"/>
    <mergeCell ref="B2397:B2403"/>
    <mergeCell ref="A2404:A2409"/>
    <mergeCell ref="B2404:B2409"/>
    <mergeCell ref="A2370:A2375"/>
    <mergeCell ref="B2370:B2375"/>
    <mergeCell ref="A2376:A2383"/>
    <mergeCell ref="B2376:B2383"/>
    <mergeCell ref="A2384:A2390"/>
    <mergeCell ref="B2384:B2390"/>
    <mergeCell ref="A2410:A2413"/>
    <mergeCell ref="B2410:B2413"/>
    <mergeCell ref="A2414:A2417"/>
    <mergeCell ref="B2414:B2417"/>
    <mergeCell ref="A2418:A2421"/>
    <mergeCell ref="B2418:B2421"/>
    <mergeCell ref="A2355:A2359"/>
    <mergeCell ref="B2355:B2359"/>
    <mergeCell ref="A2360:A2364"/>
    <mergeCell ref="B2360:B2364"/>
    <mergeCell ref="A2365:A2369"/>
    <mergeCell ref="B2365:B2369"/>
    <mergeCell ref="A2337:A2342"/>
    <mergeCell ref="B2337:B2342"/>
    <mergeCell ref="A2343:A2348"/>
    <mergeCell ref="B2343:B2348"/>
    <mergeCell ref="A2349:A2354"/>
    <mergeCell ref="B2349:B2354"/>
    <mergeCell ref="A2317:A2323"/>
    <mergeCell ref="B2317:B2323"/>
    <mergeCell ref="A2324:A2330"/>
    <mergeCell ref="B2324:B2330"/>
    <mergeCell ref="A2331:A2336"/>
    <mergeCell ref="B2331:B2336"/>
    <mergeCell ref="A2283:A2292"/>
    <mergeCell ref="B2283:B2292"/>
    <mergeCell ref="A2293:A2304"/>
    <mergeCell ref="B2293:B2304"/>
    <mergeCell ref="A2305:A2316"/>
    <mergeCell ref="B2305:B2316"/>
    <mergeCell ref="A2255:A2260"/>
    <mergeCell ref="B2255:B2260"/>
    <mergeCell ref="A2261:A2272"/>
    <mergeCell ref="B2261:B2272"/>
    <mergeCell ref="A2273:A2282"/>
    <mergeCell ref="B2273:B2282"/>
    <mergeCell ref="A2229:A2234"/>
    <mergeCell ref="B2229:B2234"/>
    <mergeCell ref="A2235:A2240"/>
    <mergeCell ref="B2235:B2240"/>
    <mergeCell ref="A2241:A2254"/>
    <mergeCell ref="B2241:B2254"/>
    <mergeCell ref="A2211:A2215"/>
    <mergeCell ref="B2211:B2215"/>
    <mergeCell ref="A2216:A2222"/>
    <mergeCell ref="B2216:B2222"/>
    <mergeCell ref="A2223:A2228"/>
    <mergeCell ref="B2223:B2228"/>
    <mergeCell ref="A2187:A2194"/>
    <mergeCell ref="B2187:B2194"/>
    <mergeCell ref="A2195:A2202"/>
    <mergeCell ref="B2195:B2202"/>
    <mergeCell ref="A2203:A2210"/>
    <mergeCell ref="B2203:B2210"/>
    <mergeCell ref="A2163:A2170"/>
    <mergeCell ref="B2163:B2170"/>
    <mergeCell ref="A2171:A2178"/>
    <mergeCell ref="B2171:B2178"/>
    <mergeCell ref="A2179:A2186"/>
    <mergeCell ref="B2179:B2186"/>
    <mergeCell ref="A2141:A2146"/>
    <mergeCell ref="B2141:B2146"/>
    <mergeCell ref="A2147:A2154"/>
    <mergeCell ref="B2147:B2154"/>
    <mergeCell ref="A2155:A2162"/>
    <mergeCell ref="B2155:B2162"/>
    <mergeCell ref="A2123:A2128"/>
    <mergeCell ref="B2123:B2128"/>
    <mergeCell ref="A2129:A2134"/>
    <mergeCell ref="B2129:B2134"/>
    <mergeCell ref="A2135:A2140"/>
    <mergeCell ref="B2135:B2140"/>
    <mergeCell ref="A2101:A2108"/>
    <mergeCell ref="B2101:B2108"/>
    <mergeCell ref="A2109:A2116"/>
    <mergeCell ref="B2109:B2116"/>
    <mergeCell ref="A2117:A2122"/>
    <mergeCell ref="B2117:B2122"/>
    <mergeCell ref="A2077:A2084"/>
    <mergeCell ref="B2077:B2084"/>
    <mergeCell ref="A2085:A2092"/>
    <mergeCell ref="B2085:B2092"/>
    <mergeCell ref="A2093:A2100"/>
    <mergeCell ref="B2093:B2100"/>
    <mergeCell ref="A2053:A2060"/>
    <mergeCell ref="B2053:B2060"/>
    <mergeCell ref="A2061:A2068"/>
    <mergeCell ref="B2061:B2068"/>
    <mergeCell ref="A2069:A2076"/>
    <mergeCell ref="B2069:B2076"/>
    <mergeCell ref="A2029:A2036"/>
    <mergeCell ref="B2029:B2036"/>
    <mergeCell ref="A2037:A2044"/>
    <mergeCell ref="B2037:B2044"/>
    <mergeCell ref="A2045:A2052"/>
    <mergeCell ref="B2045:B2052"/>
    <mergeCell ref="A2009:A2015"/>
    <mergeCell ref="B2009:B2015"/>
    <mergeCell ref="A2016:A2022"/>
    <mergeCell ref="B2016:B2022"/>
    <mergeCell ref="A2023:A2028"/>
    <mergeCell ref="B2023:B2028"/>
    <mergeCell ref="A1987:A1994"/>
    <mergeCell ref="B1987:B1994"/>
    <mergeCell ref="A1995:A2001"/>
    <mergeCell ref="B1995:B2001"/>
    <mergeCell ref="A2002:A2008"/>
    <mergeCell ref="B2002:B2008"/>
    <mergeCell ref="A1965:A1971"/>
    <mergeCell ref="B1965:B1971"/>
    <mergeCell ref="A1972:A1978"/>
    <mergeCell ref="B1972:B1978"/>
    <mergeCell ref="A1979:A1986"/>
    <mergeCell ref="B1979:B1986"/>
    <mergeCell ref="A1948:A1952"/>
    <mergeCell ref="B1948:B1952"/>
    <mergeCell ref="A1953:A1958"/>
    <mergeCell ref="B1953:B1958"/>
    <mergeCell ref="A1959:A1964"/>
    <mergeCell ref="B1959:B1964"/>
    <mergeCell ref="A1932:A1937"/>
    <mergeCell ref="B1932:B1937"/>
    <mergeCell ref="A1938:A1942"/>
    <mergeCell ref="B1938:B1942"/>
    <mergeCell ref="A1943:A1947"/>
    <mergeCell ref="B1943:B1947"/>
    <mergeCell ref="A1917:A1921"/>
    <mergeCell ref="B1917:B1921"/>
    <mergeCell ref="A1922:A1926"/>
    <mergeCell ref="B1922:B1926"/>
    <mergeCell ref="A1927:A1931"/>
    <mergeCell ref="B1927:B1931"/>
    <mergeCell ref="A1899:A1904"/>
    <mergeCell ref="B1899:B1904"/>
    <mergeCell ref="A1905:A1910"/>
    <mergeCell ref="B1905:B1910"/>
    <mergeCell ref="A1911:A1916"/>
    <mergeCell ref="B1911:B1916"/>
    <mergeCell ref="A1881:A1886"/>
    <mergeCell ref="B1881:B1886"/>
    <mergeCell ref="A1887:A1892"/>
    <mergeCell ref="B1887:B1892"/>
    <mergeCell ref="A1893:A1898"/>
    <mergeCell ref="B1893:B1898"/>
    <mergeCell ref="A1863:A1868"/>
    <mergeCell ref="B1863:B1868"/>
    <mergeCell ref="A1869:A1874"/>
    <mergeCell ref="B1869:B1874"/>
    <mergeCell ref="A1875:A1880"/>
    <mergeCell ref="B1875:B1880"/>
    <mergeCell ref="A1845:A1850"/>
    <mergeCell ref="B1845:B1850"/>
    <mergeCell ref="A1851:A1856"/>
    <mergeCell ref="B1851:B1856"/>
    <mergeCell ref="A1857:A1862"/>
    <mergeCell ref="B1857:B1862"/>
    <mergeCell ref="A1826:A1831"/>
    <mergeCell ref="B1826:B1831"/>
    <mergeCell ref="A1832:A1837"/>
    <mergeCell ref="B1832:B1837"/>
    <mergeCell ref="A1838:A1844"/>
    <mergeCell ref="B1838:B1844"/>
    <mergeCell ref="A1809:A1815"/>
    <mergeCell ref="B1809:B1815"/>
    <mergeCell ref="A1816:A1820"/>
    <mergeCell ref="B1816:B1820"/>
    <mergeCell ref="A1821:A1825"/>
    <mergeCell ref="B1821:B1825"/>
    <mergeCell ref="A1788:A1794"/>
    <mergeCell ref="B1788:B1794"/>
    <mergeCell ref="A1795:A1801"/>
    <mergeCell ref="B1795:B1801"/>
    <mergeCell ref="A1802:A1808"/>
    <mergeCell ref="B1802:B1808"/>
    <mergeCell ref="A1767:A1773"/>
    <mergeCell ref="B1767:B1773"/>
    <mergeCell ref="A1774:A1780"/>
    <mergeCell ref="B1774:B1780"/>
    <mergeCell ref="A1781:A1787"/>
    <mergeCell ref="B1781:B1787"/>
    <mergeCell ref="A1738:A1748"/>
    <mergeCell ref="B1738:B1748"/>
    <mergeCell ref="A1749:A1759"/>
    <mergeCell ref="B1749:B1759"/>
    <mergeCell ref="A1760:A1766"/>
    <mergeCell ref="B1760:B1766"/>
    <mergeCell ref="A1708:A1715"/>
    <mergeCell ref="B1708:B1715"/>
    <mergeCell ref="A1716:A1726"/>
    <mergeCell ref="B1716:B1726"/>
    <mergeCell ref="A1727:A1737"/>
    <mergeCell ref="B1727:B1737"/>
    <mergeCell ref="A1688:A1694"/>
    <mergeCell ref="B1688:B1694"/>
    <mergeCell ref="A1695:A1701"/>
    <mergeCell ref="B1695:B1701"/>
    <mergeCell ref="A1702:A1707"/>
    <mergeCell ref="B1702:B1707"/>
    <mergeCell ref="A1672:A1676"/>
    <mergeCell ref="B1672:B1676"/>
    <mergeCell ref="A1677:A1681"/>
    <mergeCell ref="B1677:B1681"/>
    <mergeCell ref="A1682:A1687"/>
    <mergeCell ref="B1682:B1687"/>
    <mergeCell ref="A1655:A1660"/>
    <mergeCell ref="B1655:B1660"/>
    <mergeCell ref="A1661:A1666"/>
    <mergeCell ref="B1661:B1666"/>
    <mergeCell ref="A1667:A1671"/>
    <mergeCell ref="B1667:B1671"/>
    <mergeCell ref="A1638:A1642"/>
    <mergeCell ref="B1638:B1642"/>
    <mergeCell ref="A1643:A1648"/>
    <mergeCell ref="B1643:B1648"/>
    <mergeCell ref="A1649:A1654"/>
    <mergeCell ref="B1649:B1654"/>
    <mergeCell ref="A1621:A1625"/>
    <mergeCell ref="B1621:B1625"/>
    <mergeCell ref="A1626:A1631"/>
    <mergeCell ref="B1626:B1631"/>
    <mergeCell ref="A1632:A1637"/>
    <mergeCell ref="B1632:B1637"/>
    <mergeCell ref="A1602:A1607"/>
    <mergeCell ref="B1602:B1607"/>
    <mergeCell ref="A1608:A1613"/>
    <mergeCell ref="B1608:B1613"/>
    <mergeCell ref="A1614:A1620"/>
    <mergeCell ref="B1614:B1620"/>
    <mergeCell ref="A1574:A1580"/>
    <mergeCell ref="B1574:B1580"/>
    <mergeCell ref="A1581:A1595"/>
    <mergeCell ref="B1581:B1595"/>
    <mergeCell ref="A1596:A1601"/>
    <mergeCell ref="B1596:B1601"/>
    <mergeCell ref="A1553:A1559"/>
    <mergeCell ref="B1553:B1559"/>
    <mergeCell ref="A1560:A1566"/>
    <mergeCell ref="B1560:B1566"/>
    <mergeCell ref="A1567:A1573"/>
    <mergeCell ref="B1567:B1573"/>
    <mergeCell ref="A1529:A1536"/>
    <mergeCell ref="B1529:B1536"/>
    <mergeCell ref="A1537:A1544"/>
    <mergeCell ref="B1537:B1544"/>
    <mergeCell ref="A1545:A1552"/>
    <mergeCell ref="B1545:B1552"/>
    <mergeCell ref="A1498:A1512"/>
    <mergeCell ref="B1498:B1512"/>
    <mergeCell ref="A1513:A1520"/>
    <mergeCell ref="B1513:B1520"/>
    <mergeCell ref="A1521:A1528"/>
    <mergeCell ref="B1521:B1528"/>
    <mergeCell ref="A1453:A1467"/>
    <mergeCell ref="B1453:B1467"/>
    <mergeCell ref="A1468:A1482"/>
    <mergeCell ref="B1468:B1482"/>
    <mergeCell ref="A1483:A1497"/>
    <mergeCell ref="B1483:B1497"/>
    <mergeCell ref="A1408:A1422"/>
    <mergeCell ref="B1408:B1422"/>
    <mergeCell ref="A1423:A1437"/>
    <mergeCell ref="B1423:B1437"/>
    <mergeCell ref="A1438:A1452"/>
    <mergeCell ref="B1438:B1452"/>
    <mergeCell ref="A1389:A1394"/>
    <mergeCell ref="B1389:B1394"/>
    <mergeCell ref="A1395:A1400"/>
    <mergeCell ref="B1395:B1400"/>
    <mergeCell ref="A1401:A1407"/>
    <mergeCell ref="B1401:B1407"/>
    <mergeCell ref="A1371:A1376"/>
    <mergeCell ref="B1371:B1376"/>
    <mergeCell ref="A1377:A1382"/>
    <mergeCell ref="B1377:B1382"/>
    <mergeCell ref="A1383:A1388"/>
    <mergeCell ref="B1383:B1388"/>
    <mergeCell ref="A1352:A1357"/>
    <mergeCell ref="B1352:B1357"/>
    <mergeCell ref="A1358:A1364"/>
    <mergeCell ref="B1358:B1364"/>
    <mergeCell ref="A1365:A1370"/>
    <mergeCell ref="B1365:B1370"/>
    <mergeCell ref="A1333:A1338"/>
    <mergeCell ref="B1333:B1338"/>
    <mergeCell ref="A1339:A1344"/>
    <mergeCell ref="B1339:B1344"/>
    <mergeCell ref="A1345:A1351"/>
    <mergeCell ref="B1345:B1351"/>
    <mergeCell ref="A1313:A1321"/>
    <mergeCell ref="B1313:B1321"/>
    <mergeCell ref="A1322:A1326"/>
    <mergeCell ref="B1322:B1326"/>
    <mergeCell ref="A1327:A1332"/>
    <mergeCell ref="B1327:B1332"/>
    <mergeCell ref="A1291:A1297"/>
    <mergeCell ref="B1291:B1297"/>
    <mergeCell ref="A1298:A1304"/>
    <mergeCell ref="B1298:B1304"/>
    <mergeCell ref="A1305:A1312"/>
    <mergeCell ref="B1305:B1312"/>
    <mergeCell ref="A1271:A1276"/>
    <mergeCell ref="B1271:B1276"/>
    <mergeCell ref="A1277:A1283"/>
    <mergeCell ref="B1277:B1283"/>
    <mergeCell ref="A1284:A1290"/>
    <mergeCell ref="B1284:B1290"/>
    <mergeCell ref="A1250:A1256"/>
    <mergeCell ref="B1250:B1256"/>
    <mergeCell ref="A1257:A1263"/>
    <mergeCell ref="B1257:B1263"/>
    <mergeCell ref="A1264:A1270"/>
    <mergeCell ref="B1264:B1270"/>
    <mergeCell ref="A1229:A1235"/>
    <mergeCell ref="B1229:B1235"/>
    <mergeCell ref="A1236:A1242"/>
    <mergeCell ref="B1236:B1242"/>
    <mergeCell ref="A1243:A1249"/>
    <mergeCell ref="B1243:B1249"/>
    <mergeCell ref="A1208:A1214"/>
    <mergeCell ref="B1208:B1214"/>
    <mergeCell ref="A1215:A1221"/>
    <mergeCell ref="B1215:B1221"/>
    <mergeCell ref="A1222:A1228"/>
    <mergeCell ref="B1222:B1228"/>
    <mergeCell ref="A1187:A1193"/>
    <mergeCell ref="B1187:B1193"/>
    <mergeCell ref="A1194:A1200"/>
    <mergeCell ref="B1194:B1200"/>
    <mergeCell ref="A1201:A1207"/>
    <mergeCell ref="B1201:B1207"/>
    <mergeCell ref="A1166:A1172"/>
    <mergeCell ref="B1166:B1172"/>
    <mergeCell ref="A1173:A1179"/>
    <mergeCell ref="B1173:B1179"/>
    <mergeCell ref="A1180:A1186"/>
    <mergeCell ref="B1180:B1186"/>
    <mergeCell ref="A1145:A1151"/>
    <mergeCell ref="B1145:B1151"/>
    <mergeCell ref="A1152:A1158"/>
    <mergeCell ref="B1152:B1158"/>
    <mergeCell ref="A1159:A1165"/>
    <mergeCell ref="B1159:B1165"/>
    <mergeCell ref="A1127:A1132"/>
    <mergeCell ref="B1127:B1132"/>
    <mergeCell ref="A1133:A1137"/>
    <mergeCell ref="B1133:B1137"/>
    <mergeCell ref="A1138:A1144"/>
    <mergeCell ref="B1138:B1144"/>
    <mergeCell ref="A1109:A1116"/>
    <mergeCell ref="B1109:B1116"/>
    <mergeCell ref="A1117:A1121"/>
    <mergeCell ref="B1117:B1121"/>
    <mergeCell ref="A1122:A1126"/>
    <mergeCell ref="B1122:B1126"/>
    <mergeCell ref="A1083:A1090"/>
    <mergeCell ref="B1083:B1090"/>
    <mergeCell ref="A1091:A1098"/>
    <mergeCell ref="B1091:B1098"/>
    <mergeCell ref="A1099:A1108"/>
    <mergeCell ref="B1099:B1108"/>
    <mergeCell ref="A1060:A1066"/>
    <mergeCell ref="B1060:B1066"/>
    <mergeCell ref="A1067:A1073"/>
    <mergeCell ref="B1067:B1073"/>
    <mergeCell ref="A1074:A1082"/>
    <mergeCell ref="B1074:B1082"/>
    <mergeCell ref="A1037:A1045"/>
    <mergeCell ref="B1037:B1045"/>
    <mergeCell ref="A1046:A1052"/>
    <mergeCell ref="B1046:B1052"/>
    <mergeCell ref="A1053:A1059"/>
    <mergeCell ref="B1053:B1059"/>
    <mergeCell ref="A1013:A1021"/>
    <mergeCell ref="B1013:B1021"/>
    <mergeCell ref="A1022:A1026"/>
    <mergeCell ref="B1022:B1026"/>
    <mergeCell ref="A1027:A1036"/>
    <mergeCell ref="B1027:B1036"/>
    <mergeCell ref="A992:A1002"/>
    <mergeCell ref="B992:B1002"/>
    <mergeCell ref="A1003:A1007"/>
    <mergeCell ref="B1003:B1007"/>
    <mergeCell ref="A1008:A1012"/>
    <mergeCell ref="B1008:B1012"/>
    <mergeCell ref="A967:A973"/>
    <mergeCell ref="B967:B973"/>
    <mergeCell ref="A974:A980"/>
    <mergeCell ref="B974:B980"/>
    <mergeCell ref="A981:A991"/>
    <mergeCell ref="B981:B991"/>
    <mergeCell ref="A948:A953"/>
    <mergeCell ref="B948:B953"/>
    <mergeCell ref="A954:A959"/>
    <mergeCell ref="B954:B959"/>
    <mergeCell ref="A960:A966"/>
    <mergeCell ref="B960:B966"/>
    <mergeCell ref="A923:A929"/>
    <mergeCell ref="B923:B929"/>
    <mergeCell ref="A930:A938"/>
    <mergeCell ref="B930:B938"/>
    <mergeCell ref="A939:A947"/>
    <mergeCell ref="B939:B947"/>
    <mergeCell ref="A904:A907"/>
    <mergeCell ref="B904:B907"/>
    <mergeCell ref="A908:A913"/>
    <mergeCell ref="B908:B913"/>
    <mergeCell ref="A914:A922"/>
    <mergeCell ref="B914:B922"/>
    <mergeCell ref="A884:A891"/>
    <mergeCell ref="B884:B891"/>
    <mergeCell ref="A892:A896"/>
    <mergeCell ref="B892:B896"/>
    <mergeCell ref="A897:A903"/>
    <mergeCell ref="B897:B903"/>
    <mergeCell ref="A862:A867"/>
    <mergeCell ref="B862:B867"/>
    <mergeCell ref="A868:A875"/>
    <mergeCell ref="B868:B875"/>
    <mergeCell ref="A876:A883"/>
    <mergeCell ref="B876:B883"/>
    <mergeCell ref="A713:A721"/>
    <mergeCell ref="B713:B721"/>
    <mergeCell ref="A844:A848"/>
    <mergeCell ref="B844:B848"/>
    <mergeCell ref="A849:A854"/>
    <mergeCell ref="B849:B854"/>
    <mergeCell ref="A855:A861"/>
    <mergeCell ref="B855:B861"/>
    <mergeCell ref="A826:A830"/>
    <mergeCell ref="B826:B830"/>
    <mergeCell ref="A831:A837"/>
    <mergeCell ref="B831:B837"/>
    <mergeCell ref="A838:A843"/>
    <mergeCell ref="B838:B843"/>
    <mergeCell ref="A813:A816"/>
    <mergeCell ref="B813:B816"/>
    <mergeCell ref="A817:A821"/>
    <mergeCell ref="B817:B821"/>
    <mergeCell ref="A822:A825"/>
    <mergeCell ref="B822:B825"/>
    <mergeCell ref="A782:A788"/>
    <mergeCell ref="B782:B788"/>
    <mergeCell ref="A789:A802"/>
    <mergeCell ref="B789:B802"/>
    <mergeCell ref="A803:A812"/>
    <mergeCell ref="B803:B812"/>
    <mergeCell ref="A754:A764"/>
    <mergeCell ref="B754:B764"/>
    <mergeCell ref="A765:A770"/>
    <mergeCell ref="B765:B770"/>
    <mergeCell ref="A771:A781"/>
    <mergeCell ref="B771:B781"/>
    <mergeCell ref="A735:A742"/>
    <mergeCell ref="B735:B742"/>
    <mergeCell ref="A743:A746"/>
    <mergeCell ref="B743:B746"/>
    <mergeCell ref="A747:A753"/>
    <mergeCell ref="B747:B753"/>
    <mergeCell ref="A578:A586"/>
    <mergeCell ref="B578:B586"/>
    <mergeCell ref="A722:A728"/>
    <mergeCell ref="B722:B728"/>
    <mergeCell ref="A729:A734"/>
    <mergeCell ref="B729:B734"/>
    <mergeCell ref="A685:A694"/>
    <mergeCell ref="B685:B694"/>
    <mergeCell ref="A695:A702"/>
    <mergeCell ref="B695:B702"/>
    <mergeCell ref="A703:A712"/>
    <mergeCell ref="B703:B712"/>
    <mergeCell ref="A663:A666"/>
    <mergeCell ref="B663:B666"/>
    <mergeCell ref="A667:A674"/>
    <mergeCell ref="B667:B674"/>
    <mergeCell ref="A675:A684"/>
    <mergeCell ref="B675:B684"/>
    <mergeCell ref="A628:A635"/>
    <mergeCell ref="B628:B635"/>
    <mergeCell ref="A651:A654"/>
    <mergeCell ref="B651:B654"/>
    <mergeCell ref="A655:A658"/>
    <mergeCell ref="B655:B658"/>
    <mergeCell ref="A659:A662"/>
    <mergeCell ref="B659:B662"/>
    <mergeCell ref="A636:A642"/>
    <mergeCell ref="B636:B642"/>
    <mergeCell ref="A643:A646"/>
    <mergeCell ref="B643:B646"/>
    <mergeCell ref="A647:A650"/>
    <mergeCell ref="B647:B650"/>
    <mergeCell ref="A516:A522"/>
    <mergeCell ref="B516:B522"/>
    <mergeCell ref="A523:A529"/>
    <mergeCell ref="B523:B529"/>
    <mergeCell ref="A530:A535"/>
    <mergeCell ref="B530:B535"/>
    <mergeCell ref="A496:A502"/>
    <mergeCell ref="B496:B502"/>
    <mergeCell ref="A503:A509"/>
    <mergeCell ref="B503:B509"/>
    <mergeCell ref="A510:A515"/>
    <mergeCell ref="B510:B515"/>
    <mergeCell ref="A614:A619"/>
    <mergeCell ref="B614:B619"/>
    <mergeCell ref="A620:A627"/>
    <mergeCell ref="B620:B627"/>
    <mergeCell ref="A536:A543"/>
    <mergeCell ref="B536:B543"/>
    <mergeCell ref="A544:A551"/>
    <mergeCell ref="B544:B551"/>
    <mergeCell ref="A552:A559"/>
    <mergeCell ref="B552:B559"/>
    <mergeCell ref="A587:A594"/>
    <mergeCell ref="B587:B594"/>
    <mergeCell ref="A595:A604"/>
    <mergeCell ref="B595:B604"/>
    <mergeCell ref="A605:A613"/>
    <mergeCell ref="B605:B613"/>
    <mergeCell ref="A560:A567"/>
    <mergeCell ref="B560:B567"/>
    <mergeCell ref="A568:A577"/>
    <mergeCell ref="B568:B577"/>
    <mergeCell ref="A445:A452"/>
    <mergeCell ref="B445:B452"/>
    <mergeCell ref="A453:A462"/>
    <mergeCell ref="B453:B462"/>
    <mergeCell ref="A463:A469"/>
    <mergeCell ref="B463:B469"/>
    <mergeCell ref="A421:A432"/>
    <mergeCell ref="B421:B432"/>
    <mergeCell ref="A433:A438"/>
    <mergeCell ref="B433:B438"/>
    <mergeCell ref="A439:A444"/>
    <mergeCell ref="B439:B444"/>
    <mergeCell ref="A470:A481"/>
    <mergeCell ref="B470:B481"/>
    <mergeCell ref="A482:A487"/>
    <mergeCell ref="B482:B487"/>
    <mergeCell ref="A488:A495"/>
    <mergeCell ref="B488:B495"/>
    <mergeCell ref="A364:A369"/>
    <mergeCell ref="B364:B369"/>
    <mergeCell ref="A370:A378"/>
    <mergeCell ref="B370:B378"/>
    <mergeCell ref="A379:A392"/>
    <mergeCell ref="B379:B392"/>
    <mergeCell ref="A325:A339"/>
    <mergeCell ref="B325:B339"/>
    <mergeCell ref="A340:A349"/>
    <mergeCell ref="B340:B349"/>
    <mergeCell ref="A350:A363"/>
    <mergeCell ref="B350:B363"/>
    <mergeCell ref="A393:A399"/>
    <mergeCell ref="B393:B399"/>
    <mergeCell ref="A400:A413"/>
    <mergeCell ref="B400:B413"/>
    <mergeCell ref="A414:A420"/>
    <mergeCell ref="B414:B420"/>
    <mergeCell ref="B267:B274"/>
    <mergeCell ref="A275:A281"/>
    <mergeCell ref="B275:B281"/>
    <mergeCell ref="A282:A288"/>
    <mergeCell ref="B282:B288"/>
    <mergeCell ref="A239:A246"/>
    <mergeCell ref="B239:B246"/>
    <mergeCell ref="A247:A261"/>
    <mergeCell ref="B247:B261"/>
    <mergeCell ref="A262:A266"/>
    <mergeCell ref="B262:B266"/>
    <mergeCell ref="A289:A303"/>
    <mergeCell ref="B289:B303"/>
    <mergeCell ref="A304:A318"/>
    <mergeCell ref="B304:B318"/>
    <mergeCell ref="A319:A324"/>
    <mergeCell ref="B319:B324"/>
    <mergeCell ref="A125:A129"/>
    <mergeCell ref="B125:B129"/>
    <mergeCell ref="A130:A133"/>
    <mergeCell ref="B130:B133"/>
    <mergeCell ref="A134:A137"/>
    <mergeCell ref="A111:A115"/>
    <mergeCell ref="B111:B115"/>
    <mergeCell ref="A116:A119"/>
    <mergeCell ref="B116:B119"/>
    <mergeCell ref="A120:A124"/>
    <mergeCell ref="B120:B124"/>
    <mergeCell ref="B204:B208"/>
    <mergeCell ref="A209:A212"/>
    <mergeCell ref="B209:B212"/>
    <mergeCell ref="A227:A230"/>
    <mergeCell ref="B227:B230"/>
    <mergeCell ref="A231:A234"/>
    <mergeCell ref="B231:B234"/>
    <mergeCell ref="A6:A9"/>
    <mergeCell ref="B6:B9"/>
    <mergeCell ref="A10:A13"/>
    <mergeCell ref="B10:B13"/>
    <mergeCell ref="A14:A17"/>
    <mergeCell ref="B14:B17"/>
    <mergeCell ref="A47:A51"/>
    <mergeCell ref="B47:B51"/>
    <mergeCell ref="A52:A58"/>
    <mergeCell ref="B52:B58"/>
    <mergeCell ref="A59:A63"/>
    <mergeCell ref="B59:B63"/>
    <mergeCell ref="A33:A36"/>
    <mergeCell ref="B33:B36"/>
    <mergeCell ref="A37:A41"/>
    <mergeCell ref="A82:A86"/>
    <mergeCell ref="B82:B86"/>
    <mergeCell ref="A64:A68"/>
    <mergeCell ref="B64:B68"/>
    <mergeCell ref="A69:A76"/>
    <mergeCell ref="B37:B41"/>
    <mergeCell ref="A42:A46"/>
    <mergeCell ref="B42:B46"/>
    <mergeCell ref="A18:A22"/>
    <mergeCell ref="B18:B22"/>
    <mergeCell ref="A23:A27"/>
    <mergeCell ref="B23:B27"/>
    <mergeCell ref="A28:A32"/>
    <mergeCell ref="B28:B32"/>
    <mergeCell ref="A97:A101"/>
    <mergeCell ref="B97:B101"/>
    <mergeCell ref="A102:A105"/>
    <mergeCell ref="B102:B105"/>
    <mergeCell ref="A106:A110"/>
    <mergeCell ref="B106:B110"/>
    <mergeCell ref="B69:B76"/>
    <mergeCell ref="A77:A81"/>
    <mergeCell ref="B77:B81"/>
    <mergeCell ref="A87:A91"/>
    <mergeCell ref="B87:B91"/>
    <mergeCell ref="A92:A96"/>
    <mergeCell ref="B92:B96"/>
    <mergeCell ref="A4964:A4969"/>
    <mergeCell ref="B4964:B4969"/>
    <mergeCell ref="A4970:A4977"/>
    <mergeCell ref="B4970:B4977"/>
    <mergeCell ref="A138:A142"/>
    <mergeCell ref="B138:B142"/>
    <mergeCell ref="A143:A147"/>
    <mergeCell ref="B143:B147"/>
    <mergeCell ref="A148:A152"/>
    <mergeCell ref="B148:B152"/>
    <mergeCell ref="A170:A173"/>
    <mergeCell ref="B170:B173"/>
    <mergeCell ref="A174:A177"/>
    <mergeCell ref="B174:B177"/>
    <mergeCell ref="A178:A181"/>
    <mergeCell ref="B178:B181"/>
    <mergeCell ref="A153:A159"/>
    <mergeCell ref="B153:B159"/>
    <mergeCell ref="A160:A164"/>
    <mergeCell ref="A4986:A4993"/>
    <mergeCell ref="B4986:B4993"/>
    <mergeCell ref="A4994:A5001"/>
    <mergeCell ref="B4994:B5001"/>
    <mergeCell ref="A5002:A5007"/>
    <mergeCell ref="B5002:B5007"/>
    <mergeCell ref="A5008:A5015"/>
    <mergeCell ref="B5008:B5015"/>
    <mergeCell ref="A5016:A5021"/>
    <mergeCell ref="B5016:B5021"/>
    <mergeCell ref="B134:B137"/>
    <mergeCell ref="A182:A188"/>
    <mergeCell ref="B182:B188"/>
    <mergeCell ref="A189:A195"/>
    <mergeCell ref="B189:B195"/>
    <mergeCell ref="A196:A199"/>
    <mergeCell ref="B196:B199"/>
    <mergeCell ref="A213:A217"/>
    <mergeCell ref="B213:B217"/>
    <mergeCell ref="A218:A222"/>
    <mergeCell ref="B218:B222"/>
    <mergeCell ref="A223:A226"/>
    <mergeCell ref="B223:B226"/>
    <mergeCell ref="A200:A203"/>
    <mergeCell ref="B200:B203"/>
    <mergeCell ref="A204:A208"/>
    <mergeCell ref="B160:B164"/>
    <mergeCell ref="A165:A169"/>
    <mergeCell ref="B165:B169"/>
    <mergeCell ref="A235:A238"/>
    <mergeCell ref="B235:B238"/>
    <mergeCell ref="A267:A274"/>
    <mergeCell ref="A5086:A5091"/>
    <mergeCell ref="B5086:B5091"/>
    <mergeCell ref="A5092:A5097"/>
    <mergeCell ref="B5092:B5097"/>
    <mergeCell ref="A5098:A5112"/>
    <mergeCell ref="B5098:B5112"/>
    <mergeCell ref="A5121:A5126"/>
    <mergeCell ref="B5121:B5126"/>
    <mergeCell ref="A5127:A5133"/>
    <mergeCell ref="B5127:B5133"/>
    <mergeCell ref="A5022:A5029"/>
    <mergeCell ref="B5022:B5029"/>
    <mergeCell ref="A5030:A5037"/>
    <mergeCell ref="B5030:B5037"/>
    <mergeCell ref="A5038:A5045"/>
    <mergeCell ref="B5038:B5045"/>
    <mergeCell ref="A5046:A5055"/>
    <mergeCell ref="B5046:B5055"/>
    <mergeCell ref="A5056:A5065"/>
    <mergeCell ref="B5056:B5065"/>
    <mergeCell ref="A5066:A5072"/>
    <mergeCell ref="B5066:B5072"/>
    <mergeCell ref="A5073:A5079"/>
    <mergeCell ref="B5073:B5079"/>
    <mergeCell ref="A5080:A5085"/>
    <mergeCell ref="B5080:B5085"/>
    <mergeCell ref="A5113:A5120"/>
    <mergeCell ref="B5113:B5120"/>
  </mergeCells>
  <conditionalFormatting sqref="D3339 D261 D2425 D2254:E2254 D4740:D4741 E4740 D4853 D4867 D5102 D5112">
    <cfRule type="containsText" dxfId="1780" priority="2632" operator="containsText" text="Pesquisa de Preços">
      <formula>NOT(ISERROR(SEARCH("Pesquisa de Preços",D261)))</formula>
    </cfRule>
  </conditionalFormatting>
  <conditionalFormatting sqref="D9">
    <cfRule type="containsText" dxfId="1779" priority="2631" operator="containsText" text="Pesquisa de Preços">
      <formula>NOT(ISERROR(SEARCH("Pesquisa de Preços",D9)))</formula>
    </cfRule>
  </conditionalFormatting>
  <conditionalFormatting sqref="D7">
    <cfRule type="containsText" dxfId="1778" priority="2630" operator="containsText" text="Pesquisa de Preços">
      <formula>NOT(ISERROR(SEARCH("Pesquisa de Preços",D7)))</formula>
    </cfRule>
  </conditionalFormatting>
  <conditionalFormatting sqref="D6 D10 D14 D18 D23 D28 D33 D37 D42 D47 D52 D59 D64 D69 D77 D82 D87 D92 D97 D102 D106 D111 D116 D120 D125 D130 D134 D138 D143 D148 D153 D160 D165 D170 D174 D178 D182 D189 D196 D200 D204 D209 D213 D218 D223 D227 D231 D235 D239 D247 D262 D267 D275 D282 D289 D304 D319 D325 D340 D350 D364 D370 D379 D393 D400 D414 D421 D433 D439 D445 D453 D463 D470 D482 D488 D496 D503 D510 D516 D523 D530 D536 D544 D552 D560 D568 D578 D587 D595 D605 D614 D620 D628 D636 D643 D647 D651 D655 D659 D663 D667 D675 D685 D695 D703 D713 D722 D729 D735 D743 D747 D754 D765 D771 D782 D789 D803 D813 D817 D822 D826 D831 D838 D844 D849 D855 D862 D868 D876 D884 D892 D897 D904 D908 D914 D923 D930 D939 D948 D954 D960 D967 D974 D981 D992 D1003 D1008 D1013 D1022 D1027 D1037 D1046 D1053 D1060 D1067 D1074 D1083 D1091 D1099 D1109 D1117 D1122 D1127 D1133 D1138 D1145 D1152 D1159 D1166 D1173 D1180 D1187 D1194 D1201 D1208 D1215 D1222 D1229 D1236 D1243 D1250 D1257 D1264 D1271 D1277 D1284 D1291 D1298 D1305 D1313 D1322 D1327 D1333 D1339 D1345 D1352 D1358 D1365 D1371 D1377 D1383 D1389 D1395 D1401 D1408 D1423 D1438 D1453 D1468 D1483 D1498 D1513 D1521 D1529 D1537 D1545 D1553 D1560 D1567 D1574 D1581 D1596 D1602 D1608 D1614 D1621 D1626 D1632 D1638 D1643 D1649 D1655 D1661 D1667 D1672 D1677 D1682 D1688 D1695 D1702 D1708 D1716 D1727 D1738 D1749 D1760 D1767 D1774 D1781 D1788 D1795 D1802 D1809 D1816 D1821 D1826 D1832 D1838 D1845 D1851 D1857 D1863 D1869 D1875 D1881 D1887 D1893 D1899 D1905 D1911 D1917 D1922 D1927 D1932 D1938 D1943 D1948 D1953 D1959 D1965 D1972 D1979 D1987 D1995 D2002 D2009 D2016 D2023 D2029 D2037 D2045 D2053 D2061 D2069 D2077 D2085 D2093 D2101 D2109 D2117 D2123 D2129 D2135 D2141 D2147 D2155 D2163 D2171 D2179 D2187 D2195 D2203 D2211 D2216 D2223 D2229 D2235 D2241 D2255 D2261 D2273 D2283 D2293 D2305 D2317 D2324 D2331 D2337 D2343 D2349 D2355 D2360 D2365 D2370 D2376 D2384 D2391 D2397 D2404 D2422 D2450 D2570 D2574 D2578 D2582 D2586 D2590 D2598 D2606 D2614 D2618 D2622 D2626 D2630 D2634 D2638 D2642 D2646 D2650 D2654 D2662 D2670 D2676 D2682 D2688 D2694 D2700 D2706 D2712 D2718 D2724 D2730 D2736 D2743 D2760 D2767 D2772 D2777 D2782 D2789 D2794 D2799 D2804 D2809 D2814 D2819 D2824 D2829 D2840 D2845 D2850 D2855 D2863 D2871 D2879 D2887 D2895 D2900 D2905 D2910 D2915 D2920 D2925 D2930 D2935 D2940 D2945 D2952 D2957 D2962 D2967 D2972 D2977 D2982 D2987 D2992 D2997 D3005 D3010 D3018 D3022 D3029 D3034 D3042 D3047 D3052 D3057 D3062 D3067 D3072 D3077 D3082 D3087 D3093 D3100 D3107 D3113 D3119 D3126 D3131 D3137 D3145 D3153 D3158 D3162 D3169 D3182 D3188 D3194 D3200 D3210 D3215 D3222 D3229 D3236 D3243 D3250 D3257 D3264 D3271 D3278 D3285 D3291 D3297 D3306 D3311 D3318 D3325 D3332 D3336 D3340 D3345 D3349 D3353 D3360 D3367 D3374 D3379 D3384 D3389 D3393 D3397 D3407 D3418 D3426 D3443 D3451 D3468 D3480 D3487 D3503 D3509 D3515 D3523 D3530 D3535 D3543 D3549 D3556 D3562 D3572 D3577 D3582 D3590 D3594 D3600 D3615 D3623 D3635 D3648 D3659 D3663 D3673 D3678 D3687 D3696 D3700 D3704 D3708 D3714 D3719 D3730 D3740 D3749 D3757 D3769 D3784 D3791 D3807 D3813 D3819 D3825 D3832 D3841 D3848 D3856 D3863 D3871 D3884 D3897 D3902 D3906 D3910 D3919 D3928 D3937 D3946 D3955 D3964 D3970 D3976 D3983 D3989 D3993 D4000 D4008 D4016 D4024 D4034 D4041 D4052 D4063 D4067 D4074 D4081 D4087 D4093 D4099 D4109 D4115 D4123 D4129 D4136 D4144 D4149 D4159 D4168 D4184 D4211 D4218 D4228 D4237 D4246 D4255 D4264 D4274 D4282 D4290 D4300 D4310 D4320 D4328 D4344 D4353 D4359 D4379 D4387 D4395 D4401 D4406 D4411 D4417 D4425 D4431 D4437 D4449 D4461 D4480 D4488 D4497 D4505 D4511 D4523 D4531 D4537 D4545 D4553 D4563 D4569 D4577 D4586 D4598 D4604 D4612 D4623">
    <cfRule type="containsText" dxfId="1777" priority="2629" operator="containsText" text="Pesquisa de Preços">
      <formula>NOT(ISERROR(SEARCH("Pesquisa de Preços",D6)))</formula>
    </cfRule>
  </conditionalFormatting>
  <conditionalFormatting sqref="D8">
    <cfRule type="containsText" dxfId="1776" priority="2628" operator="containsText" text="Pesquisa de Preços">
      <formula>NOT(ISERROR(SEARCH("Pesquisa de Preços",D8)))</formula>
    </cfRule>
  </conditionalFormatting>
  <conditionalFormatting sqref="D15">
    <cfRule type="containsText" dxfId="1775" priority="2627" operator="containsText" text="Pesquisa de Preços">
      <formula>NOT(ISERROR(SEARCH("Pesquisa de Preços",D15)))</formula>
    </cfRule>
  </conditionalFormatting>
  <conditionalFormatting sqref="D16">
    <cfRule type="containsText" dxfId="1774" priority="2626" operator="containsText" text="Pesquisa de Preços">
      <formula>NOT(ISERROR(SEARCH("Pesquisa de Preços",D16)))</formula>
    </cfRule>
  </conditionalFormatting>
  <conditionalFormatting sqref="D12">
    <cfRule type="containsText" dxfId="1773" priority="2625" operator="containsText" text="Pesquisa de Preços">
      <formula>NOT(ISERROR(SEARCH("Pesquisa de Preços",D12)))</formula>
    </cfRule>
  </conditionalFormatting>
  <conditionalFormatting sqref="D94:D95">
    <cfRule type="containsText" dxfId="1772" priority="2123" operator="containsText" text="Pesquisa de Preços">
      <formula>NOT(ISERROR(SEARCH("Pesquisa de Preços",D94)))</formula>
    </cfRule>
  </conditionalFormatting>
  <conditionalFormatting sqref="D13">
    <cfRule type="containsText" dxfId="1771" priority="2624" operator="containsText" text="Pesquisa de Preços">
      <formula>NOT(ISERROR(SEARCH("Pesquisa de Preços",D13)))</formula>
    </cfRule>
  </conditionalFormatting>
  <conditionalFormatting sqref="D11">
    <cfRule type="containsText" dxfId="1770" priority="2623" operator="containsText" text="Pesquisa de Preços">
      <formula>NOT(ISERROR(SEARCH("Pesquisa de Preços",D11)))</formula>
    </cfRule>
  </conditionalFormatting>
  <conditionalFormatting sqref="D224">
    <cfRule type="containsText" dxfId="1769" priority="2621" operator="containsText" text="Pesquisa de Preços">
      <formula>NOT(ISERROR(SEARCH("Pesquisa de Preços",D224)))</formula>
    </cfRule>
  </conditionalFormatting>
  <conditionalFormatting sqref="D226">
    <cfRule type="containsText" dxfId="1768" priority="2622" operator="containsText" text="Pesquisa de Preços">
      <formula>NOT(ISERROR(SEARCH("Pesquisa de Preços",D226)))</formula>
    </cfRule>
  </conditionalFormatting>
  <conditionalFormatting sqref="D1386">
    <cfRule type="containsText" dxfId="1767" priority="2119" operator="containsText" text="Pesquisa de Preços">
      <formula>NOT(ISERROR(SEARCH("Pesquisa de Preços",D1386)))</formula>
    </cfRule>
  </conditionalFormatting>
  <conditionalFormatting sqref="D513">
    <cfRule type="containsText" dxfId="1766" priority="2527" operator="containsText" text="Pesquisa de Preços">
      <formula>NOT(ISERROR(SEARCH("Pesquisa de Preços",D513)))</formula>
    </cfRule>
  </conditionalFormatting>
  <conditionalFormatting sqref="D149">
    <cfRule type="containsText" dxfId="1765" priority="2617" operator="containsText" text="Pesquisa de Preços">
      <formula>NOT(ISERROR(SEARCH("Pesquisa de Preços",D149)))</formula>
    </cfRule>
  </conditionalFormatting>
  <conditionalFormatting sqref="D489:D490 D492:D495">
    <cfRule type="containsText" dxfId="1764" priority="2524" operator="containsText" text="Pesquisa de Preços">
      <formula>NOT(ISERROR(SEARCH("Pesquisa de Preços",D489)))</formula>
    </cfRule>
  </conditionalFormatting>
  <conditionalFormatting sqref="D78">
    <cfRule type="containsText" dxfId="1763" priority="2618" operator="containsText" text="Pesquisa de Preços">
      <formula>NOT(ISERROR(SEARCH("Pesquisa de Preços",D78)))</formula>
    </cfRule>
  </conditionalFormatting>
  <conditionalFormatting sqref="D161">
    <cfRule type="containsText" dxfId="1762" priority="2616" operator="containsText" text="Pesquisa de Preços">
      <formula>NOT(ISERROR(SEARCH("Pesquisa de Preços",D161)))</formula>
    </cfRule>
  </conditionalFormatting>
  <conditionalFormatting sqref="D79">
    <cfRule type="containsText" dxfId="1761" priority="2620" operator="containsText" text="Pesquisa de Preços">
      <formula>NOT(ISERROR(SEARCH("Pesquisa de Preços",D79)))</formula>
    </cfRule>
  </conditionalFormatting>
  <conditionalFormatting sqref="D81">
    <cfRule type="containsText" dxfId="1760" priority="2619" operator="containsText" text="Pesquisa de Preços">
      <formula>NOT(ISERROR(SEARCH("Pesquisa de Preços",D81)))</formula>
    </cfRule>
  </conditionalFormatting>
  <conditionalFormatting sqref="D88">
    <cfRule type="containsText" dxfId="1759" priority="2615" operator="containsText" text="Pesquisa de Preços">
      <formula>NOT(ISERROR(SEARCH("Pesquisa de Preços",D88)))</formula>
    </cfRule>
  </conditionalFormatting>
  <conditionalFormatting sqref="D60">
    <cfRule type="containsText" dxfId="1758" priority="2614" operator="containsText" text="Pesquisa de Preços">
      <formula>NOT(ISERROR(SEARCH("Pesquisa de Preços",D60)))</formula>
    </cfRule>
  </conditionalFormatting>
  <conditionalFormatting sqref="D53">
    <cfRule type="containsText" dxfId="1757" priority="2613" operator="containsText" text="Pesquisa de Preços">
      <formula>NOT(ISERROR(SEARCH("Pesquisa de Preços",D53)))</formula>
    </cfRule>
  </conditionalFormatting>
  <conditionalFormatting sqref="D34:D35">
    <cfRule type="containsText" dxfId="1756" priority="2612" operator="containsText" text="Pesquisa de Preços">
      <formula>NOT(ISERROR(SEARCH("Pesquisa de Preços",D34)))</formula>
    </cfRule>
  </conditionalFormatting>
  <conditionalFormatting sqref="D98:D99">
    <cfRule type="containsText" dxfId="1755" priority="2610" operator="containsText" text="Pesquisa de Preços">
      <formula>NOT(ISERROR(SEARCH("Pesquisa de Preços",D98)))</formula>
    </cfRule>
  </conditionalFormatting>
  <conditionalFormatting sqref="D29">
    <cfRule type="containsText" dxfId="1754" priority="2611" operator="containsText" text="Pesquisa de Preços">
      <formula>NOT(ISERROR(SEARCH("Pesquisa de Preços",D29)))</formula>
    </cfRule>
  </conditionalFormatting>
  <conditionalFormatting sqref="D144:D145">
    <cfRule type="containsText" dxfId="1753" priority="2608" operator="containsText" text="Pesquisa de Preços">
      <formula>NOT(ISERROR(SEARCH("Pesquisa de Preços",D144)))</formula>
    </cfRule>
  </conditionalFormatting>
  <conditionalFormatting sqref="D100">
    <cfRule type="containsText" dxfId="1752" priority="2609" operator="containsText" text="Pesquisa de Preços">
      <formula>NOT(ISERROR(SEARCH("Pesquisa de Preços",D100)))</formula>
    </cfRule>
  </conditionalFormatting>
  <conditionalFormatting sqref="D179">
    <cfRule type="containsText" dxfId="1751" priority="2603" operator="containsText" text="Pesquisa de Preços">
      <formula>NOT(ISERROR(SEARCH("Pesquisa de Preços",D179)))</formula>
    </cfRule>
  </conditionalFormatting>
  <conditionalFormatting sqref="D24">
    <cfRule type="containsText" dxfId="1750" priority="2605" operator="containsText" text="Pesquisa de Preços">
      <formula>NOT(ISERROR(SEARCH("Pesquisa de Preços",D24)))</formula>
    </cfRule>
  </conditionalFormatting>
  <conditionalFormatting sqref="D146">
    <cfRule type="containsText" dxfId="1749" priority="2607" operator="containsText" text="Pesquisa de Preços">
      <formula>NOT(ISERROR(SEARCH("Pesquisa de Preços",D146)))</formula>
    </cfRule>
  </conditionalFormatting>
  <conditionalFormatting sqref="D43:D45">
    <cfRule type="containsText" dxfId="1748" priority="2606" operator="containsText" text="Pesquisa de Preços">
      <formula>NOT(ISERROR(SEARCH("Pesquisa de Preços",D43)))</formula>
    </cfRule>
  </conditionalFormatting>
  <conditionalFormatting sqref="D117:D118">
    <cfRule type="containsText" dxfId="1747" priority="2602" operator="containsText" text="Pesquisa de Preços">
      <formula>NOT(ISERROR(SEARCH("Pesquisa de Preços",D117)))</formula>
    </cfRule>
  </conditionalFormatting>
  <conditionalFormatting sqref="D38:D40">
    <cfRule type="containsText" dxfId="1746" priority="2604" operator="containsText" text="Pesquisa de Preços">
      <formula>NOT(ISERROR(SEARCH("Pesquisa de Preços",D38)))</formula>
    </cfRule>
  </conditionalFormatting>
  <conditionalFormatting sqref="D676">
    <cfRule type="containsText" dxfId="1745" priority="2508" operator="containsText" text="Pesquisa de Preços">
      <formula>NOT(ISERROR(SEARCH("Pesquisa de Preços",D676)))</formula>
    </cfRule>
  </conditionalFormatting>
  <conditionalFormatting sqref="D668">
    <cfRule type="containsText" dxfId="1744" priority="2507" operator="containsText" text="Pesquisa de Preços">
      <formula>NOT(ISERROR(SEARCH("Pesquisa de Preços",D668)))</formula>
    </cfRule>
  </conditionalFormatting>
  <conditionalFormatting sqref="D175:D176">
    <cfRule type="containsText" dxfId="1743" priority="2601" operator="containsText" text="Pesquisa de Preços">
      <formula>NOT(ISERROR(SEARCH("Pesquisa de Preços",D175)))</formula>
    </cfRule>
  </conditionalFormatting>
  <conditionalFormatting sqref="D219:D220">
    <cfRule type="containsText" dxfId="1742" priority="2600" operator="containsText" text="Pesquisa de Preços">
      <formula>NOT(ISERROR(SEARCH("Pesquisa de Preços",D219)))</formula>
    </cfRule>
  </conditionalFormatting>
  <conditionalFormatting sqref="D686:D687 D693:D694">
    <cfRule type="containsText" dxfId="1741" priority="2506" operator="containsText" text="Pesquisa de Preços">
      <formula>NOT(ISERROR(SEARCH("Pesquisa de Preços",D686)))</formula>
    </cfRule>
  </conditionalFormatting>
  <conditionalFormatting sqref="D221">
    <cfRule type="containsText" dxfId="1740" priority="2599" operator="containsText" text="Pesquisa de Preços">
      <formula>NOT(ISERROR(SEARCH("Pesquisa de Preços",D221)))</formula>
    </cfRule>
  </conditionalFormatting>
  <conditionalFormatting sqref="D126">
    <cfRule type="containsText" dxfId="1739" priority="2598" operator="containsText" text="Pesquisa de Preços">
      <formula>NOT(ISERROR(SEARCH("Pesquisa de Preços",D126)))</formula>
    </cfRule>
  </conditionalFormatting>
  <conditionalFormatting sqref="D714">
    <cfRule type="containsText" dxfId="1738" priority="2504" operator="containsText" text="Pesquisa de Preços">
      <formula>NOT(ISERROR(SEARCH("Pesquisa de Preços",D714)))</formula>
    </cfRule>
  </conditionalFormatting>
  <conditionalFormatting sqref="D166:D167">
    <cfRule type="containsText" dxfId="1737" priority="2597" operator="containsText" text="Pesquisa de Preços">
      <formula>NOT(ISERROR(SEARCH("Pesquisa de Preços",D166)))</formula>
    </cfRule>
  </conditionalFormatting>
  <conditionalFormatting sqref="D730">
    <cfRule type="containsText" dxfId="1736" priority="2503" operator="containsText" text="Pesquisa de Preços">
      <formula>NOT(ISERROR(SEARCH("Pesquisa de Preços",D730)))</formula>
    </cfRule>
  </conditionalFormatting>
  <conditionalFormatting sqref="D168">
    <cfRule type="containsText" dxfId="1735" priority="2596" operator="containsText" text="Pesquisa de Preços">
      <formula>NOT(ISERROR(SEARCH("Pesquisa de Preços",D168)))</formula>
    </cfRule>
  </conditionalFormatting>
  <conditionalFormatting sqref="D83">
    <cfRule type="containsText" dxfId="1734" priority="2595" operator="containsText" text="Pesquisa de Preços">
      <formula>NOT(ISERROR(SEARCH("Pesquisa de Preços",D83)))</formula>
    </cfRule>
  </conditionalFormatting>
  <conditionalFormatting sqref="D112">
    <cfRule type="containsText" dxfId="1733" priority="2594" operator="containsText" text="Pesquisa de Preços">
      <formula>NOT(ISERROR(SEARCH("Pesquisa de Preços",D112)))</formula>
    </cfRule>
  </conditionalFormatting>
  <conditionalFormatting sqref="D210:D211">
    <cfRule type="containsText" dxfId="1732" priority="2593" operator="containsText" text="Pesquisa de Preços">
      <formula>NOT(ISERROR(SEARCH("Pesquisa de Preços",D210)))</formula>
    </cfRule>
  </conditionalFormatting>
  <conditionalFormatting sqref="D201">
    <cfRule type="containsText" dxfId="1731" priority="2592" operator="containsText" text="Pesquisa de Preços">
      <formula>NOT(ISERROR(SEARCH("Pesquisa de Preços",D201)))</formula>
    </cfRule>
  </conditionalFormatting>
  <conditionalFormatting sqref="D197:D198">
    <cfRule type="containsText" dxfId="1730" priority="2590" operator="containsText" text="Pesquisa de Preços">
      <formula>NOT(ISERROR(SEARCH("Pesquisa de Preços",D197)))</formula>
    </cfRule>
  </conditionalFormatting>
  <conditionalFormatting sqref="D202:D203">
    <cfRule type="containsText" dxfId="1729" priority="2591" operator="containsText" text="Pesquisa de Preços">
      <formula>NOT(ISERROR(SEARCH("Pesquisa de Preços",D202)))</formula>
    </cfRule>
  </conditionalFormatting>
  <conditionalFormatting sqref="D70:D71 D75:D76">
    <cfRule type="containsText" dxfId="1728" priority="2589" operator="containsText" text="Pesquisa de Preços">
      <formula>NOT(ISERROR(SEARCH("Pesquisa de Preços",D70)))</formula>
    </cfRule>
  </conditionalFormatting>
  <conditionalFormatting sqref="D72:D74">
    <cfRule type="containsText" dxfId="1727" priority="2588" operator="containsText" text="Pesquisa de Preços">
      <formula>NOT(ISERROR(SEARCH("Pesquisa de Preços",D72)))</formula>
    </cfRule>
  </conditionalFormatting>
  <conditionalFormatting sqref="D135:D136">
    <cfRule type="containsText" dxfId="1726" priority="2587" operator="containsText" text="Pesquisa de Preços">
      <formula>NOT(ISERROR(SEARCH("Pesquisa de Preços",D135)))</formula>
    </cfRule>
  </conditionalFormatting>
  <conditionalFormatting sqref="D139:D140">
    <cfRule type="containsText" dxfId="1725" priority="2586" operator="containsText" text="Pesquisa de Preços">
      <formula>NOT(ISERROR(SEARCH("Pesquisa de Preços",D139)))</formula>
    </cfRule>
  </conditionalFormatting>
  <conditionalFormatting sqref="D790 D792:D801">
    <cfRule type="containsText" dxfId="1724" priority="2500" operator="containsText" text="Pesquisa de Preços">
      <formula>NOT(ISERROR(SEARCH("Pesquisa de Preços",D790)))</formula>
    </cfRule>
  </conditionalFormatting>
  <conditionalFormatting sqref="D154:D156">
    <cfRule type="containsText" dxfId="1723" priority="2585" operator="containsText" text="Pesquisa de Preços">
      <formula>NOT(ISERROR(SEARCH("Pesquisa de Preços",D154)))</formula>
    </cfRule>
  </conditionalFormatting>
  <conditionalFormatting sqref="D832">
    <cfRule type="containsText" dxfId="1722" priority="2499" operator="containsText" text="Pesquisa de Preços">
      <formula>NOT(ISERROR(SEARCH("Pesquisa de Preços",D832)))</formula>
    </cfRule>
  </conditionalFormatting>
  <conditionalFormatting sqref="D93">
    <cfRule type="containsText" dxfId="1721" priority="2584" operator="containsText" text="Pesquisa de Preços">
      <formula>NOT(ISERROR(SEARCH("Pesquisa de Preços",D93)))</formula>
    </cfRule>
  </conditionalFormatting>
  <conditionalFormatting sqref="D814:D815">
    <cfRule type="containsText" dxfId="1720" priority="2498" operator="containsText" text="Pesquisa de Preços">
      <formula>NOT(ISERROR(SEARCH("Pesquisa de Preços",D814)))</formula>
    </cfRule>
  </conditionalFormatting>
  <conditionalFormatting sqref="D48:D49">
    <cfRule type="containsText" dxfId="1719" priority="2583" operator="containsText" text="Pesquisa de Preços">
      <formula>NOT(ISERROR(SEARCH("Pesquisa de Preços",D48)))</formula>
    </cfRule>
  </conditionalFormatting>
  <conditionalFormatting sqref="D50">
    <cfRule type="containsText" dxfId="1718" priority="2582" operator="containsText" text="Pesquisa de Preços">
      <formula>NOT(ISERROR(SEARCH("Pesquisa de Preços",D50)))</formula>
    </cfRule>
  </conditionalFormatting>
  <conditionalFormatting sqref="D190:D191">
    <cfRule type="containsText" dxfId="1717" priority="2581" operator="containsText" text="Pesquisa de Preços">
      <formula>NOT(ISERROR(SEARCH("Pesquisa de Preços",D190)))</formula>
    </cfRule>
  </conditionalFormatting>
  <conditionalFormatting sqref="D748:D749 D752:D753">
    <cfRule type="containsText" dxfId="1716" priority="2497" operator="containsText" text="Pesquisa de Preços">
      <formula>NOT(ISERROR(SEARCH("Pesquisa de Preços",D748)))</formula>
    </cfRule>
  </conditionalFormatting>
  <conditionalFormatting sqref="D192">
    <cfRule type="containsText" dxfId="1715" priority="2580" operator="containsText" text="Pesquisa de Preços">
      <formula>NOT(ISERROR(SEARCH("Pesquisa de Preços",D192)))</formula>
    </cfRule>
  </conditionalFormatting>
  <conditionalFormatting sqref="D214">
    <cfRule type="containsText" dxfId="1714" priority="2579" operator="containsText" text="Pesquisa de Preços">
      <formula>NOT(ISERROR(SEARCH("Pesquisa de Preços",D214)))</formula>
    </cfRule>
  </conditionalFormatting>
  <conditionalFormatting sqref="D216">
    <cfRule type="containsText" dxfId="1713" priority="2578" operator="containsText" text="Pesquisa de Preços">
      <formula>NOT(ISERROR(SEARCH("Pesquisa de Preços",D216)))</formula>
    </cfRule>
  </conditionalFormatting>
  <conditionalFormatting sqref="D121">
    <cfRule type="containsText" dxfId="1712" priority="2577" operator="containsText" text="Pesquisa de Preços">
      <formula>NOT(ISERROR(SEARCH("Pesquisa de Preços",D121)))</formula>
    </cfRule>
  </conditionalFormatting>
  <conditionalFormatting sqref="D755:D756">
    <cfRule type="containsText" dxfId="1711" priority="2495" operator="containsText" text="Pesquisa de Preços">
      <formula>NOT(ISERROR(SEARCH("Pesquisa de Preços",D755)))</formula>
    </cfRule>
  </conditionalFormatting>
  <conditionalFormatting sqref="D123">
    <cfRule type="containsText" dxfId="1710" priority="2576" operator="containsText" text="Pesquisa de Preços">
      <formula>NOT(ISERROR(SEARCH("Pesquisa de Preços",D123)))</formula>
    </cfRule>
  </conditionalFormatting>
  <conditionalFormatting sqref="D107:D108">
    <cfRule type="containsText" dxfId="1709" priority="2575" operator="containsText" text="Pesquisa de Preços">
      <formula>NOT(ISERROR(SEARCH("Pesquisa de Preços",D107)))</formula>
    </cfRule>
  </conditionalFormatting>
  <conditionalFormatting sqref="D823 D825">
    <cfRule type="containsText" dxfId="1708" priority="2493" operator="containsText" text="Pesquisa de Preços">
      <formula>NOT(ISERROR(SEARCH("Pesquisa de Preços",D823)))</formula>
    </cfRule>
  </conditionalFormatting>
  <conditionalFormatting sqref="D109">
    <cfRule type="containsText" dxfId="1707" priority="2574" operator="containsText" text="Pesquisa de Preços">
      <formula>NOT(ISERROR(SEARCH("Pesquisa de Preços",D109)))</formula>
    </cfRule>
  </conditionalFormatting>
  <conditionalFormatting sqref="D131">
    <cfRule type="containsText" dxfId="1706" priority="2573" operator="containsText" text="Pesquisa de Preços">
      <formula>NOT(ISERROR(SEARCH("Pesquisa de Preços",D131)))</formula>
    </cfRule>
  </conditionalFormatting>
  <conditionalFormatting sqref="D827">
    <cfRule type="containsText" dxfId="1705" priority="2492" operator="containsText" text="Pesquisa de Preços">
      <formula>NOT(ISERROR(SEARCH("Pesquisa de Preços",D827)))</formula>
    </cfRule>
  </conditionalFormatting>
  <conditionalFormatting sqref="D65">
    <cfRule type="containsText" dxfId="1704" priority="2572" operator="containsText" text="Pesquisa de Preços">
      <formula>NOT(ISERROR(SEARCH("Pesquisa de Preços",D65)))</formula>
    </cfRule>
  </conditionalFormatting>
  <conditionalFormatting sqref="D804">
    <cfRule type="containsText" dxfId="1703" priority="2491" operator="containsText" text="Pesquisa de Preços">
      <formula>NOT(ISERROR(SEARCH("Pesquisa de Preços",D804)))</formula>
    </cfRule>
  </conditionalFormatting>
  <conditionalFormatting sqref="D67">
    <cfRule type="containsText" dxfId="1702" priority="2571" operator="containsText" text="Pesquisa de Preços">
      <formula>NOT(ISERROR(SEARCH("Pesquisa de Preços",D67)))</formula>
    </cfRule>
  </conditionalFormatting>
  <conditionalFormatting sqref="D320">
    <cfRule type="containsText" dxfId="1701" priority="2560" operator="containsText" text="Pesquisa de Preços">
      <formula>NOT(ISERROR(SEARCH("Pesquisa de Preços",D320)))</formula>
    </cfRule>
  </conditionalFormatting>
  <conditionalFormatting sqref="D341">
    <cfRule type="containsText" dxfId="1700" priority="2557" operator="containsText" text="Pesquisa de Preços">
      <formula>NOT(ISERROR(SEARCH("Pesquisa de Preços",D341)))</formula>
    </cfRule>
  </conditionalFormatting>
  <conditionalFormatting sqref="D326:D327">
    <cfRule type="containsText" dxfId="1699" priority="2552" operator="containsText" text="Pesquisa de Preços">
      <formula>NOT(ISERROR(SEARCH("Pesquisa de Preços",D326)))</formula>
    </cfRule>
  </conditionalFormatting>
  <conditionalFormatting sqref="D415 D420">
    <cfRule type="containsText" dxfId="1698" priority="2545" operator="containsText" text="Pesquisa de Preços">
      <formula>NOT(ISERROR(SEARCH("Pesquisa de Preços",D415)))</formula>
    </cfRule>
  </conditionalFormatting>
  <conditionalFormatting sqref="D246">
    <cfRule type="containsText" dxfId="1697" priority="2570" operator="containsText" text="Pesquisa de Preços">
      <formula>NOT(ISERROR(SEARCH("Pesquisa de Preços",D246)))</formula>
    </cfRule>
  </conditionalFormatting>
  <conditionalFormatting sqref="D248:D249">
    <cfRule type="containsText" dxfId="1696" priority="2569" operator="containsText" text="Pesquisa de Preços">
      <formula>NOT(ISERROR(SEARCH("Pesquisa de Preços",D248)))</formula>
    </cfRule>
  </conditionalFormatting>
  <conditionalFormatting sqref="D1094:D1095">
    <cfRule type="containsText" dxfId="1695" priority="2455" operator="containsText" text="Pesquisa de Preços">
      <formula>NOT(ISERROR(SEARCH("Pesquisa de Preços",D1094)))</formula>
    </cfRule>
  </conditionalFormatting>
  <conditionalFormatting sqref="D250:D260">
    <cfRule type="containsText" dxfId="1694" priority="2568" operator="containsText" text="Pesquisa de Preços">
      <formula>NOT(ISERROR(SEARCH("Pesquisa de Preços",D250)))</formula>
    </cfRule>
  </conditionalFormatting>
  <conditionalFormatting sqref="D263:D264">
    <cfRule type="containsText" dxfId="1693" priority="2567" operator="containsText" text="Pesquisa de Preços">
      <formula>NOT(ISERROR(SEARCH("Pesquisa de Preços",D263)))</formula>
    </cfRule>
  </conditionalFormatting>
  <conditionalFormatting sqref="D276:D277 D281">
    <cfRule type="containsText" dxfId="1692" priority="2566" operator="containsText" text="Pesquisa de Preços">
      <formula>NOT(ISERROR(SEARCH("Pesquisa de Preços",D276)))</formula>
    </cfRule>
  </conditionalFormatting>
  <conditionalFormatting sqref="D278:D279">
    <cfRule type="containsText" dxfId="1691" priority="2565" operator="containsText" text="Pesquisa de Preços">
      <formula>NOT(ISERROR(SEARCH("Pesquisa de Preços",D278)))</formula>
    </cfRule>
  </conditionalFormatting>
  <conditionalFormatting sqref="D283:D284 D288">
    <cfRule type="containsText" dxfId="1690" priority="2564" operator="containsText" text="Pesquisa de Preços">
      <formula>NOT(ISERROR(SEARCH("Pesquisa de Preços",D283)))</formula>
    </cfRule>
  </conditionalFormatting>
  <conditionalFormatting sqref="D285:D286">
    <cfRule type="containsText" dxfId="1689" priority="2563" operator="containsText" text="Pesquisa de Preços">
      <formula>NOT(ISERROR(SEARCH("Pesquisa de Preços",D285)))</formula>
    </cfRule>
  </conditionalFormatting>
  <conditionalFormatting sqref="D268:D269 D273:D274">
    <cfRule type="containsText" dxfId="1688" priority="2562" operator="containsText" text="Pesquisa de Preços">
      <formula>NOT(ISERROR(SEARCH("Pesquisa de Preços",D268)))</formula>
    </cfRule>
  </conditionalFormatting>
  <conditionalFormatting sqref="D270:D271">
    <cfRule type="containsText" dxfId="1687" priority="2561" operator="containsText" text="Pesquisa de Preços">
      <formula>NOT(ISERROR(SEARCH("Pesquisa de Preços",D270)))</formula>
    </cfRule>
  </conditionalFormatting>
  <conditionalFormatting sqref="D531:D532 D535">
    <cfRule type="containsText" dxfId="1686" priority="2526" operator="containsText" text="Pesquisa de Preços">
      <formula>NOT(ISERROR(SEARCH("Pesquisa de Preços",D531)))</formula>
    </cfRule>
  </conditionalFormatting>
  <conditionalFormatting sqref="D305">
    <cfRule type="containsText" dxfId="1685" priority="2559" operator="containsText" text="Pesquisa de Preços">
      <formula>NOT(ISERROR(SEARCH("Pesquisa de Preços",D305)))</formula>
    </cfRule>
  </conditionalFormatting>
  <conditionalFormatting sqref="D311:D313">
    <cfRule type="containsText" dxfId="1684" priority="2558" operator="containsText" text="Pesquisa de Preços">
      <formula>NOT(ISERROR(SEARCH("Pesquisa de Preços",D311)))</formula>
    </cfRule>
  </conditionalFormatting>
  <conditionalFormatting sqref="D351">
    <cfRule type="containsText" dxfId="1683" priority="2556" operator="containsText" text="Pesquisa de Preços">
      <formula>NOT(ISERROR(SEARCH("Pesquisa de Preços",D351)))</formula>
    </cfRule>
  </conditionalFormatting>
  <conditionalFormatting sqref="D354:D357">
    <cfRule type="containsText" dxfId="1682" priority="2555" operator="containsText" text="Pesquisa de Preços">
      <formula>NOT(ISERROR(SEARCH("Pesquisa de Preços",D354)))</formula>
    </cfRule>
  </conditionalFormatting>
  <conditionalFormatting sqref="D290">
    <cfRule type="containsText" dxfId="1681" priority="2554" operator="containsText" text="Pesquisa de Preços">
      <formula>NOT(ISERROR(SEARCH("Pesquisa de Preços",D290)))</formula>
    </cfRule>
  </conditionalFormatting>
  <conditionalFormatting sqref="D297:D298">
    <cfRule type="containsText" dxfId="1680" priority="2553" operator="containsText" text="Pesquisa de Preços">
      <formula>NOT(ISERROR(SEARCH("Pesquisa de Preços",D297)))</formula>
    </cfRule>
  </conditionalFormatting>
  <conditionalFormatting sqref="D328:D338">
    <cfRule type="containsText" dxfId="1679" priority="2551" operator="containsText" text="Pesquisa de Preços">
      <formula>NOT(ISERROR(SEARCH("Pesquisa de Preços",D328)))</formula>
    </cfRule>
  </conditionalFormatting>
  <conditionalFormatting sqref="D365:D366 D368:D369">
    <cfRule type="containsText" dxfId="1678" priority="2550" operator="containsText" text="Pesquisa de Preços">
      <formula>NOT(ISERROR(SEARCH("Pesquisa de Preços",D365)))</formula>
    </cfRule>
  </conditionalFormatting>
  <conditionalFormatting sqref="D367">
    <cfRule type="containsText" dxfId="1677" priority="2549" operator="containsText" text="Pesquisa de Preços">
      <formula>NOT(ISERROR(SEARCH("Pesquisa de Preços",D367)))</formula>
    </cfRule>
  </conditionalFormatting>
  <conditionalFormatting sqref="D371:D372 D377:D378">
    <cfRule type="containsText" dxfId="1676" priority="2548" operator="containsText" text="Pesquisa de Preços">
      <formula>NOT(ISERROR(SEARCH("Pesquisa de Preços",D371)))</formula>
    </cfRule>
  </conditionalFormatting>
  <conditionalFormatting sqref="D373:D376">
    <cfRule type="containsText" dxfId="1675" priority="2547" operator="containsText" text="Pesquisa de Preços">
      <formula>NOT(ISERROR(SEARCH("Pesquisa de Preços",D373)))</formula>
    </cfRule>
  </conditionalFormatting>
  <conditionalFormatting sqref="D401">
    <cfRule type="containsText" dxfId="1674" priority="2546" operator="containsText" text="Pesquisa de Preços">
      <formula>NOT(ISERROR(SEARCH("Pesquisa de Preços",D401)))</formula>
    </cfRule>
  </conditionalFormatting>
  <conditionalFormatting sqref="D440:D441 D443:D444">
    <cfRule type="containsText" dxfId="1673" priority="2544" operator="containsText" text="Pesquisa de Preços">
      <formula>NOT(ISERROR(SEARCH("Pesquisa de Preços",D440)))</formula>
    </cfRule>
  </conditionalFormatting>
  <conditionalFormatting sqref="D442">
    <cfRule type="containsText" dxfId="1672" priority="2543" operator="containsText" text="Pesquisa de Preços">
      <formula>NOT(ISERROR(SEARCH("Pesquisa de Preços",D442)))</formula>
    </cfRule>
  </conditionalFormatting>
  <conditionalFormatting sqref="D434:D435 D437:D438">
    <cfRule type="containsText" dxfId="1671" priority="2542" operator="containsText" text="Pesquisa de Preços">
      <formula>NOT(ISERROR(SEARCH("Pesquisa de Preços",D434)))</formula>
    </cfRule>
  </conditionalFormatting>
  <conditionalFormatting sqref="D436">
    <cfRule type="containsText" dxfId="1670" priority="2541" operator="containsText" text="Pesquisa de Preços">
      <formula>NOT(ISERROR(SEARCH("Pesquisa de Preços",D436)))</formula>
    </cfRule>
  </conditionalFormatting>
  <conditionalFormatting sqref="D454:D455 D458:D462">
    <cfRule type="containsText" dxfId="1669" priority="2540" operator="containsText" text="Pesquisa de Preços">
      <formula>NOT(ISERROR(SEARCH("Pesquisa de Preços",D454)))</formula>
    </cfRule>
  </conditionalFormatting>
  <conditionalFormatting sqref="D457">
    <cfRule type="containsText" dxfId="1668" priority="2539" operator="containsText" text="Pesquisa de Preços">
      <formula>NOT(ISERROR(SEARCH("Pesquisa de Preços",D457)))</formula>
    </cfRule>
  </conditionalFormatting>
  <conditionalFormatting sqref="D464:D465 D468:D469">
    <cfRule type="containsText" dxfId="1667" priority="2538" operator="containsText" text="Pesquisa de Preços">
      <formula>NOT(ISERROR(SEARCH("Pesquisa de Preços",D464)))</formula>
    </cfRule>
  </conditionalFormatting>
  <conditionalFormatting sqref="D467">
    <cfRule type="containsText" dxfId="1666" priority="2537" operator="containsText" text="Pesquisa de Preços">
      <formula>NOT(ISERROR(SEARCH("Pesquisa de Preços",D467)))</formula>
    </cfRule>
  </conditionalFormatting>
  <conditionalFormatting sqref="D471 D481">
    <cfRule type="containsText" dxfId="1665" priority="2536" operator="containsText" text="Pesquisa de Preços">
      <formula>NOT(ISERROR(SEARCH("Pesquisa de Preços",D471)))</formula>
    </cfRule>
  </conditionalFormatting>
  <conditionalFormatting sqref="D446 D450 D452">
    <cfRule type="containsText" dxfId="1664" priority="2535" operator="containsText" text="Pesquisa de Preços">
      <formula>NOT(ISERROR(SEARCH("Pesquisa de Preços",D446)))</formula>
    </cfRule>
  </conditionalFormatting>
  <conditionalFormatting sqref="D483:D484 D487">
    <cfRule type="containsText" dxfId="1663" priority="2534" operator="containsText" text="Pesquisa de Preços">
      <formula>NOT(ISERROR(SEARCH("Pesquisa de Preços",D483)))</formula>
    </cfRule>
  </conditionalFormatting>
  <conditionalFormatting sqref="D485">
    <cfRule type="containsText" dxfId="1662" priority="2533" operator="containsText" text="Pesquisa de Preços">
      <formula>NOT(ISERROR(SEARCH("Pesquisa de Preços",D485)))</formula>
    </cfRule>
  </conditionalFormatting>
  <conditionalFormatting sqref="D504:D505 D508:D509">
    <cfRule type="containsText" dxfId="1661" priority="2532" operator="containsText" text="Pesquisa de Preços">
      <formula>NOT(ISERROR(SEARCH("Pesquisa de Preços",D504)))</formula>
    </cfRule>
  </conditionalFormatting>
  <conditionalFormatting sqref="D506:D507">
    <cfRule type="containsText" dxfId="1660" priority="2531" operator="containsText" text="Pesquisa de Preços">
      <formula>NOT(ISERROR(SEARCH("Pesquisa de Preços",D506)))</formula>
    </cfRule>
  </conditionalFormatting>
  <conditionalFormatting sqref="D501:D502 D497:D498">
    <cfRule type="containsText" dxfId="1659" priority="2530" operator="containsText" text="Pesquisa de Preços">
      <formula>NOT(ISERROR(SEARCH("Pesquisa de Preços",D497)))</formula>
    </cfRule>
  </conditionalFormatting>
  <conditionalFormatting sqref="D499:D500">
    <cfRule type="containsText" dxfId="1658" priority="2529" operator="containsText" text="Pesquisa de Preços">
      <formula>NOT(ISERROR(SEARCH("Pesquisa de Preços",D499)))</formula>
    </cfRule>
  </conditionalFormatting>
  <conditionalFormatting sqref="D511:D512 D515">
    <cfRule type="containsText" dxfId="1657" priority="2528" operator="containsText" text="Pesquisa de Preços">
      <formula>NOT(ISERROR(SEARCH("Pesquisa de Preços",D511)))</formula>
    </cfRule>
  </conditionalFormatting>
  <conditionalFormatting sqref="D533">
    <cfRule type="containsText" dxfId="1656" priority="2525" operator="containsText" text="Pesquisa de Preços">
      <formula>NOT(ISERROR(SEARCH("Pesquisa de Preços",D533)))</formula>
    </cfRule>
  </conditionalFormatting>
  <conditionalFormatting sqref="D524:D525 D529">
    <cfRule type="containsText" dxfId="1655" priority="2523" operator="containsText" text="Pesquisa de Preços">
      <formula>NOT(ISERROR(SEARCH("Pesquisa de Preços",D524)))</formula>
    </cfRule>
  </conditionalFormatting>
  <conditionalFormatting sqref="D517 D522">
    <cfRule type="containsText" dxfId="1654" priority="2521" operator="containsText" text="Pesquisa de Preços">
      <formula>NOT(ISERROR(SEARCH("Pesquisa de Preços",D517)))</formula>
    </cfRule>
  </conditionalFormatting>
  <conditionalFormatting sqref="D545:D546 D551">
    <cfRule type="containsText" dxfId="1653" priority="2520" operator="containsText" text="Pesquisa de Preços">
      <formula>NOT(ISERROR(SEARCH("Pesquisa de Preços",D545)))</formula>
    </cfRule>
  </conditionalFormatting>
  <conditionalFormatting sqref="D547:D549">
    <cfRule type="containsText" dxfId="1652" priority="2519" operator="containsText" text="Pesquisa de Preços">
      <formula>NOT(ISERROR(SEARCH("Pesquisa de Preços",D547)))</formula>
    </cfRule>
  </conditionalFormatting>
  <conditionalFormatting sqref="D553:D554 D558:D559">
    <cfRule type="containsText" dxfId="1651" priority="2518" operator="containsText" text="Pesquisa de Preços">
      <formula>NOT(ISERROR(SEARCH("Pesquisa de Preços",D553)))</formula>
    </cfRule>
  </conditionalFormatting>
  <conditionalFormatting sqref="D556:D557">
    <cfRule type="containsText" dxfId="1650" priority="2517" operator="containsText" text="Pesquisa de Preços">
      <formula>NOT(ISERROR(SEARCH("Pesquisa de Preços",D556)))</formula>
    </cfRule>
  </conditionalFormatting>
  <conditionalFormatting sqref="D537:D538 D542:D543">
    <cfRule type="containsText" dxfId="1649" priority="2516" operator="containsText" text="Pesquisa de Preços">
      <formula>NOT(ISERROR(SEARCH("Pesquisa de Preços",D537)))</formula>
    </cfRule>
  </conditionalFormatting>
  <conditionalFormatting sqref="D539:D541">
    <cfRule type="containsText" dxfId="1648" priority="2515" operator="containsText" text="Pesquisa de Preços">
      <formula>NOT(ISERROR(SEARCH("Pesquisa de Preços",D539)))</formula>
    </cfRule>
  </conditionalFormatting>
  <conditionalFormatting sqref="D561:D562 D566:D567">
    <cfRule type="containsText" dxfId="1647" priority="2514" operator="containsText" text="Pesquisa de Preços">
      <formula>NOT(ISERROR(SEARCH("Pesquisa de Preços",D561)))</formula>
    </cfRule>
  </conditionalFormatting>
  <conditionalFormatting sqref="D563:D565">
    <cfRule type="containsText" dxfId="1646" priority="2513" operator="containsText" text="Pesquisa de Preços">
      <formula>NOT(ISERROR(SEARCH("Pesquisa de Preços",D563)))</formula>
    </cfRule>
  </conditionalFormatting>
  <conditionalFormatting sqref="D569:D570">
    <cfRule type="containsText" dxfId="1645" priority="2512" operator="containsText" text="Pesquisa de Preços">
      <formula>NOT(ISERROR(SEARCH("Pesquisa de Preços",D569)))</formula>
    </cfRule>
  </conditionalFormatting>
  <conditionalFormatting sqref="D579:D580 D583:D586">
    <cfRule type="containsText" dxfId="1644" priority="2511" operator="containsText" text="Pesquisa de Preços">
      <formula>NOT(ISERROR(SEARCH("Pesquisa de Preços",D579)))</formula>
    </cfRule>
  </conditionalFormatting>
  <conditionalFormatting sqref="D581:D582">
    <cfRule type="containsText" dxfId="1643" priority="2510" operator="containsText" text="Pesquisa de Preços">
      <formula>NOT(ISERROR(SEARCH("Pesquisa de Preços",D581)))</formula>
    </cfRule>
  </conditionalFormatting>
  <conditionalFormatting sqref="D621 D626:D627">
    <cfRule type="containsText" dxfId="1642" priority="2509" operator="containsText" text="Pesquisa de Preços">
      <formula>NOT(ISERROR(SEARCH("Pesquisa de Preços",D621)))</formula>
    </cfRule>
  </conditionalFormatting>
  <conditionalFormatting sqref="D757:D763">
    <cfRule type="containsText" dxfId="1641" priority="2494" operator="containsText" text="Pesquisa de Preços">
      <formula>NOT(ISERROR(SEARCH("Pesquisa de Preços",D757)))</formula>
    </cfRule>
  </conditionalFormatting>
  <conditionalFormatting sqref="D688:D690">
    <cfRule type="containsText" dxfId="1640" priority="2505" operator="containsText" text="Pesquisa de Preços">
      <formula>NOT(ISERROR(SEARCH("Pesquisa de Preços",D688)))</formula>
    </cfRule>
  </conditionalFormatting>
  <conditionalFormatting sqref="D723">
    <cfRule type="containsText" dxfId="1639" priority="2502" operator="containsText" text="Pesquisa de Preços">
      <formula>NOT(ISERROR(SEARCH("Pesquisa de Preços",D723)))</formula>
    </cfRule>
  </conditionalFormatting>
  <conditionalFormatting sqref="D766">
    <cfRule type="containsText" dxfId="1638" priority="2489" operator="containsText" text="Pesquisa de Preços">
      <formula>NOT(ISERROR(SEARCH("Pesquisa de Preços",D766)))</formula>
    </cfRule>
  </conditionalFormatting>
  <conditionalFormatting sqref="D744:D745">
    <cfRule type="containsText" dxfId="1637" priority="2501" operator="containsText" text="Pesquisa de Preços">
      <formula>NOT(ISERROR(SEARCH("Pesquisa de Preços",D744)))</formula>
    </cfRule>
  </conditionalFormatting>
  <conditionalFormatting sqref="D750:D751">
    <cfRule type="containsText" dxfId="1636" priority="2496" operator="containsText" text="Pesquisa de Preços">
      <formula>NOT(ISERROR(SEARCH("Pesquisa de Preços",D750)))</formula>
    </cfRule>
  </conditionalFormatting>
  <conditionalFormatting sqref="D949">
    <cfRule type="containsText" dxfId="1635" priority="2476" operator="containsText" text="Pesquisa de Preços">
      <formula>NOT(ISERROR(SEARCH("Pesquisa de Preços",D949)))</formula>
    </cfRule>
  </conditionalFormatting>
  <conditionalFormatting sqref="D818 D821">
    <cfRule type="containsText" dxfId="1634" priority="2490" operator="containsText" text="Pesquisa de Preços">
      <formula>NOT(ISERROR(SEARCH("Pesquisa de Preços",D818)))</formula>
    </cfRule>
  </conditionalFormatting>
  <conditionalFormatting sqref="D985:D989">
    <cfRule type="containsText" dxfId="1633" priority="2472" operator="containsText" text="Pesquisa de Preços">
      <formula>NOT(ISERROR(SEARCH("Pesquisa de Preços",D985)))</formula>
    </cfRule>
  </conditionalFormatting>
  <conditionalFormatting sqref="D183:D184">
    <cfRule type="containsText" dxfId="1632" priority="2488" operator="containsText" text="Pesquisa de Preços">
      <formula>NOT(ISERROR(SEARCH("Pesquisa de Preços",D183)))</formula>
    </cfRule>
  </conditionalFormatting>
  <conditionalFormatting sqref="D1017:D1019">
    <cfRule type="containsText" dxfId="1631" priority="2468" operator="containsText" text="Pesquisa de Preços">
      <formula>NOT(ISERROR(SEARCH("Pesquisa de Preços",D1017)))</formula>
    </cfRule>
  </conditionalFormatting>
  <conditionalFormatting sqref="D185:D187">
    <cfRule type="containsText" dxfId="1630" priority="2487" operator="containsText" text="Pesquisa de Preços">
      <formula>NOT(ISERROR(SEARCH("Pesquisa de Preços",D185)))</formula>
    </cfRule>
  </conditionalFormatting>
  <conditionalFormatting sqref="D839 D842:D843">
    <cfRule type="containsText" dxfId="1629" priority="2486" operator="containsText" text="Pesquisa de Preços">
      <formula>NOT(ISERROR(SEARCH("Pesquisa de Preços",D839)))</formula>
    </cfRule>
  </conditionalFormatting>
  <conditionalFormatting sqref="D841">
    <cfRule type="containsText" dxfId="1628" priority="2485" operator="containsText" text="Pesquisa de Preços">
      <formula>NOT(ISERROR(SEARCH("Pesquisa de Preços",D841)))</formula>
    </cfRule>
  </conditionalFormatting>
  <conditionalFormatting sqref="D915:D920">
    <cfRule type="containsText" dxfId="1627" priority="2484" operator="containsText" text="Pesquisa de Preços">
      <formula>NOT(ISERROR(SEARCH("Pesquisa de Preços",D915)))</formula>
    </cfRule>
  </conditionalFormatting>
  <conditionalFormatting sqref="D940:D945">
    <cfRule type="containsText" dxfId="1626" priority="2483" operator="containsText" text="Pesquisa de Preços">
      <formula>NOT(ISERROR(SEARCH("Pesquisa de Preços",D940)))</formula>
    </cfRule>
  </conditionalFormatting>
  <conditionalFormatting sqref="D931">
    <cfRule type="containsText" dxfId="1625" priority="2482" operator="containsText" text="Pesquisa de Preços">
      <formula>NOT(ISERROR(SEARCH("Pesquisa de Preços",D931)))</formula>
    </cfRule>
  </conditionalFormatting>
  <conditionalFormatting sqref="D924 D929">
    <cfRule type="containsText" dxfId="1624" priority="2481" operator="containsText" text="Pesquisa de Preços">
      <formula>NOT(ISERROR(SEARCH("Pesquisa de Preços",D924)))</formula>
    </cfRule>
  </conditionalFormatting>
  <conditionalFormatting sqref="D970:D971">
    <cfRule type="containsText" dxfId="1623" priority="2479" operator="containsText" text="Pesquisa de Preços">
      <formula>NOT(ISERROR(SEARCH("Pesquisa de Preços",D970)))</formula>
    </cfRule>
  </conditionalFormatting>
  <conditionalFormatting sqref="D968:D969">
    <cfRule type="containsText" dxfId="1622" priority="2480" operator="containsText" text="Pesquisa de Preços">
      <formula>NOT(ISERROR(SEARCH("Pesquisa de Preços",D968)))</formula>
    </cfRule>
  </conditionalFormatting>
  <conditionalFormatting sqref="D961">
    <cfRule type="containsText" dxfId="1621" priority="2478" operator="containsText" text="Pesquisa de Preços">
      <formula>NOT(ISERROR(SEARCH("Pesquisa de Preços",D961)))</formula>
    </cfRule>
  </conditionalFormatting>
  <conditionalFormatting sqref="D955 D959">
    <cfRule type="containsText" dxfId="1620" priority="2477" operator="containsText" text="Pesquisa de Preços">
      <formula>NOT(ISERROR(SEARCH("Pesquisa de Preços",D955)))</formula>
    </cfRule>
  </conditionalFormatting>
  <conditionalFormatting sqref="D975:D976 D979:D980">
    <cfRule type="containsText" dxfId="1619" priority="2475" operator="containsText" text="Pesquisa de Preços">
      <formula>NOT(ISERROR(SEARCH("Pesquisa de Preços",D975)))</formula>
    </cfRule>
  </conditionalFormatting>
  <conditionalFormatting sqref="D977">
    <cfRule type="containsText" dxfId="1618" priority="2474" operator="containsText" text="Pesquisa de Preços">
      <formula>NOT(ISERROR(SEARCH("Pesquisa de Preços",D977)))</formula>
    </cfRule>
  </conditionalFormatting>
  <conditionalFormatting sqref="D982:D983 D990:D991">
    <cfRule type="containsText" dxfId="1617" priority="2473" operator="containsText" text="Pesquisa de Preços">
      <formula>NOT(ISERROR(SEARCH("Pesquisa de Preços",D982)))</formula>
    </cfRule>
  </conditionalFormatting>
  <conditionalFormatting sqref="D993:D994 D1001:D1002">
    <cfRule type="containsText" dxfId="1616" priority="2471" operator="containsText" text="Pesquisa de Preços">
      <formula>NOT(ISERROR(SEARCH("Pesquisa de Preços",D993)))</formula>
    </cfRule>
  </conditionalFormatting>
  <conditionalFormatting sqref="D996:D997 D999:D1000">
    <cfRule type="containsText" dxfId="1615" priority="2470" operator="containsText" text="Pesquisa de Preços">
      <formula>NOT(ISERROR(SEARCH("Pesquisa de Preços",D996)))</formula>
    </cfRule>
  </conditionalFormatting>
  <conditionalFormatting sqref="D1014:D1015 D1020:D1021">
    <cfRule type="containsText" dxfId="1614" priority="2469" operator="containsText" text="Pesquisa de Preços">
      <formula>NOT(ISERROR(SEARCH("Pesquisa de Preços",D1014)))</formula>
    </cfRule>
  </conditionalFormatting>
  <conditionalFormatting sqref="D1004:D1005">
    <cfRule type="containsText" dxfId="1613" priority="2467" operator="containsText" text="Pesquisa de Preços">
      <formula>NOT(ISERROR(SEARCH("Pesquisa de Preços",D1004)))</formula>
    </cfRule>
  </conditionalFormatting>
  <conditionalFormatting sqref="D1009:D1010">
    <cfRule type="containsText" dxfId="1612" priority="2466" operator="containsText" text="Pesquisa de Preços">
      <formula>NOT(ISERROR(SEARCH("Pesquisa de Preços",D1009)))</formula>
    </cfRule>
  </conditionalFormatting>
  <conditionalFormatting sqref="D1028:D1029 D1036">
    <cfRule type="containsText" dxfId="1611" priority="2465" operator="containsText" text="Pesquisa de Preços">
      <formula>NOT(ISERROR(SEARCH("Pesquisa de Preços",D1028)))</formula>
    </cfRule>
  </conditionalFormatting>
  <conditionalFormatting sqref="D1031:D1033">
    <cfRule type="containsText" dxfId="1610" priority="2464" operator="containsText" text="Pesquisa de Preços">
      <formula>NOT(ISERROR(SEARCH("Pesquisa de Preços",D1031)))</formula>
    </cfRule>
  </conditionalFormatting>
  <conditionalFormatting sqref="D1038:D1039 D1044:D1045">
    <cfRule type="containsText" dxfId="1609" priority="2463" operator="containsText" text="Pesquisa de Preços">
      <formula>NOT(ISERROR(SEARCH("Pesquisa de Preços",D1038)))</formula>
    </cfRule>
  </conditionalFormatting>
  <conditionalFormatting sqref="D1023:D1024">
    <cfRule type="containsText" dxfId="1608" priority="2462" operator="containsText" text="Pesquisa de Preços">
      <formula>NOT(ISERROR(SEARCH("Pesquisa de Preços",D1023)))</formula>
    </cfRule>
  </conditionalFormatting>
  <conditionalFormatting sqref="D1025">
    <cfRule type="containsText" dxfId="1607" priority="2461" operator="containsText" text="Pesquisa de Preços">
      <formula>NOT(ISERROR(SEARCH("Pesquisa de Preços",D1025)))</formula>
    </cfRule>
  </conditionalFormatting>
  <conditionalFormatting sqref="D1100:D1101 D1108">
    <cfRule type="containsText" dxfId="1606" priority="2460" operator="containsText" text="Pesquisa de Preços">
      <formula>NOT(ISERROR(SEARCH("Pesquisa de Preços",D1100)))</formula>
    </cfRule>
  </conditionalFormatting>
  <conditionalFormatting sqref="D1047:D1048 D1051:D1052">
    <cfRule type="containsText" dxfId="1605" priority="2459" operator="containsText" text="Pesquisa de Preços">
      <formula>NOT(ISERROR(SEARCH("Pesquisa de Preços",D1047)))</formula>
    </cfRule>
  </conditionalFormatting>
  <conditionalFormatting sqref="D1049:D1050">
    <cfRule type="containsText" dxfId="1604" priority="2458" operator="containsText" text="Pesquisa de Preços">
      <formula>NOT(ISERROR(SEARCH("Pesquisa de Preços",D1049)))</formula>
    </cfRule>
  </conditionalFormatting>
  <conditionalFormatting sqref="D1061:D1062 D1066">
    <cfRule type="containsText" dxfId="1603" priority="2457" operator="containsText" text="Pesquisa de Preços">
      <formula>NOT(ISERROR(SEARCH("Pesquisa de Preços",D1061)))</formula>
    </cfRule>
  </conditionalFormatting>
  <conditionalFormatting sqref="D1092:D1093 D1098">
    <cfRule type="containsText" dxfId="1602" priority="2456" operator="containsText" text="Pesquisa de Preços">
      <formula>NOT(ISERROR(SEARCH("Pesquisa de Preços",D1092)))</formula>
    </cfRule>
  </conditionalFormatting>
  <conditionalFormatting sqref="D1054:D1055">
    <cfRule type="containsText" dxfId="1601" priority="2454" operator="containsText" text="Pesquisa de Preços">
      <formula>NOT(ISERROR(SEARCH("Pesquisa de Preços",D1054)))</formula>
    </cfRule>
  </conditionalFormatting>
  <conditionalFormatting sqref="D1056:D1058">
    <cfRule type="containsText" dxfId="1600" priority="2453" operator="containsText" text="Pesquisa de Preços">
      <formula>NOT(ISERROR(SEARCH("Pesquisa de Preços",D1056)))</formula>
    </cfRule>
  </conditionalFormatting>
  <conditionalFormatting sqref="D1068">
    <cfRule type="containsText" dxfId="1599" priority="2452" operator="containsText" text="Pesquisa de Preços">
      <formula>NOT(ISERROR(SEARCH("Pesquisa de Preços",D1068)))</formula>
    </cfRule>
  </conditionalFormatting>
  <conditionalFormatting sqref="D1084 D1090">
    <cfRule type="containsText" dxfId="1598" priority="2451" operator="containsText" text="Pesquisa de Preços">
      <formula>NOT(ISERROR(SEARCH("Pesquisa de Preços",D1084)))</formula>
    </cfRule>
  </conditionalFormatting>
  <conditionalFormatting sqref="D1075 D1082">
    <cfRule type="containsText" dxfId="1597" priority="2450" operator="containsText" text="Pesquisa de Preços">
      <formula>NOT(ISERROR(SEARCH("Pesquisa de Preços",D1075)))</formula>
    </cfRule>
  </conditionalFormatting>
  <conditionalFormatting sqref="D1123:D1124">
    <cfRule type="containsText" dxfId="1596" priority="2449" operator="containsText" text="Pesquisa de Preços">
      <formula>NOT(ISERROR(SEARCH("Pesquisa de Preços",D1123)))</formula>
    </cfRule>
  </conditionalFormatting>
  <conditionalFormatting sqref="D1118:D1119">
    <cfRule type="containsText" dxfId="1595" priority="2448" operator="containsText" text="Pesquisa de Preços">
      <formula>NOT(ISERROR(SEARCH("Pesquisa de Preços",D1118)))</formula>
    </cfRule>
  </conditionalFormatting>
  <conditionalFormatting sqref="D1244:D1245 D1249">
    <cfRule type="containsText" dxfId="1594" priority="2447" operator="containsText" text="Pesquisa de Preços">
      <formula>NOT(ISERROR(SEARCH("Pesquisa de Preços",D1244)))</formula>
    </cfRule>
  </conditionalFormatting>
  <conditionalFormatting sqref="D1237:D1238 D1242">
    <cfRule type="containsText" dxfId="1593" priority="2446" operator="containsText" text="Pesquisa de Preços">
      <formula>NOT(ISERROR(SEARCH("Pesquisa de Preços",D1237)))</formula>
    </cfRule>
  </conditionalFormatting>
  <conditionalFormatting sqref="D1230:D1231 D1235">
    <cfRule type="containsText" dxfId="1592" priority="2445" operator="containsText" text="Pesquisa de Preços">
      <formula>NOT(ISERROR(SEARCH("Pesquisa de Preços",D1230)))</formula>
    </cfRule>
  </conditionalFormatting>
  <conditionalFormatting sqref="D1223:D1224 D1228">
    <cfRule type="containsText" dxfId="1591" priority="2444" operator="containsText" text="Pesquisa de Preços">
      <formula>NOT(ISERROR(SEARCH("Pesquisa de Preços",D1223)))</formula>
    </cfRule>
  </conditionalFormatting>
  <conditionalFormatting sqref="D1139:D1140 D1143:D1144">
    <cfRule type="containsText" dxfId="1590" priority="2443" operator="containsText" text="Pesquisa de Preços">
      <formula>NOT(ISERROR(SEARCH("Pesquisa de Preços",D1139)))</formula>
    </cfRule>
  </conditionalFormatting>
  <conditionalFormatting sqref="D1128:D1129 D1131:D1132">
    <cfRule type="containsText" dxfId="1589" priority="2442" operator="containsText" text="Pesquisa de Preços">
      <formula>NOT(ISERROR(SEARCH("Pesquisa de Preços",D1128)))</formula>
    </cfRule>
  </conditionalFormatting>
  <conditionalFormatting sqref="D1265 D1270">
    <cfRule type="containsText" dxfId="1588" priority="2441" operator="containsText" text="Pesquisa de Preços">
      <formula>NOT(ISERROR(SEARCH("Pesquisa de Preços",D1265)))</formula>
    </cfRule>
  </conditionalFormatting>
  <conditionalFormatting sqref="D1251:D1252 D1255:D1256">
    <cfRule type="containsText" dxfId="1587" priority="2440" operator="containsText" text="Pesquisa de Preços">
      <formula>NOT(ISERROR(SEARCH("Pesquisa de Preços",D1251)))</formula>
    </cfRule>
  </conditionalFormatting>
  <conditionalFormatting sqref="D1153:D1154 D1157:D1158">
    <cfRule type="containsText" dxfId="1586" priority="2439" operator="containsText" text="Pesquisa de Preços">
      <formula>NOT(ISERROR(SEARCH("Pesquisa de Preços",D1153)))</formula>
    </cfRule>
  </conditionalFormatting>
  <conditionalFormatting sqref="D1188:D1189 D1192:D1193">
    <cfRule type="containsText" dxfId="1585" priority="2438" operator="containsText" text="Pesquisa de Preços">
      <formula>NOT(ISERROR(SEARCH("Pesquisa de Preços",D1188)))</formula>
    </cfRule>
  </conditionalFormatting>
  <conditionalFormatting sqref="D1195:D1196 D1199:D1200">
    <cfRule type="containsText" dxfId="1584" priority="2437" operator="containsText" text="Pesquisa de Preços">
      <formula>NOT(ISERROR(SEARCH("Pesquisa de Preços",D1195)))</formula>
    </cfRule>
  </conditionalFormatting>
  <conditionalFormatting sqref="D1202:D1203 D1206:D1207">
    <cfRule type="containsText" dxfId="1583" priority="2436" operator="containsText" text="Pesquisa de Preços">
      <formula>NOT(ISERROR(SEARCH("Pesquisa de Preços",D1202)))</formula>
    </cfRule>
  </conditionalFormatting>
  <conditionalFormatting sqref="D1181:D1182 D1185:D1186">
    <cfRule type="containsText" dxfId="1582" priority="2435" operator="containsText" text="Pesquisa de Preços">
      <formula>NOT(ISERROR(SEARCH("Pesquisa de Preços",D1181)))</formula>
    </cfRule>
  </conditionalFormatting>
  <conditionalFormatting sqref="D1146:D1147 D1151">
    <cfRule type="containsText" dxfId="1581" priority="2434" operator="containsText" text="Pesquisa de Preços">
      <formula>NOT(ISERROR(SEARCH("Pesquisa de Preços",D1146)))</formula>
    </cfRule>
  </conditionalFormatting>
  <conditionalFormatting sqref="D1149">
    <cfRule type="containsText" dxfId="1580" priority="2433" operator="containsText" text="Pesquisa de Preços">
      <formula>NOT(ISERROR(SEARCH("Pesquisa de Preços",D1149)))</formula>
    </cfRule>
  </conditionalFormatting>
  <conditionalFormatting sqref="D1167:D1168 D1171:D1172">
    <cfRule type="containsText" dxfId="1579" priority="2432" operator="containsText" text="Pesquisa de Preços">
      <formula>NOT(ISERROR(SEARCH("Pesquisa de Preços",D1167)))</formula>
    </cfRule>
  </conditionalFormatting>
  <conditionalFormatting sqref="D1174 D1179">
    <cfRule type="containsText" dxfId="1578" priority="2431" operator="containsText" text="Pesquisa de Preços">
      <formula>NOT(ISERROR(SEARCH("Pesquisa de Preços",D1174)))</formula>
    </cfRule>
  </conditionalFormatting>
  <conditionalFormatting sqref="D1209:D1210 D1214">
    <cfRule type="containsText" dxfId="1577" priority="2430" operator="containsText" text="Pesquisa de Preços">
      <formula>NOT(ISERROR(SEARCH("Pesquisa de Preços",D1209)))</formula>
    </cfRule>
  </conditionalFormatting>
  <conditionalFormatting sqref="D1134">
    <cfRule type="containsText" dxfId="1576" priority="2429" operator="containsText" text="Pesquisa de Preços">
      <formula>NOT(ISERROR(SEARCH("Pesquisa de Preços",D1134)))</formula>
    </cfRule>
  </conditionalFormatting>
  <conditionalFormatting sqref="D1272:D1273 D1275:D1276">
    <cfRule type="containsText" dxfId="1575" priority="2428" operator="containsText" text="Pesquisa de Preços">
      <formula>NOT(ISERROR(SEARCH("Pesquisa de Preços",D1272)))</formula>
    </cfRule>
  </conditionalFormatting>
  <conditionalFormatting sqref="D1274">
    <cfRule type="containsText" dxfId="1574" priority="2427" operator="containsText" text="Pesquisa de Preços">
      <formula>NOT(ISERROR(SEARCH("Pesquisa de Preços",D1274)))</formula>
    </cfRule>
  </conditionalFormatting>
  <conditionalFormatting sqref="D1306:D1307 D1311:D1312">
    <cfRule type="containsText" dxfId="1573" priority="2426" operator="containsText" text="Pesquisa de Preços">
      <formula>NOT(ISERROR(SEARCH("Pesquisa de Preços",D1306)))</formula>
    </cfRule>
  </conditionalFormatting>
  <conditionalFormatting sqref="D1308:D1309">
    <cfRule type="containsText" dxfId="1572" priority="2425" operator="containsText" text="Pesquisa de Preços">
      <formula>NOT(ISERROR(SEARCH("Pesquisa de Preços",D1308)))</formula>
    </cfRule>
  </conditionalFormatting>
  <conditionalFormatting sqref="D1314 D1320:D1321">
    <cfRule type="containsText" dxfId="1571" priority="2424" operator="containsText" text="Pesquisa de Preços">
      <formula>NOT(ISERROR(SEARCH("Pesquisa de Preços",D1314)))</formula>
    </cfRule>
  </conditionalFormatting>
  <conditionalFormatting sqref="D1402:D1403 D1406:D1407">
    <cfRule type="containsText" dxfId="1570" priority="2408" operator="containsText" text="Pesquisa de Preços">
      <formula>NOT(ISERROR(SEARCH("Pesquisa de Preços",D1402)))</formula>
    </cfRule>
  </conditionalFormatting>
  <conditionalFormatting sqref="D1278:D1279">
    <cfRule type="containsText" dxfId="1569" priority="2423" operator="containsText" text="Pesquisa de Preços">
      <formula>NOT(ISERROR(SEARCH("Pesquisa de Preços",D1278)))</formula>
    </cfRule>
  </conditionalFormatting>
  <conditionalFormatting sqref="D1280:D1282">
    <cfRule type="containsText" dxfId="1568" priority="2422" operator="containsText" text="Pesquisa de Preços">
      <formula>NOT(ISERROR(SEARCH("Pesquisa de Preços",D1280)))</formula>
    </cfRule>
  </conditionalFormatting>
  <conditionalFormatting sqref="D1285:D1286 D1290">
    <cfRule type="containsText" dxfId="1567" priority="2421" operator="containsText" text="Pesquisa de Preços">
      <formula>NOT(ISERROR(SEARCH("Pesquisa de Preços",D1285)))</formula>
    </cfRule>
  </conditionalFormatting>
  <conditionalFormatting sqref="D1292:D1293 D1297">
    <cfRule type="containsText" dxfId="1566" priority="2420" operator="containsText" text="Pesquisa de Preços">
      <formula>NOT(ISERROR(SEARCH("Pesquisa de Preços",D1292)))</formula>
    </cfRule>
  </conditionalFormatting>
  <conditionalFormatting sqref="D1299 D1302 D1304">
    <cfRule type="containsText" dxfId="1565" priority="2419" operator="containsText" text="Pesquisa de Preços">
      <formula>NOT(ISERROR(SEARCH("Pesquisa de Preços",D1299)))</formula>
    </cfRule>
  </conditionalFormatting>
  <conditionalFormatting sqref="D1380">
    <cfRule type="containsText" dxfId="1564" priority="2401" operator="containsText" text="Pesquisa de Preços">
      <formula>NOT(ISERROR(SEARCH("Pesquisa de Preços",D1380)))</formula>
    </cfRule>
  </conditionalFormatting>
  <conditionalFormatting sqref="D1334:D1335">
    <cfRule type="containsText" dxfId="1563" priority="2417" operator="containsText" text="Pesquisa de Preços">
      <formula>NOT(ISERROR(SEARCH("Pesquisa de Preços",D1334)))</formula>
    </cfRule>
  </conditionalFormatting>
  <conditionalFormatting sqref="D1340:D1341">
    <cfRule type="containsText" dxfId="1562" priority="2418" operator="containsText" text="Pesquisa de Preços">
      <formula>NOT(ISERROR(SEARCH("Pesquisa de Preços",D1340)))</formula>
    </cfRule>
  </conditionalFormatting>
  <conditionalFormatting sqref="D1323:D1324">
    <cfRule type="containsText" dxfId="1561" priority="2415" operator="containsText" text="Pesquisa de Preços">
      <formula>NOT(ISERROR(SEARCH("Pesquisa de Preços",D1323)))</formula>
    </cfRule>
  </conditionalFormatting>
  <conditionalFormatting sqref="D1328:D1329">
    <cfRule type="containsText" dxfId="1560" priority="2416" operator="containsText" text="Pesquisa de Preços">
      <formula>NOT(ISERROR(SEARCH("Pesquisa de Preços",D1328)))</formula>
    </cfRule>
  </conditionalFormatting>
  <conditionalFormatting sqref="D1346:D1347 D1350:D1351">
    <cfRule type="containsText" dxfId="1559" priority="2414" operator="containsText" text="Pesquisa de Preços">
      <formula>NOT(ISERROR(SEARCH("Pesquisa de Preços",D1346)))</formula>
    </cfRule>
  </conditionalFormatting>
  <conditionalFormatting sqref="D1520">
    <cfRule type="containsText" dxfId="1558" priority="2393" operator="containsText" text="Pesquisa de Preços">
      <formula>NOT(ISERROR(SEARCH("Pesquisa de Preços",D1520)))</formula>
    </cfRule>
  </conditionalFormatting>
  <conditionalFormatting sqref="D1348:D1349">
    <cfRule type="containsText" dxfId="1557" priority="2413" operator="containsText" text="Pesquisa de Preços">
      <formula>NOT(ISERROR(SEARCH("Pesquisa de Preços",D1348)))</formula>
    </cfRule>
  </conditionalFormatting>
  <conditionalFormatting sqref="D1359:D1360 D1363:D1364">
    <cfRule type="containsText" dxfId="1556" priority="2412" operator="containsText" text="Pesquisa de Preços">
      <formula>NOT(ISERROR(SEARCH("Pesquisa de Preços",D1359)))</formula>
    </cfRule>
  </conditionalFormatting>
  <conditionalFormatting sqref="D1528">
    <cfRule type="containsText" dxfId="1555" priority="2394" operator="containsText" text="Pesquisa de Preços">
      <formula>NOT(ISERROR(SEARCH("Pesquisa de Preços",D1528)))</formula>
    </cfRule>
  </conditionalFormatting>
  <conditionalFormatting sqref="D1361:D1362">
    <cfRule type="containsText" dxfId="1554" priority="2411" operator="containsText" text="Pesquisa de Preços">
      <formula>NOT(ISERROR(SEARCH("Pesquisa de Preços",D1361)))</formula>
    </cfRule>
  </conditionalFormatting>
  <conditionalFormatting sqref="D1353 D1356:D1357">
    <cfRule type="containsText" dxfId="1553" priority="2410" operator="containsText" text="Pesquisa de Preços">
      <formula>NOT(ISERROR(SEARCH("Pesquisa de Preços",D1353)))</formula>
    </cfRule>
  </conditionalFormatting>
  <conditionalFormatting sqref="D1366 D1369:D1370">
    <cfRule type="containsText" dxfId="1552" priority="2409" operator="containsText" text="Pesquisa de Preços">
      <formula>NOT(ISERROR(SEARCH("Pesquisa de Preços",D1366)))</formula>
    </cfRule>
  </conditionalFormatting>
  <conditionalFormatting sqref="D1404:D1405">
    <cfRule type="containsText" dxfId="1551" priority="2407" operator="containsText" text="Pesquisa de Preços">
      <formula>NOT(ISERROR(SEARCH("Pesquisa de Preços",D1404)))</formula>
    </cfRule>
  </conditionalFormatting>
  <conditionalFormatting sqref="D1393:D1394 D1390:D1391">
    <cfRule type="containsText" dxfId="1550" priority="2406" operator="containsText" text="Pesquisa de Preços">
      <formula>NOT(ISERROR(SEARCH("Pesquisa de Preços",D1390)))</formula>
    </cfRule>
  </conditionalFormatting>
  <conditionalFormatting sqref="D1392">
    <cfRule type="containsText" dxfId="1549" priority="2405" operator="containsText" text="Pesquisa de Preços">
      <formula>NOT(ISERROR(SEARCH("Pesquisa de Preços",D1392)))</formula>
    </cfRule>
  </conditionalFormatting>
  <conditionalFormatting sqref="D1372:D1373 D1375:D1376">
    <cfRule type="containsText" dxfId="1548" priority="2404" operator="containsText" text="Pesquisa de Preços">
      <formula>NOT(ISERROR(SEARCH("Pesquisa de Preços",D1372)))</formula>
    </cfRule>
  </conditionalFormatting>
  <conditionalFormatting sqref="D1374">
    <cfRule type="containsText" dxfId="1547" priority="2403" operator="containsText" text="Pesquisa de Preços">
      <formula>NOT(ISERROR(SEARCH("Pesquisa de Preços",D1374)))</formula>
    </cfRule>
  </conditionalFormatting>
  <conditionalFormatting sqref="D1378:D1379 D1381:D1382">
    <cfRule type="containsText" dxfId="1546" priority="2402" operator="containsText" text="Pesquisa de Preços">
      <formula>NOT(ISERROR(SEARCH("Pesquisa de Preços",D1378)))</formula>
    </cfRule>
  </conditionalFormatting>
  <conditionalFormatting sqref="D1384 D1387:D1388">
    <cfRule type="containsText" dxfId="1545" priority="2400" operator="containsText" text="Pesquisa de Preços">
      <formula>NOT(ISERROR(SEARCH("Pesquisa de Preços",D1384)))</formula>
    </cfRule>
  </conditionalFormatting>
  <conditionalFormatting sqref="D1409 D1422">
    <cfRule type="containsText" dxfId="1544" priority="2386" operator="containsText" text="Pesquisa de Preços">
      <formula>NOT(ISERROR(SEARCH("Pesquisa de Preços",D1409)))</formula>
    </cfRule>
  </conditionalFormatting>
  <conditionalFormatting sqref="D1561:D1562">
    <cfRule type="containsText" dxfId="1543" priority="2399" operator="containsText" text="Pesquisa de Preços">
      <formula>NOT(ISERROR(SEARCH("Pesquisa de Preços",D1561)))</formula>
    </cfRule>
  </conditionalFormatting>
  <conditionalFormatting sqref="D1563 D1565">
    <cfRule type="containsText" dxfId="1542" priority="2398" operator="containsText" text="Pesquisa de Preços">
      <formula>NOT(ISERROR(SEARCH("Pesquisa de Preços",D1563)))</formula>
    </cfRule>
  </conditionalFormatting>
  <conditionalFormatting sqref="D1554:D1555">
    <cfRule type="containsText" dxfId="1541" priority="2397" operator="containsText" text="Pesquisa de Preços">
      <formula>NOT(ISERROR(SEARCH("Pesquisa de Preços",D1554)))</formula>
    </cfRule>
  </conditionalFormatting>
  <conditionalFormatting sqref="D1546 D1552">
    <cfRule type="containsText" dxfId="1540" priority="2396" operator="containsText" text="Pesquisa de Preços">
      <formula>NOT(ISERROR(SEARCH("Pesquisa de Preços",D1546)))</formula>
    </cfRule>
  </conditionalFormatting>
  <conditionalFormatting sqref="D1530">
    <cfRule type="containsText" dxfId="1539" priority="2395" operator="containsText" text="Pesquisa de Preços">
      <formula>NOT(ISERROR(SEARCH("Pesquisa de Preços",D1530)))</formula>
    </cfRule>
  </conditionalFormatting>
  <conditionalFormatting sqref="D1568:D1569 D1572:D1573">
    <cfRule type="containsText" dxfId="1538" priority="2389" operator="containsText" text="Pesquisa de Preços">
      <formula>NOT(ISERROR(SEARCH("Pesquisa de Preços",D1568)))</formula>
    </cfRule>
  </conditionalFormatting>
  <conditionalFormatting sqref="D1497">
    <cfRule type="containsText" dxfId="1537" priority="2381" operator="containsText" text="Pesquisa de Preços">
      <formula>NOT(ISERROR(SEARCH("Pesquisa de Preços",D1497)))</formula>
    </cfRule>
  </conditionalFormatting>
  <conditionalFormatting sqref="D1499 D1512">
    <cfRule type="containsText" dxfId="1536" priority="2387" operator="containsText" text="Pesquisa de Preços">
      <formula>NOT(ISERROR(SEARCH("Pesquisa de Preços",D1499)))</formula>
    </cfRule>
  </conditionalFormatting>
  <conditionalFormatting sqref="D1544">
    <cfRule type="containsText" dxfId="1535" priority="2392" operator="containsText" text="Pesquisa de Preços">
      <formula>NOT(ISERROR(SEARCH("Pesquisa de Preços",D1544)))</formula>
    </cfRule>
  </conditionalFormatting>
  <conditionalFormatting sqref="D1575:D1576 D1579:D1580">
    <cfRule type="containsText" dxfId="1534" priority="2391" operator="containsText" text="Pesquisa de Preços">
      <formula>NOT(ISERROR(SEARCH("Pesquisa de Preços",D1575)))</formula>
    </cfRule>
  </conditionalFormatting>
  <conditionalFormatting sqref="D1578">
    <cfRule type="containsText" dxfId="1533" priority="2390" operator="containsText" text="Pesquisa de Preços">
      <formula>NOT(ISERROR(SEARCH("Pesquisa de Preços",D1578)))</formula>
    </cfRule>
  </conditionalFormatting>
  <conditionalFormatting sqref="D1570:D1571">
    <cfRule type="containsText" dxfId="1532" priority="2388" operator="containsText" text="Pesquisa de Preços">
      <formula>NOT(ISERROR(SEARCH("Pesquisa de Preços",D1570)))</formula>
    </cfRule>
  </conditionalFormatting>
  <conditionalFormatting sqref="D1615 D1619:D1620">
    <cfRule type="containsText" dxfId="1531" priority="2364" operator="containsText" text="Pesquisa de Preços">
      <formula>NOT(ISERROR(SEARCH("Pesquisa de Preços",D1615)))</formula>
    </cfRule>
  </conditionalFormatting>
  <conditionalFormatting sqref="D1439 D1452">
    <cfRule type="containsText" dxfId="1530" priority="2385" operator="containsText" text="Pesquisa de Preços">
      <formula>NOT(ISERROR(SEARCH("Pesquisa de Preços",D1439)))</formula>
    </cfRule>
  </conditionalFormatting>
  <conditionalFormatting sqref="D1633 D1637">
    <cfRule type="containsText" dxfId="1529" priority="2370" operator="containsText" text="Pesquisa de Preços">
      <formula>NOT(ISERROR(SEARCH("Pesquisa de Preços",D1633)))</formula>
    </cfRule>
  </conditionalFormatting>
  <conditionalFormatting sqref="D1424 D1437">
    <cfRule type="containsText" dxfId="1528" priority="2384" operator="containsText" text="Pesquisa de Preços">
      <formula>NOT(ISERROR(SEARCH("Pesquisa de Preços",D1424)))</formula>
    </cfRule>
  </conditionalFormatting>
  <conditionalFormatting sqref="D1469 D1482">
    <cfRule type="containsText" dxfId="1527" priority="2383" operator="containsText" text="Pesquisa de Preços">
      <formula>NOT(ISERROR(SEARCH("Pesquisa de Preços",D1469)))</formula>
    </cfRule>
  </conditionalFormatting>
  <conditionalFormatting sqref="D1696 D1699:D1701">
    <cfRule type="containsText" dxfId="1526" priority="2371" operator="containsText" text="Pesquisa de Preços">
      <formula>NOT(ISERROR(SEARCH("Pesquisa de Preços",D1696)))</formula>
    </cfRule>
  </conditionalFormatting>
  <conditionalFormatting sqref="D1467">
    <cfRule type="containsText" dxfId="1525" priority="2382" operator="containsText" text="Pesquisa de Preços">
      <formula>NOT(ISERROR(SEARCH("Pesquisa de Preços",D1467)))</formula>
    </cfRule>
  </conditionalFormatting>
  <conditionalFormatting sqref="D1597 D1601">
    <cfRule type="containsText" dxfId="1524" priority="2376" operator="containsText" text="Pesquisa de Preços">
      <formula>NOT(ISERROR(SEARCH("Pesquisa de Preços",D1597)))</formula>
    </cfRule>
  </conditionalFormatting>
  <conditionalFormatting sqref="D1582:D1583 D1594:D1595">
    <cfRule type="containsText" dxfId="1523" priority="2380" operator="containsText" text="Pesquisa de Preços">
      <formula>NOT(ISERROR(SEARCH("Pesquisa de Preços",D1582)))</formula>
    </cfRule>
  </conditionalFormatting>
  <conditionalFormatting sqref="D1584:D1591 D1593">
    <cfRule type="containsText" dxfId="1522" priority="2379" operator="containsText" text="Pesquisa de Preços">
      <formula>NOT(ISERROR(SEARCH("Pesquisa de Preços",D1584)))</formula>
    </cfRule>
  </conditionalFormatting>
  <conditionalFormatting sqref="D1396:D1397 D1399:D1400">
    <cfRule type="containsText" dxfId="1521" priority="2378" operator="containsText" text="Pesquisa de Preços">
      <formula>NOT(ISERROR(SEARCH("Pesquisa de Preços",D1396)))</formula>
    </cfRule>
  </conditionalFormatting>
  <conditionalFormatting sqref="D1398">
    <cfRule type="containsText" dxfId="1520" priority="2377" operator="containsText" text="Pesquisa de Preços">
      <formula>NOT(ISERROR(SEARCH("Pesquisa de Preços",D1398)))</formula>
    </cfRule>
  </conditionalFormatting>
  <conditionalFormatting sqref="D1639 D1641:D1642">
    <cfRule type="containsText" dxfId="1519" priority="2367" operator="containsText" text="Pesquisa de Preços">
      <formula>NOT(ISERROR(SEARCH("Pesquisa de Preços",D1639)))</formula>
    </cfRule>
  </conditionalFormatting>
  <conditionalFormatting sqref="D1603 D1607">
    <cfRule type="containsText" dxfId="1518" priority="2375" operator="containsText" text="Pesquisa de Preços">
      <formula>NOT(ISERROR(SEARCH("Pesquisa de Preços",D1603)))</formula>
    </cfRule>
  </conditionalFormatting>
  <conditionalFormatting sqref="D1613">
    <cfRule type="containsText" dxfId="1517" priority="2374" operator="containsText" text="Pesquisa de Preços">
      <formula>NOT(ISERROR(SEARCH("Pesquisa de Preços",D1613)))</formula>
    </cfRule>
  </conditionalFormatting>
  <conditionalFormatting sqref="D1650:D1651">
    <cfRule type="containsText" dxfId="1516" priority="2373" operator="containsText" text="Pesquisa de Preços">
      <formula>NOT(ISERROR(SEARCH("Pesquisa de Preços",D1650)))</formula>
    </cfRule>
  </conditionalFormatting>
  <conditionalFormatting sqref="D1652:D1653">
    <cfRule type="containsText" dxfId="1515" priority="2372" operator="containsText" text="Pesquisa de Preços">
      <formula>NOT(ISERROR(SEARCH("Pesquisa de Preços",D1652)))</formula>
    </cfRule>
  </conditionalFormatting>
  <conditionalFormatting sqref="D1627 D1631">
    <cfRule type="containsText" dxfId="1514" priority="2369" operator="containsText" text="Pesquisa de Preços">
      <formula>NOT(ISERROR(SEARCH("Pesquisa de Preços",D1627)))</formula>
    </cfRule>
  </conditionalFormatting>
  <conditionalFormatting sqref="D1622 D1624:D1625">
    <cfRule type="containsText" dxfId="1513" priority="2368" operator="containsText" text="Pesquisa de Preços">
      <formula>NOT(ISERROR(SEARCH("Pesquisa de Preços",D1622)))</formula>
    </cfRule>
  </conditionalFormatting>
  <conditionalFormatting sqref="D1644 D1647:D1648">
    <cfRule type="containsText" dxfId="1512" priority="2366" operator="containsText" text="Pesquisa de Preços">
      <formula>NOT(ISERROR(SEARCH("Pesquisa de Preços",D1644)))</formula>
    </cfRule>
  </conditionalFormatting>
  <conditionalFormatting sqref="D1747:D1748 D1739:D1741">
    <cfRule type="containsText" dxfId="1511" priority="2358" operator="containsText" text="Pesquisa de Preços">
      <formula>NOT(ISERROR(SEARCH("Pesquisa de Preços",D1739)))</formula>
    </cfRule>
  </conditionalFormatting>
  <conditionalFormatting sqref="D1689 D1693:D1694">
    <cfRule type="containsText" dxfId="1510" priority="2365" operator="containsText" text="Pesquisa de Preços">
      <formula>NOT(ISERROR(SEARCH("Pesquisa de Preços",D1689)))</formula>
    </cfRule>
  </conditionalFormatting>
  <conditionalFormatting sqref="D1683 D1686:D1687">
    <cfRule type="containsText" dxfId="1509" priority="2363" operator="containsText" text="Pesquisa de Preços">
      <formula>NOT(ISERROR(SEARCH("Pesquisa de Preços",D1683)))</formula>
    </cfRule>
  </conditionalFormatting>
  <conditionalFormatting sqref="D1678 D1680:D1681">
    <cfRule type="containsText" dxfId="1508" priority="2362" operator="containsText" text="Pesquisa de Preços">
      <formula>NOT(ISERROR(SEARCH("Pesquisa de Preços",D1678)))</formula>
    </cfRule>
  </conditionalFormatting>
  <conditionalFormatting sqref="D1728:D1729 D1736:D1737">
    <cfRule type="containsText" dxfId="1507" priority="2355" operator="containsText" text="Pesquisa de Preços">
      <formula>NOT(ISERROR(SEARCH("Pesquisa de Preços",D1728)))</formula>
    </cfRule>
  </conditionalFormatting>
  <conditionalFormatting sqref="D1673">
    <cfRule type="containsText" dxfId="1506" priority="2360" operator="containsText" text="Pesquisa de Preços">
      <formula>NOT(ISERROR(SEARCH("Pesquisa de Preços",D1673)))</formula>
    </cfRule>
  </conditionalFormatting>
  <conditionalFormatting sqref="D1668">
    <cfRule type="containsText" dxfId="1505" priority="2361" operator="containsText" text="Pesquisa de Preços">
      <formula>NOT(ISERROR(SEARCH("Pesquisa de Preços",D1668)))</formula>
    </cfRule>
  </conditionalFormatting>
  <conditionalFormatting sqref="D1662 D1665:D1666">
    <cfRule type="containsText" dxfId="1504" priority="2359" operator="containsText" text="Pesquisa de Preços">
      <formula>NOT(ISERROR(SEARCH("Pesquisa de Preços",D1662)))</formula>
    </cfRule>
  </conditionalFormatting>
  <conditionalFormatting sqref="D1758:D1759 D1750:D1751">
    <cfRule type="containsText" dxfId="1503" priority="2357" operator="containsText" text="Pesquisa de Preços">
      <formula>NOT(ISERROR(SEARCH("Pesquisa de Preços",D1750)))</formula>
    </cfRule>
  </conditionalFormatting>
  <conditionalFormatting sqref="D1717:D1718 D1726">
    <cfRule type="containsText" dxfId="1502" priority="2356" operator="containsText" text="Pesquisa de Preços">
      <formula>NOT(ISERROR(SEARCH("Pesquisa de Preços",D1717)))</formula>
    </cfRule>
  </conditionalFormatting>
  <conditionalFormatting sqref="D1703:D1704 D1706:D1707">
    <cfRule type="containsText" dxfId="1501" priority="2354" operator="containsText" text="Pesquisa de Preços">
      <formula>NOT(ISERROR(SEARCH("Pesquisa de Preços",D1703)))</formula>
    </cfRule>
  </conditionalFormatting>
  <conditionalFormatting sqref="D1709">
    <cfRule type="containsText" dxfId="1500" priority="2353" operator="containsText" text="Pesquisa de Preços">
      <formula>NOT(ISERROR(SEARCH("Pesquisa de Preços",D1709)))</formula>
    </cfRule>
  </conditionalFormatting>
  <conditionalFormatting sqref="D1712:D1713">
    <cfRule type="containsText" dxfId="1499" priority="2352" operator="containsText" text="Pesquisa de Preços">
      <formula>NOT(ISERROR(SEARCH("Pesquisa de Preços",D1712)))</formula>
    </cfRule>
  </conditionalFormatting>
  <conditionalFormatting sqref="D1822">
    <cfRule type="containsText" dxfId="1498" priority="2351" operator="containsText" text="Pesquisa de Preços">
      <formula>NOT(ISERROR(SEARCH("Pesquisa de Preços",D1822)))</formula>
    </cfRule>
  </conditionalFormatting>
  <conditionalFormatting sqref="D1848">
    <cfRule type="containsText" dxfId="1497" priority="2345" operator="containsText" text="Pesquisa de Preços">
      <formula>NOT(ISERROR(SEARCH("Pesquisa de Preços",D1848)))</formula>
    </cfRule>
  </conditionalFormatting>
  <conditionalFormatting sqref="D1817">
    <cfRule type="containsText" dxfId="1496" priority="2350" operator="containsText" text="Pesquisa de Preços">
      <formula>NOT(ISERROR(SEARCH("Pesquisa de Preços",D1817)))</formula>
    </cfRule>
  </conditionalFormatting>
  <conditionalFormatting sqref="D1827 D1830:D1831">
    <cfRule type="containsText" dxfId="1495" priority="2349" operator="containsText" text="Pesquisa de Preços">
      <formula>NOT(ISERROR(SEARCH("Pesquisa de Preços",D1827)))</formula>
    </cfRule>
  </conditionalFormatting>
  <conditionalFormatting sqref="D1829">
    <cfRule type="containsText" dxfId="1494" priority="2348" operator="containsText" text="Pesquisa de Preços">
      <formula>NOT(ISERROR(SEARCH("Pesquisa de Preços",D1829)))</formula>
    </cfRule>
  </conditionalFormatting>
  <conditionalFormatting sqref="D1833 D1836:D1837">
    <cfRule type="containsText" dxfId="1493" priority="2347" operator="containsText" text="Pesquisa de Preços">
      <formula>NOT(ISERROR(SEARCH("Pesquisa de Preços",D1833)))</formula>
    </cfRule>
  </conditionalFormatting>
  <conditionalFormatting sqref="D1846:D1847 D1849:D1850">
    <cfRule type="containsText" dxfId="1492" priority="2346" operator="containsText" text="Pesquisa de Preços">
      <formula>NOT(ISERROR(SEARCH("Pesquisa de Preços",D1846)))</formula>
    </cfRule>
  </conditionalFormatting>
  <conditionalFormatting sqref="D1852:D1853 D1855:D1856">
    <cfRule type="containsText" dxfId="1491" priority="2344" operator="containsText" text="Pesquisa de Preços">
      <formula>NOT(ISERROR(SEARCH("Pesquisa de Preços",D1852)))</formula>
    </cfRule>
  </conditionalFormatting>
  <conditionalFormatting sqref="D1860">
    <cfRule type="containsText" dxfId="1490" priority="2340" operator="containsText" text="Pesquisa de Preços">
      <formula>NOT(ISERROR(SEARCH("Pesquisa de Preços",D1860)))</formula>
    </cfRule>
  </conditionalFormatting>
  <conditionalFormatting sqref="D1854">
    <cfRule type="containsText" dxfId="1489" priority="2343" operator="containsText" text="Pesquisa de Preços">
      <formula>NOT(ISERROR(SEARCH("Pesquisa de Preços",D1854)))</formula>
    </cfRule>
  </conditionalFormatting>
  <conditionalFormatting sqref="D1839:D1840 D1844">
    <cfRule type="containsText" dxfId="1488" priority="2342" operator="containsText" text="Pesquisa de Preços">
      <formula>NOT(ISERROR(SEARCH("Pesquisa de Preços",D1839)))</formula>
    </cfRule>
  </conditionalFormatting>
  <conditionalFormatting sqref="D1902">
    <cfRule type="containsText" dxfId="1487" priority="2337" operator="containsText" text="Pesquisa de Preços">
      <formula>NOT(ISERROR(SEARCH("Pesquisa de Preços",D1902)))</formula>
    </cfRule>
  </conditionalFormatting>
  <conditionalFormatting sqref="D1858:D1859 D1861:D1862">
    <cfRule type="containsText" dxfId="1486" priority="2341" operator="containsText" text="Pesquisa de Preços">
      <formula>NOT(ISERROR(SEARCH("Pesquisa de Preços",D1858)))</formula>
    </cfRule>
  </conditionalFormatting>
  <conditionalFormatting sqref="D1864 D1868">
    <cfRule type="containsText" dxfId="1485" priority="2339" operator="containsText" text="Pesquisa de Preços">
      <formula>NOT(ISERROR(SEARCH("Pesquisa de Preços",D1864)))</formula>
    </cfRule>
  </conditionalFormatting>
  <conditionalFormatting sqref="D1900:D1901 D1903:D1904">
    <cfRule type="containsText" dxfId="1484" priority="2338" operator="containsText" text="Pesquisa de Preços">
      <formula>NOT(ISERROR(SEARCH("Pesquisa de Preços",D1900)))</formula>
    </cfRule>
  </conditionalFormatting>
  <conditionalFormatting sqref="D1876:D1877 D1879:D1880">
    <cfRule type="containsText" dxfId="1483" priority="2336" operator="containsText" text="Pesquisa de Preços">
      <formula>NOT(ISERROR(SEARCH("Pesquisa de Preços",D1876)))</formula>
    </cfRule>
  </conditionalFormatting>
  <conditionalFormatting sqref="D1878">
    <cfRule type="containsText" dxfId="1482" priority="2335" operator="containsText" text="Pesquisa de Preços">
      <formula>NOT(ISERROR(SEARCH("Pesquisa de Preços",D1878)))</formula>
    </cfRule>
  </conditionalFormatting>
  <conditionalFormatting sqref="D1894 D1898">
    <cfRule type="containsText" dxfId="1481" priority="2334" operator="containsText" text="Pesquisa de Preços">
      <formula>NOT(ISERROR(SEARCH("Pesquisa de Preços",D1894)))</formula>
    </cfRule>
  </conditionalFormatting>
  <conditionalFormatting sqref="D1870:D1871 D1873:D1874">
    <cfRule type="containsText" dxfId="1480" priority="2333" operator="containsText" text="Pesquisa de Preços">
      <formula>NOT(ISERROR(SEARCH("Pesquisa de Preços",D1870)))</formula>
    </cfRule>
  </conditionalFormatting>
  <conditionalFormatting sqref="D1872">
    <cfRule type="containsText" dxfId="1479" priority="2332" operator="containsText" text="Pesquisa de Preços">
      <formula>NOT(ISERROR(SEARCH("Pesquisa de Preços",D1872)))</formula>
    </cfRule>
  </conditionalFormatting>
  <conditionalFormatting sqref="D1882:D1883 D1885:D1886">
    <cfRule type="containsText" dxfId="1478" priority="2331" operator="containsText" text="Pesquisa de Preços">
      <formula>NOT(ISERROR(SEARCH("Pesquisa de Preços",D1882)))</formula>
    </cfRule>
  </conditionalFormatting>
  <conditionalFormatting sqref="D1908">
    <cfRule type="containsText" dxfId="1477" priority="2327" operator="containsText" text="Pesquisa de Preços">
      <formula>NOT(ISERROR(SEARCH("Pesquisa de Preços",D1908)))</formula>
    </cfRule>
  </conditionalFormatting>
  <conditionalFormatting sqref="D1884">
    <cfRule type="containsText" dxfId="1476" priority="2330" operator="containsText" text="Pesquisa de Preços">
      <formula>NOT(ISERROR(SEARCH("Pesquisa de Preços",D1884)))</formula>
    </cfRule>
  </conditionalFormatting>
  <conditionalFormatting sqref="D1888 D1892">
    <cfRule type="containsText" dxfId="1475" priority="2329" operator="containsText" text="Pesquisa de Preços">
      <formula>NOT(ISERROR(SEARCH("Pesquisa de Preços",D1888)))</formula>
    </cfRule>
  </conditionalFormatting>
  <conditionalFormatting sqref="D1933 D1936:D1937">
    <cfRule type="containsText" dxfId="1474" priority="2321" operator="containsText" text="Pesquisa de Preços">
      <formula>NOT(ISERROR(SEARCH("Pesquisa de Preços",D1933)))</formula>
    </cfRule>
  </conditionalFormatting>
  <conditionalFormatting sqref="D1906:D1907 D1909:D1910">
    <cfRule type="containsText" dxfId="1473" priority="2328" operator="containsText" text="Pesquisa de Preços">
      <formula>NOT(ISERROR(SEARCH("Pesquisa de Preços",D1906)))</formula>
    </cfRule>
  </conditionalFormatting>
  <conditionalFormatting sqref="D1914">
    <cfRule type="containsText" dxfId="1472" priority="2325" operator="containsText" text="Pesquisa de Preços">
      <formula>NOT(ISERROR(SEARCH("Pesquisa de Preços",D1914)))</formula>
    </cfRule>
  </conditionalFormatting>
  <conditionalFormatting sqref="D1912:D1913 D1915:D1916">
    <cfRule type="containsText" dxfId="1471" priority="2326" operator="containsText" text="Pesquisa de Preços">
      <formula>NOT(ISERROR(SEARCH("Pesquisa de Preços",D1912)))</formula>
    </cfRule>
  </conditionalFormatting>
  <conditionalFormatting sqref="D1918">
    <cfRule type="containsText" dxfId="1470" priority="2324" operator="containsText" text="Pesquisa de Preços">
      <formula>NOT(ISERROR(SEARCH("Pesquisa de Preços",D1918)))</formula>
    </cfRule>
  </conditionalFormatting>
  <conditionalFormatting sqref="D1928:D1929 D1931">
    <cfRule type="containsText" dxfId="1469" priority="2323" operator="containsText" text="Pesquisa de Preços">
      <formula>NOT(ISERROR(SEARCH("Pesquisa de Preços",D1928)))</formula>
    </cfRule>
  </conditionalFormatting>
  <conditionalFormatting sqref="D1923">
    <cfRule type="containsText" dxfId="1468" priority="2322" operator="containsText" text="Pesquisa de Preços">
      <formula>NOT(ISERROR(SEARCH("Pesquisa de Preços",D1923)))</formula>
    </cfRule>
  </conditionalFormatting>
  <conditionalFormatting sqref="D1954:D1955 D1957:D1958">
    <cfRule type="containsText" dxfId="1467" priority="2320" operator="containsText" text="Pesquisa de Preços">
      <formula>NOT(ISERROR(SEARCH("Pesquisa de Preços",D1954)))</formula>
    </cfRule>
  </conditionalFormatting>
  <conditionalFormatting sqref="D1956">
    <cfRule type="containsText" dxfId="1466" priority="2319" operator="containsText" text="Pesquisa de Preços">
      <formula>NOT(ISERROR(SEARCH("Pesquisa de Preços",D1956)))</formula>
    </cfRule>
  </conditionalFormatting>
  <conditionalFormatting sqref="D1963:D1964">
    <cfRule type="containsText" dxfId="1465" priority="2318" operator="containsText" text="Pesquisa de Preços">
      <formula>NOT(ISERROR(SEARCH("Pesquisa de Preços",D1963)))</formula>
    </cfRule>
  </conditionalFormatting>
  <conditionalFormatting sqref="D1973:D1974 D1978">
    <cfRule type="containsText" dxfId="1464" priority="2315" operator="containsText" text="Pesquisa de Preços">
      <formula>NOT(ISERROR(SEARCH("Pesquisa de Preços",D1973)))</formula>
    </cfRule>
  </conditionalFormatting>
  <conditionalFormatting sqref="D1976">
    <cfRule type="containsText" dxfId="1463" priority="2314" operator="containsText" text="Pesquisa de Preços">
      <formula>NOT(ISERROR(SEARCH("Pesquisa de Preços",D1976)))</formula>
    </cfRule>
  </conditionalFormatting>
  <conditionalFormatting sqref="D1988:D1989 D1993:D1994">
    <cfRule type="containsText" dxfId="1462" priority="2317" operator="containsText" text="Pesquisa de Preços">
      <formula>NOT(ISERROR(SEARCH("Pesquisa de Preços",D1988)))</formula>
    </cfRule>
  </conditionalFormatting>
  <conditionalFormatting sqref="D1980 D1986">
    <cfRule type="containsText" dxfId="1461" priority="2316" operator="containsText" text="Pesquisa de Preços">
      <formula>NOT(ISERROR(SEARCH("Pesquisa de Preços",D1980)))</formula>
    </cfRule>
  </conditionalFormatting>
  <conditionalFormatting sqref="D1966:D1967 D1971">
    <cfRule type="containsText" dxfId="1460" priority="2313" operator="containsText" text="Pesquisa de Preços">
      <formula>NOT(ISERROR(SEARCH("Pesquisa de Preços",D1966)))</formula>
    </cfRule>
  </conditionalFormatting>
  <conditionalFormatting sqref="D1969">
    <cfRule type="containsText" dxfId="1459" priority="2312" operator="containsText" text="Pesquisa de Preços">
      <formula>NOT(ISERROR(SEARCH("Pesquisa de Preços",D1969)))</formula>
    </cfRule>
  </conditionalFormatting>
  <conditionalFormatting sqref="D2017 D2022">
    <cfRule type="containsText" dxfId="1458" priority="2311" operator="containsText" text="Pesquisa de Preços">
      <formula>NOT(ISERROR(SEARCH("Pesquisa de Preços",D2017)))</formula>
    </cfRule>
  </conditionalFormatting>
  <conditionalFormatting sqref="D2012:D2013">
    <cfRule type="containsText" dxfId="1457" priority="2309" operator="containsText" text="Pesquisa de Preços">
      <formula>NOT(ISERROR(SEARCH("Pesquisa de Preços",D2012)))</formula>
    </cfRule>
  </conditionalFormatting>
  <conditionalFormatting sqref="D2010 D2015">
    <cfRule type="containsText" dxfId="1456" priority="2310" operator="containsText" text="Pesquisa de Preços">
      <formula>NOT(ISERROR(SEARCH("Pesquisa de Preços",D2010)))</formula>
    </cfRule>
  </conditionalFormatting>
  <conditionalFormatting sqref="D2005:D2006">
    <cfRule type="containsText" dxfId="1455" priority="2307" operator="containsText" text="Pesquisa de Preços">
      <formula>NOT(ISERROR(SEARCH("Pesquisa de Preços",D2005)))</formula>
    </cfRule>
  </conditionalFormatting>
  <conditionalFormatting sqref="D2003 D2008">
    <cfRule type="containsText" dxfId="1454" priority="2308" operator="containsText" text="Pesquisa de Preços">
      <formula>NOT(ISERROR(SEARCH("Pesquisa de Preços",D2003)))</formula>
    </cfRule>
  </conditionalFormatting>
  <conditionalFormatting sqref="D1996 D2001">
    <cfRule type="containsText" dxfId="1453" priority="2306" operator="containsText" text="Pesquisa de Preços">
      <formula>NOT(ISERROR(SEARCH("Pesquisa de Preços",D1996)))</formula>
    </cfRule>
  </conditionalFormatting>
  <conditionalFormatting sqref="D2142">
    <cfRule type="containsText" dxfId="1452" priority="2305" operator="containsText" text="Pesquisa de Preços">
      <formula>NOT(ISERROR(SEARCH("Pesquisa de Preços",D2142)))</formula>
    </cfRule>
  </conditionalFormatting>
  <conditionalFormatting sqref="D2144:D2145">
    <cfRule type="containsText" dxfId="1451" priority="2304" operator="containsText" text="Pesquisa de Preços">
      <formula>NOT(ISERROR(SEARCH("Pesquisa de Preços",D2144)))</formula>
    </cfRule>
  </conditionalFormatting>
  <conditionalFormatting sqref="D2136">
    <cfRule type="containsText" dxfId="1450" priority="2303" operator="containsText" text="Pesquisa de Preços">
      <formula>NOT(ISERROR(SEARCH("Pesquisa de Preços",D2136)))</formula>
    </cfRule>
  </conditionalFormatting>
  <conditionalFormatting sqref="D2138">
    <cfRule type="containsText" dxfId="1449" priority="2302" operator="containsText" text="Pesquisa de Preços">
      <formula>NOT(ISERROR(SEARCH("Pesquisa de Preços",D2138)))</formula>
    </cfRule>
  </conditionalFormatting>
  <conditionalFormatting sqref="D2130">
    <cfRule type="containsText" dxfId="1448" priority="2301" operator="containsText" text="Pesquisa de Preços">
      <formula>NOT(ISERROR(SEARCH("Pesquisa de Preços",D2130)))</formula>
    </cfRule>
  </conditionalFormatting>
  <conditionalFormatting sqref="D2132">
    <cfRule type="containsText" dxfId="1447" priority="2300" operator="containsText" text="Pesquisa de Preços">
      <formula>NOT(ISERROR(SEARCH("Pesquisa de Preços",D2132)))</formula>
    </cfRule>
  </conditionalFormatting>
  <conditionalFormatting sqref="D2124">
    <cfRule type="containsText" dxfId="1446" priority="2299" operator="containsText" text="Pesquisa de Preços">
      <formula>NOT(ISERROR(SEARCH("Pesquisa de Preços",D2124)))</formula>
    </cfRule>
  </conditionalFormatting>
  <conditionalFormatting sqref="D2126:D2127">
    <cfRule type="containsText" dxfId="1445" priority="2298" operator="containsText" text="Pesquisa de Preços">
      <formula>NOT(ISERROR(SEARCH("Pesquisa de Preços",D2126)))</formula>
    </cfRule>
  </conditionalFormatting>
  <conditionalFormatting sqref="D2156 D2160:D2162">
    <cfRule type="containsText" dxfId="1444" priority="2297" operator="containsText" text="Pesquisa de Preços">
      <formula>NOT(ISERROR(SEARCH("Pesquisa de Preços",D2156)))</formula>
    </cfRule>
  </conditionalFormatting>
  <conditionalFormatting sqref="D2172 D2176:D2178">
    <cfRule type="containsText" dxfId="1443" priority="2296" operator="containsText" text="Pesquisa de Preços">
      <formula>NOT(ISERROR(SEARCH("Pesquisa de Preços",D2172)))</formula>
    </cfRule>
  </conditionalFormatting>
  <conditionalFormatting sqref="D2152:D2154">
    <cfRule type="containsText" dxfId="1442" priority="2295" operator="containsText" text="Pesquisa de Preços">
      <formula>NOT(ISERROR(SEARCH("Pesquisa de Preços",D2152)))</formula>
    </cfRule>
  </conditionalFormatting>
  <conditionalFormatting sqref="D2184:D2186">
    <cfRule type="containsText" dxfId="1441" priority="2294" operator="containsText" text="Pesquisa de Preços">
      <formula>NOT(ISERROR(SEARCH("Pesquisa de Preços",D2184)))</formula>
    </cfRule>
  </conditionalFormatting>
  <conditionalFormatting sqref="D2062 D2066:D2068">
    <cfRule type="containsText" dxfId="1440" priority="2290" operator="containsText" text="Pesquisa de Preços">
      <formula>NOT(ISERROR(SEARCH("Pesquisa de Preços",D2062)))</formula>
    </cfRule>
  </conditionalFormatting>
  <conditionalFormatting sqref="D2168:D2170">
    <cfRule type="containsText" dxfId="1439" priority="2293" operator="containsText" text="Pesquisa de Preços">
      <formula>NOT(ISERROR(SEARCH("Pesquisa de Preços",D2168)))</formula>
    </cfRule>
  </conditionalFormatting>
  <conditionalFormatting sqref="D2192:D2194">
    <cfRule type="containsText" dxfId="1438" priority="2292" operator="containsText" text="Pesquisa de Preços">
      <formula>NOT(ISERROR(SEARCH("Pesquisa de Preços",D2192)))</formula>
    </cfRule>
  </conditionalFormatting>
  <conditionalFormatting sqref="D2245:D2247 D2249">
    <cfRule type="containsText" dxfId="1437" priority="2267" operator="containsText" text="Pesquisa de Preços">
      <formula>NOT(ISERROR(SEARCH("Pesquisa de Preços",D2245)))</formula>
    </cfRule>
  </conditionalFormatting>
  <conditionalFormatting sqref="D2046 D2050:D2052">
    <cfRule type="containsText" dxfId="1436" priority="2291" operator="containsText" text="Pesquisa de Preços">
      <formula>NOT(ISERROR(SEARCH("Pesquisa de Preços",D2046)))</formula>
    </cfRule>
  </conditionalFormatting>
  <conditionalFormatting sqref="D2054 D2058:D2060">
    <cfRule type="containsText" dxfId="1435" priority="2287" operator="containsText" text="Pesquisa de Preços">
      <formula>NOT(ISERROR(SEARCH("Pesquisa de Preços",D2054)))</formula>
    </cfRule>
  </conditionalFormatting>
  <conditionalFormatting sqref="D2344:D2345 D2347:D2348">
    <cfRule type="containsText" dxfId="1434" priority="2262" operator="containsText" text="Pesquisa de Preços">
      <formula>NOT(ISERROR(SEARCH("Pesquisa de Preços",D2344)))</formula>
    </cfRule>
  </conditionalFormatting>
  <conditionalFormatting sqref="D2038 D2042:D2044">
    <cfRule type="containsText" dxfId="1433" priority="2289" operator="containsText" text="Pesquisa de Preços">
      <formula>NOT(ISERROR(SEARCH("Pesquisa de Preços",D2038)))</formula>
    </cfRule>
  </conditionalFormatting>
  <conditionalFormatting sqref="D2070 D2074:D2076">
    <cfRule type="containsText" dxfId="1432" priority="2288" operator="containsText" text="Pesquisa de Preços">
      <formula>NOT(ISERROR(SEARCH("Pesquisa de Preços",D2070)))</formula>
    </cfRule>
  </conditionalFormatting>
  <conditionalFormatting sqref="D2323">
    <cfRule type="containsText" dxfId="1431" priority="2264" operator="containsText" text="Pesquisa de Preços">
      <formula>NOT(ISERROR(SEARCH("Pesquisa de Preços",D2323)))</formula>
    </cfRule>
  </conditionalFormatting>
  <conditionalFormatting sqref="D2340">
    <cfRule type="containsText" dxfId="1430" priority="2259" operator="containsText" text="Pesquisa de Preços">
      <formula>NOT(ISERROR(SEARCH("Pesquisa de Preços",D2340)))</formula>
    </cfRule>
  </conditionalFormatting>
  <conditionalFormatting sqref="D2078 D2082:D2084">
    <cfRule type="containsText" dxfId="1429" priority="2286" operator="containsText" text="Pesquisa de Preços">
      <formula>NOT(ISERROR(SEARCH("Pesquisa de Preços",D2078)))</formula>
    </cfRule>
  </conditionalFormatting>
  <conditionalFormatting sqref="D2256">
    <cfRule type="containsText" dxfId="1428" priority="2274" operator="containsText" text="Pesquisa de Preços">
      <formula>NOT(ISERROR(SEARCH("Pesquisa de Preços",D2256)))</formula>
    </cfRule>
  </conditionalFormatting>
  <conditionalFormatting sqref="D2036">
    <cfRule type="containsText" dxfId="1427" priority="2285" operator="containsText" text="Pesquisa de Preços">
      <formula>NOT(ISERROR(SEARCH("Pesquisa de Preços",D2036)))</formula>
    </cfRule>
  </conditionalFormatting>
  <conditionalFormatting sqref="D2114:D2116">
    <cfRule type="containsText" dxfId="1426" priority="2284" operator="containsText" text="Pesquisa de Preços">
      <formula>NOT(ISERROR(SEARCH("Pesquisa de Preços",D2114)))</formula>
    </cfRule>
  </conditionalFormatting>
  <conditionalFormatting sqref="D2106:D2108">
    <cfRule type="containsText" dxfId="1425" priority="2283" operator="containsText" text="Pesquisa de Preços">
      <formula>NOT(ISERROR(SEARCH("Pesquisa de Preços",D2106)))</formula>
    </cfRule>
  </conditionalFormatting>
  <conditionalFormatting sqref="D2221">
    <cfRule type="containsText" dxfId="1424" priority="2277" operator="containsText" text="Pesquisa de Preços">
      <formula>NOT(ISERROR(SEARCH("Pesquisa de Preços",D2221)))</formula>
    </cfRule>
  </conditionalFormatting>
  <conditionalFormatting sqref="D2100">
    <cfRule type="containsText" dxfId="1423" priority="2282" operator="containsText" text="Pesquisa de Preços">
      <formula>NOT(ISERROR(SEARCH("Pesquisa de Preços",D2100)))</formula>
    </cfRule>
  </conditionalFormatting>
  <conditionalFormatting sqref="D2024:D2025 D2027:D2028">
    <cfRule type="containsText" dxfId="1422" priority="2281" operator="containsText" text="Pesquisa de Preços">
      <formula>NOT(ISERROR(SEARCH("Pesquisa de Preços",D2024)))</formula>
    </cfRule>
  </conditionalFormatting>
  <conditionalFormatting sqref="D2118">
    <cfRule type="containsText" dxfId="1421" priority="2280" operator="containsText" text="Pesquisa de Preços">
      <formula>NOT(ISERROR(SEARCH("Pesquisa de Preços",D2118)))</formula>
    </cfRule>
  </conditionalFormatting>
  <conditionalFormatting sqref="D2212:D2213">
    <cfRule type="containsText" dxfId="1420" priority="2279" operator="containsText" text="Pesquisa de Preços">
      <formula>NOT(ISERROR(SEARCH("Pesquisa de Preços",D2212)))</formula>
    </cfRule>
  </conditionalFormatting>
  <conditionalFormatting sqref="D2217:D2218">
    <cfRule type="containsText" dxfId="1419" priority="2278" operator="containsText" text="Pesquisa de Preços">
      <formula>NOT(ISERROR(SEARCH("Pesquisa de Preços",D2217)))</formula>
    </cfRule>
  </conditionalFormatting>
  <conditionalFormatting sqref="D2236 D2239:D2240">
    <cfRule type="containsText" dxfId="1418" priority="2276" operator="containsText" text="Pesquisa de Preços">
      <formula>NOT(ISERROR(SEARCH("Pesquisa de Preços",D2236)))</formula>
    </cfRule>
  </conditionalFormatting>
  <conditionalFormatting sqref="D2230 D2233:D2234">
    <cfRule type="containsText" dxfId="1417" priority="2275" operator="containsText" text="Pesquisa de Preços">
      <formula>NOT(ISERROR(SEARCH("Pesquisa de Preços",D2230)))</formula>
    </cfRule>
  </conditionalFormatting>
  <conditionalFormatting sqref="D2306">
    <cfRule type="containsText" dxfId="1416" priority="2272" operator="containsText" text="Pesquisa de Preços">
      <formula>NOT(ISERROR(SEARCH("Pesquisa de Preços",D2306)))</formula>
    </cfRule>
  </conditionalFormatting>
  <conditionalFormatting sqref="D2259">
    <cfRule type="containsText" dxfId="1415" priority="2273" operator="containsText" text="Pesquisa de Preços">
      <formula>NOT(ISERROR(SEARCH("Pesquisa de Preços",D2259)))</formula>
    </cfRule>
  </conditionalFormatting>
  <conditionalFormatting sqref="D2294">
    <cfRule type="containsText" dxfId="1414" priority="2271" operator="containsText" text="Pesquisa de Preços">
      <formula>NOT(ISERROR(SEARCH("Pesquisa de Preços",D2294)))</formula>
    </cfRule>
  </conditionalFormatting>
  <conditionalFormatting sqref="D2284 D2292">
    <cfRule type="containsText" dxfId="1413" priority="2269" operator="containsText" text="Pesquisa de Preços">
      <formula>NOT(ISERROR(SEARCH("Pesquisa de Preços",D2284)))</formula>
    </cfRule>
  </conditionalFormatting>
  <conditionalFormatting sqref="D2242:D2243">
    <cfRule type="containsText" dxfId="1412" priority="2268" operator="containsText" text="Pesquisa de Preços">
      <formula>NOT(ISERROR(SEARCH("Pesquisa de Preços",D2242)))</formula>
    </cfRule>
  </conditionalFormatting>
  <conditionalFormatting sqref="D2325:D2326">
    <cfRule type="containsText" dxfId="1411" priority="2266" operator="containsText" text="Pesquisa de Preços">
      <formula>NOT(ISERROR(SEARCH("Pesquisa de Preços",D2325)))</formula>
    </cfRule>
  </conditionalFormatting>
  <conditionalFormatting sqref="D2329">
    <cfRule type="containsText" dxfId="1410" priority="2265" operator="containsText" text="Pesquisa de Preços">
      <formula>NOT(ISERROR(SEARCH("Pesquisa de Preços",D2329)))</formula>
    </cfRule>
  </conditionalFormatting>
  <conditionalFormatting sqref="D2356">
    <cfRule type="containsText" dxfId="1409" priority="2263" operator="containsText" text="Pesquisa de Preços">
      <formula>NOT(ISERROR(SEARCH("Pesquisa de Preços",D2356)))</formula>
    </cfRule>
  </conditionalFormatting>
  <conditionalFormatting sqref="D2346">
    <cfRule type="containsText" dxfId="1408" priority="2261" operator="containsText" text="Pesquisa de Preços">
      <formula>NOT(ISERROR(SEARCH("Pesquisa de Preços",D2346)))</formula>
    </cfRule>
  </conditionalFormatting>
  <conditionalFormatting sqref="D2338:D2339 D2341:D2342">
    <cfRule type="containsText" dxfId="1407" priority="2260" operator="containsText" text="Pesquisa de Preços">
      <formula>NOT(ISERROR(SEARCH("Pesquisa de Preços",D2338)))</formula>
    </cfRule>
  </conditionalFormatting>
  <conditionalFormatting sqref="D2350:D2351 D2353:D2354">
    <cfRule type="containsText" dxfId="1406" priority="2258" operator="containsText" text="Pesquisa de Preços">
      <formula>NOT(ISERROR(SEARCH("Pesquisa de Preços",D2350)))</formula>
    </cfRule>
  </conditionalFormatting>
  <conditionalFormatting sqref="D2352">
    <cfRule type="containsText" dxfId="1405" priority="2257" operator="containsText" text="Pesquisa de Preços">
      <formula>NOT(ISERROR(SEARCH("Pesquisa de Preços",D2352)))</formula>
    </cfRule>
  </conditionalFormatting>
  <conditionalFormatting sqref="D2332 D2335:D2336">
    <cfRule type="containsText" dxfId="1404" priority="2256" operator="containsText" text="Pesquisa de Preços">
      <formula>NOT(ISERROR(SEARCH("Pesquisa de Preços",D2332)))</formula>
    </cfRule>
  </conditionalFormatting>
  <conditionalFormatting sqref="D2334">
    <cfRule type="containsText" dxfId="1403" priority="2255" operator="containsText" text="Pesquisa de Preços">
      <formula>NOT(ISERROR(SEARCH("Pesquisa de Preços",D2334)))</formula>
    </cfRule>
  </conditionalFormatting>
  <conditionalFormatting sqref="D2361:D2364">
    <cfRule type="containsText" dxfId="1402" priority="2254" operator="containsText" text="Pesquisa de Preços">
      <formula>NOT(ISERROR(SEARCH("Pesquisa de Preços",D2361)))</formula>
    </cfRule>
  </conditionalFormatting>
  <conditionalFormatting sqref="D2366 D2368:D2369">
    <cfRule type="containsText" dxfId="1401" priority="2253" operator="containsText" text="Pesquisa de Preços">
      <formula>NOT(ISERROR(SEARCH("Pesquisa de Preços",D2366)))</formula>
    </cfRule>
  </conditionalFormatting>
  <conditionalFormatting sqref="D898:D899 D901:D903">
    <cfRule type="containsText" dxfId="1400" priority="2252" operator="containsText" text="Pesquisa de Preços">
      <formula>NOT(ISERROR(SEARCH("Pesquisa de Preços",D898)))</formula>
    </cfRule>
  </conditionalFormatting>
  <conditionalFormatting sqref="D856:D857 D860:D861">
    <cfRule type="containsText" dxfId="1399" priority="2247" operator="containsText" text="Pesquisa de Preços">
      <formula>NOT(ISERROR(SEARCH("Pesquisa de Preços",D856)))</formula>
    </cfRule>
  </conditionalFormatting>
  <conditionalFormatting sqref="D877:D878 D882:D883">
    <cfRule type="containsText" dxfId="1398" priority="2251" operator="containsText" text="Pesquisa de Preços">
      <formula>NOT(ISERROR(SEARCH("Pesquisa de Preços",D877)))</formula>
    </cfRule>
  </conditionalFormatting>
  <conditionalFormatting sqref="D879:D880">
    <cfRule type="containsText" dxfId="1397" priority="2250" operator="containsText" text="Pesquisa de Preços">
      <formula>NOT(ISERROR(SEARCH("Pesquisa de Preços",D879)))</formula>
    </cfRule>
  </conditionalFormatting>
  <conditionalFormatting sqref="D885:D886 D891">
    <cfRule type="containsText" dxfId="1396" priority="2249" operator="containsText" text="Pesquisa de Preços">
      <formula>NOT(ISERROR(SEARCH("Pesquisa de Preços",D885)))</formula>
    </cfRule>
  </conditionalFormatting>
  <conditionalFormatting sqref="D887:D888">
    <cfRule type="containsText" dxfId="1395" priority="2248" operator="containsText" text="Pesquisa de Preços">
      <formula>NOT(ISERROR(SEARCH("Pesquisa de Preços",D887)))</formula>
    </cfRule>
  </conditionalFormatting>
  <conditionalFormatting sqref="D858:D859">
    <cfRule type="containsText" dxfId="1394" priority="2246" operator="containsText" text="Pesquisa de Preços">
      <formula>NOT(ISERROR(SEARCH("Pesquisa de Preços",D858)))</formula>
    </cfRule>
  </conditionalFormatting>
  <conditionalFormatting sqref="D845 D847:D848">
    <cfRule type="containsText" dxfId="1393" priority="2245" operator="containsText" text="Pesquisa de Preços">
      <formula>NOT(ISERROR(SEARCH("Pesquisa de Preços",D845)))</formula>
    </cfRule>
  </conditionalFormatting>
  <conditionalFormatting sqref="D850 D853:D854">
    <cfRule type="containsText" dxfId="1392" priority="2244" operator="containsText" text="Pesquisa de Preços">
      <formula>NOT(ISERROR(SEARCH("Pesquisa de Preços",D850)))</formula>
    </cfRule>
  </conditionalFormatting>
  <conditionalFormatting sqref="D869">
    <cfRule type="containsText" dxfId="1391" priority="2243" operator="containsText" text="Pesquisa de Preços">
      <formula>NOT(ISERROR(SEARCH("Pesquisa de Preços",D869)))</formula>
    </cfRule>
  </conditionalFormatting>
  <conditionalFormatting sqref="D863">
    <cfRule type="containsText" dxfId="1390" priority="2242" operator="containsText" text="Pesquisa de Preços">
      <formula>NOT(ISERROR(SEARCH("Pesquisa de Preços",D863)))</formula>
    </cfRule>
  </conditionalFormatting>
  <conditionalFormatting sqref="D895">
    <cfRule type="containsText" dxfId="1389" priority="2240" operator="containsText" text="Pesquisa de Preços">
      <formula>NOT(ISERROR(SEARCH("Pesquisa de Preços",D895)))</formula>
    </cfRule>
  </conditionalFormatting>
  <conditionalFormatting sqref="D893:D894">
    <cfRule type="containsText" dxfId="1388" priority="2241" operator="containsText" text="Pesquisa de Preços">
      <formula>NOT(ISERROR(SEARCH("Pesquisa de Preços",D893)))</formula>
    </cfRule>
  </conditionalFormatting>
  <conditionalFormatting sqref="D905:D906">
    <cfRule type="containsText" dxfId="1387" priority="2239" operator="containsText" text="Pesquisa de Preços">
      <formula>NOT(ISERROR(SEARCH("Pesquisa de Preços",D905)))</formula>
    </cfRule>
  </conditionalFormatting>
  <conditionalFormatting sqref="D2377:D2378">
    <cfRule type="containsText" dxfId="1386" priority="2238" operator="containsText" text="Pesquisa de Preços">
      <formula>NOT(ISERROR(SEARCH("Pesquisa de Preços",D2377)))</formula>
    </cfRule>
  </conditionalFormatting>
  <conditionalFormatting sqref="D2385 D2388 D2390">
    <cfRule type="containsText" dxfId="1385" priority="2237" operator="containsText" text="Pesquisa de Preços">
      <formula>NOT(ISERROR(SEARCH("Pesquisa de Preços",D2385)))</formula>
    </cfRule>
  </conditionalFormatting>
  <conditionalFormatting sqref="D2371:D2372 D2374:D2375">
    <cfRule type="containsText" dxfId="1384" priority="2236" operator="containsText" text="Pesquisa de Preços">
      <formula>NOT(ISERROR(SEARCH("Pesquisa de Preços",D2371)))</formula>
    </cfRule>
  </conditionalFormatting>
  <conditionalFormatting sqref="D2398 D2402:D2403">
    <cfRule type="containsText" dxfId="1383" priority="2234" operator="containsText" text="Pesquisa de Preços">
      <formula>NOT(ISERROR(SEARCH("Pesquisa de Preços",D2398)))</formula>
    </cfRule>
  </conditionalFormatting>
  <conditionalFormatting sqref="D2373">
    <cfRule type="containsText" dxfId="1382" priority="2235" operator="containsText" text="Pesquisa de Preços">
      <formula>NOT(ISERROR(SEARCH("Pesquisa de Preços",D2373)))</formula>
    </cfRule>
  </conditionalFormatting>
  <conditionalFormatting sqref="D2392">
    <cfRule type="containsText" dxfId="1381" priority="2233" operator="containsText" text="Pesquisa de Preços">
      <formula>NOT(ISERROR(SEARCH("Pesquisa de Preços",D2392)))</formula>
    </cfRule>
  </conditionalFormatting>
  <conditionalFormatting sqref="D1775:D1776 D1779:D1780">
    <cfRule type="containsText" dxfId="1380" priority="2231" operator="containsText" text="Pesquisa de Preços">
      <formula>NOT(ISERROR(SEARCH("Pesquisa de Preços",D1775)))</formula>
    </cfRule>
  </conditionalFormatting>
  <conditionalFormatting sqref="D1777:D1778">
    <cfRule type="containsText" dxfId="1379" priority="2230" operator="containsText" text="Pesquisa de Preços">
      <formula>NOT(ISERROR(SEARCH("Pesquisa de Preços",D1777)))</formula>
    </cfRule>
  </conditionalFormatting>
  <conditionalFormatting sqref="D1789:D1790 D1793:D1794">
    <cfRule type="containsText" dxfId="1378" priority="2228" operator="containsText" text="Pesquisa de Preços">
      <formula>NOT(ISERROR(SEARCH("Pesquisa de Preços",D1789)))</formula>
    </cfRule>
  </conditionalFormatting>
  <conditionalFormatting sqref="D1791:D1792">
    <cfRule type="containsText" dxfId="1377" priority="2227" operator="containsText" text="Pesquisa de Preços">
      <formula>NOT(ISERROR(SEARCH("Pesquisa de Preços",D1791)))</formula>
    </cfRule>
  </conditionalFormatting>
  <conditionalFormatting sqref="D1803:D1804 D1807:D1808">
    <cfRule type="containsText" dxfId="1376" priority="2225" operator="containsText" text="Pesquisa de Preços">
      <formula>NOT(ISERROR(SEARCH("Pesquisa de Preços",D1803)))</formula>
    </cfRule>
  </conditionalFormatting>
  <conditionalFormatting sqref="D1805:D1806">
    <cfRule type="containsText" dxfId="1375" priority="2224" operator="containsText" text="Pesquisa de Preços">
      <formula>NOT(ISERROR(SEARCH("Pesquisa de Preços",D1805)))</formula>
    </cfRule>
  </conditionalFormatting>
  <conditionalFormatting sqref="D1761:D1762 D1765:D1766">
    <cfRule type="containsText" dxfId="1374" priority="2222" operator="containsText" text="Pesquisa de Preços">
      <formula>NOT(ISERROR(SEARCH("Pesquisa de Preços",D1761)))</formula>
    </cfRule>
  </conditionalFormatting>
  <conditionalFormatting sqref="D1763:D1764">
    <cfRule type="containsText" dxfId="1373" priority="2221" operator="containsText" text="Pesquisa de Preços">
      <formula>NOT(ISERROR(SEARCH("Pesquisa de Preços",D1763)))</formula>
    </cfRule>
  </conditionalFormatting>
  <conditionalFormatting sqref="D1768:D1769 D1772:D1773">
    <cfRule type="containsText" dxfId="1372" priority="2219" operator="containsText" text="Pesquisa de Preços">
      <formula>NOT(ISERROR(SEARCH("Pesquisa de Preços",D1768)))</formula>
    </cfRule>
  </conditionalFormatting>
  <conditionalFormatting sqref="D589 D593">
    <cfRule type="containsText" dxfId="1371" priority="2157" operator="containsText" text="Pesquisa de Preços">
      <formula>NOT(ISERROR(SEARCH("Pesquisa de Preços",D589)))</formula>
    </cfRule>
  </conditionalFormatting>
  <conditionalFormatting sqref="D1770:D1771">
    <cfRule type="containsText" dxfId="1370" priority="2218" operator="containsText" text="Pesquisa de Preços">
      <formula>NOT(ISERROR(SEARCH("Pesquisa de Preços",D1770)))</formula>
    </cfRule>
  </conditionalFormatting>
  <conditionalFormatting sqref="D1786:D1787 D1782:D1783">
    <cfRule type="containsText" dxfId="1369" priority="2216" operator="containsText" text="Pesquisa de Preços">
      <formula>NOT(ISERROR(SEARCH("Pesquisa de Preços",D1782)))</formula>
    </cfRule>
  </conditionalFormatting>
  <conditionalFormatting sqref="D1784:D1785">
    <cfRule type="containsText" dxfId="1368" priority="2215" operator="containsText" text="Pesquisa de Preços">
      <formula>NOT(ISERROR(SEARCH("Pesquisa de Preços",D1784)))</formula>
    </cfRule>
  </conditionalFormatting>
  <conditionalFormatting sqref="D1796:D1797 D1800:D1801">
    <cfRule type="containsText" dxfId="1367" priority="2214" operator="containsText" text="Pesquisa de Preços">
      <formula>NOT(ISERROR(SEARCH("Pesquisa de Preços",D1796)))</formula>
    </cfRule>
  </conditionalFormatting>
  <conditionalFormatting sqref="D1798:D1799">
    <cfRule type="containsText" dxfId="1366" priority="2213" operator="containsText" text="Pesquisa de Preços">
      <formula>NOT(ISERROR(SEARCH("Pesquisa de Preços",D1798)))</formula>
    </cfRule>
  </conditionalFormatting>
  <conditionalFormatting sqref="D1175">
    <cfRule type="containsText" dxfId="1365" priority="2212" operator="containsText" text="Pesquisa de Preços">
      <formula>NOT(ISERROR(SEARCH("Pesquisa de Preços",D1175)))</formula>
    </cfRule>
  </conditionalFormatting>
  <conditionalFormatting sqref="D1865 D1867">
    <cfRule type="containsText" dxfId="1364" priority="2211" operator="containsText" text="Pesquisa de Preços">
      <formula>NOT(ISERROR(SEARCH("Pesquisa de Preços",D1865)))</formula>
    </cfRule>
  </conditionalFormatting>
  <conditionalFormatting sqref="D1866">
    <cfRule type="containsText" dxfId="1363" priority="2210" operator="containsText" text="Pesquisa de Preços">
      <formula>NOT(ISERROR(SEARCH("Pesquisa de Preços",D1866)))</formula>
    </cfRule>
  </conditionalFormatting>
  <conditionalFormatting sqref="D1985">
    <cfRule type="containsText" dxfId="1362" priority="2209" operator="containsText" text="Pesquisa de Preços">
      <formula>NOT(ISERROR(SEARCH("Pesquisa de Preços",D1985)))</formula>
    </cfRule>
  </conditionalFormatting>
  <conditionalFormatting sqref="D2019:D2020">
    <cfRule type="containsText" dxfId="1361" priority="2208" operator="containsText" text="Pesquisa de Preços">
      <formula>NOT(ISERROR(SEARCH("Pesquisa de Preços",D2019)))</formula>
    </cfRule>
  </conditionalFormatting>
  <conditionalFormatting sqref="D1998:D1999">
    <cfRule type="containsText" dxfId="1360" priority="2207" operator="containsText" text="Pesquisa de Preços">
      <formula>NOT(ISERROR(SEARCH("Pesquisa de Preços",D1998)))</formula>
    </cfRule>
  </conditionalFormatting>
  <conditionalFormatting sqref="D2098:D2099">
    <cfRule type="containsText" dxfId="1359" priority="2206" operator="containsText" text="Pesquisa de Preços">
      <formula>NOT(ISERROR(SEARCH("Pesquisa de Preços",D2098)))</formula>
    </cfRule>
  </conditionalFormatting>
  <conditionalFormatting sqref="D2034:D2035">
    <cfRule type="containsText" dxfId="1358" priority="2205" operator="containsText" text="Pesquisa de Preços">
      <formula>NOT(ISERROR(SEARCH("Pesquisa de Preços",D2034)))</formula>
    </cfRule>
  </conditionalFormatting>
  <conditionalFormatting sqref="D828">
    <cfRule type="containsText" dxfId="1357" priority="2132" operator="containsText" text="Pesquisa de Preços">
      <formula>NOT(ISERROR(SEARCH("Pesquisa de Preços",D828)))</formula>
    </cfRule>
  </conditionalFormatting>
  <conditionalFormatting sqref="D829">
    <cfRule type="containsText" dxfId="1356" priority="2131" operator="containsText" text="Pesquisa de Preços">
      <formula>NOT(ISERROR(SEARCH("Pesquisa de Preços",D829)))</formula>
    </cfRule>
  </conditionalFormatting>
  <conditionalFormatting sqref="D1300">
    <cfRule type="containsText" dxfId="1355" priority="2127" operator="containsText" text="Pesquisa de Preços">
      <formula>NOT(ISERROR(SEARCH("Pesquisa de Preços",D1300)))</formula>
    </cfRule>
  </conditionalFormatting>
  <conditionalFormatting sqref="D1162">
    <cfRule type="containsText" dxfId="1354" priority="2124" operator="containsText" text="Pesquisa de Preços">
      <formula>NOT(ISERROR(SEARCH("Pesquisa de Preços",D1162)))</formula>
    </cfRule>
  </conditionalFormatting>
  <conditionalFormatting sqref="D1354">
    <cfRule type="containsText" dxfId="1353" priority="2126" operator="containsText" text="Pesquisa de Preços">
      <formula>NOT(ISERROR(SEARCH("Pesquisa de Preços",D1354)))</formula>
    </cfRule>
  </conditionalFormatting>
  <conditionalFormatting sqref="D1385">
    <cfRule type="containsText" dxfId="1352" priority="2120" operator="containsText" text="Pesquisa de Preços">
      <formula>NOT(ISERROR(SEARCH("Pesquisa de Preços",D1385)))</formula>
    </cfRule>
  </conditionalFormatting>
  <conditionalFormatting sqref="D206">
    <cfRule type="containsText" dxfId="1351" priority="2121" operator="containsText" text="Pesquisa de Preços">
      <formula>NOT(ISERROR(SEARCH("Pesquisa de Preços",D206)))</formula>
    </cfRule>
  </conditionalFormatting>
  <conditionalFormatting sqref="D1640">
    <cfRule type="containsText" dxfId="1350" priority="2117" operator="containsText" text="Pesquisa de Preços">
      <formula>NOT(ISERROR(SEARCH("Pesquisa de Preços",D1640)))</formula>
    </cfRule>
  </conditionalFormatting>
  <conditionalFormatting sqref="D1690">
    <cfRule type="containsText" dxfId="1349" priority="2116" operator="containsText" text="Pesquisa de Preços">
      <formula>NOT(ISERROR(SEARCH("Pesquisa de Preços",D1690)))</formula>
    </cfRule>
  </conditionalFormatting>
  <conditionalFormatting sqref="D1691">
    <cfRule type="containsText" dxfId="1348" priority="2115" operator="containsText" text="Pesquisa de Preços">
      <formula>NOT(ISERROR(SEARCH("Pesquisa de Preços",D1691)))</formula>
    </cfRule>
  </conditionalFormatting>
  <conditionalFormatting sqref="D1617">
    <cfRule type="containsText" dxfId="1347" priority="2113" operator="containsText" text="Pesquisa de Preços">
      <formula>NOT(ISERROR(SEARCH("Pesquisa de Preços",D1617)))</formula>
    </cfRule>
  </conditionalFormatting>
  <conditionalFormatting sqref="D1692">
    <cfRule type="containsText" dxfId="1346" priority="2111" operator="containsText" text="Pesquisa de Preços">
      <formula>NOT(ISERROR(SEARCH("Pesquisa de Preços",D1692)))</formula>
    </cfRule>
  </conditionalFormatting>
  <conditionalFormatting sqref="D819">
    <cfRule type="containsText" dxfId="1345" priority="2204" operator="containsText" text="Pesquisa de Preços">
      <formula>NOT(ISERROR(SEARCH("Pesquisa de Preços",D819)))</formula>
    </cfRule>
  </conditionalFormatting>
  <conditionalFormatting sqref="D820">
    <cfRule type="containsText" dxfId="1344" priority="2203" operator="containsText" text="Pesquisa de Preços">
      <formula>NOT(ISERROR(SEARCH("Pesquisa de Preços",D820)))</formula>
    </cfRule>
  </conditionalFormatting>
  <conditionalFormatting sqref="D54">
    <cfRule type="containsText" dxfId="1343" priority="2186" operator="containsText" text="Pesquisa de Preços">
      <formula>NOT(ISERROR(SEARCH("Pesquisa de Preços",D54)))</formula>
    </cfRule>
  </conditionalFormatting>
  <conditionalFormatting sqref="D449">
    <cfRule type="containsText" dxfId="1342" priority="2202" operator="containsText" text="Pesquisa de Preços">
      <formula>NOT(ISERROR(SEARCH("Pesquisa de Preços",D449)))</formula>
    </cfRule>
  </conditionalFormatting>
  <conditionalFormatting sqref="D448">
    <cfRule type="containsText" dxfId="1341" priority="2201" operator="containsText" text="Pesquisa de Preços">
      <formula>NOT(ISERROR(SEARCH("Pesquisa de Preços",D448)))</formula>
    </cfRule>
  </conditionalFormatting>
  <conditionalFormatting sqref="D447">
    <cfRule type="containsText" dxfId="1340" priority="2200" operator="containsText" text="Pesquisa de Preços">
      <formula>NOT(ISERROR(SEARCH("Pesquisa de Preços",D447)))</formula>
    </cfRule>
  </conditionalFormatting>
  <conditionalFormatting sqref="D205">
    <cfRule type="containsText" dxfId="1339" priority="2199" operator="containsText" text="Pesquisa de Preços">
      <formula>NOT(ISERROR(SEARCH("Pesquisa de Preços",D205)))</formula>
    </cfRule>
  </conditionalFormatting>
  <conditionalFormatting sqref="D103:D104">
    <cfRule type="containsText" dxfId="1338" priority="2198" operator="containsText" text="Pesquisa de Preços">
      <formula>NOT(ISERROR(SEARCH("Pesquisa de Preços",D103)))</formula>
    </cfRule>
  </conditionalFormatting>
  <conditionalFormatting sqref="D422:D423">
    <cfRule type="containsText" dxfId="1337" priority="2197" operator="containsText" text="Pesquisa de Preços">
      <formula>NOT(ISERROR(SEARCH("Pesquisa de Preços",D422)))</formula>
    </cfRule>
  </conditionalFormatting>
  <conditionalFormatting sqref="D424:D426">
    <cfRule type="containsText" dxfId="1336" priority="2196" operator="containsText" text="Pesquisa de Preços">
      <formula>NOT(ISERROR(SEARCH("Pesquisa de Preços",D424)))</formula>
    </cfRule>
  </conditionalFormatting>
  <conditionalFormatting sqref="D615 D619">
    <cfRule type="containsText" dxfId="1335" priority="2195" operator="containsText" text="Pesquisa de Preços">
      <formula>NOT(ISERROR(SEARCH("Pesquisa de Preços",D615)))</formula>
    </cfRule>
  </conditionalFormatting>
  <conditionalFormatting sqref="D588 D594">
    <cfRule type="containsText" dxfId="1334" priority="2193" operator="containsText" text="Pesquisa de Preços">
      <formula>NOT(ISERROR(SEARCH("Pesquisa de Preços",D588)))</formula>
    </cfRule>
  </conditionalFormatting>
  <conditionalFormatting sqref="D637:D638 D641:D642">
    <cfRule type="containsText" dxfId="1333" priority="2191" operator="containsText" text="Pesquisa de Preços">
      <formula>NOT(ISERROR(SEARCH("Pesquisa de Preços",D637)))</formula>
    </cfRule>
  </conditionalFormatting>
  <conditionalFormatting sqref="D639:D640">
    <cfRule type="containsText" dxfId="1332" priority="2190" operator="containsText" text="Pesquisa de Preços">
      <formula>NOT(ISERROR(SEARCH("Pesquisa de Preços",D639)))</formula>
    </cfRule>
  </conditionalFormatting>
  <conditionalFormatting sqref="D1724">
    <cfRule type="containsText" dxfId="1331" priority="2097" operator="containsText" text="Pesquisa de Preços">
      <formula>NOT(ISERROR(SEARCH("Pesquisa de Preços",D1724)))</formula>
    </cfRule>
  </conditionalFormatting>
  <conditionalFormatting sqref="D225">
    <cfRule type="containsText" dxfId="1330" priority="2189" operator="containsText" text="Pesquisa de Preços">
      <formula>NOT(ISERROR(SEARCH("Pesquisa de Preços",D225)))</formula>
    </cfRule>
  </conditionalFormatting>
  <conditionalFormatting sqref="D151">
    <cfRule type="containsText" dxfId="1329" priority="2188" operator="containsText" text="Pesquisa de Preços">
      <formula>NOT(ISERROR(SEARCH("Pesquisa de Preços",D151)))</formula>
    </cfRule>
  </conditionalFormatting>
  <conditionalFormatting sqref="D163">
    <cfRule type="containsText" dxfId="1328" priority="2187" operator="containsText" text="Pesquisa de Preços">
      <formula>NOT(ISERROR(SEARCH("Pesquisa de Preços",D163)))</formula>
    </cfRule>
  </conditionalFormatting>
  <conditionalFormatting sqref="D55:D57">
    <cfRule type="containsText" dxfId="1327" priority="2185" operator="containsText" text="Pesquisa de Preços">
      <formula>NOT(ISERROR(SEARCH("Pesquisa de Preços",D55)))</formula>
    </cfRule>
  </conditionalFormatting>
  <conditionalFormatting sqref="D30:D31">
    <cfRule type="containsText" dxfId="1326" priority="2184" operator="containsText" text="Pesquisa de Preços">
      <formula>NOT(ISERROR(SEARCH("Pesquisa de Preços",D30)))</formula>
    </cfRule>
  </conditionalFormatting>
  <conditionalFormatting sqref="D25:D26">
    <cfRule type="containsText" dxfId="1325" priority="2183" operator="containsText" text="Pesquisa de Preços">
      <formula>NOT(ISERROR(SEARCH("Pesquisa de Preços",D25)))</formula>
    </cfRule>
  </conditionalFormatting>
  <conditionalFormatting sqref="D180">
    <cfRule type="containsText" dxfId="1324" priority="2182" operator="containsText" text="Pesquisa de Preços">
      <formula>NOT(ISERROR(SEARCH("Pesquisa de Preços",D180)))</formula>
    </cfRule>
  </conditionalFormatting>
  <conditionalFormatting sqref="D127:D128">
    <cfRule type="containsText" dxfId="1323" priority="2181" operator="containsText" text="Pesquisa de Preços">
      <formula>NOT(ISERROR(SEARCH("Pesquisa de Preços",D127)))</formula>
    </cfRule>
  </conditionalFormatting>
  <conditionalFormatting sqref="D1925">
    <cfRule type="containsText" dxfId="1322" priority="2089" operator="containsText" text="Pesquisa de Preços">
      <formula>NOT(ISERROR(SEARCH("Pesquisa de Preços",D1925)))</formula>
    </cfRule>
  </conditionalFormatting>
  <conditionalFormatting sqref="D84">
    <cfRule type="containsText" dxfId="1321" priority="2180" operator="containsText" text="Pesquisa de Preços">
      <formula>NOT(ISERROR(SEARCH("Pesquisa de Preços",D84)))</formula>
    </cfRule>
  </conditionalFormatting>
  <conditionalFormatting sqref="D85">
    <cfRule type="containsText" dxfId="1320" priority="2179" operator="containsText" text="Pesquisa de Preços">
      <formula>NOT(ISERROR(SEARCH("Pesquisa de Preços",D85)))</formula>
    </cfRule>
  </conditionalFormatting>
  <conditionalFormatting sqref="D61">
    <cfRule type="containsText" dxfId="1319" priority="2178" operator="containsText" text="Pesquisa de Preços">
      <formula>NOT(ISERROR(SEARCH("Pesquisa de Preços",D61)))</formula>
    </cfRule>
  </conditionalFormatting>
  <conditionalFormatting sqref="D62">
    <cfRule type="containsText" dxfId="1318" priority="2177" operator="containsText" text="Pesquisa de Preços">
      <formula>NOT(ISERROR(SEARCH("Pesquisa de Preços",D62)))</formula>
    </cfRule>
  </conditionalFormatting>
  <conditionalFormatting sqref="D2357">
    <cfRule type="containsText" dxfId="1317" priority="2086" operator="containsText" text="Pesquisa de Preços">
      <formula>NOT(ISERROR(SEARCH("Pesquisa de Preços",D2357)))</formula>
    </cfRule>
  </conditionalFormatting>
  <conditionalFormatting sqref="D310">
    <cfRule type="containsText" dxfId="1316" priority="2176" operator="containsText" text="Pesquisa de Preços">
      <formula>NOT(ISERROR(SEARCH("Pesquisa de Preços",D310)))</formula>
    </cfRule>
  </conditionalFormatting>
  <conditionalFormatting sqref="D296">
    <cfRule type="containsText" dxfId="1315" priority="2174" operator="containsText" text="Pesquisa de Preços">
      <formula>NOT(ISERROR(SEARCH("Pesquisa de Preços",D296)))</formula>
    </cfRule>
  </conditionalFormatting>
  <conditionalFormatting sqref="D456">
    <cfRule type="containsText" dxfId="1314" priority="2173" operator="containsText" text="Pesquisa de Preços">
      <formula>NOT(ISERROR(SEARCH("Pesquisa de Preços",D456)))</formula>
    </cfRule>
  </conditionalFormatting>
  <conditionalFormatting sqref="D466">
    <cfRule type="containsText" dxfId="1313" priority="2172" operator="containsText" text="Pesquisa de Preços">
      <formula>NOT(ISERROR(SEARCH("Pesquisa de Preços",D466)))</formula>
    </cfRule>
  </conditionalFormatting>
  <conditionalFormatting sqref="D622">
    <cfRule type="containsText" dxfId="1312" priority="2171" operator="containsText" text="Pesquisa de Preços">
      <formula>NOT(ISERROR(SEARCH("Pesquisa de Preços",D622)))</formula>
    </cfRule>
  </conditionalFormatting>
  <conditionalFormatting sqref="D623:D625">
    <cfRule type="containsText" dxfId="1311" priority="2170" operator="containsText" text="Pesquisa de Preços">
      <formula>NOT(ISERROR(SEARCH("Pesquisa de Preços",D623)))</formula>
    </cfRule>
  </conditionalFormatting>
  <conditionalFormatting sqref="D732:D733">
    <cfRule type="containsText" dxfId="1310" priority="2169" operator="containsText" text="Pesquisa de Preços">
      <formula>NOT(ISERROR(SEARCH("Pesquisa de Preços",D732)))</formula>
    </cfRule>
  </conditionalFormatting>
  <conditionalFormatting sqref="D731">
    <cfRule type="containsText" dxfId="1309" priority="2168" operator="containsText" text="Pesquisa de Preços">
      <formula>NOT(ISERROR(SEARCH("Pesquisa de Preços",D731)))</formula>
    </cfRule>
  </conditionalFormatting>
  <conditionalFormatting sqref="D998">
    <cfRule type="containsText" dxfId="1308" priority="2167" operator="containsText" text="Pesquisa de Preços">
      <formula>NOT(ISERROR(SEARCH("Pesquisa de Preços",D998)))</formula>
    </cfRule>
  </conditionalFormatting>
  <conditionalFormatting sqref="D606 D613">
    <cfRule type="containsText" dxfId="1307" priority="2151" operator="containsText" text="Pesquisa de Preços">
      <formula>NOT(ISERROR(SEARCH("Pesquisa de Preços",D606)))</formula>
    </cfRule>
  </conditionalFormatting>
  <conditionalFormatting sqref="D736">
    <cfRule type="containsText" dxfId="1306" priority="2147" operator="containsText" text="Pesquisa de Preços">
      <formula>NOT(ISERROR(SEARCH("Pesquisa de Preços",D736)))</formula>
    </cfRule>
  </conditionalFormatting>
  <conditionalFormatting sqref="D590:D592">
    <cfRule type="containsText" dxfId="1305" priority="2156" operator="containsText" text="Pesquisa de Preços">
      <formula>NOT(ISERROR(SEARCH("Pesquisa de Preços",D590)))</formula>
    </cfRule>
  </conditionalFormatting>
  <conditionalFormatting sqref="D1629:D1630">
    <cfRule type="containsText" dxfId="1304" priority="2162" operator="containsText" text="Pesquisa de Preços">
      <formula>NOT(ISERROR(SEARCH("Pesquisa de Preços",D1629)))</formula>
    </cfRule>
  </conditionalFormatting>
  <conditionalFormatting sqref="D1605">
    <cfRule type="containsText" dxfId="1303" priority="2166" operator="containsText" text="Pesquisa de Preços">
      <formula>NOT(ISERROR(SEARCH("Pesquisa de Preços",D1605)))</formula>
    </cfRule>
  </conditionalFormatting>
  <conditionalFormatting sqref="D1634">
    <cfRule type="containsText" dxfId="1302" priority="2165" operator="containsText" text="Pesquisa de Preços">
      <formula>NOT(ISERROR(SEARCH("Pesquisa de Preços",D1634)))</formula>
    </cfRule>
  </conditionalFormatting>
  <conditionalFormatting sqref="D1635:D1636">
    <cfRule type="containsText" dxfId="1301" priority="2164" operator="containsText" text="Pesquisa de Preços">
      <formula>NOT(ISERROR(SEARCH("Pesquisa de Preços",D1635)))</formula>
    </cfRule>
  </conditionalFormatting>
  <conditionalFormatting sqref="D1628">
    <cfRule type="containsText" dxfId="1300" priority="2163" operator="containsText" text="Pesquisa de Preços">
      <formula>NOT(ISERROR(SEARCH("Pesquisa de Preços",D1628)))</formula>
    </cfRule>
  </conditionalFormatting>
  <conditionalFormatting sqref="D1895 D1897">
    <cfRule type="containsText" dxfId="1299" priority="2161" operator="containsText" text="Pesquisa de Preços">
      <formula>NOT(ISERROR(SEARCH("Pesquisa de Preços",D1895)))</formula>
    </cfRule>
  </conditionalFormatting>
  <conditionalFormatting sqref="D1896">
    <cfRule type="containsText" dxfId="1298" priority="2160" operator="containsText" text="Pesquisa de Preços">
      <formula>NOT(ISERROR(SEARCH("Pesquisa de Preços",D1896)))</formula>
    </cfRule>
  </conditionalFormatting>
  <conditionalFormatting sqref="D1889 D1891">
    <cfRule type="containsText" dxfId="1297" priority="2159" operator="containsText" text="Pesquisa de Preços">
      <formula>NOT(ISERROR(SEARCH("Pesquisa de Preços",D1889)))</formula>
    </cfRule>
  </conditionalFormatting>
  <conditionalFormatting sqref="D1890">
    <cfRule type="containsText" dxfId="1296" priority="2158" operator="containsText" text="Pesquisa de Preços">
      <formula>NOT(ISERROR(SEARCH("Pesquisa de Preços",D1890)))</formula>
    </cfRule>
  </conditionalFormatting>
  <conditionalFormatting sqref="D381:D391">
    <cfRule type="containsText" dxfId="1295" priority="2154" operator="containsText" text="Pesquisa de Preços">
      <formula>NOT(ISERROR(SEARCH("Pesquisa de Preços",D381)))</formula>
    </cfRule>
  </conditionalFormatting>
  <conditionalFormatting sqref="D380">
    <cfRule type="containsText" dxfId="1294" priority="2155" operator="containsText" text="Pesquisa de Preços">
      <formula>NOT(ISERROR(SEARCH("Pesquisa de Preços",D380)))</formula>
    </cfRule>
  </conditionalFormatting>
  <conditionalFormatting sqref="D1072:D1073">
    <cfRule type="containsText" dxfId="1293" priority="2055" operator="containsText" text="Pesquisa de Preços">
      <formula>NOT(ISERROR(SEARCH("Pesquisa de Preços",D1072)))</formula>
    </cfRule>
  </conditionalFormatting>
  <conditionalFormatting sqref="D604">
    <cfRule type="containsText" dxfId="1292" priority="2153" operator="containsText" text="Pesquisa de Preços">
      <formula>NOT(ISERROR(SEARCH("Pesquisa de Preços",D604)))</formula>
    </cfRule>
  </conditionalFormatting>
  <conditionalFormatting sqref="D596">
    <cfRule type="containsText" dxfId="1291" priority="2152" operator="containsText" text="Pesquisa de Preços">
      <formula>NOT(ISERROR(SEARCH("Pesquisa de Preços",D596)))</formula>
    </cfRule>
  </conditionalFormatting>
  <conditionalFormatting sqref="D1085:D1087 D1089">
    <cfRule type="containsText" dxfId="1290" priority="2054" operator="containsText" text="Pesquisa de Preços">
      <formula>NOT(ISERROR(SEARCH("Pesquisa de Preços",D1085)))</formula>
    </cfRule>
  </conditionalFormatting>
  <conditionalFormatting sqref="D597">
    <cfRule type="containsText" dxfId="1289" priority="2150" operator="containsText" text="Pesquisa de Preços">
      <formula>NOT(ISERROR(SEARCH("Pesquisa de Preços",D597)))</formula>
    </cfRule>
  </conditionalFormatting>
  <conditionalFormatting sqref="D607">
    <cfRule type="containsText" dxfId="1288" priority="2149" operator="containsText" text="Pesquisa de Preços">
      <formula>NOT(ISERROR(SEARCH("Pesquisa de Preços",D607)))</formula>
    </cfRule>
  </conditionalFormatting>
  <conditionalFormatting sqref="D630">
    <cfRule type="containsText" dxfId="1287" priority="2144" operator="containsText" text="Pesquisa de Preços">
      <formula>NOT(ISERROR(SEARCH("Pesquisa de Preços",D630)))</formula>
    </cfRule>
  </conditionalFormatting>
  <conditionalFormatting sqref="D629 D634:D635">
    <cfRule type="containsText" dxfId="1286" priority="2145" operator="containsText" text="Pesquisa de Preços">
      <formula>NOT(ISERROR(SEARCH("Pesquisa de Preços",D629)))</formula>
    </cfRule>
  </conditionalFormatting>
  <conditionalFormatting sqref="D1258 D1262:D1263">
    <cfRule type="containsText" dxfId="1285" priority="2141" operator="containsText" text="Pesquisa de Preços">
      <formula>NOT(ISERROR(SEARCH("Pesquisa de Preços",D1258)))</formula>
    </cfRule>
  </conditionalFormatting>
  <conditionalFormatting sqref="D631:D633">
    <cfRule type="containsText" dxfId="1284" priority="2143" operator="containsText" text="Pesquisa de Preços">
      <formula>NOT(ISERROR(SEARCH("Pesquisa de Preços",D631)))</formula>
    </cfRule>
  </conditionalFormatting>
  <conditionalFormatting sqref="D1260">
    <cfRule type="containsText" dxfId="1283" priority="2140" operator="containsText" text="Pesquisa de Preços">
      <formula>NOT(ISERROR(SEARCH("Pesquisa de Preços",D1260)))</formula>
    </cfRule>
  </conditionalFormatting>
  <conditionalFormatting sqref="D1160 D1164:D1165">
    <cfRule type="containsText" dxfId="1282" priority="2138" operator="containsText" text="Pesquisa de Preços">
      <formula>NOT(ISERROR(SEARCH("Pesquisa de Preços",D1160)))</formula>
    </cfRule>
  </conditionalFormatting>
  <conditionalFormatting sqref="D1216 D1220:D1221">
    <cfRule type="containsText" dxfId="1281" priority="2136" operator="containsText" text="Pesquisa de Preços">
      <formula>NOT(ISERROR(SEARCH("Pesquisa de Preços",D1216)))</formula>
    </cfRule>
  </conditionalFormatting>
  <conditionalFormatting sqref="D1219">
    <cfRule type="containsText" dxfId="1280" priority="2135" operator="containsText" text="Pesquisa de Preços">
      <formula>NOT(ISERROR(SEARCH("Pesquisa de Preços",D1219)))</formula>
    </cfRule>
  </conditionalFormatting>
  <conditionalFormatting sqref="D669">
    <cfRule type="containsText" dxfId="1279" priority="2134" operator="containsText" text="Pesquisa de Preços">
      <formula>NOT(ISERROR(SEARCH("Pesquisa de Preços",D669)))</formula>
    </cfRule>
  </conditionalFormatting>
  <conditionalFormatting sqref="D737">
    <cfRule type="containsText" dxfId="1278" priority="2133" operator="containsText" text="Pesquisa de Preços">
      <formula>NOT(ISERROR(SEARCH("Pesquisa de Preços",D737)))</formula>
    </cfRule>
  </conditionalFormatting>
  <conditionalFormatting sqref="D864 D866:D867">
    <cfRule type="containsText" dxfId="1277" priority="2130" operator="containsText" text="Pesquisa de Preços">
      <formula>NOT(ISERROR(SEARCH("Pesquisa de Preços",D864)))</formula>
    </cfRule>
  </conditionalFormatting>
  <conditionalFormatting sqref="D865">
    <cfRule type="containsText" dxfId="1276" priority="2129" operator="containsText" text="Pesquisa de Preços">
      <formula>NOT(ISERROR(SEARCH("Pesquisa de Preços",D865)))</formula>
    </cfRule>
  </conditionalFormatting>
  <conditionalFormatting sqref="D1301">
    <cfRule type="containsText" dxfId="1275" priority="2128" operator="containsText" text="Pesquisa de Preços">
      <formula>NOT(ISERROR(SEARCH("Pesquisa de Preços",D1301)))</formula>
    </cfRule>
  </conditionalFormatting>
  <conditionalFormatting sqref="D1355">
    <cfRule type="containsText" dxfId="1274" priority="2125" operator="containsText" text="Pesquisa de Preços">
      <formula>NOT(ISERROR(SEARCH("Pesquisa de Preços",D1355)))</formula>
    </cfRule>
  </conditionalFormatting>
  <conditionalFormatting sqref="D1514">
    <cfRule type="containsText" dxfId="1273" priority="2053" operator="containsText" text="Pesquisa de Preços">
      <formula>NOT(ISERROR(SEARCH("Pesquisa de Preços",D1514)))</formula>
    </cfRule>
  </conditionalFormatting>
  <conditionalFormatting sqref="D207">
    <cfRule type="containsText" dxfId="1272" priority="2122" operator="containsText" text="Pesquisa de Preços">
      <formula>NOT(ISERROR(SEARCH("Pesquisa de Preços",D207)))</formula>
    </cfRule>
  </conditionalFormatting>
  <conditionalFormatting sqref="D1623">
    <cfRule type="containsText" dxfId="1271" priority="2118" operator="containsText" text="Pesquisa de Preços">
      <formula>NOT(ISERROR(SEARCH("Pesquisa de Preços",D1623)))</formula>
    </cfRule>
  </conditionalFormatting>
  <conditionalFormatting sqref="D1616">
    <cfRule type="containsText" dxfId="1270" priority="2114" operator="containsText" text="Pesquisa de Preços">
      <formula>NOT(ISERROR(SEARCH("Pesquisa de Preços",D1616)))</formula>
    </cfRule>
  </conditionalFormatting>
  <conditionalFormatting sqref="D1679">
    <cfRule type="containsText" dxfId="1269" priority="2112" operator="containsText" text="Pesquisa de Preços">
      <formula>NOT(ISERROR(SEARCH("Pesquisa de Preços",D1679)))</formula>
    </cfRule>
  </conditionalFormatting>
  <conditionalFormatting sqref="D1618">
    <cfRule type="containsText" dxfId="1268" priority="2110" operator="containsText" text="Pesquisa de Preços">
      <formula>NOT(ISERROR(SEARCH("Pesquisa de Preços",D1618)))</formula>
    </cfRule>
  </conditionalFormatting>
  <conditionalFormatting sqref="D141">
    <cfRule type="containsText" dxfId="1267" priority="2109" operator="containsText" text="Pesquisa de Preços">
      <formula>NOT(ISERROR(SEARCH("Pesquisa de Preços",D141)))</formula>
    </cfRule>
  </conditionalFormatting>
  <conditionalFormatting sqref="D801">
    <cfRule type="containsText" dxfId="1266" priority="2108" operator="containsText" text="Pesquisa de Preços">
      <formula>NOT(ISERROR(SEARCH("Pesquisa de Preços",D801)))</formula>
    </cfRule>
  </conditionalFormatting>
  <conditionalFormatting sqref="D1006">
    <cfRule type="containsText" dxfId="1265" priority="2107" operator="containsText" text="Pesquisa de Preços">
      <formula>NOT(ISERROR(SEARCH("Pesquisa de Preços",D1006)))</formula>
    </cfRule>
  </conditionalFormatting>
  <conditionalFormatting sqref="D1011">
    <cfRule type="containsText" dxfId="1264" priority="2106" operator="containsText" text="Pesquisa de Preços">
      <formula>NOT(ISERROR(SEARCH("Pesquisa de Preços",D1011)))</formula>
    </cfRule>
  </conditionalFormatting>
  <conditionalFormatting sqref="D89">
    <cfRule type="containsText" dxfId="1263" priority="2105" operator="containsText" text="Pesquisa de Preços">
      <formula>NOT(ISERROR(SEARCH("Pesquisa de Preços",D89)))</formula>
    </cfRule>
  </conditionalFormatting>
  <conditionalFormatting sqref="D90">
    <cfRule type="containsText" dxfId="1262" priority="2104" operator="containsText" text="Pesquisa de Preços">
      <formula>NOT(ISERROR(SEARCH("Pesquisa de Preços",D90)))</formula>
    </cfRule>
  </conditionalFormatting>
  <conditionalFormatting sqref="D1462">
    <cfRule type="containsText" dxfId="1261" priority="2052" operator="containsText" text="Pesquisa de Preços">
      <formula>NOT(ISERROR(SEARCH("Pesquisa de Preços",D1462)))</formula>
    </cfRule>
  </conditionalFormatting>
  <conditionalFormatting sqref="D113">
    <cfRule type="containsText" dxfId="1260" priority="2103" operator="containsText" text="Pesquisa de Preços">
      <formula>NOT(ISERROR(SEARCH("Pesquisa de Preços",D113)))</formula>
    </cfRule>
  </conditionalFormatting>
  <conditionalFormatting sqref="D114">
    <cfRule type="containsText" dxfId="1259" priority="2102" operator="containsText" text="Pesquisa de Preços">
      <formula>NOT(ISERROR(SEARCH("Pesquisa de Preços",D114)))</formula>
    </cfRule>
  </conditionalFormatting>
  <conditionalFormatting sqref="D1485">
    <cfRule type="containsText" dxfId="1258" priority="2051" operator="containsText" text="Pesquisa de Preços">
      <formula>NOT(ISERROR(SEARCH("Pesquisa de Preços",D1485)))</formula>
    </cfRule>
  </conditionalFormatting>
  <conditionalFormatting sqref="D1697:D1698">
    <cfRule type="containsText" dxfId="1257" priority="2101" operator="containsText" text="Pesquisa de Preços">
      <formula>NOT(ISERROR(SEARCH("Pesquisa de Preços",D1697)))</formula>
    </cfRule>
  </conditionalFormatting>
  <conditionalFormatting sqref="D1663">
    <cfRule type="containsText" dxfId="1256" priority="2100" operator="containsText" text="Pesquisa de Preços">
      <formula>NOT(ISERROR(SEARCH("Pesquisa de Preços",D1663)))</formula>
    </cfRule>
  </conditionalFormatting>
  <conditionalFormatting sqref="D1746">
    <cfRule type="containsText" dxfId="1255" priority="2099" operator="containsText" text="Pesquisa de Preços">
      <formula>NOT(ISERROR(SEARCH("Pesquisa de Preços",D1746)))</formula>
    </cfRule>
  </conditionalFormatting>
  <conditionalFormatting sqref="D1725">
    <cfRule type="containsText" dxfId="1254" priority="2098" operator="containsText" text="Pesquisa de Preços">
      <formula>NOT(ISERROR(SEARCH("Pesquisa de Preços",D1725)))</formula>
    </cfRule>
  </conditionalFormatting>
  <conditionalFormatting sqref="D1710">
    <cfRule type="containsText" dxfId="1253" priority="2096" operator="containsText" text="Pesquisa de Preços">
      <formula>NOT(ISERROR(SEARCH("Pesquisa de Preços",D1710)))</formula>
    </cfRule>
  </conditionalFormatting>
  <conditionalFormatting sqref="D1711">
    <cfRule type="containsText" dxfId="1252" priority="2095" operator="containsText" text="Pesquisa de Preços">
      <formula>NOT(ISERROR(SEARCH("Pesquisa de Preços",D1711)))</formula>
    </cfRule>
  </conditionalFormatting>
  <conditionalFormatting sqref="D1828">
    <cfRule type="containsText" dxfId="1251" priority="2094" operator="containsText" text="Pesquisa de Preços">
      <formula>NOT(ISERROR(SEARCH("Pesquisa de Preços",D1828)))</formula>
    </cfRule>
  </conditionalFormatting>
  <conditionalFormatting sqref="D1835">
    <cfRule type="containsText" dxfId="1250" priority="2093" operator="containsText" text="Pesquisa de Preços">
      <formula>NOT(ISERROR(SEARCH("Pesquisa de Preços",D1835)))</formula>
    </cfRule>
  </conditionalFormatting>
  <conditionalFormatting sqref="D1834">
    <cfRule type="containsText" dxfId="1249" priority="2092" operator="containsText" text="Pesquisa de Preços">
      <formula>NOT(ISERROR(SEARCH("Pesquisa de Preços",D1834)))</formula>
    </cfRule>
  </conditionalFormatting>
  <conditionalFormatting sqref="D1842">
    <cfRule type="containsText" dxfId="1248" priority="2091" operator="containsText" text="Pesquisa de Preços">
      <formula>NOT(ISERROR(SEARCH("Pesquisa de Preços",D1842)))</formula>
    </cfRule>
  </conditionalFormatting>
  <conditionalFormatting sqref="D1841">
    <cfRule type="containsText" dxfId="1247" priority="2090" operator="containsText" text="Pesquisa de Preços">
      <formula>NOT(ISERROR(SEARCH("Pesquisa de Preços",D1841)))</formula>
    </cfRule>
  </conditionalFormatting>
  <conditionalFormatting sqref="D1924">
    <cfRule type="containsText" dxfId="1246" priority="2088" operator="containsText" text="Pesquisa de Preços">
      <formula>NOT(ISERROR(SEARCH("Pesquisa de Preços",D1924)))</formula>
    </cfRule>
  </conditionalFormatting>
  <conditionalFormatting sqref="D840">
    <cfRule type="containsText" dxfId="1245" priority="2087" operator="containsText" text="Pesquisa de Preços">
      <formula>NOT(ISERROR(SEARCH("Pesquisa de Preços",D840)))</formula>
    </cfRule>
  </conditionalFormatting>
  <conditionalFormatting sqref="D2394">
    <cfRule type="containsText" dxfId="1244" priority="2085" operator="containsText" text="Pesquisa de Preços">
      <formula>NOT(ISERROR(SEARCH("Pesquisa de Preços",D2394)))</formula>
    </cfRule>
  </conditionalFormatting>
  <conditionalFormatting sqref="D2393">
    <cfRule type="containsText" dxfId="1243" priority="2084" operator="containsText" text="Pesquisa de Preços">
      <formula>NOT(ISERROR(SEARCH("Pesquisa de Preços",D2393)))</formula>
    </cfRule>
  </conditionalFormatting>
  <conditionalFormatting sqref="D2258">
    <cfRule type="containsText" dxfId="1242" priority="2083" operator="containsText" text="Pesquisa de Preços">
      <formula>NOT(ISERROR(SEARCH("Pesquisa de Preços",D2258)))</formula>
    </cfRule>
  </conditionalFormatting>
  <conditionalFormatting sqref="D2257">
    <cfRule type="containsText" dxfId="1241" priority="2082" operator="containsText" text="Pesquisa de Preços">
      <formula>NOT(ISERROR(SEARCH("Pesquisa de Preços",D2257)))</formula>
    </cfRule>
  </conditionalFormatting>
  <conditionalFormatting sqref="D2386">
    <cfRule type="containsText" dxfId="1240" priority="2081" operator="containsText" text="Pesquisa de Preços">
      <formula>NOT(ISERROR(SEARCH("Pesquisa de Preços",D2386)))</formula>
    </cfRule>
  </conditionalFormatting>
  <conditionalFormatting sqref="D2387">
    <cfRule type="containsText" dxfId="1239" priority="2080" operator="containsText" text="Pesquisa de Preços">
      <formula>NOT(ISERROR(SEARCH("Pesquisa de Preços",D2387)))</formula>
    </cfRule>
  </conditionalFormatting>
  <conditionalFormatting sqref="D132">
    <cfRule type="containsText" dxfId="1238" priority="2079" operator="containsText" text="Pesquisa de Preços">
      <formula>NOT(ISERROR(SEARCH("Pesquisa de Preços",D132)))</formula>
    </cfRule>
  </conditionalFormatting>
  <conditionalFormatting sqref="D1645">
    <cfRule type="containsText" dxfId="1237" priority="2078" operator="containsText" text="Pesquisa de Preços">
      <formula>NOT(ISERROR(SEARCH("Pesquisa de Preços",D1645)))</formula>
    </cfRule>
  </conditionalFormatting>
  <conditionalFormatting sqref="D1646">
    <cfRule type="containsText" dxfId="1236" priority="2077" operator="containsText" text="Pesquisa de Preços">
      <formula>NOT(ISERROR(SEARCH("Pesquisa de Preços",D1646)))</formula>
    </cfRule>
  </conditionalFormatting>
  <conditionalFormatting sqref="D1962">
    <cfRule type="containsText" dxfId="1235" priority="2050" operator="containsText" text="Pesquisa de Preços">
      <formula>NOT(ISERROR(SEARCH("Pesquisa de Preços",D1962)))</formula>
    </cfRule>
  </conditionalFormatting>
  <conditionalFormatting sqref="D80">
    <cfRule type="containsText" dxfId="1234" priority="2076" operator="containsText" text="Pesquisa de Preços">
      <formula>NOT(ISERROR(SEARCH("Pesquisa de Preços",D80)))</formula>
    </cfRule>
  </conditionalFormatting>
  <conditionalFormatting sqref="D1136">
    <cfRule type="containsText" dxfId="1233" priority="2075" operator="containsText" text="Pesquisa de Preços">
      <formula>NOT(ISERROR(SEARCH("Pesquisa de Preços",D1136)))</formula>
    </cfRule>
  </conditionalFormatting>
  <conditionalFormatting sqref="D402:D412">
    <cfRule type="containsText" dxfId="1232" priority="2074" operator="containsText" text="Pesquisa de Preços">
      <formula>NOT(ISERROR(SEARCH("Pesquisa de Preços",D402)))</formula>
    </cfRule>
  </conditionalFormatting>
  <conditionalFormatting sqref="D416">
    <cfRule type="containsText" dxfId="1231" priority="2073" operator="containsText" text="Pesquisa de Preços">
      <formula>NOT(ISERROR(SEARCH("Pesquisa de Preços",D416)))</formula>
    </cfRule>
  </conditionalFormatting>
  <conditionalFormatting sqref="D417">
    <cfRule type="containsText" dxfId="1230" priority="2072" operator="containsText" text="Pesquisa de Preços">
      <formula>NOT(ISERROR(SEARCH("Pesquisa de Preços",D417)))</formula>
    </cfRule>
  </conditionalFormatting>
  <conditionalFormatting sqref="D416">
    <cfRule type="containsText" dxfId="1229" priority="2071" operator="containsText" text="Pesquisa de Preços">
      <formula>NOT(ISERROR(SEARCH("Pesquisa de Preços",D416)))</formula>
    </cfRule>
  </conditionalFormatting>
  <conditionalFormatting sqref="D417">
    <cfRule type="containsText" dxfId="1228" priority="2070" operator="containsText" text="Pesquisa de Preços">
      <formula>NOT(ISERROR(SEARCH("Pesquisa de Preços",D417)))</formula>
    </cfRule>
  </conditionalFormatting>
  <conditionalFormatting sqref="D418:D419">
    <cfRule type="containsText" dxfId="1227" priority="2069" operator="containsText" text="Pesquisa de Preços">
      <formula>NOT(ISERROR(SEARCH("Pesquisa de Preços",D418)))</formula>
    </cfRule>
  </conditionalFormatting>
  <conditionalFormatting sqref="D194">
    <cfRule type="containsText" dxfId="1226" priority="2068" operator="containsText" text="Pesquisa de Preços">
      <formula>NOT(ISERROR(SEARCH("Pesquisa de Preços",D194)))</formula>
    </cfRule>
  </conditionalFormatting>
  <conditionalFormatting sqref="D833:D837">
    <cfRule type="containsText" dxfId="1225" priority="2067" operator="containsText" text="Pesquisa de Preços">
      <formula>NOT(ISERROR(SEARCH("Pesquisa de Preços",D833)))</formula>
    </cfRule>
  </conditionalFormatting>
  <conditionalFormatting sqref="D833:D837">
    <cfRule type="containsText" dxfId="1224" priority="2066" operator="containsText" text="Pesquisa de Preços">
      <formula>NOT(ISERROR(SEARCH("Pesquisa de Preços",D833)))</formula>
    </cfRule>
  </conditionalFormatting>
  <conditionalFormatting sqref="D1934">
    <cfRule type="containsText" dxfId="1223" priority="2065" operator="containsText" text="Pesquisa de Preços">
      <formula>NOT(ISERROR(SEARCH("Pesquisa de Preços",D1934)))</formula>
    </cfRule>
  </conditionalFormatting>
  <conditionalFormatting sqref="D1935">
    <cfRule type="containsText" dxfId="1222" priority="2064" operator="containsText" text="Pesquisa de Preços">
      <formula>NOT(ISERROR(SEARCH("Pesquisa de Preços",D1935)))</formula>
    </cfRule>
  </conditionalFormatting>
  <conditionalFormatting sqref="D811">
    <cfRule type="containsText" dxfId="1221" priority="2063" operator="containsText" text="Pesquisa de Preços">
      <formula>NOT(ISERROR(SEARCH("Pesquisa de Preços",D811)))</formula>
    </cfRule>
  </conditionalFormatting>
  <conditionalFormatting sqref="D768">
    <cfRule type="containsText" dxfId="1220" priority="2062" operator="containsText" text="Pesquisa de Preços">
      <formula>NOT(ISERROR(SEARCH("Pesquisa de Preços",D768)))</formula>
    </cfRule>
  </conditionalFormatting>
  <conditionalFormatting sqref="D767">
    <cfRule type="containsText" dxfId="1219" priority="2061" operator="containsText" text="Pesquisa de Preços">
      <formula>NOT(ISERROR(SEARCH("Pesquisa de Preços",D767)))</formula>
    </cfRule>
  </conditionalFormatting>
  <conditionalFormatting sqref="D851">
    <cfRule type="containsText" dxfId="1218" priority="2060" operator="containsText" text="Pesquisa de Preços">
      <formula>NOT(ISERROR(SEARCH("Pesquisa de Preços",D851)))</formula>
    </cfRule>
  </conditionalFormatting>
  <conditionalFormatting sqref="D870">
    <cfRule type="containsText" dxfId="1217" priority="2059" operator="containsText" text="Pesquisa de Preços">
      <formula>NOT(ISERROR(SEARCH("Pesquisa de Preços",D870)))</formula>
    </cfRule>
  </conditionalFormatting>
  <conditionalFormatting sqref="D872:D873">
    <cfRule type="containsText" dxfId="1216" priority="2058" operator="containsText" text="Pesquisa de Preços">
      <formula>NOT(ISERROR(SEARCH("Pesquisa de Preços",D872)))</formula>
    </cfRule>
  </conditionalFormatting>
  <conditionalFormatting sqref="D846">
    <cfRule type="containsText" dxfId="1215" priority="2057" operator="containsText" text="Pesquisa de Preços">
      <formula>NOT(ISERROR(SEARCH("Pesquisa de Preços",D846)))</formula>
    </cfRule>
  </conditionalFormatting>
  <conditionalFormatting sqref="G2905">
    <cfRule type="notContainsText" dxfId="1214" priority="2049" operator="notContains" text="Sinapi">
      <formula>ISERROR(SEARCH("Sinapi",G2905))</formula>
    </cfRule>
  </conditionalFormatting>
  <conditionalFormatting sqref="G2910">
    <cfRule type="notContainsText" dxfId="1213" priority="2048" operator="notContains" text="Sinapi">
      <formula>ISERROR(SEARCH("Sinapi",G2910))</formula>
    </cfRule>
  </conditionalFormatting>
  <conditionalFormatting sqref="G2915">
    <cfRule type="notContainsText" dxfId="1212" priority="2047" operator="notContains" text="Sinapi">
      <formula>ISERROR(SEARCH("Sinapi",G2915))</formula>
    </cfRule>
  </conditionalFormatting>
  <conditionalFormatting sqref="G2920">
    <cfRule type="notContainsText" dxfId="1211" priority="2046" operator="notContains" text="Sinapi">
      <formula>ISERROR(SEARCH("Sinapi",G2920))</formula>
    </cfRule>
  </conditionalFormatting>
  <conditionalFormatting sqref="G2925">
    <cfRule type="notContainsText" dxfId="1210" priority="2045" operator="notContains" text="Sinapi">
      <formula>ISERROR(SEARCH("Sinapi",G2925))</formula>
    </cfRule>
  </conditionalFormatting>
  <conditionalFormatting sqref="G2930">
    <cfRule type="notContainsText" dxfId="1209" priority="2044" operator="notContains" text="Sinapi">
      <formula>ISERROR(SEARCH("Sinapi",G2930))</formula>
    </cfRule>
  </conditionalFormatting>
  <conditionalFormatting sqref="G2935">
    <cfRule type="notContainsText" dxfId="1208" priority="2043" operator="notContains" text="Sinapi">
      <formula>ISERROR(SEARCH("Sinapi",G2935))</formula>
    </cfRule>
  </conditionalFormatting>
  <conditionalFormatting sqref="G2940">
    <cfRule type="notContainsText" dxfId="1207" priority="2042" operator="notContains" text="Sinapi">
      <formula>ISERROR(SEARCH("Sinapi",G2940))</formula>
    </cfRule>
  </conditionalFormatting>
  <conditionalFormatting sqref="G2957">
    <cfRule type="notContainsText" dxfId="1206" priority="2040" operator="notContains" text="Sinapi">
      <formula>ISERROR(SEARCH("Sinapi",G2957))</formula>
    </cfRule>
  </conditionalFormatting>
  <conditionalFormatting sqref="G2952">
    <cfRule type="notContainsText" dxfId="1205" priority="2041" operator="notContains" text="Sinapi">
      <formula>ISERROR(SEARCH("Sinapi",G2952))</formula>
    </cfRule>
  </conditionalFormatting>
  <conditionalFormatting sqref="G2962">
    <cfRule type="notContainsText" dxfId="1204" priority="2039" operator="notContains" text="Sinapi">
      <formula>ISERROR(SEARCH("Sinapi",G2962))</formula>
    </cfRule>
  </conditionalFormatting>
  <conditionalFormatting sqref="G2967">
    <cfRule type="notContainsText" dxfId="1203" priority="2038" operator="notContains" text="Sinapi">
      <formula>ISERROR(SEARCH("Sinapi",G2967))</formula>
    </cfRule>
  </conditionalFormatting>
  <conditionalFormatting sqref="G2972">
    <cfRule type="notContainsText" dxfId="1202" priority="2037" operator="notContains" text="Sinapi">
      <formula>ISERROR(SEARCH("Sinapi",G2972))</formula>
    </cfRule>
  </conditionalFormatting>
  <conditionalFormatting sqref="G2977">
    <cfRule type="notContainsText" dxfId="1201" priority="2036" operator="notContains" text="Sinapi">
      <formula>ISERROR(SEARCH("Sinapi",G2977))</formula>
    </cfRule>
  </conditionalFormatting>
  <conditionalFormatting sqref="G2982">
    <cfRule type="notContainsText" dxfId="1200" priority="2035" operator="notContains" text="Sinapi">
      <formula>ISERROR(SEARCH("Sinapi",G2982))</formula>
    </cfRule>
  </conditionalFormatting>
  <conditionalFormatting sqref="G2987">
    <cfRule type="notContainsText" dxfId="1199" priority="2034" operator="notContains" text="Sinapi">
      <formula>ISERROR(SEARCH("Sinapi",G2987))</formula>
    </cfRule>
  </conditionalFormatting>
  <conditionalFormatting sqref="G2992">
    <cfRule type="notContainsText" dxfId="1198" priority="2033" operator="notContains" text="Sinapi">
      <formula>ISERROR(SEARCH("Sinapi",G2992))</formula>
    </cfRule>
  </conditionalFormatting>
  <conditionalFormatting sqref="G3005">
    <cfRule type="notContainsText" dxfId="1197" priority="2032" operator="notContains" text="Sinapi">
      <formula>ISERROR(SEARCH("Sinapi",G3005))</formula>
    </cfRule>
  </conditionalFormatting>
  <conditionalFormatting sqref="G3029">
    <cfRule type="notContainsText" dxfId="1196" priority="2031" operator="notContains" text="Sinapi">
      <formula>ISERROR(SEARCH("Sinapi",G3029))</formula>
    </cfRule>
  </conditionalFormatting>
  <conditionalFormatting sqref="G3042">
    <cfRule type="notContainsText" dxfId="1195" priority="2030" operator="notContains" text="Sinapi">
      <formula>ISERROR(SEARCH("Sinapi",G3042))</formula>
    </cfRule>
  </conditionalFormatting>
  <conditionalFormatting sqref="G3047">
    <cfRule type="notContainsText" dxfId="1194" priority="2029" operator="notContains" text="Sinapi">
      <formula>ISERROR(SEARCH("Sinapi",G3047))</formula>
    </cfRule>
  </conditionalFormatting>
  <conditionalFormatting sqref="G3052">
    <cfRule type="notContainsText" dxfId="1193" priority="2028" operator="notContains" text="Sinapi">
      <formula>ISERROR(SEARCH("Sinapi",G3052))</formula>
    </cfRule>
  </conditionalFormatting>
  <conditionalFormatting sqref="G3057">
    <cfRule type="notContainsText" dxfId="1192" priority="2027" operator="notContains" text="Sinapi">
      <formula>ISERROR(SEARCH("Sinapi",G3057))</formula>
    </cfRule>
  </conditionalFormatting>
  <conditionalFormatting sqref="G3062">
    <cfRule type="notContainsText" dxfId="1191" priority="2026" operator="notContains" text="Sinapi">
      <formula>ISERROR(SEARCH("Sinapi",G3062))</formula>
    </cfRule>
  </conditionalFormatting>
  <conditionalFormatting sqref="G3067">
    <cfRule type="notContainsText" dxfId="1190" priority="2025" operator="notContains" text="Sinapi">
      <formula>ISERROR(SEARCH("Sinapi",G3067))</formula>
    </cfRule>
  </conditionalFormatting>
  <conditionalFormatting sqref="G3072">
    <cfRule type="notContainsText" dxfId="1189" priority="2024" operator="notContains" text="Sinapi">
      <formula>ISERROR(SEARCH("Sinapi",G3072))</formula>
    </cfRule>
  </conditionalFormatting>
  <conditionalFormatting sqref="G3077">
    <cfRule type="notContainsText" dxfId="1188" priority="2023" operator="notContains" text="Sinapi">
      <formula>ISERROR(SEARCH("Sinapi",G3077))</formula>
    </cfRule>
  </conditionalFormatting>
  <conditionalFormatting sqref="G3082">
    <cfRule type="notContainsText" dxfId="1187" priority="2022" operator="notContains" text="Sinapi">
      <formula>ISERROR(SEARCH("Sinapi",G3082))</formula>
    </cfRule>
  </conditionalFormatting>
  <conditionalFormatting sqref="G3126">
    <cfRule type="notContainsText" dxfId="1186" priority="2021" operator="notContains" text="Sinapi">
      <formula>ISERROR(SEARCH("Sinapi",G3126))</formula>
    </cfRule>
  </conditionalFormatting>
  <conditionalFormatting sqref="G3306">
    <cfRule type="notContainsText" dxfId="1185" priority="2020" operator="notContains" text="Sinapi">
      <formula>ISERROR(SEARCH("Sinapi",G3306))</formula>
    </cfRule>
  </conditionalFormatting>
  <conditionalFormatting sqref="G3325">
    <cfRule type="notContainsText" dxfId="1184" priority="2019" operator="notContains" text="Sinapi">
      <formula>ISERROR(SEARCH("Sinapi",G3325))</formula>
    </cfRule>
  </conditionalFormatting>
  <conditionalFormatting sqref="G3336">
    <cfRule type="notContainsText" dxfId="1183" priority="2018" operator="notContains" text="Sinapi">
      <formula>ISERROR(SEARCH("Sinapi",G3336))</formula>
    </cfRule>
  </conditionalFormatting>
  <conditionalFormatting sqref="G3340">
    <cfRule type="notContainsText" dxfId="1182" priority="2017" operator="notContains" text="Sinapi">
      <formula>ISERROR(SEARCH("Sinapi",G3340))</formula>
    </cfRule>
  </conditionalFormatting>
  <conditionalFormatting sqref="D171:D172">
    <cfRule type="containsText" dxfId="1181" priority="1996" operator="containsText" text="Pesquisa de Preços">
      <formula>NOT(ISERROR(SEARCH("Pesquisa de Preços",D171)))</formula>
    </cfRule>
  </conditionalFormatting>
  <conditionalFormatting sqref="G3018">
    <cfRule type="notContainsText" dxfId="1180" priority="1995" operator="notContains" text="Sinapi">
      <formula>ISERROR(SEARCH("Sinapi",G3018))</formula>
    </cfRule>
  </conditionalFormatting>
  <conditionalFormatting sqref="E18 E3339 E261 E2425">
    <cfRule type="containsText" dxfId="1179" priority="1986" operator="containsText" text="Pesquisa de Preços">
      <formula>NOT(ISERROR(SEARCH("Pesquisa de Preços",E18)))</formula>
    </cfRule>
  </conditionalFormatting>
  <conditionalFormatting sqref="E9">
    <cfRule type="containsText" dxfId="1178" priority="1985" operator="containsText" text="Pesquisa de Preços">
      <formula>NOT(ISERROR(SEARCH("Pesquisa de Preços",E9)))</formula>
    </cfRule>
  </conditionalFormatting>
  <conditionalFormatting sqref="E7">
    <cfRule type="containsText" dxfId="1177" priority="1984" operator="containsText" text="Pesquisa de Preços">
      <formula>NOT(ISERROR(SEARCH("Pesquisa de Preços",E7)))</formula>
    </cfRule>
  </conditionalFormatting>
  <conditionalFormatting sqref="E6">
    <cfRule type="containsText" dxfId="1176" priority="1983" operator="containsText" text="Pesquisa de Preços">
      <formula>NOT(ISERROR(SEARCH("Pesquisa de Preços",E6)))</formula>
    </cfRule>
  </conditionalFormatting>
  <conditionalFormatting sqref="E8">
    <cfRule type="containsText" dxfId="1175" priority="1982" operator="containsText" text="Pesquisa de Preços">
      <formula>NOT(ISERROR(SEARCH("Pesquisa de Preços",E8)))</formula>
    </cfRule>
  </conditionalFormatting>
  <conditionalFormatting sqref="E15">
    <cfRule type="containsText" dxfId="1174" priority="1981" operator="containsText" text="Pesquisa de Preços">
      <formula>NOT(ISERROR(SEARCH("Pesquisa de Preços",E15)))</formula>
    </cfRule>
  </conditionalFormatting>
  <conditionalFormatting sqref="E14">
    <cfRule type="containsText" dxfId="1173" priority="1980" operator="containsText" text="Pesquisa de Preços">
      <formula>NOT(ISERROR(SEARCH("Pesquisa de Preços",E14)))</formula>
    </cfRule>
  </conditionalFormatting>
  <conditionalFormatting sqref="E16">
    <cfRule type="containsText" dxfId="1172" priority="1979" operator="containsText" text="Pesquisa de Preços">
      <formula>NOT(ISERROR(SEARCH("Pesquisa de Preços",E16)))</formula>
    </cfRule>
  </conditionalFormatting>
  <conditionalFormatting sqref="E12">
    <cfRule type="containsText" dxfId="1171" priority="1978" operator="containsText" text="Pesquisa de Preços">
      <formula>NOT(ISERROR(SEARCH("Pesquisa de Preços",E12)))</formula>
    </cfRule>
  </conditionalFormatting>
  <conditionalFormatting sqref="E10">
    <cfRule type="containsText" dxfId="1170" priority="1975" operator="containsText" text="Pesquisa de Preços">
      <formula>NOT(ISERROR(SEARCH("Pesquisa de Preços",E10)))</formula>
    </cfRule>
  </conditionalFormatting>
  <conditionalFormatting sqref="E13">
    <cfRule type="containsText" dxfId="1169" priority="1977" operator="containsText" text="Pesquisa de Preços">
      <formula>NOT(ISERROR(SEARCH("Pesquisa de Preços",E13)))</formula>
    </cfRule>
  </conditionalFormatting>
  <conditionalFormatting sqref="E11">
    <cfRule type="containsText" dxfId="1168" priority="1976" operator="containsText" text="Pesquisa de Preços">
      <formula>NOT(ISERROR(SEARCH("Pesquisa de Preços",E11)))</formula>
    </cfRule>
  </conditionalFormatting>
  <conditionalFormatting sqref="E224">
    <cfRule type="containsText" dxfId="1167" priority="1973" operator="containsText" text="Pesquisa de Preços">
      <formula>NOT(ISERROR(SEARCH("Pesquisa de Preços",E224)))</formula>
    </cfRule>
  </conditionalFormatting>
  <conditionalFormatting sqref="E226">
    <cfRule type="containsText" dxfId="1166" priority="1974" operator="containsText" text="Pesquisa de Preços">
      <formula>NOT(ISERROR(SEARCH("Pesquisa de Preços",E226)))</formula>
    </cfRule>
  </conditionalFormatting>
  <conditionalFormatting sqref="E223">
    <cfRule type="containsText" dxfId="1165" priority="1972" operator="containsText" text="Pesquisa de Preços">
      <formula>NOT(ISERROR(SEARCH("Pesquisa de Preços",E223)))</formula>
    </cfRule>
  </conditionalFormatting>
  <conditionalFormatting sqref="E513">
    <cfRule type="containsText" dxfId="1164" priority="1818" operator="containsText" text="Pesquisa de Preços">
      <formula>NOT(ISERROR(SEARCH("Pesquisa de Preços",E513)))</formula>
    </cfRule>
  </conditionalFormatting>
  <conditionalFormatting sqref="E149">
    <cfRule type="containsText" dxfId="1163" priority="1967" operator="containsText" text="Pesquisa de Preços">
      <formula>NOT(ISERROR(SEARCH("Pesquisa de Preços",E149)))</formula>
    </cfRule>
  </conditionalFormatting>
  <conditionalFormatting sqref="E489:E495">
    <cfRule type="containsText" dxfId="1162" priority="1814" operator="containsText" text="Pesquisa de Preços">
      <formula>NOT(ISERROR(SEARCH("Pesquisa de Preços",E489)))</formula>
    </cfRule>
  </conditionalFormatting>
  <conditionalFormatting sqref="E148">
    <cfRule type="containsText" dxfId="1161" priority="1966" operator="containsText" text="Pesquisa de Preços">
      <formula>NOT(ISERROR(SEARCH("Pesquisa de Preços",E148)))</formula>
    </cfRule>
  </conditionalFormatting>
  <conditionalFormatting sqref="E78">
    <cfRule type="containsText" dxfId="1160" priority="1969" operator="containsText" text="Pesquisa de Preços">
      <formula>NOT(ISERROR(SEARCH("Pesquisa de Preços",E78)))</formula>
    </cfRule>
  </conditionalFormatting>
  <conditionalFormatting sqref="E161">
    <cfRule type="containsText" dxfId="1159" priority="1965" operator="containsText" text="Pesquisa de Preços">
      <formula>NOT(ISERROR(SEARCH("Pesquisa de Preços",E161)))</formula>
    </cfRule>
  </conditionalFormatting>
  <conditionalFormatting sqref="E79">
    <cfRule type="containsText" dxfId="1158" priority="1971" operator="containsText" text="Pesquisa de Preços">
      <formula>NOT(ISERROR(SEARCH("Pesquisa de Preços",E79)))</formula>
    </cfRule>
  </conditionalFormatting>
  <conditionalFormatting sqref="E77">
    <cfRule type="containsText" dxfId="1157" priority="1968" operator="containsText" text="Pesquisa de Preços">
      <formula>NOT(ISERROR(SEARCH("Pesquisa de Preços",E77)))</formula>
    </cfRule>
  </conditionalFormatting>
  <conditionalFormatting sqref="E81">
    <cfRule type="containsText" dxfId="1156" priority="1970" operator="containsText" text="Pesquisa de Preços">
      <formula>NOT(ISERROR(SEARCH("Pesquisa de Preços",E81)))</formula>
    </cfRule>
  </conditionalFormatting>
  <conditionalFormatting sqref="E544">
    <cfRule type="containsText" dxfId="1155" priority="1806" operator="containsText" text="Pesquisa de Preços">
      <formula>NOT(ISERROR(SEARCH("Pesquisa de Preços",E544)))</formula>
    </cfRule>
  </conditionalFormatting>
  <conditionalFormatting sqref="E87">
    <cfRule type="containsText" dxfId="1154" priority="1962" operator="containsText" text="Pesquisa de Preços">
      <formula>NOT(ISERROR(SEARCH("Pesquisa de Preços",E87)))</formula>
    </cfRule>
  </conditionalFormatting>
  <conditionalFormatting sqref="E160">
    <cfRule type="containsText" dxfId="1153" priority="1964" operator="containsText" text="Pesquisa de Preços">
      <formula>NOT(ISERROR(SEARCH("Pesquisa de Preços",E160)))</formula>
    </cfRule>
  </conditionalFormatting>
  <conditionalFormatting sqref="E552">
    <cfRule type="containsText" dxfId="1152" priority="1803" operator="containsText" text="Pesquisa de Preços">
      <formula>NOT(ISERROR(SEARCH("Pesquisa de Preços",E552)))</formula>
    </cfRule>
  </conditionalFormatting>
  <conditionalFormatting sqref="E88">
    <cfRule type="containsText" dxfId="1151" priority="1963" operator="containsText" text="Pesquisa de Preços">
      <formula>NOT(ISERROR(SEARCH("Pesquisa de Preços",E88)))</formula>
    </cfRule>
  </conditionalFormatting>
  <conditionalFormatting sqref="E60">
    <cfRule type="containsText" dxfId="1150" priority="1961" operator="containsText" text="Pesquisa de Preços">
      <formula>NOT(ISERROR(SEARCH("Pesquisa de Preços",E60)))</formula>
    </cfRule>
  </conditionalFormatting>
  <conditionalFormatting sqref="E568">
    <cfRule type="containsText" dxfId="1149" priority="1794" operator="containsText" text="Pesquisa de Preços">
      <formula>NOT(ISERROR(SEARCH("Pesquisa de Preços",E568)))</formula>
    </cfRule>
  </conditionalFormatting>
  <conditionalFormatting sqref="E59">
    <cfRule type="containsText" dxfId="1148" priority="1960" operator="containsText" text="Pesquisa de Preços">
      <formula>NOT(ISERROR(SEARCH("Pesquisa de Preços",E59)))</formula>
    </cfRule>
  </conditionalFormatting>
  <conditionalFormatting sqref="E53">
    <cfRule type="containsText" dxfId="1147" priority="1959" operator="containsText" text="Pesquisa de Preços">
      <formula>NOT(ISERROR(SEARCH("Pesquisa de Preços",E53)))</formula>
    </cfRule>
  </conditionalFormatting>
  <conditionalFormatting sqref="E33">
    <cfRule type="containsText" dxfId="1146" priority="1956" operator="containsText" text="Pesquisa de Preços">
      <formula>NOT(ISERROR(SEARCH("Pesquisa de Preços",E33)))</formula>
    </cfRule>
  </conditionalFormatting>
  <conditionalFormatting sqref="E52">
    <cfRule type="containsText" dxfId="1145" priority="1958" operator="containsText" text="Pesquisa de Preços">
      <formula>NOT(ISERROR(SEARCH("Pesquisa de Preços",E52)))</formula>
    </cfRule>
  </conditionalFormatting>
  <conditionalFormatting sqref="E578">
    <cfRule type="containsText" dxfId="1144" priority="1792" operator="containsText" text="Pesquisa de Preços">
      <formula>NOT(ISERROR(SEARCH("Pesquisa de Preços",E578)))</formula>
    </cfRule>
  </conditionalFormatting>
  <conditionalFormatting sqref="E34:E35">
    <cfRule type="containsText" dxfId="1143" priority="1957" operator="containsText" text="Pesquisa de Preços">
      <formula>NOT(ISERROR(SEARCH("Pesquisa de Preços",E34)))</formula>
    </cfRule>
  </conditionalFormatting>
  <conditionalFormatting sqref="E98:E99">
    <cfRule type="containsText" dxfId="1142" priority="1953" operator="containsText" text="Pesquisa de Preços">
      <formula>NOT(ISERROR(SEARCH("Pesquisa de Preços",E98)))</formula>
    </cfRule>
  </conditionalFormatting>
  <conditionalFormatting sqref="E29">
    <cfRule type="containsText" dxfId="1141" priority="1955" operator="containsText" text="Pesquisa de Preços">
      <formula>NOT(ISERROR(SEARCH("Pesquisa de Preços",E29)))</formula>
    </cfRule>
  </conditionalFormatting>
  <conditionalFormatting sqref="E28">
    <cfRule type="containsText" dxfId="1140" priority="1954" operator="containsText" text="Pesquisa de Preços">
      <formula>NOT(ISERROR(SEARCH("Pesquisa de Preços",E28)))</formula>
    </cfRule>
  </conditionalFormatting>
  <conditionalFormatting sqref="E144:E145">
    <cfRule type="containsText" dxfId="1139" priority="1950" operator="containsText" text="Pesquisa de Preços">
      <formula>NOT(ISERROR(SEARCH("Pesquisa de Preços",E144)))</formula>
    </cfRule>
  </conditionalFormatting>
  <conditionalFormatting sqref="E42">
    <cfRule type="containsText" dxfId="1138" priority="1946" operator="containsText" text="Pesquisa de Preços">
      <formula>NOT(ISERROR(SEARCH("Pesquisa de Preços",E42)))</formula>
    </cfRule>
  </conditionalFormatting>
  <conditionalFormatting sqref="E97">
    <cfRule type="containsText" dxfId="1137" priority="1952" operator="containsText" text="Pesquisa de Preços">
      <formula>NOT(ISERROR(SEARCH("Pesquisa de Preços",E97)))</formula>
    </cfRule>
  </conditionalFormatting>
  <conditionalFormatting sqref="E100">
    <cfRule type="containsText" dxfId="1136" priority="1951" operator="containsText" text="Pesquisa de Preços">
      <formula>NOT(ISERROR(SEARCH("Pesquisa de Preços",E100)))</formula>
    </cfRule>
  </conditionalFormatting>
  <conditionalFormatting sqref="E179">
    <cfRule type="containsText" dxfId="1135" priority="1941" operator="containsText" text="Pesquisa de Preços">
      <formula>NOT(ISERROR(SEARCH("Pesquisa de Preços",E179)))</formula>
    </cfRule>
  </conditionalFormatting>
  <conditionalFormatting sqref="E143">
    <cfRule type="containsText" dxfId="1134" priority="1949" operator="containsText" text="Pesquisa de Preços">
      <formula>NOT(ISERROR(SEARCH("Pesquisa de Preços",E143)))</formula>
    </cfRule>
  </conditionalFormatting>
  <conditionalFormatting sqref="E24">
    <cfRule type="containsText" dxfId="1133" priority="1945" operator="containsText" text="Pesquisa de Preços">
      <formula>NOT(ISERROR(SEARCH("Pesquisa de Preços",E24)))</formula>
    </cfRule>
  </conditionalFormatting>
  <conditionalFormatting sqref="E146">
    <cfRule type="containsText" dxfId="1132" priority="1948" operator="containsText" text="Pesquisa de Preços">
      <formula>NOT(ISERROR(SEARCH("Pesquisa de Preços",E146)))</formula>
    </cfRule>
  </conditionalFormatting>
  <conditionalFormatting sqref="E43">
    <cfRule type="containsText" dxfId="1131" priority="1947" operator="containsText" text="Pesquisa de Preços">
      <formula>NOT(ISERROR(SEARCH("Pesquisa de Preços",E43)))</formula>
    </cfRule>
  </conditionalFormatting>
  <conditionalFormatting sqref="E23">
    <cfRule type="containsText" dxfId="1130" priority="1944" operator="containsText" text="Pesquisa de Preços">
      <formula>NOT(ISERROR(SEARCH("Pesquisa de Preços",E23)))</formula>
    </cfRule>
  </conditionalFormatting>
  <conditionalFormatting sqref="E117:E118">
    <cfRule type="containsText" dxfId="1129" priority="1939" operator="containsText" text="Pesquisa de Preços">
      <formula>NOT(ISERROR(SEARCH("Pesquisa de Preços",E117)))</formula>
    </cfRule>
  </conditionalFormatting>
  <conditionalFormatting sqref="E178">
    <cfRule type="containsText" dxfId="1128" priority="1940" operator="containsText" text="Pesquisa de Preços">
      <formula>NOT(ISERROR(SEARCH("Pesquisa de Preços",E178)))</formula>
    </cfRule>
  </conditionalFormatting>
  <conditionalFormatting sqref="E38:E40">
    <cfRule type="containsText" dxfId="1127" priority="1943" operator="containsText" text="Pesquisa de Preços">
      <formula>NOT(ISERROR(SEARCH("Pesquisa de Preços",E38)))</formula>
    </cfRule>
  </conditionalFormatting>
  <conditionalFormatting sqref="E37">
    <cfRule type="containsText" dxfId="1126" priority="1942" operator="containsText" text="Pesquisa de Preços">
      <formula>NOT(ISERROR(SEARCH("Pesquisa de Preços",E37)))</formula>
    </cfRule>
  </conditionalFormatting>
  <conditionalFormatting sqref="E116">
    <cfRule type="containsText" dxfId="1125" priority="1938" operator="containsText" text="Pesquisa de Preços">
      <formula>NOT(ISERROR(SEARCH("Pesquisa de Preços",E116)))</formula>
    </cfRule>
  </conditionalFormatting>
  <conditionalFormatting sqref="E676">
    <cfRule type="containsText" dxfId="1124" priority="1788" operator="containsText" text="Pesquisa de Preços">
      <formula>NOT(ISERROR(SEARCH("Pesquisa de Preços",E676)))</formula>
    </cfRule>
  </conditionalFormatting>
  <conditionalFormatting sqref="E668">
    <cfRule type="containsText" dxfId="1123" priority="1786" operator="containsText" text="Pesquisa de Preços">
      <formula>NOT(ISERROR(SEARCH("Pesquisa de Preços",E668)))</formula>
    </cfRule>
  </conditionalFormatting>
  <conditionalFormatting sqref="E174">
    <cfRule type="containsText" dxfId="1122" priority="1936" operator="containsText" text="Pesquisa de Preços">
      <formula>NOT(ISERROR(SEARCH("Pesquisa de Preços",E174)))</formula>
    </cfRule>
  </conditionalFormatting>
  <conditionalFormatting sqref="E175:E176">
    <cfRule type="containsText" dxfId="1121" priority="1937" operator="containsText" text="Pesquisa de Preços">
      <formula>NOT(ISERROR(SEARCH("Pesquisa de Preços",E175)))</formula>
    </cfRule>
  </conditionalFormatting>
  <conditionalFormatting sqref="E218">
    <cfRule type="containsText" dxfId="1120" priority="1934" operator="containsText" text="Pesquisa de Preços">
      <formula>NOT(ISERROR(SEARCH("Pesquisa de Preços",E218)))</formula>
    </cfRule>
  </conditionalFormatting>
  <conditionalFormatting sqref="E219:E220">
    <cfRule type="containsText" dxfId="1119" priority="1935" operator="containsText" text="Pesquisa de Preços">
      <formula>NOT(ISERROR(SEARCH("Pesquisa de Preços",E219)))</formula>
    </cfRule>
  </conditionalFormatting>
  <conditionalFormatting sqref="E125">
    <cfRule type="containsText" dxfId="1118" priority="1931" operator="containsText" text="Pesquisa de Preços">
      <formula>NOT(ISERROR(SEARCH("Pesquisa de Preços",E125)))</formula>
    </cfRule>
  </conditionalFormatting>
  <conditionalFormatting sqref="E686:E687 E693:E694">
    <cfRule type="containsText" dxfId="1117" priority="1784" operator="containsText" text="Pesquisa de Preços">
      <formula>NOT(ISERROR(SEARCH("Pesquisa de Preços",E686)))</formula>
    </cfRule>
  </conditionalFormatting>
  <conditionalFormatting sqref="E221">
    <cfRule type="containsText" dxfId="1116" priority="1933" operator="containsText" text="Pesquisa de Preços">
      <formula>NOT(ISERROR(SEARCH("Pesquisa de Preços",E221)))</formula>
    </cfRule>
  </conditionalFormatting>
  <conditionalFormatting sqref="E126">
    <cfRule type="containsText" dxfId="1115" priority="1932" operator="containsText" text="Pesquisa de Preços">
      <formula>NOT(ISERROR(SEARCH("Pesquisa de Preços",E126)))</formula>
    </cfRule>
  </conditionalFormatting>
  <conditionalFormatting sqref="E714">
    <cfRule type="containsText" dxfId="1114" priority="1781" operator="containsText" text="Pesquisa de Preços">
      <formula>NOT(ISERROR(SEARCH("Pesquisa de Preços",E714)))</formula>
    </cfRule>
  </conditionalFormatting>
  <conditionalFormatting sqref="E166:E167">
    <cfRule type="containsText" dxfId="1113" priority="1930" operator="containsText" text="Pesquisa de Preços">
      <formula>NOT(ISERROR(SEARCH("Pesquisa de Preços",E166)))</formula>
    </cfRule>
  </conditionalFormatting>
  <conditionalFormatting sqref="E165">
    <cfRule type="containsText" dxfId="1112" priority="1929" operator="containsText" text="Pesquisa de Preços">
      <formula>NOT(ISERROR(SEARCH("Pesquisa de Preços",E165)))</formula>
    </cfRule>
  </conditionalFormatting>
  <conditionalFormatting sqref="E730">
    <cfRule type="containsText" dxfId="1111" priority="1779" operator="containsText" text="Pesquisa de Preços">
      <formula>NOT(ISERROR(SEARCH("Pesquisa de Preços",E730)))</formula>
    </cfRule>
  </conditionalFormatting>
  <conditionalFormatting sqref="E168">
    <cfRule type="containsText" dxfId="1110" priority="1928" operator="containsText" text="Pesquisa de Preços">
      <formula>NOT(ISERROR(SEARCH("Pesquisa de Preços",E168)))</formula>
    </cfRule>
  </conditionalFormatting>
  <conditionalFormatting sqref="E83">
    <cfRule type="containsText" dxfId="1109" priority="1927" operator="containsText" text="Pesquisa de Preços">
      <formula>NOT(ISERROR(SEARCH("Pesquisa de Preços",E83)))</formula>
    </cfRule>
  </conditionalFormatting>
  <conditionalFormatting sqref="E82">
    <cfRule type="containsText" dxfId="1108" priority="1926" operator="containsText" text="Pesquisa de Preços">
      <formula>NOT(ISERROR(SEARCH("Pesquisa de Preços",E82)))</formula>
    </cfRule>
  </conditionalFormatting>
  <conditionalFormatting sqref="E112">
    <cfRule type="containsText" dxfId="1107" priority="1925" operator="containsText" text="Pesquisa de Preços">
      <formula>NOT(ISERROR(SEARCH("Pesquisa de Preços",E112)))</formula>
    </cfRule>
  </conditionalFormatting>
  <conditionalFormatting sqref="E210:E211">
    <cfRule type="containsText" dxfId="1106" priority="1923" operator="containsText" text="Pesquisa de Preços">
      <formula>NOT(ISERROR(SEARCH("Pesquisa de Preços",E210)))</formula>
    </cfRule>
  </conditionalFormatting>
  <conditionalFormatting sqref="E111">
    <cfRule type="containsText" dxfId="1105" priority="1924" operator="containsText" text="Pesquisa de Preços">
      <formula>NOT(ISERROR(SEARCH("Pesquisa de Preços",E111)))</formula>
    </cfRule>
  </conditionalFormatting>
  <conditionalFormatting sqref="E200">
    <cfRule type="containsText" dxfId="1104" priority="1920" operator="containsText" text="Pesquisa de Preços">
      <formula>NOT(ISERROR(SEARCH("Pesquisa de Preços",E200)))</formula>
    </cfRule>
  </conditionalFormatting>
  <conditionalFormatting sqref="E209">
    <cfRule type="containsText" dxfId="1103" priority="1922" operator="containsText" text="Pesquisa de Preços">
      <formula>NOT(ISERROR(SEARCH("Pesquisa de Preços",E209)))</formula>
    </cfRule>
  </conditionalFormatting>
  <conditionalFormatting sqref="E201">
    <cfRule type="containsText" dxfId="1102" priority="1921" operator="containsText" text="Pesquisa de Preços">
      <formula>NOT(ISERROR(SEARCH("Pesquisa de Preços",E201)))</formula>
    </cfRule>
  </conditionalFormatting>
  <conditionalFormatting sqref="E197:E198">
    <cfRule type="containsText" dxfId="1101" priority="1918" operator="containsText" text="Pesquisa de Preços">
      <formula>NOT(ISERROR(SEARCH("Pesquisa de Preços",E197)))</formula>
    </cfRule>
  </conditionalFormatting>
  <conditionalFormatting sqref="E202:E203">
    <cfRule type="containsText" dxfId="1100" priority="1919" operator="containsText" text="Pesquisa de Preços">
      <formula>NOT(ISERROR(SEARCH("Pesquisa de Preços",E202)))</formula>
    </cfRule>
  </conditionalFormatting>
  <conditionalFormatting sqref="E196">
    <cfRule type="containsText" dxfId="1099" priority="1917" operator="containsText" text="Pesquisa de Preços">
      <formula>NOT(ISERROR(SEARCH("Pesquisa de Preços",E196)))</formula>
    </cfRule>
  </conditionalFormatting>
  <conditionalFormatting sqref="E70:E71 E75:E76">
    <cfRule type="containsText" dxfId="1098" priority="1916" operator="containsText" text="Pesquisa de Preços">
      <formula>NOT(ISERROR(SEARCH("Pesquisa de Preços",E70)))</formula>
    </cfRule>
  </conditionalFormatting>
  <conditionalFormatting sqref="E69">
    <cfRule type="containsText" dxfId="1097" priority="1915" operator="containsText" text="Pesquisa de Preços">
      <formula>NOT(ISERROR(SEARCH("Pesquisa de Preços",E69)))</formula>
    </cfRule>
  </conditionalFormatting>
  <conditionalFormatting sqref="E72:E74">
    <cfRule type="containsText" dxfId="1096" priority="1914" operator="containsText" text="Pesquisa de Preços">
      <formula>NOT(ISERROR(SEARCH("Pesquisa de Preços",E72)))</formula>
    </cfRule>
  </conditionalFormatting>
  <conditionalFormatting sqref="E135:E136">
    <cfRule type="containsText" dxfId="1095" priority="1913" operator="containsText" text="Pesquisa de Preços">
      <formula>NOT(ISERROR(SEARCH("Pesquisa de Preços",E135)))</formula>
    </cfRule>
  </conditionalFormatting>
  <conditionalFormatting sqref="E134">
    <cfRule type="containsText" dxfId="1094" priority="1912" operator="containsText" text="Pesquisa de Preços">
      <formula>NOT(ISERROR(SEARCH("Pesquisa de Preços",E134)))</formula>
    </cfRule>
  </conditionalFormatting>
  <conditionalFormatting sqref="E139:E140">
    <cfRule type="containsText" dxfId="1093" priority="1911" operator="containsText" text="Pesquisa de Preços">
      <formula>NOT(ISERROR(SEARCH("Pesquisa de Preços",E139)))</formula>
    </cfRule>
  </conditionalFormatting>
  <conditionalFormatting sqref="E138">
    <cfRule type="containsText" dxfId="1092" priority="1910" operator="containsText" text="Pesquisa de Preços">
      <formula>NOT(ISERROR(SEARCH("Pesquisa de Preços",E138)))</formula>
    </cfRule>
  </conditionalFormatting>
  <conditionalFormatting sqref="E790 E792:E801">
    <cfRule type="containsText" dxfId="1091" priority="1773" operator="containsText" text="Pesquisa de Preços">
      <formula>NOT(ISERROR(SEARCH("Pesquisa de Preços",E790)))</formula>
    </cfRule>
  </conditionalFormatting>
  <conditionalFormatting sqref="E154:E156">
    <cfRule type="containsText" dxfId="1090" priority="1909" operator="containsText" text="Pesquisa de Preços">
      <formula>NOT(ISERROR(SEARCH("Pesquisa de Preços",E154)))</formula>
    </cfRule>
  </conditionalFormatting>
  <conditionalFormatting sqref="E153">
    <cfRule type="containsText" dxfId="1089" priority="1908" operator="containsText" text="Pesquisa de Preços">
      <formula>NOT(ISERROR(SEARCH("Pesquisa de Preços",E153)))</formula>
    </cfRule>
  </conditionalFormatting>
  <conditionalFormatting sqref="E832">
    <cfRule type="containsText" dxfId="1088" priority="1771" operator="containsText" text="Pesquisa de Preços">
      <formula>NOT(ISERROR(SEARCH("Pesquisa de Preços",E832)))</formula>
    </cfRule>
  </conditionalFormatting>
  <conditionalFormatting sqref="E93">
    <cfRule type="containsText" dxfId="1087" priority="1907" operator="containsText" text="Pesquisa de Preços">
      <formula>NOT(ISERROR(SEARCH("Pesquisa de Preços",E93)))</formula>
    </cfRule>
  </conditionalFormatting>
  <conditionalFormatting sqref="E92">
    <cfRule type="containsText" dxfId="1086" priority="1906" operator="containsText" text="Pesquisa de Preços">
      <formula>NOT(ISERROR(SEARCH("Pesquisa de Preços",E92)))</formula>
    </cfRule>
  </conditionalFormatting>
  <conditionalFormatting sqref="E814:E815">
    <cfRule type="containsText" dxfId="1085" priority="1769" operator="containsText" text="Pesquisa de Preços">
      <formula>NOT(ISERROR(SEARCH("Pesquisa de Preços",E814)))</formula>
    </cfRule>
  </conditionalFormatting>
  <conditionalFormatting sqref="E48:E49">
    <cfRule type="containsText" dxfId="1084" priority="1905" operator="containsText" text="Pesquisa de Preços">
      <formula>NOT(ISERROR(SEARCH("Pesquisa de Preços",E48)))</formula>
    </cfRule>
  </conditionalFormatting>
  <conditionalFormatting sqref="E47">
    <cfRule type="containsText" dxfId="1083" priority="1904" operator="containsText" text="Pesquisa de Preços">
      <formula>NOT(ISERROR(SEARCH("Pesquisa de Preços",E47)))</formula>
    </cfRule>
  </conditionalFormatting>
  <conditionalFormatting sqref="E50">
    <cfRule type="containsText" dxfId="1082" priority="1903" operator="containsText" text="Pesquisa de Preços">
      <formula>NOT(ISERROR(SEARCH("Pesquisa de Preços",E50)))</formula>
    </cfRule>
  </conditionalFormatting>
  <conditionalFormatting sqref="E190:E191">
    <cfRule type="containsText" dxfId="1081" priority="1902" operator="containsText" text="Pesquisa de Preços">
      <formula>NOT(ISERROR(SEARCH("Pesquisa de Preços",E190)))</formula>
    </cfRule>
  </conditionalFormatting>
  <conditionalFormatting sqref="E189">
    <cfRule type="containsText" dxfId="1080" priority="1901" operator="containsText" text="Pesquisa de Preços">
      <formula>NOT(ISERROR(SEARCH("Pesquisa de Preços",E189)))</formula>
    </cfRule>
  </conditionalFormatting>
  <conditionalFormatting sqref="E748:E749 E752:E753">
    <cfRule type="containsText" dxfId="1079" priority="1767" operator="containsText" text="Pesquisa de Preços">
      <formula>NOT(ISERROR(SEARCH("Pesquisa de Preços",E748)))</formula>
    </cfRule>
  </conditionalFormatting>
  <conditionalFormatting sqref="E192">
    <cfRule type="containsText" dxfId="1078" priority="1900" operator="containsText" text="Pesquisa de Preços">
      <formula>NOT(ISERROR(SEARCH("Pesquisa de Preços",E192)))</formula>
    </cfRule>
  </conditionalFormatting>
  <conditionalFormatting sqref="E214:E215">
    <cfRule type="containsText" dxfId="1077" priority="1899" operator="containsText" text="Pesquisa de Preços">
      <formula>NOT(ISERROR(SEARCH("Pesquisa de Preços",E214)))</formula>
    </cfRule>
  </conditionalFormatting>
  <conditionalFormatting sqref="E213">
    <cfRule type="containsText" dxfId="1076" priority="1898" operator="containsText" text="Pesquisa de Preços">
      <formula>NOT(ISERROR(SEARCH("Pesquisa de Preços",E213)))</formula>
    </cfRule>
  </conditionalFormatting>
  <conditionalFormatting sqref="E216">
    <cfRule type="containsText" dxfId="1075" priority="1897" operator="containsText" text="Pesquisa de Preços">
      <formula>NOT(ISERROR(SEARCH("Pesquisa de Preços",E216)))</formula>
    </cfRule>
  </conditionalFormatting>
  <conditionalFormatting sqref="E121:E122">
    <cfRule type="containsText" dxfId="1074" priority="1896" operator="containsText" text="Pesquisa de Preços">
      <formula>NOT(ISERROR(SEARCH("Pesquisa de Preços",E121)))</formula>
    </cfRule>
  </conditionalFormatting>
  <conditionalFormatting sqref="E120">
    <cfRule type="containsText" dxfId="1073" priority="1895" operator="containsText" text="Pesquisa de Preços">
      <formula>NOT(ISERROR(SEARCH("Pesquisa de Preços",E120)))</formula>
    </cfRule>
  </conditionalFormatting>
  <conditionalFormatting sqref="E755:E756">
    <cfRule type="containsText" dxfId="1072" priority="1764" operator="containsText" text="Pesquisa de Preços">
      <formula>NOT(ISERROR(SEARCH("Pesquisa de Preços",E755)))</formula>
    </cfRule>
  </conditionalFormatting>
  <conditionalFormatting sqref="E123">
    <cfRule type="containsText" dxfId="1071" priority="1894" operator="containsText" text="Pesquisa de Preços">
      <formula>NOT(ISERROR(SEARCH("Pesquisa de Preços",E123)))</formula>
    </cfRule>
  </conditionalFormatting>
  <conditionalFormatting sqref="E107:E108">
    <cfRule type="containsText" dxfId="1070" priority="1893" operator="containsText" text="Pesquisa de Preços">
      <formula>NOT(ISERROR(SEARCH("Pesquisa de Preços",E107)))</formula>
    </cfRule>
  </conditionalFormatting>
  <conditionalFormatting sqref="E106">
    <cfRule type="containsText" dxfId="1069" priority="1892" operator="containsText" text="Pesquisa de Preços">
      <formula>NOT(ISERROR(SEARCH("Pesquisa de Preços",E106)))</formula>
    </cfRule>
  </conditionalFormatting>
  <conditionalFormatting sqref="E823 E825">
    <cfRule type="containsText" dxfId="1068" priority="1761" operator="containsText" text="Pesquisa de Preços">
      <formula>NOT(ISERROR(SEARCH("Pesquisa de Preços",E823)))</formula>
    </cfRule>
  </conditionalFormatting>
  <conditionalFormatting sqref="E109">
    <cfRule type="containsText" dxfId="1067" priority="1891" operator="containsText" text="Pesquisa de Preços">
      <formula>NOT(ISERROR(SEARCH("Pesquisa de Preços",E109)))</formula>
    </cfRule>
  </conditionalFormatting>
  <conditionalFormatting sqref="E131">
    <cfRule type="containsText" dxfId="1066" priority="1890" operator="containsText" text="Pesquisa de Preços">
      <formula>NOT(ISERROR(SEARCH("Pesquisa de Preços",E131)))</formula>
    </cfRule>
  </conditionalFormatting>
  <conditionalFormatting sqref="E130">
    <cfRule type="containsText" dxfId="1065" priority="1889" operator="containsText" text="Pesquisa de Preços">
      <formula>NOT(ISERROR(SEARCH("Pesquisa de Preços",E130)))</formula>
    </cfRule>
  </conditionalFormatting>
  <conditionalFormatting sqref="E827">
    <cfRule type="containsText" dxfId="1064" priority="1759" operator="containsText" text="Pesquisa de Preços">
      <formula>NOT(ISERROR(SEARCH("Pesquisa de Preços",E827)))</formula>
    </cfRule>
  </conditionalFormatting>
  <conditionalFormatting sqref="E65:E66">
    <cfRule type="containsText" dxfId="1063" priority="1888" operator="containsText" text="Pesquisa de Preços">
      <formula>NOT(ISERROR(SEARCH("Pesquisa de Preços",E65)))</formula>
    </cfRule>
  </conditionalFormatting>
  <conditionalFormatting sqref="E64">
    <cfRule type="containsText" dxfId="1062" priority="1887" operator="containsText" text="Pesquisa de Preços">
      <formula>NOT(ISERROR(SEARCH("Pesquisa de Preços",E64)))</formula>
    </cfRule>
  </conditionalFormatting>
  <conditionalFormatting sqref="E804">
    <cfRule type="containsText" dxfId="1061" priority="1757" operator="containsText" text="Pesquisa de Preços">
      <formula>NOT(ISERROR(SEARCH("Pesquisa de Preços",E804)))</formula>
    </cfRule>
  </conditionalFormatting>
  <conditionalFormatting sqref="E67">
    <cfRule type="containsText" dxfId="1060" priority="1886" operator="containsText" text="Pesquisa de Preços">
      <formula>NOT(ISERROR(SEARCH("Pesquisa de Preços",E67)))</formula>
    </cfRule>
  </conditionalFormatting>
  <conditionalFormatting sqref="E282">
    <cfRule type="containsText" dxfId="1059" priority="1875" operator="containsText" text="Pesquisa de Preços">
      <formula>NOT(ISERROR(SEARCH("Pesquisa de Preços",E282)))</formula>
    </cfRule>
  </conditionalFormatting>
  <conditionalFormatting sqref="E267">
    <cfRule type="containsText" dxfId="1058" priority="1872" operator="containsText" text="Pesquisa de Preços">
      <formula>NOT(ISERROR(SEARCH("Pesquisa de Preços",E267)))</formula>
    </cfRule>
  </conditionalFormatting>
  <conditionalFormatting sqref="E320">
    <cfRule type="containsText" dxfId="1057" priority="1870" operator="containsText" text="Pesquisa de Preços">
      <formula>NOT(ISERROR(SEARCH("Pesquisa de Preços",E320)))</formula>
    </cfRule>
  </conditionalFormatting>
  <conditionalFormatting sqref="E304">
    <cfRule type="containsText" dxfId="1056" priority="1867" operator="containsText" text="Pesquisa de Preços">
      <formula>NOT(ISERROR(SEARCH("Pesquisa de Preços",E304)))</formula>
    </cfRule>
  </conditionalFormatting>
  <conditionalFormatting sqref="E341:E342">
    <cfRule type="containsText" dxfId="1055" priority="1865" operator="containsText" text="Pesquisa de Preços">
      <formula>NOT(ISERROR(SEARCH("Pesquisa de Preços",E341)))</formula>
    </cfRule>
  </conditionalFormatting>
  <conditionalFormatting sqref="E289">
    <cfRule type="containsText" dxfId="1054" priority="1859" operator="containsText" text="Pesquisa de Preços">
      <formula>NOT(ISERROR(SEARCH("Pesquisa de Preços",E289)))</formula>
    </cfRule>
  </conditionalFormatting>
  <conditionalFormatting sqref="E326:E327">
    <cfRule type="containsText" dxfId="1053" priority="1857" operator="containsText" text="Pesquisa de Preços">
      <formula>NOT(ISERROR(SEARCH("Pesquisa de Preços",E326)))</formula>
    </cfRule>
  </conditionalFormatting>
  <conditionalFormatting sqref="E400">
    <cfRule type="containsText" dxfId="1052" priority="1847" operator="containsText" text="Pesquisa de Preços">
      <formula>NOT(ISERROR(SEARCH("Pesquisa de Preços",E400)))</formula>
    </cfRule>
  </conditionalFormatting>
  <conditionalFormatting sqref="E415 E420">
    <cfRule type="containsText" dxfId="1051" priority="1846" operator="containsText" text="Pesquisa de Preços">
      <formula>NOT(ISERROR(SEARCH("Pesquisa de Preços",E415)))</formula>
    </cfRule>
  </conditionalFormatting>
  <conditionalFormatting sqref="E433">
    <cfRule type="containsText" dxfId="1050" priority="1840" operator="containsText" text="Pesquisa de Preços">
      <formula>NOT(ISERROR(SEARCH("Pesquisa de Preços",E433)))</formula>
    </cfRule>
  </conditionalFormatting>
  <conditionalFormatting sqref="E246">
    <cfRule type="containsText" dxfId="1049" priority="1885" operator="containsText" text="Pesquisa de Preços">
      <formula>NOT(ISERROR(SEARCH("Pesquisa de Preços",E246)))</formula>
    </cfRule>
  </conditionalFormatting>
  <conditionalFormatting sqref="E248:E249">
    <cfRule type="containsText" dxfId="1048" priority="1884" operator="containsText" text="Pesquisa de Preços">
      <formula>NOT(ISERROR(SEARCH("Pesquisa de Preços",E248)))</formula>
    </cfRule>
  </conditionalFormatting>
  <conditionalFormatting sqref="E247">
    <cfRule type="containsText" dxfId="1047" priority="1883" operator="containsText" text="Pesquisa de Preços">
      <formula>NOT(ISERROR(SEARCH("Pesquisa de Preços",E247)))</formula>
    </cfRule>
  </conditionalFormatting>
  <conditionalFormatting sqref="E1094:E1096">
    <cfRule type="containsText" dxfId="1046" priority="1695" operator="containsText" text="Pesquisa de Preços">
      <formula>NOT(ISERROR(SEARCH("Pesquisa de Preços",E1094)))</formula>
    </cfRule>
  </conditionalFormatting>
  <conditionalFormatting sqref="E250:E260">
    <cfRule type="containsText" dxfId="1045" priority="1882" operator="containsText" text="Pesquisa de Preços">
      <formula>NOT(ISERROR(SEARCH("Pesquisa de Preços",E250)))</formula>
    </cfRule>
  </conditionalFormatting>
  <conditionalFormatting sqref="E263:E264">
    <cfRule type="containsText" dxfId="1044" priority="1881" operator="containsText" text="Pesquisa de Preços">
      <formula>NOT(ISERROR(SEARCH("Pesquisa de Preços",E263)))</formula>
    </cfRule>
  </conditionalFormatting>
  <conditionalFormatting sqref="E262">
    <cfRule type="containsText" dxfId="1043" priority="1880" operator="containsText" text="Pesquisa de Preços">
      <formula>NOT(ISERROR(SEARCH("Pesquisa de Preços",E262)))</formula>
    </cfRule>
  </conditionalFormatting>
  <conditionalFormatting sqref="E276:E277 E280:E281">
    <cfRule type="containsText" dxfId="1042" priority="1879" operator="containsText" text="Pesquisa de Preços">
      <formula>NOT(ISERROR(SEARCH("Pesquisa de Preços",E276)))</formula>
    </cfRule>
  </conditionalFormatting>
  <conditionalFormatting sqref="E275">
    <cfRule type="containsText" dxfId="1041" priority="1878" operator="containsText" text="Pesquisa de Preços">
      <formula>NOT(ISERROR(SEARCH("Pesquisa de Preços",E275)))</formula>
    </cfRule>
  </conditionalFormatting>
  <conditionalFormatting sqref="E278:E279">
    <cfRule type="containsText" dxfId="1040" priority="1877" operator="containsText" text="Pesquisa de Preços">
      <formula>NOT(ISERROR(SEARCH("Pesquisa de Preços",E278)))</formula>
    </cfRule>
  </conditionalFormatting>
  <conditionalFormatting sqref="E283:E284 E287:E288">
    <cfRule type="containsText" dxfId="1039" priority="1876" operator="containsText" text="Pesquisa de Preços">
      <formula>NOT(ISERROR(SEARCH("Pesquisa de Preços",E283)))</formula>
    </cfRule>
  </conditionalFormatting>
  <conditionalFormatting sqref="E285:E286">
    <cfRule type="containsText" dxfId="1038" priority="1874" operator="containsText" text="Pesquisa de Preços">
      <formula>NOT(ISERROR(SEARCH("Pesquisa de Preços",E285)))</formula>
    </cfRule>
  </conditionalFormatting>
  <conditionalFormatting sqref="E268:E269 E273:E274">
    <cfRule type="containsText" dxfId="1037" priority="1873" operator="containsText" text="Pesquisa de Preços">
      <formula>NOT(ISERROR(SEARCH("Pesquisa de Preços",E268)))</formula>
    </cfRule>
  </conditionalFormatting>
  <conditionalFormatting sqref="E270:E272">
    <cfRule type="containsText" dxfId="1036" priority="1871" operator="containsText" text="Pesquisa de Preços">
      <formula>NOT(ISERROR(SEARCH("Pesquisa de Preços",E270)))</formula>
    </cfRule>
  </conditionalFormatting>
  <conditionalFormatting sqref="E319">
    <cfRule type="containsText" dxfId="1035" priority="1869" operator="containsText" text="Pesquisa de Preços">
      <formula>NOT(ISERROR(SEARCH("Pesquisa de Preços",E319)))</formula>
    </cfRule>
  </conditionalFormatting>
  <conditionalFormatting sqref="E531:E532 E534:E535">
    <cfRule type="containsText" dxfId="1034" priority="1817" operator="containsText" text="Pesquisa de Preços">
      <formula>NOT(ISERROR(SEARCH("Pesquisa de Preços",E531)))</formula>
    </cfRule>
  </conditionalFormatting>
  <conditionalFormatting sqref="E305">
    <cfRule type="containsText" dxfId="1033" priority="1868" operator="containsText" text="Pesquisa de Preços">
      <formula>NOT(ISERROR(SEARCH("Pesquisa de Preços",E305)))</formula>
    </cfRule>
  </conditionalFormatting>
  <conditionalFormatting sqref="E311:E313">
    <cfRule type="containsText" dxfId="1032" priority="1866" operator="containsText" text="Pesquisa de Preços">
      <formula>NOT(ISERROR(SEARCH("Pesquisa de Preços",E311)))</formula>
    </cfRule>
  </conditionalFormatting>
  <conditionalFormatting sqref="E340">
    <cfRule type="containsText" dxfId="1031" priority="1864" operator="containsText" text="Pesquisa de Preços">
      <formula>NOT(ISERROR(SEARCH("Pesquisa de Preços",E340)))</formula>
    </cfRule>
  </conditionalFormatting>
  <conditionalFormatting sqref="E1291">
    <cfRule type="containsText" dxfId="1030" priority="1619" operator="containsText" text="Pesquisa de Preços">
      <formula>NOT(ISERROR(SEARCH("Pesquisa de Preços",E1291)))</formula>
    </cfRule>
  </conditionalFormatting>
  <conditionalFormatting sqref="E351">
    <cfRule type="containsText" dxfId="1029" priority="1863" operator="containsText" text="Pesquisa de Preços">
      <formula>NOT(ISERROR(SEARCH("Pesquisa de Preços",E351)))</formula>
    </cfRule>
  </conditionalFormatting>
  <conditionalFormatting sqref="E350">
    <cfRule type="containsText" dxfId="1028" priority="1862" operator="containsText" text="Pesquisa de Preços">
      <formula>NOT(ISERROR(SEARCH("Pesquisa de Preços",E350)))</formula>
    </cfRule>
  </conditionalFormatting>
  <conditionalFormatting sqref="E354:E357">
    <cfRule type="containsText" dxfId="1027" priority="1861" operator="containsText" text="Pesquisa de Preços">
      <formula>NOT(ISERROR(SEARCH("Pesquisa de Preços",E354)))</formula>
    </cfRule>
  </conditionalFormatting>
  <conditionalFormatting sqref="E290:E291">
    <cfRule type="containsText" dxfId="1026" priority="1860" operator="containsText" text="Pesquisa de Preços">
      <formula>NOT(ISERROR(SEARCH("Pesquisa de Preços",E290)))</formula>
    </cfRule>
  </conditionalFormatting>
  <conditionalFormatting sqref="E297:E298">
    <cfRule type="containsText" dxfId="1025" priority="1858" operator="containsText" text="Pesquisa de Preços">
      <formula>NOT(ISERROR(SEARCH("Pesquisa de Preços",E297)))</formula>
    </cfRule>
  </conditionalFormatting>
  <conditionalFormatting sqref="E325">
    <cfRule type="containsText" dxfId="1024" priority="1856" operator="containsText" text="Pesquisa de Preços">
      <formula>NOT(ISERROR(SEARCH("Pesquisa de Preços",E325)))</formula>
    </cfRule>
  </conditionalFormatting>
  <conditionalFormatting sqref="E328:E338">
    <cfRule type="containsText" dxfId="1023" priority="1855" operator="containsText" text="Pesquisa de Preços">
      <formula>NOT(ISERROR(SEARCH("Pesquisa de Preços",E328)))</formula>
    </cfRule>
  </conditionalFormatting>
  <conditionalFormatting sqref="E365:E366 E368:E369">
    <cfRule type="containsText" dxfId="1022" priority="1854" operator="containsText" text="Pesquisa de Preços">
      <formula>NOT(ISERROR(SEARCH("Pesquisa de Preços",E365)))</formula>
    </cfRule>
  </conditionalFormatting>
  <conditionalFormatting sqref="E364">
    <cfRule type="containsText" dxfId="1021" priority="1853" operator="containsText" text="Pesquisa de Preços">
      <formula>NOT(ISERROR(SEARCH("Pesquisa de Preços",E364)))</formula>
    </cfRule>
  </conditionalFormatting>
  <conditionalFormatting sqref="E367">
    <cfRule type="containsText" dxfId="1020" priority="1852" operator="containsText" text="Pesquisa de Preços">
      <formula>NOT(ISERROR(SEARCH("Pesquisa de Preços",E367)))</formula>
    </cfRule>
  </conditionalFormatting>
  <conditionalFormatting sqref="E371:E372 E377:E378">
    <cfRule type="containsText" dxfId="1019" priority="1851" operator="containsText" text="Pesquisa de Preços">
      <formula>NOT(ISERROR(SEARCH("Pesquisa de Preços",E371)))</formula>
    </cfRule>
  </conditionalFormatting>
  <conditionalFormatting sqref="E370">
    <cfRule type="containsText" dxfId="1018" priority="1850" operator="containsText" text="Pesquisa de Preços">
      <formula>NOT(ISERROR(SEARCH("Pesquisa de Preços",E370)))</formula>
    </cfRule>
  </conditionalFormatting>
  <conditionalFormatting sqref="E373:E376">
    <cfRule type="containsText" dxfId="1017" priority="1849" operator="containsText" text="Pesquisa de Preços">
      <formula>NOT(ISERROR(SEARCH("Pesquisa de Preços",E373)))</formula>
    </cfRule>
  </conditionalFormatting>
  <conditionalFormatting sqref="E401">
    <cfRule type="containsText" dxfId="1016" priority="1848" operator="containsText" text="Pesquisa de Preços">
      <formula>NOT(ISERROR(SEARCH("Pesquisa de Preços",E401)))</formula>
    </cfRule>
  </conditionalFormatting>
  <conditionalFormatting sqref="E414">
    <cfRule type="containsText" dxfId="1015" priority="1845" operator="containsText" text="Pesquisa de Preços">
      <formula>NOT(ISERROR(SEARCH("Pesquisa de Preços",E414)))</formula>
    </cfRule>
  </conditionalFormatting>
  <conditionalFormatting sqref="E440:E441 E443:E444">
    <cfRule type="containsText" dxfId="1014" priority="1844" operator="containsText" text="Pesquisa de Preços">
      <formula>NOT(ISERROR(SEARCH("Pesquisa de Preços",E440)))</formula>
    </cfRule>
  </conditionalFormatting>
  <conditionalFormatting sqref="E439">
    <cfRule type="containsText" dxfId="1013" priority="1843" operator="containsText" text="Pesquisa de Preços">
      <formula>NOT(ISERROR(SEARCH("Pesquisa de Preços",E439)))</formula>
    </cfRule>
  </conditionalFormatting>
  <conditionalFormatting sqref="E442">
    <cfRule type="containsText" dxfId="1012" priority="1842" operator="containsText" text="Pesquisa de Preços">
      <formula>NOT(ISERROR(SEARCH("Pesquisa de Preços",E442)))</formula>
    </cfRule>
  </conditionalFormatting>
  <conditionalFormatting sqref="E434:E435 E437:E438">
    <cfRule type="containsText" dxfId="1011" priority="1841" operator="containsText" text="Pesquisa de Preços">
      <formula>NOT(ISERROR(SEARCH("Pesquisa de Preços",E434)))</formula>
    </cfRule>
  </conditionalFormatting>
  <conditionalFormatting sqref="E436">
    <cfRule type="containsText" dxfId="1010" priority="1839" operator="containsText" text="Pesquisa de Preços">
      <formula>NOT(ISERROR(SEARCH("Pesquisa de Preços",E436)))</formula>
    </cfRule>
  </conditionalFormatting>
  <conditionalFormatting sqref="E454:E455 E458:E462">
    <cfRule type="containsText" dxfId="1009" priority="1838" operator="containsText" text="Pesquisa de Preços">
      <formula>NOT(ISERROR(SEARCH("Pesquisa de Preços",E454)))</formula>
    </cfRule>
  </conditionalFormatting>
  <conditionalFormatting sqref="E453">
    <cfRule type="containsText" dxfId="1008" priority="1837" operator="containsText" text="Pesquisa de Preços">
      <formula>NOT(ISERROR(SEARCH("Pesquisa de Preços",E453)))</formula>
    </cfRule>
  </conditionalFormatting>
  <conditionalFormatting sqref="E457">
    <cfRule type="containsText" dxfId="1007" priority="1836" operator="containsText" text="Pesquisa de Preços">
      <formula>NOT(ISERROR(SEARCH("Pesquisa de Preços",E457)))</formula>
    </cfRule>
  </conditionalFormatting>
  <conditionalFormatting sqref="E464:E465 E468:E469">
    <cfRule type="containsText" dxfId="1006" priority="1835" operator="containsText" text="Pesquisa de Preços">
      <formula>NOT(ISERROR(SEARCH("Pesquisa de Preços",E464)))</formula>
    </cfRule>
  </conditionalFormatting>
  <conditionalFormatting sqref="E463">
    <cfRule type="containsText" dxfId="1005" priority="1834" operator="containsText" text="Pesquisa de Preços">
      <formula>NOT(ISERROR(SEARCH("Pesquisa de Preços",E463)))</formula>
    </cfRule>
  </conditionalFormatting>
  <conditionalFormatting sqref="E467">
    <cfRule type="containsText" dxfId="1004" priority="1833" operator="containsText" text="Pesquisa de Preços">
      <formula>NOT(ISERROR(SEARCH("Pesquisa de Preços",E467)))</formula>
    </cfRule>
  </conditionalFormatting>
  <conditionalFormatting sqref="E471 E481">
    <cfRule type="containsText" dxfId="1003" priority="1832" operator="containsText" text="Pesquisa de Preços">
      <formula>NOT(ISERROR(SEARCH("Pesquisa de Preços",E471)))</formula>
    </cfRule>
  </conditionalFormatting>
  <conditionalFormatting sqref="E470">
    <cfRule type="containsText" dxfId="1002" priority="1831" operator="containsText" text="Pesquisa de Preços">
      <formula>NOT(ISERROR(SEARCH("Pesquisa de Preços",E470)))</formula>
    </cfRule>
  </conditionalFormatting>
  <conditionalFormatting sqref="E446 E450 E452">
    <cfRule type="containsText" dxfId="1001" priority="1830" operator="containsText" text="Pesquisa de Preços">
      <formula>NOT(ISERROR(SEARCH("Pesquisa de Preços",E446)))</formula>
    </cfRule>
  </conditionalFormatting>
  <conditionalFormatting sqref="E445">
    <cfRule type="containsText" dxfId="1000" priority="1829" operator="containsText" text="Pesquisa de Preços">
      <formula>NOT(ISERROR(SEARCH("Pesquisa de Preços",E445)))</formula>
    </cfRule>
  </conditionalFormatting>
  <conditionalFormatting sqref="E483:E484 E486:E487">
    <cfRule type="containsText" dxfId="999" priority="1828" operator="containsText" text="Pesquisa de Preços">
      <formula>NOT(ISERROR(SEARCH("Pesquisa de Preços",E483)))</formula>
    </cfRule>
  </conditionalFormatting>
  <conditionalFormatting sqref="E482">
    <cfRule type="containsText" dxfId="998" priority="1827" operator="containsText" text="Pesquisa de Preços">
      <formula>NOT(ISERROR(SEARCH("Pesquisa de Preços",E482)))</formula>
    </cfRule>
  </conditionalFormatting>
  <conditionalFormatting sqref="E485">
    <cfRule type="containsText" dxfId="997" priority="1826" operator="containsText" text="Pesquisa de Preços">
      <formula>NOT(ISERROR(SEARCH("Pesquisa de Preços",E485)))</formula>
    </cfRule>
  </conditionalFormatting>
  <conditionalFormatting sqref="E504:E505 E508:E509">
    <cfRule type="containsText" dxfId="996" priority="1825" operator="containsText" text="Pesquisa de Preços">
      <formula>NOT(ISERROR(SEARCH("Pesquisa de Preços",E504)))</formula>
    </cfRule>
  </conditionalFormatting>
  <conditionalFormatting sqref="E503">
    <cfRule type="containsText" dxfId="995" priority="1824" operator="containsText" text="Pesquisa de Preços">
      <formula>NOT(ISERROR(SEARCH("Pesquisa de Preços",E503)))</formula>
    </cfRule>
  </conditionalFormatting>
  <conditionalFormatting sqref="E1271">
    <cfRule type="containsText" dxfId="994" priority="1632" operator="containsText" text="Pesquisa de Preços">
      <formula>NOT(ISERROR(SEARCH("Pesquisa de Preços",E1271)))</formula>
    </cfRule>
  </conditionalFormatting>
  <conditionalFormatting sqref="E506:E507">
    <cfRule type="containsText" dxfId="993" priority="1823" operator="containsText" text="Pesquisa de Preços">
      <formula>NOT(ISERROR(SEARCH("Pesquisa de Preços",E506)))</formula>
    </cfRule>
  </conditionalFormatting>
  <conditionalFormatting sqref="E497 E502">
    <cfRule type="containsText" dxfId="992" priority="1822" operator="containsText" text="Pesquisa de Preços">
      <formula>NOT(ISERROR(SEARCH("Pesquisa de Preços",E497)))</formula>
    </cfRule>
  </conditionalFormatting>
  <conditionalFormatting sqref="E496">
    <cfRule type="containsText" dxfId="991" priority="1821" operator="containsText" text="Pesquisa de Preços">
      <formula>NOT(ISERROR(SEARCH("Pesquisa de Preços",E496)))</formula>
    </cfRule>
  </conditionalFormatting>
  <conditionalFormatting sqref="E1305">
    <cfRule type="containsText" dxfId="990" priority="1629" operator="containsText" text="Pesquisa de Preços">
      <formula>NOT(ISERROR(SEARCH("Pesquisa de Preços",E1305)))</formula>
    </cfRule>
  </conditionalFormatting>
  <conditionalFormatting sqref="E511:E512 E514:E515">
    <cfRule type="containsText" dxfId="989" priority="1820" operator="containsText" text="Pesquisa de Preços">
      <formula>NOT(ISERROR(SEARCH("Pesquisa de Preços",E511)))</formula>
    </cfRule>
  </conditionalFormatting>
  <conditionalFormatting sqref="E510">
    <cfRule type="containsText" dxfId="988" priority="1819" operator="containsText" text="Pesquisa de Preços">
      <formula>NOT(ISERROR(SEARCH("Pesquisa de Preços",E510)))</formula>
    </cfRule>
  </conditionalFormatting>
  <conditionalFormatting sqref="E1313">
    <cfRule type="containsText" dxfId="987" priority="1626" operator="containsText" text="Pesquisa de Preços">
      <formula>NOT(ISERROR(SEARCH("Pesquisa de Preços",E1313)))</formula>
    </cfRule>
  </conditionalFormatting>
  <conditionalFormatting sqref="E530">
    <cfRule type="containsText" dxfId="986" priority="1816" operator="containsText" text="Pesquisa de Preços">
      <formula>NOT(ISERROR(SEARCH("Pesquisa de Preços",E530)))</formula>
    </cfRule>
  </conditionalFormatting>
  <conditionalFormatting sqref="E1277">
    <cfRule type="containsText" dxfId="985" priority="1624" operator="containsText" text="Pesquisa de Preços">
      <formula>NOT(ISERROR(SEARCH("Pesquisa de Preços",E1277)))</formula>
    </cfRule>
  </conditionalFormatting>
  <conditionalFormatting sqref="E533">
    <cfRule type="containsText" dxfId="984" priority="1815" operator="containsText" text="Pesquisa de Preços">
      <formula>NOT(ISERROR(SEARCH("Pesquisa de Preços",E533)))</formula>
    </cfRule>
  </conditionalFormatting>
  <conditionalFormatting sqref="E488">
    <cfRule type="containsText" dxfId="983" priority="1813" operator="containsText" text="Pesquisa de Preços">
      <formula>NOT(ISERROR(SEARCH("Pesquisa de Preços",E488)))</formula>
    </cfRule>
  </conditionalFormatting>
  <conditionalFormatting sqref="E1284">
    <cfRule type="containsText" dxfId="982" priority="1621" operator="containsText" text="Pesquisa de Preços">
      <formula>NOT(ISERROR(SEARCH("Pesquisa de Preços",E1284)))</formula>
    </cfRule>
  </conditionalFormatting>
  <conditionalFormatting sqref="E524:E529">
    <cfRule type="containsText" dxfId="981" priority="1812" operator="containsText" text="Pesquisa de Preços">
      <formula>NOT(ISERROR(SEARCH("Pesquisa de Preços",E524)))</formula>
    </cfRule>
  </conditionalFormatting>
  <conditionalFormatting sqref="E523">
    <cfRule type="containsText" dxfId="980" priority="1811" operator="containsText" text="Pesquisa de Preços">
      <formula>NOT(ISERROR(SEARCH("Pesquisa de Preços",E523)))</formula>
    </cfRule>
  </conditionalFormatting>
  <conditionalFormatting sqref="E517 E522">
    <cfRule type="containsText" dxfId="979" priority="1809" operator="containsText" text="Pesquisa de Preços">
      <formula>NOT(ISERROR(SEARCH("Pesquisa de Preços",E517)))</formula>
    </cfRule>
  </conditionalFormatting>
  <conditionalFormatting sqref="E516">
    <cfRule type="containsText" dxfId="978" priority="1808" operator="containsText" text="Pesquisa de Preços">
      <formula>NOT(ISERROR(SEARCH("Pesquisa de Preços",E516)))</formula>
    </cfRule>
  </conditionalFormatting>
  <conditionalFormatting sqref="E1298">
    <cfRule type="containsText" dxfId="977" priority="1617" operator="containsText" text="Pesquisa de Preços">
      <formula>NOT(ISERROR(SEARCH("Pesquisa de Preços",E1298)))</formula>
    </cfRule>
  </conditionalFormatting>
  <conditionalFormatting sqref="E545:E546 E550:E551">
    <cfRule type="containsText" dxfId="976" priority="1807" operator="containsText" text="Pesquisa de Preços">
      <formula>NOT(ISERROR(SEARCH("Pesquisa de Preços",E545)))</formula>
    </cfRule>
  </conditionalFormatting>
  <conditionalFormatting sqref="E1339">
    <cfRule type="containsText" dxfId="975" priority="1615" operator="containsText" text="Pesquisa de Preços">
      <formula>NOT(ISERROR(SEARCH("Pesquisa de Preços",E1339)))</formula>
    </cfRule>
  </conditionalFormatting>
  <conditionalFormatting sqref="E547:E549">
    <cfRule type="containsText" dxfId="974" priority="1805" operator="containsText" text="Pesquisa de Preços">
      <formula>NOT(ISERROR(SEARCH("Pesquisa de Preços",E547)))</formula>
    </cfRule>
  </conditionalFormatting>
  <conditionalFormatting sqref="E553:E554 E558:E559">
    <cfRule type="containsText" dxfId="973" priority="1804" operator="containsText" text="Pesquisa de Preços">
      <formula>NOT(ISERROR(SEARCH("Pesquisa de Preços",E553)))</formula>
    </cfRule>
  </conditionalFormatting>
  <conditionalFormatting sqref="E1333">
    <cfRule type="containsText" dxfId="972" priority="1613" operator="containsText" text="Pesquisa de Preços">
      <formula>NOT(ISERROR(SEARCH("Pesquisa de Preços",E1333)))</formula>
    </cfRule>
  </conditionalFormatting>
  <conditionalFormatting sqref="E555:E557">
    <cfRule type="containsText" dxfId="971" priority="1802" operator="containsText" text="Pesquisa de Preços">
      <formula>NOT(ISERROR(SEARCH("Pesquisa de Preços",E555)))</formula>
    </cfRule>
  </conditionalFormatting>
  <conditionalFormatting sqref="E537:E538 E542:E543">
    <cfRule type="containsText" dxfId="970" priority="1801" operator="containsText" text="Pesquisa de Preços">
      <formula>NOT(ISERROR(SEARCH("Pesquisa de Preços",E537)))</formula>
    </cfRule>
  </conditionalFormatting>
  <conditionalFormatting sqref="E536">
    <cfRule type="containsText" dxfId="969" priority="1800" operator="containsText" text="Pesquisa de Preços">
      <formula>NOT(ISERROR(SEARCH("Pesquisa de Preços",E536)))</formula>
    </cfRule>
  </conditionalFormatting>
  <conditionalFormatting sqref="E1327">
    <cfRule type="containsText" dxfId="968" priority="1611" operator="containsText" text="Pesquisa de Preços">
      <formula>NOT(ISERROR(SEARCH("Pesquisa de Preços",E1327)))</formula>
    </cfRule>
  </conditionalFormatting>
  <conditionalFormatting sqref="E539:E541">
    <cfRule type="containsText" dxfId="967" priority="1799" operator="containsText" text="Pesquisa de Preços">
      <formula>NOT(ISERROR(SEARCH("Pesquisa de Preços",E539)))</formula>
    </cfRule>
  </conditionalFormatting>
  <conditionalFormatting sqref="E561:E562 E566:E567">
    <cfRule type="containsText" dxfId="966" priority="1798" operator="containsText" text="Pesquisa de Preços">
      <formula>NOT(ISERROR(SEARCH("Pesquisa de Preços",E561)))</formula>
    </cfRule>
  </conditionalFormatting>
  <conditionalFormatting sqref="E560">
    <cfRule type="containsText" dxfId="965" priority="1797" operator="containsText" text="Pesquisa de Preços">
      <formula>NOT(ISERROR(SEARCH("Pesquisa de Preços",E560)))</formula>
    </cfRule>
  </conditionalFormatting>
  <conditionalFormatting sqref="E1322">
    <cfRule type="containsText" dxfId="964" priority="1609" operator="containsText" text="Pesquisa de Preços">
      <formula>NOT(ISERROR(SEARCH("Pesquisa de Preços",E1322)))</formula>
    </cfRule>
  </conditionalFormatting>
  <conditionalFormatting sqref="E563:E565">
    <cfRule type="containsText" dxfId="963" priority="1796" operator="containsText" text="Pesquisa de Preços">
      <formula>NOT(ISERROR(SEARCH("Pesquisa de Preços",E563)))</formula>
    </cfRule>
  </conditionalFormatting>
  <conditionalFormatting sqref="E569:E570">
    <cfRule type="containsText" dxfId="962" priority="1795" operator="containsText" text="Pesquisa de Preços">
      <formula>NOT(ISERROR(SEARCH("Pesquisa de Preços",E569)))</formula>
    </cfRule>
  </conditionalFormatting>
  <conditionalFormatting sqref="E1345">
    <cfRule type="containsText" dxfId="961" priority="1607" operator="containsText" text="Pesquisa de Preços">
      <formula>NOT(ISERROR(SEARCH("Pesquisa de Preços",E1345)))</formula>
    </cfRule>
  </conditionalFormatting>
  <conditionalFormatting sqref="E579:E580 E583:E586">
    <cfRule type="containsText" dxfId="960" priority="1793" operator="containsText" text="Pesquisa de Preços">
      <formula>NOT(ISERROR(SEARCH("Pesquisa de Preços",E579)))</formula>
    </cfRule>
  </conditionalFormatting>
  <conditionalFormatting sqref="E1358">
    <cfRule type="containsText" dxfId="959" priority="1604" operator="containsText" text="Pesquisa de Preços">
      <formula>NOT(ISERROR(SEARCH("Pesquisa de Preços",E1358)))</formula>
    </cfRule>
  </conditionalFormatting>
  <conditionalFormatting sqref="E581:E582">
    <cfRule type="containsText" dxfId="958" priority="1791" operator="containsText" text="Pesquisa de Preços">
      <formula>NOT(ISERROR(SEARCH("Pesquisa de Preços",E581)))</formula>
    </cfRule>
  </conditionalFormatting>
  <conditionalFormatting sqref="E621 E626:E627">
    <cfRule type="containsText" dxfId="957" priority="1790" operator="containsText" text="Pesquisa de Preços">
      <formula>NOT(ISERROR(SEARCH("Pesquisa de Preços",E621)))</formula>
    </cfRule>
  </conditionalFormatting>
  <conditionalFormatting sqref="E620">
    <cfRule type="containsText" dxfId="956" priority="1789" operator="containsText" text="Pesquisa de Preços">
      <formula>NOT(ISERROR(SEARCH("Pesquisa de Preços",E620)))</formula>
    </cfRule>
  </conditionalFormatting>
  <conditionalFormatting sqref="E1352">
    <cfRule type="containsText" dxfId="955" priority="1601" operator="containsText" text="Pesquisa de Preços">
      <formula>NOT(ISERROR(SEARCH("Pesquisa de Preços",E1352)))</formula>
    </cfRule>
  </conditionalFormatting>
  <conditionalFormatting sqref="E1468">
    <cfRule type="containsText" dxfId="954" priority="1564" operator="containsText" text="Pesquisa de Preços">
      <formula>NOT(ISERROR(SEARCH("Pesquisa de Preços",E1468)))</formula>
    </cfRule>
  </conditionalFormatting>
  <conditionalFormatting sqref="E831">
    <cfRule type="containsText" dxfId="953" priority="1770" operator="containsText" text="Pesquisa de Preços">
      <formula>NOT(ISERROR(SEARCH("Pesquisa de Preços",E831)))</formula>
    </cfRule>
  </conditionalFormatting>
  <conditionalFormatting sqref="E1581">
    <cfRule type="containsText" dxfId="952" priority="1560" operator="containsText" text="Pesquisa de Preços">
      <formula>NOT(ISERROR(SEARCH("Pesquisa de Preços",E1581)))</formula>
    </cfRule>
  </conditionalFormatting>
  <conditionalFormatting sqref="E747">
    <cfRule type="containsText" dxfId="951" priority="1766" operator="containsText" text="Pesquisa de Preços">
      <formula>NOT(ISERROR(SEARCH("Pesquisa de Preços",E747)))</formula>
    </cfRule>
  </conditionalFormatting>
  <conditionalFormatting sqref="E675">
    <cfRule type="containsText" dxfId="950" priority="1787" operator="containsText" text="Pesquisa de Preços">
      <formula>NOT(ISERROR(SEARCH("Pesquisa de Preços",E675)))</formula>
    </cfRule>
  </conditionalFormatting>
  <conditionalFormatting sqref="E667">
    <cfRule type="containsText" dxfId="949" priority="1785" operator="containsText" text="Pesquisa de Preços">
      <formula>NOT(ISERROR(SEARCH("Pesquisa de Preços",E667)))</formula>
    </cfRule>
  </conditionalFormatting>
  <conditionalFormatting sqref="E713">
    <cfRule type="containsText" dxfId="948" priority="1780" operator="containsText" text="Pesquisa de Preços">
      <formula>NOT(ISERROR(SEARCH("Pesquisa de Preços",E713)))</formula>
    </cfRule>
  </conditionalFormatting>
  <conditionalFormatting sqref="E685">
    <cfRule type="containsText" dxfId="947" priority="1783" operator="containsText" text="Pesquisa de Preços">
      <formula>NOT(ISERROR(SEARCH("Pesquisa de Preços",E685)))</formula>
    </cfRule>
  </conditionalFormatting>
  <conditionalFormatting sqref="E757:E763">
    <cfRule type="containsText" dxfId="946" priority="1762" operator="containsText" text="Pesquisa de Preços">
      <formula>NOT(ISERROR(SEARCH("Pesquisa de Preços",E757)))</formula>
    </cfRule>
  </conditionalFormatting>
  <conditionalFormatting sqref="E688:E690">
    <cfRule type="containsText" dxfId="945" priority="1782" operator="containsText" text="Pesquisa de Preços">
      <formula>NOT(ISERROR(SEARCH("Pesquisa de Preços",E688)))</formula>
    </cfRule>
  </conditionalFormatting>
  <conditionalFormatting sqref="E723">
    <cfRule type="containsText" dxfId="944" priority="1777" operator="containsText" text="Pesquisa de Preços">
      <formula>NOT(ISERROR(SEARCH("Pesquisa de Preços",E723)))</formula>
    </cfRule>
  </conditionalFormatting>
  <conditionalFormatting sqref="E729">
    <cfRule type="containsText" dxfId="943" priority="1778" operator="containsText" text="Pesquisa de Preços">
      <formula>NOT(ISERROR(SEARCH("Pesquisa de Preços",E729)))</formula>
    </cfRule>
  </conditionalFormatting>
  <conditionalFormatting sqref="E826">
    <cfRule type="containsText" dxfId="942" priority="1758" operator="containsText" text="Pesquisa de Preços">
      <formula>NOT(ISERROR(SEARCH("Pesquisa de Preços",E826)))</formula>
    </cfRule>
  </conditionalFormatting>
  <conditionalFormatting sqref="E722">
    <cfRule type="containsText" dxfId="941" priority="1776" operator="containsText" text="Pesquisa de Preços">
      <formula>NOT(ISERROR(SEARCH("Pesquisa de Preços",E722)))</formula>
    </cfRule>
  </conditionalFormatting>
  <conditionalFormatting sqref="E766">
    <cfRule type="containsText" dxfId="940" priority="1753" operator="containsText" text="Pesquisa de Preços">
      <formula>NOT(ISERROR(SEARCH("Pesquisa de Preços",E766)))</formula>
    </cfRule>
  </conditionalFormatting>
  <conditionalFormatting sqref="E838">
    <cfRule type="containsText" dxfId="939" priority="1747" operator="containsText" text="Pesquisa de Preços">
      <formula>NOT(ISERROR(SEARCH("Pesquisa de Preços",E838)))</formula>
    </cfRule>
  </conditionalFormatting>
  <conditionalFormatting sqref="E744:E745">
    <cfRule type="containsText" dxfId="938" priority="1775" operator="containsText" text="Pesquisa de Preços">
      <formula>NOT(ISERROR(SEARCH("Pesquisa de Preços",E744)))</formula>
    </cfRule>
  </conditionalFormatting>
  <conditionalFormatting sqref="E743">
    <cfRule type="containsText" dxfId="937" priority="1774" operator="containsText" text="Pesquisa de Preços">
      <formula>NOT(ISERROR(SEARCH("Pesquisa de Preços",E743)))</formula>
    </cfRule>
  </conditionalFormatting>
  <conditionalFormatting sqref="E1423">
    <cfRule type="containsText" dxfId="936" priority="1566" operator="containsText" text="Pesquisa de Preços">
      <formula>NOT(ISERROR(SEARCH("Pesquisa de Preços",E1423)))</formula>
    </cfRule>
  </conditionalFormatting>
  <conditionalFormatting sqref="E789">
    <cfRule type="containsText" dxfId="935" priority="1772" operator="containsText" text="Pesquisa de Preços">
      <formula>NOT(ISERROR(SEARCH("Pesquisa de Preços",E789)))</formula>
    </cfRule>
  </conditionalFormatting>
  <conditionalFormatting sqref="E813">
    <cfRule type="containsText" dxfId="934" priority="1768" operator="containsText" text="Pesquisa de Preços">
      <formula>NOT(ISERROR(SEARCH("Pesquisa de Preços",E813)))</formula>
    </cfRule>
  </conditionalFormatting>
  <conditionalFormatting sqref="E750:E751">
    <cfRule type="containsText" dxfId="933" priority="1765" operator="containsText" text="Pesquisa de Preços">
      <formula>NOT(ISERROR(SEARCH("Pesquisa de Preços",E750)))</formula>
    </cfRule>
  </conditionalFormatting>
  <conditionalFormatting sqref="E754">
    <cfRule type="containsText" dxfId="932" priority="1763" operator="containsText" text="Pesquisa de Preços">
      <formula>NOT(ISERROR(SEARCH("Pesquisa de Preços",E754)))</formula>
    </cfRule>
  </conditionalFormatting>
  <conditionalFormatting sqref="E949">
    <cfRule type="containsText" dxfId="931" priority="1730" operator="containsText" text="Pesquisa de Preços">
      <formula>NOT(ISERROR(SEARCH("Pesquisa de Preços",E949)))</formula>
    </cfRule>
  </conditionalFormatting>
  <conditionalFormatting sqref="E822">
    <cfRule type="containsText" dxfId="930" priority="1760" operator="containsText" text="Pesquisa de Preços">
      <formula>NOT(ISERROR(SEARCH("Pesquisa de Preços",E822)))</formula>
    </cfRule>
  </conditionalFormatting>
  <conditionalFormatting sqref="E1672">
    <cfRule type="containsText" dxfId="929" priority="1524" operator="containsText" text="Pesquisa de Preços">
      <formula>NOT(ISERROR(SEARCH("Pesquisa de Preços",E1672)))</formula>
    </cfRule>
  </conditionalFormatting>
  <conditionalFormatting sqref="E803">
    <cfRule type="containsText" dxfId="928" priority="1756" operator="containsText" text="Pesquisa de Preços">
      <formula>NOT(ISERROR(SEARCH("Pesquisa de Preços",E803)))</formula>
    </cfRule>
  </conditionalFormatting>
  <conditionalFormatting sqref="E981">
    <cfRule type="containsText" dxfId="927" priority="1724" operator="containsText" text="Pesquisa de Preços">
      <formula>NOT(ISERROR(SEARCH("Pesquisa de Preços",E981)))</formula>
    </cfRule>
  </conditionalFormatting>
  <conditionalFormatting sqref="E818 E821">
    <cfRule type="containsText" dxfId="926" priority="1755" operator="containsText" text="Pesquisa de Preços">
      <formula>NOT(ISERROR(SEARCH("Pesquisa de Preços",E818)))</formula>
    </cfRule>
  </conditionalFormatting>
  <conditionalFormatting sqref="E817">
    <cfRule type="containsText" dxfId="925" priority="1754" operator="containsText" text="Pesquisa de Preços">
      <formula>NOT(ISERROR(SEARCH("Pesquisa de Preços",E817)))</formula>
    </cfRule>
  </conditionalFormatting>
  <conditionalFormatting sqref="E984:E989">
    <cfRule type="containsText" dxfId="924" priority="1723" operator="containsText" text="Pesquisa de Preços">
      <formula>NOT(ISERROR(SEARCH("Pesquisa de Preços",E984)))</formula>
    </cfRule>
  </conditionalFormatting>
  <conditionalFormatting sqref="E765">
    <cfRule type="containsText" dxfId="923" priority="1752" operator="containsText" text="Pesquisa de Preços">
      <formula>NOT(ISERROR(SEARCH("Pesquisa de Preços",E765)))</formula>
    </cfRule>
  </conditionalFormatting>
  <conditionalFormatting sqref="E1013">
    <cfRule type="containsText" dxfId="922" priority="1718" operator="containsText" text="Pesquisa de Preços">
      <formula>NOT(ISERROR(SEARCH("Pesquisa de Preços",E1013)))</formula>
    </cfRule>
  </conditionalFormatting>
  <conditionalFormatting sqref="E183:E184">
    <cfRule type="containsText" dxfId="921" priority="1751" operator="containsText" text="Pesquisa de Preços">
      <formula>NOT(ISERROR(SEARCH("Pesquisa de Preços",E183)))</formula>
    </cfRule>
  </conditionalFormatting>
  <conditionalFormatting sqref="E182">
    <cfRule type="containsText" dxfId="920" priority="1750" operator="containsText" text="Pesquisa de Preços">
      <formula>NOT(ISERROR(SEARCH("Pesquisa de Preços",E182)))</formula>
    </cfRule>
  </conditionalFormatting>
  <conditionalFormatting sqref="E1016:E1019">
    <cfRule type="containsText" dxfId="919" priority="1717" operator="containsText" text="Pesquisa de Preços">
      <formula>NOT(ISERROR(SEARCH("Pesquisa de Preços",E1016)))</formula>
    </cfRule>
  </conditionalFormatting>
  <conditionalFormatting sqref="E185:E187">
    <cfRule type="containsText" dxfId="918" priority="1749" operator="containsText" text="Pesquisa de Preços">
      <formula>NOT(ISERROR(SEARCH("Pesquisa de Preços",E185)))</formula>
    </cfRule>
  </conditionalFormatting>
  <conditionalFormatting sqref="E839 E842:E843">
    <cfRule type="containsText" dxfId="917" priority="1748" operator="containsText" text="Pesquisa de Preços">
      <formula>NOT(ISERROR(SEARCH("Pesquisa de Preços",E839)))</formula>
    </cfRule>
  </conditionalFormatting>
  <conditionalFormatting sqref="E1716">
    <cfRule type="containsText" dxfId="916" priority="1516" operator="containsText" text="Pesquisa de Preços">
      <formula>NOT(ISERROR(SEARCH("Pesquisa de Preços",E1716)))</formula>
    </cfRule>
  </conditionalFormatting>
  <conditionalFormatting sqref="E841">
    <cfRule type="containsText" dxfId="915" priority="1746" operator="containsText" text="Pesquisa de Preços">
      <formula>NOT(ISERROR(SEARCH("Pesquisa de Preços",E841)))</formula>
    </cfRule>
  </conditionalFormatting>
  <conditionalFormatting sqref="E915:E921">
    <cfRule type="containsText" dxfId="914" priority="1745" operator="containsText" text="Pesquisa de Preços">
      <formula>NOT(ISERROR(SEARCH("Pesquisa de Preços",E915)))</formula>
    </cfRule>
  </conditionalFormatting>
  <conditionalFormatting sqref="E914">
    <cfRule type="containsText" dxfId="913" priority="1744" operator="containsText" text="Pesquisa de Preços">
      <formula>NOT(ISERROR(SEARCH("Pesquisa de Preços",E914)))</formula>
    </cfRule>
  </conditionalFormatting>
  <conditionalFormatting sqref="E940:E946">
    <cfRule type="containsText" dxfId="912" priority="1743" operator="containsText" text="Pesquisa de Preços">
      <formula>NOT(ISERROR(SEARCH("Pesquisa de Preços",E940)))</formula>
    </cfRule>
  </conditionalFormatting>
  <conditionalFormatting sqref="E939">
    <cfRule type="containsText" dxfId="911" priority="1742" operator="containsText" text="Pesquisa de Preços">
      <formula>NOT(ISERROR(SEARCH("Pesquisa de Preços",E939)))</formula>
    </cfRule>
  </conditionalFormatting>
  <conditionalFormatting sqref="E1638">
    <cfRule type="containsText" dxfId="910" priority="1538" operator="containsText" text="Pesquisa de Preços">
      <formula>NOT(ISERROR(SEARCH("Pesquisa de Preços",E1638)))</formula>
    </cfRule>
  </conditionalFormatting>
  <conditionalFormatting sqref="E931">
    <cfRule type="containsText" dxfId="909" priority="1741" operator="containsText" text="Pesquisa de Preços">
      <formula>NOT(ISERROR(SEARCH("Pesquisa de Preços",E931)))</formula>
    </cfRule>
  </conditionalFormatting>
  <conditionalFormatting sqref="E930">
    <cfRule type="containsText" dxfId="908" priority="1740" operator="containsText" text="Pesquisa de Preços">
      <formula>NOT(ISERROR(SEARCH("Pesquisa de Preços",E930)))</formula>
    </cfRule>
  </conditionalFormatting>
  <conditionalFormatting sqref="E1643">
    <cfRule type="containsText" dxfId="907" priority="1536" operator="containsText" text="Pesquisa de Preços">
      <formula>NOT(ISERROR(SEARCH("Pesquisa de Preços",E1643)))</formula>
    </cfRule>
  </conditionalFormatting>
  <conditionalFormatting sqref="E923">
    <cfRule type="containsText" dxfId="906" priority="1738" operator="containsText" text="Pesquisa de Preços">
      <formula>NOT(ISERROR(SEARCH("Pesquisa de Preços",E923)))</formula>
    </cfRule>
  </conditionalFormatting>
  <conditionalFormatting sqref="E924 E929">
    <cfRule type="containsText" dxfId="905" priority="1739" operator="containsText" text="Pesquisa de Preços">
      <formula>NOT(ISERROR(SEARCH("Pesquisa de Preços",E924)))</formula>
    </cfRule>
  </conditionalFormatting>
  <conditionalFormatting sqref="E1614">
    <cfRule type="containsText" dxfId="904" priority="1532" operator="containsText" text="Pesquisa de Preços">
      <formula>NOT(ISERROR(SEARCH("Pesquisa de Preços",E1614)))</formula>
    </cfRule>
  </conditionalFormatting>
  <conditionalFormatting sqref="E970:E972">
    <cfRule type="containsText" dxfId="903" priority="1735" operator="containsText" text="Pesquisa de Preços">
      <formula>NOT(ISERROR(SEARCH("Pesquisa de Preços",E970)))</formula>
    </cfRule>
  </conditionalFormatting>
  <conditionalFormatting sqref="E968:E969">
    <cfRule type="containsText" dxfId="902" priority="1737" operator="containsText" text="Pesquisa de Preços">
      <formula>NOT(ISERROR(SEARCH("Pesquisa de Preços",E968)))</formula>
    </cfRule>
  </conditionalFormatting>
  <conditionalFormatting sqref="E967">
    <cfRule type="containsText" dxfId="901" priority="1736" operator="containsText" text="Pesquisa de Preços">
      <formula>NOT(ISERROR(SEARCH("Pesquisa de Preços",E967)))</formula>
    </cfRule>
  </conditionalFormatting>
  <conditionalFormatting sqref="E961">
    <cfRule type="containsText" dxfId="900" priority="1734" operator="containsText" text="Pesquisa de Preços">
      <formula>NOT(ISERROR(SEARCH("Pesquisa de Preços",E961)))</formula>
    </cfRule>
  </conditionalFormatting>
  <conditionalFormatting sqref="E960">
    <cfRule type="containsText" dxfId="899" priority="1733" operator="containsText" text="Pesquisa de Preços">
      <formula>NOT(ISERROR(SEARCH("Pesquisa de Preços",E960)))</formula>
    </cfRule>
  </conditionalFormatting>
  <conditionalFormatting sqref="E955 E959">
    <cfRule type="containsText" dxfId="898" priority="1732" operator="containsText" text="Pesquisa de Preços">
      <formula>NOT(ISERROR(SEARCH("Pesquisa de Preços",E955)))</formula>
    </cfRule>
  </conditionalFormatting>
  <conditionalFormatting sqref="E954">
    <cfRule type="containsText" dxfId="897" priority="1731" operator="containsText" text="Pesquisa de Preços">
      <formula>NOT(ISERROR(SEARCH("Pesquisa de Preços",E954)))</formula>
    </cfRule>
  </conditionalFormatting>
  <conditionalFormatting sqref="E1060">
    <cfRule type="containsText" dxfId="896" priority="1698" operator="containsText" text="Pesquisa de Preços">
      <formula>NOT(ISERROR(SEARCH("Pesquisa de Preços",E1060)))</formula>
    </cfRule>
  </conditionalFormatting>
  <conditionalFormatting sqref="E974">
    <cfRule type="containsText" dxfId="895" priority="1727" operator="containsText" text="Pesquisa de Preços">
      <formula>NOT(ISERROR(SEARCH("Pesquisa de Preços",E974)))</formula>
    </cfRule>
  </conditionalFormatting>
  <conditionalFormatting sqref="E948">
    <cfRule type="containsText" dxfId="894" priority="1729" operator="containsText" text="Pesquisa de Preços">
      <formula>NOT(ISERROR(SEARCH("Pesquisa de Preços",E948)))</formula>
    </cfRule>
  </conditionalFormatting>
  <conditionalFormatting sqref="E975:E976 E979:E980">
    <cfRule type="containsText" dxfId="893" priority="1728" operator="containsText" text="Pesquisa de Preços">
      <formula>NOT(ISERROR(SEARCH("Pesquisa de Preços",E975)))</formula>
    </cfRule>
  </conditionalFormatting>
  <conditionalFormatting sqref="E977:E978">
    <cfRule type="containsText" dxfId="892" priority="1726" operator="containsText" text="Pesquisa de Preços">
      <formula>NOT(ISERROR(SEARCH("Pesquisa de Preços",E977)))</formula>
    </cfRule>
  </conditionalFormatting>
  <conditionalFormatting sqref="E982:E983 E990:E991">
    <cfRule type="containsText" dxfId="891" priority="1725" operator="containsText" text="Pesquisa de Preços">
      <formula>NOT(ISERROR(SEARCH("Pesquisa de Preços",E982)))</formula>
    </cfRule>
  </conditionalFormatting>
  <conditionalFormatting sqref="E1661">
    <cfRule type="containsText" dxfId="890" priority="1522" operator="containsText" text="Pesquisa de Preços">
      <formula>NOT(ISERROR(SEARCH("Pesquisa de Preços",E1661)))</formula>
    </cfRule>
  </conditionalFormatting>
  <conditionalFormatting sqref="E993:E994 E1001:E1002">
    <cfRule type="containsText" dxfId="889" priority="1722" operator="containsText" text="Pesquisa de Preços">
      <formula>NOT(ISERROR(SEARCH("Pesquisa de Preços",E993)))</formula>
    </cfRule>
  </conditionalFormatting>
  <conditionalFormatting sqref="E992">
    <cfRule type="containsText" dxfId="888" priority="1721" operator="containsText" text="Pesquisa de Preços">
      <formula>NOT(ISERROR(SEARCH("Pesquisa de Preços",E992)))</formula>
    </cfRule>
  </conditionalFormatting>
  <conditionalFormatting sqref="E1738">
    <cfRule type="containsText" dxfId="887" priority="1520" operator="containsText" text="Pesquisa de Preços">
      <formula>NOT(ISERROR(SEARCH("Pesquisa de Preços",E1738)))</formula>
    </cfRule>
  </conditionalFormatting>
  <conditionalFormatting sqref="E999:E1000 E995:E997">
    <cfRule type="containsText" dxfId="886" priority="1720" operator="containsText" text="Pesquisa de Preços">
      <formula>NOT(ISERROR(SEARCH("Pesquisa de Preços",E995)))</formula>
    </cfRule>
  </conditionalFormatting>
  <conditionalFormatting sqref="E1014:E1015 E1020:E1021">
    <cfRule type="containsText" dxfId="885" priority="1719" operator="containsText" text="Pesquisa de Preços">
      <formula>NOT(ISERROR(SEARCH("Pesquisa de Preços",E1014)))</formula>
    </cfRule>
  </conditionalFormatting>
  <conditionalFormatting sqref="E1749">
    <cfRule type="containsText" dxfId="884" priority="1518" operator="containsText" text="Pesquisa de Preços">
      <formula>NOT(ISERROR(SEARCH("Pesquisa de Preços",E1749)))</formula>
    </cfRule>
  </conditionalFormatting>
  <conditionalFormatting sqref="E1004:E1005">
    <cfRule type="containsText" dxfId="883" priority="1716" operator="containsText" text="Pesquisa de Preços">
      <formula>NOT(ISERROR(SEARCH("Pesquisa de Preços",E1004)))</formula>
    </cfRule>
  </conditionalFormatting>
  <conditionalFormatting sqref="E1003">
    <cfRule type="containsText" dxfId="882" priority="1715" operator="containsText" text="Pesquisa de Preços">
      <formula>NOT(ISERROR(SEARCH("Pesquisa de Preços",E1003)))</formula>
    </cfRule>
  </conditionalFormatting>
  <conditionalFormatting sqref="E1008">
    <cfRule type="containsText" dxfId="881" priority="1713" operator="containsText" text="Pesquisa de Preços">
      <formula>NOT(ISERROR(SEARCH("Pesquisa de Preços",E1008)))</formula>
    </cfRule>
  </conditionalFormatting>
  <conditionalFormatting sqref="E1009:E1010">
    <cfRule type="containsText" dxfId="880" priority="1714" operator="containsText" text="Pesquisa de Preços">
      <formula>NOT(ISERROR(SEARCH("Pesquisa de Preços",E1009)))</formula>
    </cfRule>
  </conditionalFormatting>
  <conditionalFormatting sqref="E1727">
    <cfRule type="containsText" dxfId="879" priority="1514" operator="containsText" text="Pesquisa de Preços">
      <formula>NOT(ISERROR(SEARCH("Pesquisa de Preços",E1727)))</formula>
    </cfRule>
  </conditionalFormatting>
  <conditionalFormatting sqref="E1027">
    <cfRule type="containsText" dxfId="878" priority="1711" operator="containsText" text="Pesquisa de Preços">
      <formula>NOT(ISERROR(SEARCH("Pesquisa de Preços",E1027)))</formula>
    </cfRule>
  </conditionalFormatting>
  <conditionalFormatting sqref="E1028:E1029 E1036">
    <cfRule type="containsText" dxfId="877" priority="1712" operator="containsText" text="Pesquisa de Preços">
      <formula>NOT(ISERROR(SEARCH("Pesquisa de Preços",E1028)))</formula>
    </cfRule>
  </conditionalFormatting>
  <conditionalFormatting sqref="E1702">
    <cfRule type="containsText" dxfId="876" priority="1512" operator="containsText" text="Pesquisa de Preços">
      <formula>NOT(ISERROR(SEARCH("Pesquisa de Preços",E1702)))</formula>
    </cfRule>
  </conditionalFormatting>
  <conditionalFormatting sqref="E1031:E1034">
    <cfRule type="containsText" dxfId="875" priority="1710" operator="containsText" text="Pesquisa de Preços">
      <formula>NOT(ISERROR(SEARCH("Pesquisa de Preços",E1031)))</formula>
    </cfRule>
  </conditionalFormatting>
  <conditionalFormatting sqref="E1038:E1039 E1045">
    <cfRule type="containsText" dxfId="874" priority="1709" operator="containsText" text="Pesquisa de Preços">
      <formula>NOT(ISERROR(SEARCH("Pesquisa de Preços",E1038)))</formula>
    </cfRule>
  </conditionalFormatting>
  <conditionalFormatting sqref="E1037">
    <cfRule type="containsText" dxfId="873" priority="1708" operator="containsText" text="Pesquisa de Preços">
      <formula>NOT(ISERROR(SEARCH("Pesquisa de Preços",E1037)))</formula>
    </cfRule>
  </conditionalFormatting>
  <conditionalFormatting sqref="E1708">
    <cfRule type="containsText" dxfId="872" priority="1510" operator="containsText" text="Pesquisa de Preços">
      <formula>NOT(ISERROR(SEARCH("Pesquisa de Preços",E1708)))</formula>
    </cfRule>
  </conditionalFormatting>
  <conditionalFormatting sqref="E1023:E1024">
    <cfRule type="containsText" dxfId="871" priority="1707" operator="containsText" text="Pesquisa de Preços">
      <formula>NOT(ISERROR(SEARCH("Pesquisa de Preços",E1023)))</formula>
    </cfRule>
  </conditionalFormatting>
  <conditionalFormatting sqref="E1022">
    <cfRule type="containsText" dxfId="870" priority="1706" operator="containsText" text="Pesquisa de Preços">
      <formula>NOT(ISERROR(SEARCH("Pesquisa de Preços",E1022)))</formula>
    </cfRule>
  </conditionalFormatting>
  <conditionalFormatting sqref="E1025">
    <cfRule type="containsText" dxfId="869" priority="1705" operator="containsText" text="Pesquisa de Preços">
      <formula>NOT(ISERROR(SEARCH("Pesquisa de Preços",E1025)))</formula>
    </cfRule>
  </conditionalFormatting>
  <conditionalFormatting sqref="E1100:E1101">
    <cfRule type="containsText" dxfId="868" priority="1704" operator="containsText" text="Pesquisa de Preços">
      <formula>NOT(ISERROR(SEARCH("Pesquisa de Preços",E1100)))</formula>
    </cfRule>
  </conditionalFormatting>
  <conditionalFormatting sqref="E1099">
    <cfRule type="containsText" dxfId="867" priority="1703" operator="containsText" text="Pesquisa de Preços">
      <formula>NOT(ISERROR(SEARCH("Pesquisa de Preços",E1099)))</formula>
    </cfRule>
  </conditionalFormatting>
  <conditionalFormatting sqref="E1047:E1048 E1051:E1052">
    <cfRule type="containsText" dxfId="866" priority="1702" operator="containsText" text="Pesquisa de Preços">
      <formula>NOT(ISERROR(SEARCH("Pesquisa de Preços",E1047)))</formula>
    </cfRule>
  </conditionalFormatting>
  <conditionalFormatting sqref="E1046">
    <cfRule type="containsText" dxfId="865" priority="1701" operator="containsText" text="Pesquisa de Preços">
      <formula>NOT(ISERROR(SEARCH("Pesquisa de Preços",E1046)))</formula>
    </cfRule>
  </conditionalFormatting>
  <conditionalFormatting sqref="E1049:E1050">
    <cfRule type="containsText" dxfId="864" priority="1700" operator="containsText" text="Pesquisa de Preços">
      <formula>NOT(ISERROR(SEARCH("Pesquisa de Preços",E1049)))</formula>
    </cfRule>
  </conditionalFormatting>
  <conditionalFormatting sqref="E1061:E1062 E1066">
    <cfRule type="containsText" dxfId="863" priority="1699" operator="containsText" text="Pesquisa de Preços">
      <formula>NOT(ISERROR(SEARCH("Pesquisa de Preços",E1061)))</formula>
    </cfRule>
  </conditionalFormatting>
  <conditionalFormatting sqref="E1092:E1093 E1098">
    <cfRule type="containsText" dxfId="862" priority="1697" operator="containsText" text="Pesquisa de Preços">
      <formula>NOT(ISERROR(SEARCH("Pesquisa de Preços",E1092)))</formula>
    </cfRule>
  </conditionalFormatting>
  <conditionalFormatting sqref="E1091">
    <cfRule type="containsText" dxfId="861" priority="1696" operator="containsText" text="Pesquisa de Preços">
      <formula>NOT(ISERROR(SEARCH("Pesquisa de Preços",E1091)))</formula>
    </cfRule>
  </conditionalFormatting>
  <conditionalFormatting sqref="E1054:E1055">
    <cfRule type="containsText" dxfId="860" priority="1694" operator="containsText" text="Pesquisa de Preços">
      <formula>NOT(ISERROR(SEARCH("Pesquisa de Preços",E1054)))</formula>
    </cfRule>
  </conditionalFormatting>
  <conditionalFormatting sqref="E1053">
    <cfRule type="containsText" dxfId="859" priority="1693" operator="containsText" text="Pesquisa de Preços">
      <formula>NOT(ISERROR(SEARCH("Pesquisa de Preços",E1053)))</formula>
    </cfRule>
  </conditionalFormatting>
  <conditionalFormatting sqref="E1056:E1058">
    <cfRule type="containsText" dxfId="858" priority="1692" operator="containsText" text="Pesquisa de Preços">
      <formula>NOT(ISERROR(SEARCH("Pesquisa de Preços",E1056)))</formula>
    </cfRule>
  </conditionalFormatting>
  <conditionalFormatting sqref="E1068">
    <cfRule type="containsText" dxfId="857" priority="1691" operator="containsText" text="Pesquisa de Preços">
      <formula>NOT(ISERROR(SEARCH("Pesquisa de Preços",E1068)))</formula>
    </cfRule>
  </conditionalFormatting>
  <conditionalFormatting sqref="E1067">
    <cfRule type="containsText" dxfId="856" priority="1690" operator="containsText" text="Pesquisa de Preços">
      <formula>NOT(ISERROR(SEARCH("Pesquisa de Preços",E1067)))</formula>
    </cfRule>
  </conditionalFormatting>
  <conditionalFormatting sqref="E1084 E1090">
    <cfRule type="containsText" dxfId="855" priority="1689" operator="containsText" text="Pesquisa de Preços">
      <formula>NOT(ISERROR(SEARCH("Pesquisa de Preços",E1084)))</formula>
    </cfRule>
  </conditionalFormatting>
  <conditionalFormatting sqref="E1083">
    <cfRule type="containsText" dxfId="854" priority="1688" operator="containsText" text="Pesquisa de Preços">
      <formula>NOT(ISERROR(SEARCH("Pesquisa de Preços",E1083)))</formula>
    </cfRule>
  </conditionalFormatting>
  <conditionalFormatting sqref="E1075 E1082">
    <cfRule type="containsText" dxfId="853" priority="1687" operator="containsText" text="Pesquisa de Preços">
      <formula>NOT(ISERROR(SEARCH("Pesquisa de Preços",E1075)))</formula>
    </cfRule>
  </conditionalFormatting>
  <conditionalFormatting sqref="E1074">
    <cfRule type="containsText" dxfId="852" priority="1686" operator="containsText" text="Pesquisa de Preços">
      <formula>NOT(ISERROR(SEARCH("Pesquisa de Preços",E1074)))</formula>
    </cfRule>
  </conditionalFormatting>
  <conditionalFormatting sqref="E1123:E1124">
    <cfRule type="containsText" dxfId="851" priority="1685" operator="containsText" text="Pesquisa de Preços">
      <formula>NOT(ISERROR(SEARCH("Pesquisa de Preços",E1123)))</formula>
    </cfRule>
  </conditionalFormatting>
  <conditionalFormatting sqref="E1122">
    <cfRule type="containsText" dxfId="850" priority="1684" operator="containsText" text="Pesquisa de Preços">
      <formula>NOT(ISERROR(SEARCH("Pesquisa de Preços",E1122)))</formula>
    </cfRule>
  </conditionalFormatting>
  <conditionalFormatting sqref="E1125">
    <cfRule type="containsText" dxfId="849" priority="1683" operator="containsText" text="Pesquisa de Preços">
      <formula>NOT(ISERROR(SEARCH("Pesquisa de Preços",E1125)))</formula>
    </cfRule>
  </conditionalFormatting>
  <conditionalFormatting sqref="E1118:E1119">
    <cfRule type="containsText" dxfId="848" priority="1682" operator="containsText" text="Pesquisa de Preços">
      <formula>NOT(ISERROR(SEARCH("Pesquisa de Preços",E1118)))</formula>
    </cfRule>
  </conditionalFormatting>
  <conditionalFormatting sqref="E1117">
    <cfRule type="containsText" dxfId="847" priority="1681" operator="containsText" text="Pesquisa de Preços">
      <formula>NOT(ISERROR(SEARCH("Pesquisa de Preços",E1117)))</formula>
    </cfRule>
  </conditionalFormatting>
  <conditionalFormatting sqref="E1845">
    <cfRule type="containsText" dxfId="846" priority="1499" operator="containsText" text="Pesquisa de Preços">
      <formula>NOT(ISERROR(SEARCH("Pesquisa de Preços",E1845)))</formula>
    </cfRule>
  </conditionalFormatting>
  <conditionalFormatting sqref="E1244:E1245 E1249">
    <cfRule type="containsText" dxfId="845" priority="1680" operator="containsText" text="Pesquisa de Preços">
      <formula>NOT(ISERROR(SEARCH("Pesquisa de Preços",E1244)))</formula>
    </cfRule>
  </conditionalFormatting>
  <conditionalFormatting sqref="E1243">
    <cfRule type="containsText" dxfId="844" priority="1679" operator="containsText" text="Pesquisa de Preços">
      <formula>NOT(ISERROR(SEARCH("Pesquisa de Preços",E1243)))</formula>
    </cfRule>
  </conditionalFormatting>
  <conditionalFormatting sqref="E1851">
    <cfRule type="containsText" dxfId="843" priority="1496" operator="containsText" text="Pesquisa de Preços">
      <formula>NOT(ISERROR(SEARCH("Pesquisa de Preços",E1851)))</formula>
    </cfRule>
  </conditionalFormatting>
  <conditionalFormatting sqref="E1237:E1238 E1242">
    <cfRule type="containsText" dxfId="842" priority="1678" operator="containsText" text="Pesquisa de Preços">
      <formula>NOT(ISERROR(SEARCH("Pesquisa de Preços",E1237)))</formula>
    </cfRule>
  </conditionalFormatting>
  <conditionalFormatting sqref="E1236">
    <cfRule type="containsText" dxfId="841" priority="1677" operator="containsText" text="Pesquisa de Preços">
      <formula>NOT(ISERROR(SEARCH("Pesquisa de Preços",E1236)))</formula>
    </cfRule>
  </conditionalFormatting>
  <conditionalFormatting sqref="E1838">
    <cfRule type="containsText" dxfId="840" priority="1493" operator="containsText" text="Pesquisa de Preços">
      <formula>NOT(ISERROR(SEARCH("Pesquisa de Preços",E1838)))</formula>
    </cfRule>
  </conditionalFormatting>
  <conditionalFormatting sqref="E1230:E1231 E1235">
    <cfRule type="containsText" dxfId="839" priority="1676" operator="containsText" text="Pesquisa de Preços">
      <formula>NOT(ISERROR(SEARCH("Pesquisa de Preços",E1230)))</formula>
    </cfRule>
  </conditionalFormatting>
  <conditionalFormatting sqref="E1229">
    <cfRule type="containsText" dxfId="838" priority="1675" operator="containsText" text="Pesquisa de Preços">
      <formula>NOT(ISERROR(SEARCH("Pesquisa de Preços",E1229)))</formula>
    </cfRule>
  </conditionalFormatting>
  <conditionalFormatting sqref="E1857">
    <cfRule type="containsText" dxfId="837" priority="1491" operator="containsText" text="Pesquisa de Preços">
      <formula>NOT(ISERROR(SEARCH("Pesquisa de Preços",E1857)))</formula>
    </cfRule>
  </conditionalFormatting>
  <conditionalFormatting sqref="E1223:E1224 E1228">
    <cfRule type="containsText" dxfId="836" priority="1674" operator="containsText" text="Pesquisa de Preços">
      <formula>NOT(ISERROR(SEARCH("Pesquisa de Preços",E1223)))</formula>
    </cfRule>
  </conditionalFormatting>
  <conditionalFormatting sqref="E1222">
    <cfRule type="containsText" dxfId="835" priority="1673" operator="containsText" text="Pesquisa de Preços">
      <formula>NOT(ISERROR(SEARCH("Pesquisa de Preços",E1222)))</formula>
    </cfRule>
  </conditionalFormatting>
  <conditionalFormatting sqref="E1139:E1140 E1143:E1144">
    <cfRule type="containsText" dxfId="834" priority="1672" operator="containsText" text="Pesquisa de Preços">
      <formula>NOT(ISERROR(SEARCH("Pesquisa de Preços",E1139)))</formula>
    </cfRule>
  </conditionalFormatting>
  <conditionalFormatting sqref="E1138">
    <cfRule type="containsText" dxfId="833" priority="1671" operator="containsText" text="Pesquisa de Preços">
      <formula>NOT(ISERROR(SEARCH("Pesquisa de Preços",E1138)))</formula>
    </cfRule>
  </conditionalFormatting>
  <conditionalFormatting sqref="E1141:E1142">
    <cfRule type="containsText" dxfId="832" priority="1670" operator="containsText" text="Pesquisa de Preços">
      <formula>NOT(ISERROR(SEARCH("Pesquisa de Preços",E1141)))</formula>
    </cfRule>
  </conditionalFormatting>
  <conditionalFormatting sqref="E1128:E1129 E1131:E1132">
    <cfRule type="containsText" dxfId="831" priority="1669" operator="containsText" text="Pesquisa de Preços">
      <formula>NOT(ISERROR(SEARCH("Pesquisa de Preços",E1128)))</formula>
    </cfRule>
  </conditionalFormatting>
  <conditionalFormatting sqref="E1127">
    <cfRule type="containsText" dxfId="830" priority="1668" operator="containsText" text="Pesquisa de Preços">
      <formula>NOT(ISERROR(SEARCH("Pesquisa de Preços",E1127)))</formula>
    </cfRule>
  </conditionalFormatting>
  <conditionalFormatting sqref="E1130">
    <cfRule type="containsText" dxfId="829" priority="1667" operator="containsText" text="Pesquisa de Preços">
      <formula>NOT(ISERROR(SEARCH("Pesquisa de Preços",E1130)))</formula>
    </cfRule>
  </conditionalFormatting>
  <conditionalFormatting sqref="E1265 E1270">
    <cfRule type="containsText" dxfId="828" priority="1666" operator="containsText" text="Pesquisa de Preços">
      <formula>NOT(ISERROR(SEARCH("Pesquisa de Preços",E1265)))</formula>
    </cfRule>
  </conditionalFormatting>
  <conditionalFormatting sqref="E1264">
    <cfRule type="containsText" dxfId="827" priority="1665" operator="containsText" text="Pesquisa de Preços">
      <formula>NOT(ISERROR(SEARCH("Pesquisa de Preços",E1264)))</formula>
    </cfRule>
  </conditionalFormatting>
  <conditionalFormatting sqref="E1253:E1254">
    <cfRule type="containsText" dxfId="826" priority="1662" operator="containsText" text="Pesquisa de Preços">
      <formula>NOT(ISERROR(SEARCH("Pesquisa de Preços",E1253)))</formula>
    </cfRule>
  </conditionalFormatting>
  <conditionalFormatting sqref="E1251:E1252 E1255:E1256">
    <cfRule type="containsText" dxfId="825" priority="1664" operator="containsText" text="Pesquisa de Preços">
      <formula>NOT(ISERROR(SEARCH("Pesquisa de Preços",E1251)))</formula>
    </cfRule>
  </conditionalFormatting>
  <conditionalFormatting sqref="E1250">
    <cfRule type="containsText" dxfId="824" priority="1663" operator="containsText" text="Pesquisa de Preços">
      <formula>NOT(ISERROR(SEARCH("Pesquisa de Preços",E1250)))</formula>
    </cfRule>
  </conditionalFormatting>
  <conditionalFormatting sqref="E1153:E1154 E1157:E1158">
    <cfRule type="containsText" dxfId="823" priority="1661" operator="containsText" text="Pesquisa de Preços">
      <formula>NOT(ISERROR(SEARCH("Pesquisa de Preços",E1153)))</formula>
    </cfRule>
  </conditionalFormatting>
  <conditionalFormatting sqref="E1152">
    <cfRule type="containsText" dxfId="822" priority="1660" operator="containsText" text="Pesquisa de Preços">
      <formula>NOT(ISERROR(SEARCH("Pesquisa de Preços",E1152)))</formula>
    </cfRule>
  </conditionalFormatting>
  <conditionalFormatting sqref="E1155:E1156">
    <cfRule type="containsText" dxfId="821" priority="1659" operator="containsText" text="Pesquisa de Preços">
      <formula>NOT(ISERROR(SEARCH("Pesquisa de Preços",E1155)))</formula>
    </cfRule>
  </conditionalFormatting>
  <conditionalFormatting sqref="E1188:E1189 E1193">
    <cfRule type="containsText" dxfId="820" priority="1658" operator="containsText" text="Pesquisa de Preços">
      <formula>NOT(ISERROR(SEARCH("Pesquisa de Preços",E1188)))</formula>
    </cfRule>
  </conditionalFormatting>
  <conditionalFormatting sqref="E1187">
    <cfRule type="containsText" dxfId="819" priority="1657" operator="containsText" text="Pesquisa de Preços">
      <formula>NOT(ISERROR(SEARCH("Pesquisa de Preços",E1187)))</formula>
    </cfRule>
  </conditionalFormatting>
  <conditionalFormatting sqref="E1195:E1196 E1200">
    <cfRule type="containsText" dxfId="818" priority="1655" operator="containsText" text="Pesquisa de Preços">
      <formula>NOT(ISERROR(SEARCH("Pesquisa de Preços",E1195)))</formula>
    </cfRule>
  </conditionalFormatting>
  <conditionalFormatting sqref="E1194">
    <cfRule type="containsText" dxfId="817" priority="1654" operator="containsText" text="Pesquisa de Preços">
      <formula>NOT(ISERROR(SEARCH("Pesquisa de Preços",E1194)))</formula>
    </cfRule>
  </conditionalFormatting>
  <conditionalFormatting sqref="E1905">
    <cfRule type="containsText" dxfId="816" priority="1481" operator="containsText" text="Pesquisa de Preços">
      <formula>NOT(ISERROR(SEARCH("Pesquisa de Preços",E1905)))</formula>
    </cfRule>
  </conditionalFormatting>
  <conditionalFormatting sqref="E1202:E1203 E1207">
    <cfRule type="containsText" dxfId="815" priority="1652" operator="containsText" text="Pesquisa de Preços">
      <formula>NOT(ISERROR(SEARCH("Pesquisa de Preços",E1202)))</formula>
    </cfRule>
  </conditionalFormatting>
  <conditionalFormatting sqref="E1201">
    <cfRule type="containsText" dxfId="814" priority="1651" operator="containsText" text="Pesquisa de Preços">
      <formula>NOT(ISERROR(SEARCH("Pesquisa de Preços",E1201)))</formula>
    </cfRule>
  </conditionalFormatting>
  <conditionalFormatting sqref="E1911">
    <cfRule type="containsText" dxfId="813" priority="1478" operator="containsText" text="Pesquisa de Preços">
      <formula>NOT(ISERROR(SEARCH("Pesquisa de Preços",E1911)))</formula>
    </cfRule>
  </conditionalFormatting>
  <conditionalFormatting sqref="E1181:E1182 E1185:E1186">
    <cfRule type="containsText" dxfId="812" priority="1649" operator="containsText" text="Pesquisa de Preços">
      <formula>NOT(ISERROR(SEARCH("Pesquisa de Preços",E1181)))</formula>
    </cfRule>
  </conditionalFormatting>
  <conditionalFormatting sqref="E1180">
    <cfRule type="containsText" dxfId="811" priority="1648" operator="containsText" text="Pesquisa de Preços">
      <formula>NOT(ISERROR(SEARCH("Pesquisa de Preços",E1180)))</formula>
    </cfRule>
  </conditionalFormatting>
  <conditionalFormatting sqref="E1183:E1184">
    <cfRule type="containsText" dxfId="810" priority="1647" operator="containsText" text="Pesquisa de Preços">
      <formula>NOT(ISERROR(SEARCH("Pesquisa de Preços",E1183)))</formula>
    </cfRule>
  </conditionalFormatting>
  <conditionalFormatting sqref="E1146:E1147 E1150:E1151">
    <cfRule type="containsText" dxfId="809" priority="1646" operator="containsText" text="Pesquisa de Preços">
      <formula>NOT(ISERROR(SEARCH("Pesquisa de Preços",E1146)))</formula>
    </cfRule>
  </conditionalFormatting>
  <conditionalFormatting sqref="E1145">
    <cfRule type="containsText" dxfId="808" priority="1645" operator="containsText" text="Pesquisa de Preços">
      <formula>NOT(ISERROR(SEARCH("Pesquisa de Preços",E1145)))</formula>
    </cfRule>
  </conditionalFormatting>
  <conditionalFormatting sqref="E1927">
    <cfRule type="containsText" dxfId="807" priority="1475" operator="containsText" text="Pesquisa de Preços">
      <formula>NOT(ISERROR(SEARCH("Pesquisa de Preços",E1927)))</formula>
    </cfRule>
  </conditionalFormatting>
  <conditionalFormatting sqref="E1148:E1149">
    <cfRule type="containsText" dxfId="806" priority="1644" operator="containsText" text="Pesquisa de Preços">
      <formula>NOT(ISERROR(SEARCH("Pesquisa de Preços",E1148)))</formula>
    </cfRule>
  </conditionalFormatting>
  <conditionalFormatting sqref="E1167:E1168 E1171:E1172">
    <cfRule type="containsText" dxfId="805" priority="1643" operator="containsText" text="Pesquisa de Preços">
      <formula>NOT(ISERROR(SEARCH("Pesquisa de Preços",E1167)))</formula>
    </cfRule>
  </conditionalFormatting>
  <conditionalFormatting sqref="E1166">
    <cfRule type="containsText" dxfId="804" priority="1642" operator="containsText" text="Pesquisa de Preços">
      <formula>NOT(ISERROR(SEARCH("Pesquisa de Preços",E1166)))</formula>
    </cfRule>
  </conditionalFormatting>
  <conditionalFormatting sqref="E1922">
    <cfRule type="containsText" dxfId="803" priority="1473" operator="containsText" text="Pesquisa de Preços">
      <formula>NOT(ISERROR(SEARCH("Pesquisa de Preços",E1922)))</formula>
    </cfRule>
  </conditionalFormatting>
  <conditionalFormatting sqref="E1169:E1170">
    <cfRule type="containsText" dxfId="802" priority="1641" operator="containsText" text="Pesquisa de Preços">
      <formula>NOT(ISERROR(SEARCH("Pesquisa de Preços",E1169)))</formula>
    </cfRule>
  </conditionalFormatting>
  <conditionalFormatting sqref="E1174 E1179">
    <cfRule type="containsText" dxfId="801" priority="1640" operator="containsText" text="Pesquisa de Preços">
      <formula>NOT(ISERROR(SEARCH("Pesquisa de Preços",E1174)))</formula>
    </cfRule>
  </conditionalFormatting>
  <conditionalFormatting sqref="E1173">
    <cfRule type="containsText" dxfId="800" priority="1639" operator="containsText" text="Pesquisa de Preços">
      <formula>NOT(ISERROR(SEARCH("Pesquisa de Preços",E1173)))</formula>
    </cfRule>
  </conditionalFormatting>
  <conditionalFormatting sqref="E1932">
    <cfRule type="containsText" dxfId="799" priority="1471" operator="containsText" text="Pesquisa de Preços">
      <formula>NOT(ISERROR(SEARCH("Pesquisa de Preços",E1932)))</formula>
    </cfRule>
  </conditionalFormatting>
  <conditionalFormatting sqref="E1208">
    <cfRule type="containsText" dxfId="798" priority="1637" operator="containsText" text="Pesquisa de Preços">
      <formula>NOT(ISERROR(SEARCH("Pesquisa de Preços",E1208)))</formula>
    </cfRule>
  </conditionalFormatting>
  <conditionalFormatting sqref="E1209:E1210 E1214">
    <cfRule type="containsText" dxfId="797" priority="1638" operator="containsText" text="Pesquisa de Preços">
      <formula>NOT(ISERROR(SEARCH("Pesquisa de Preços",E1209)))</formula>
    </cfRule>
  </conditionalFormatting>
  <conditionalFormatting sqref="E1953">
    <cfRule type="containsText" dxfId="796" priority="1469" operator="containsText" text="Pesquisa de Preços">
      <formula>NOT(ISERROR(SEARCH("Pesquisa de Preços",E1953)))</formula>
    </cfRule>
  </conditionalFormatting>
  <conditionalFormatting sqref="E1211:E1212">
    <cfRule type="containsText" dxfId="795" priority="1636" operator="containsText" text="Pesquisa de Preços">
      <formula>NOT(ISERROR(SEARCH("Pesquisa de Preços",E1211)))</formula>
    </cfRule>
  </conditionalFormatting>
  <conditionalFormatting sqref="E1134">
    <cfRule type="containsText" dxfId="794" priority="1635" operator="containsText" text="Pesquisa de Preços">
      <formula>NOT(ISERROR(SEARCH("Pesquisa de Preços",E1134)))</formula>
    </cfRule>
  </conditionalFormatting>
  <conditionalFormatting sqref="E1133">
    <cfRule type="containsText" dxfId="793" priority="1634" operator="containsText" text="Pesquisa de Preços">
      <formula>NOT(ISERROR(SEARCH("Pesquisa de Preços",E1133)))</formula>
    </cfRule>
  </conditionalFormatting>
  <conditionalFormatting sqref="E1272:E1273 E1275:E1276">
    <cfRule type="containsText" dxfId="792" priority="1633" operator="containsText" text="Pesquisa de Preços">
      <formula>NOT(ISERROR(SEARCH("Pesquisa de Preços",E1272)))</formula>
    </cfRule>
  </conditionalFormatting>
  <conditionalFormatting sqref="E1274">
    <cfRule type="containsText" dxfId="791" priority="1631" operator="containsText" text="Pesquisa de Preços">
      <formula>NOT(ISERROR(SEARCH("Pesquisa de Preços",E1274)))</formula>
    </cfRule>
  </conditionalFormatting>
  <conditionalFormatting sqref="E1306:E1307 E1311:E1312">
    <cfRule type="containsText" dxfId="790" priority="1630" operator="containsText" text="Pesquisa de Preços">
      <formula>NOT(ISERROR(SEARCH("Pesquisa de Preços",E1306)))</formula>
    </cfRule>
  </conditionalFormatting>
  <conditionalFormatting sqref="E1308:E1310">
    <cfRule type="containsText" dxfId="789" priority="1628" operator="containsText" text="Pesquisa de Preços">
      <formula>NOT(ISERROR(SEARCH("Pesquisa de Preços",E1308)))</formula>
    </cfRule>
  </conditionalFormatting>
  <conditionalFormatting sqref="E1314 E1320:E1321">
    <cfRule type="containsText" dxfId="788" priority="1627" operator="containsText" text="Pesquisa de Preços">
      <formula>NOT(ISERROR(SEARCH("Pesquisa de Preços",E1314)))</formula>
    </cfRule>
  </conditionalFormatting>
  <conditionalFormatting sqref="E1402:E1403 E1406:E1407">
    <cfRule type="containsText" dxfId="787" priority="1598" operator="containsText" text="Pesquisa de Preços">
      <formula>NOT(ISERROR(SEARCH("Pesquisa de Preços",E1402)))</formula>
    </cfRule>
  </conditionalFormatting>
  <conditionalFormatting sqref="E1278:E1279">
    <cfRule type="containsText" dxfId="786" priority="1625" operator="containsText" text="Pesquisa de Preços">
      <formula>NOT(ISERROR(SEARCH("Pesquisa de Preços",E1278)))</formula>
    </cfRule>
  </conditionalFormatting>
  <conditionalFormatting sqref="E1280:E1282">
    <cfRule type="containsText" dxfId="785" priority="1623" operator="containsText" text="Pesquisa de Preços">
      <formula>NOT(ISERROR(SEARCH("Pesquisa de Preços",E1280)))</formula>
    </cfRule>
  </conditionalFormatting>
  <conditionalFormatting sqref="E1285:E1286 E1290">
    <cfRule type="containsText" dxfId="784" priority="1622" operator="containsText" text="Pesquisa de Preços">
      <formula>NOT(ISERROR(SEARCH("Pesquisa de Preços",E1285)))</formula>
    </cfRule>
  </conditionalFormatting>
  <conditionalFormatting sqref="E1979">
    <cfRule type="containsText" dxfId="783" priority="1462" operator="containsText" text="Pesquisa de Preços">
      <formula>NOT(ISERROR(SEARCH("Pesquisa de Preços",E1979)))</formula>
    </cfRule>
  </conditionalFormatting>
  <conditionalFormatting sqref="E1292:E1293 E1297">
    <cfRule type="containsText" dxfId="782" priority="1620" operator="containsText" text="Pesquisa de Preços">
      <formula>NOT(ISERROR(SEARCH("Pesquisa de Preços",E1292)))</formula>
    </cfRule>
  </conditionalFormatting>
  <conditionalFormatting sqref="E1972">
    <cfRule type="containsText" dxfId="781" priority="1460" operator="containsText" text="Pesquisa de Preços">
      <formula>NOT(ISERROR(SEARCH("Pesquisa de Preços",E1972)))</formula>
    </cfRule>
  </conditionalFormatting>
  <conditionalFormatting sqref="E1299 E1302 E1304">
    <cfRule type="containsText" dxfId="780" priority="1618" operator="containsText" text="Pesquisa de Preços">
      <formula>NOT(ISERROR(SEARCH("Pesquisa de Preços",E1299)))</formula>
    </cfRule>
  </conditionalFormatting>
  <conditionalFormatting sqref="E1334:E1335">
    <cfRule type="containsText" dxfId="779" priority="1614" operator="containsText" text="Pesquisa de Preços">
      <formula>NOT(ISERROR(SEARCH("Pesquisa de Preços",E1334)))</formula>
    </cfRule>
  </conditionalFormatting>
  <conditionalFormatting sqref="E1340:E1341">
    <cfRule type="containsText" dxfId="778" priority="1616" operator="containsText" text="Pesquisa de Preços">
      <formula>NOT(ISERROR(SEARCH("Pesquisa de Preços",E1340)))</formula>
    </cfRule>
  </conditionalFormatting>
  <conditionalFormatting sqref="E2016">
    <cfRule type="containsText" dxfId="777" priority="1454" operator="containsText" text="Pesquisa de Preços">
      <formula>NOT(ISERROR(SEARCH("Pesquisa de Preços",E2016)))</formula>
    </cfRule>
  </conditionalFormatting>
  <conditionalFormatting sqref="E1323:E1324">
    <cfRule type="containsText" dxfId="776" priority="1610" operator="containsText" text="Pesquisa de Preços">
      <formula>NOT(ISERROR(SEARCH("Pesquisa de Preços",E1323)))</formula>
    </cfRule>
  </conditionalFormatting>
  <conditionalFormatting sqref="E2009">
    <cfRule type="containsText" dxfId="775" priority="1452" operator="containsText" text="Pesquisa de Preços">
      <formula>NOT(ISERROR(SEARCH("Pesquisa de Preços",E2009)))</formula>
    </cfRule>
  </conditionalFormatting>
  <conditionalFormatting sqref="E1328:E1329">
    <cfRule type="containsText" dxfId="774" priority="1612" operator="containsText" text="Pesquisa de Preços">
      <formula>NOT(ISERROR(SEARCH("Pesquisa de Preços",E1328)))</formula>
    </cfRule>
  </conditionalFormatting>
  <conditionalFormatting sqref="E2002">
    <cfRule type="containsText" dxfId="773" priority="1449" operator="containsText" text="Pesquisa de Preços">
      <formula>NOT(ISERROR(SEARCH("Pesquisa de Preços",E2002)))</formula>
    </cfRule>
  </conditionalFormatting>
  <conditionalFormatting sqref="E1995">
    <cfRule type="containsText" dxfId="772" priority="1446" operator="containsText" text="Pesquisa de Preços">
      <formula>NOT(ISERROR(SEARCH("Pesquisa de Preços",E1995)))</formula>
    </cfRule>
  </conditionalFormatting>
  <conditionalFormatting sqref="E1346:E1347 E1350:E1351">
    <cfRule type="containsText" dxfId="771" priority="1608" operator="containsText" text="Pesquisa de Preços">
      <formula>NOT(ISERROR(SEARCH("Pesquisa de Preços",E1346)))</formula>
    </cfRule>
  </conditionalFormatting>
  <conditionalFormatting sqref="E1520">
    <cfRule type="containsText" dxfId="770" priority="1581" operator="containsText" text="Pesquisa de Preços">
      <formula>NOT(ISERROR(SEARCH("Pesquisa de Preços",E1520)))</formula>
    </cfRule>
  </conditionalFormatting>
  <conditionalFormatting sqref="E1348:E1349">
    <cfRule type="containsText" dxfId="769" priority="1606" operator="containsText" text="Pesquisa de Preços">
      <formula>NOT(ISERROR(SEARCH("Pesquisa de Preços",E1348)))</formula>
    </cfRule>
  </conditionalFormatting>
  <conditionalFormatting sqref="E1359:E1360 E1363:E1364">
    <cfRule type="containsText" dxfId="768" priority="1605" operator="containsText" text="Pesquisa de Preços">
      <formula>NOT(ISERROR(SEARCH("Pesquisa de Preços",E1359)))</formula>
    </cfRule>
  </conditionalFormatting>
  <conditionalFormatting sqref="E1528">
    <cfRule type="containsText" dxfId="767" priority="1582" operator="containsText" text="Pesquisa de Preços">
      <formula>NOT(ISERROR(SEARCH("Pesquisa de Preços",E1528)))</formula>
    </cfRule>
  </conditionalFormatting>
  <conditionalFormatting sqref="E1361:E1362">
    <cfRule type="containsText" dxfId="766" priority="1603" operator="containsText" text="Pesquisa de Preços">
      <formula>NOT(ISERROR(SEARCH("Pesquisa de Preços",E1361)))</formula>
    </cfRule>
  </conditionalFormatting>
  <conditionalFormatting sqref="E1353 E1356:E1357">
    <cfRule type="containsText" dxfId="765" priority="1602" operator="containsText" text="Pesquisa de Preços">
      <formula>NOT(ISERROR(SEARCH("Pesquisa de Preços",E1353)))</formula>
    </cfRule>
  </conditionalFormatting>
  <conditionalFormatting sqref="E1401">
    <cfRule type="containsText" dxfId="764" priority="1597" operator="containsText" text="Pesquisa de Preços">
      <formula>NOT(ISERROR(SEARCH("Pesquisa de Preços",E1401)))</formula>
    </cfRule>
  </conditionalFormatting>
  <conditionalFormatting sqref="E1366 E1369:E1370">
    <cfRule type="containsText" dxfId="763" priority="1600" operator="containsText" text="Pesquisa de Preços">
      <formula>NOT(ISERROR(SEARCH("Pesquisa de Preços",E1366)))</formula>
    </cfRule>
  </conditionalFormatting>
  <conditionalFormatting sqref="E1365">
    <cfRule type="containsText" dxfId="762" priority="1599" operator="containsText" text="Pesquisa de Preços">
      <formula>NOT(ISERROR(SEARCH("Pesquisa de Preços",E1365)))</formula>
    </cfRule>
  </conditionalFormatting>
  <conditionalFormatting sqref="E1404:E1405">
    <cfRule type="containsText" dxfId="761" priority="1596" operator="containsText" text="Pesquisa de Preços">
      <formula>NOT(ISERROR(SEARCH("Pesquisa de Preços",E1404)))</formula>
    </cfRule>
  </conditionalFormatting>
  <conditionalFormatting sqref="E2171">
    <cfRule type="containsText" dxfId="760" priority="1435" operator="containsText" text="Pesquisa de Preços">
      <formula>NOT(ISERROR(SEARCH("Pesquisa de Preços",E2171)))</formula>
    </cfRule>
  </conditionalFormatting>
  <conditionalFormatting sqref="E1372:E1373 E1375:E1376">
    <cfRule type="containsText" dxfId="759" priority="1595" operator="containsText" text="Pesquisa de Preços">
      <formula>NOT(ISERROR(SEARCH("Pesquisa de Preços",E1372)))</formula>
    </cfRule>
  </conditionalFormatting>
  <conditionalFormatting sqref="E1371">
    <cfRule type="containsText" dxfId="758" priority="1594" operator="containsText" text="Pesquisa de Preços">
      <formula>NOT(ISERROR(SEARCH("Pesquisa de Preços",E1371)))</formula>
    </cfRule>
  </conditionalFormatting>
  <conditionalFormatting sqref="E1382">
    <cfRule type="containsText" dxfId="757" priority="1593" operator="containsText" text="Pesquisa de Preços">
      <formula>NOT(ISERROR(SEARCH("Pesquisa de Preços",E1382)))</formula>
    </cfRule>
  </conditionalFormatting>
  <conditionalFormatting sqref="E1388">
    <cfRule type="containsText" dxfId="756" priority="1592" operator="containsText" text="Pesquisa de Preços">
      <formula>NOT(ISERROR(SEARCH("Pesquisa de Preços",E1388)))</formula>
    </cfRule>
  </conditionalFormatting>
  <conditionalFormatting sqref="E1409 E1422">
    <cfRule type="containsText" dxfId="755" priority="1571" operator="containsText" text="Pesquisa de Preços">
      <formula>NOT(ISERROR(SEARCH("Pesquisa de Preços",E1409)))</formula>
    </cfRule>
  </conditionalFormatting>
  <conditionalFormatting sqref="E1560">
    <cfRule type="containsText" dxfId="754" priority="1590" operator="containsText" text="Pesquisa de Preços">
      <formula>NOT(ISERROR(SEARCH("Pesquisa de Preços",E1560)))</formula>
    </cfRule>
  </conditionalFormatting>
  <conditionalFormatting sqref="E1561:E1562">
    <cfRule type="containsText" dxfId="753" priority="1591" operator="containsText" text="Pesquisa de Preços">
      <formula>NOT(ISERROR(SEARCH("Pesquisa de Preços",E1561)))</formula>
    </cfRule>
  </conditionalFormatting>
  <conditionalFormatting sqref="E1563 E1565">
    <cfRule type="containsText" dxfId="752" priority="1589" operator="containsText" text="Pesquisa de Preços">
      <formula>NOT(ISERROR(SEARCH("Pesquisa de Preços",E1563)))</formula>
    </cfRule>
  </conditionalFormatting>
  <conditionalFormatting sqref="E1554:E1555">
    <cfRule type="containsText" dxfId="751" priority="1588" operator="containsText" text="Pesquisa de Preços">
      <formula>NOT(ISERROR(SEARCH("Pesquisa de Preços",E1554)))</formula>
    </cfRule>
  </conditionalFormatting>
  <conditionalFormatting sqref="E1553">
    <cfRule type="containsText" dxfId="750" priority="1587" operator="containsText" text="Pesquisa de Preços">
      <formula>NOT(ISERROR(SEARCH("Pesquisa de Preços",E1553)))</formula>
    </cfRule>
  </conditionalFormatting>
  <conditionalFormatting sqref="E2045">
    <cfRule type="containsText" dxfId="749" priority="1429" operator="containsText" text="Pesquisa de Preços">
      <formula>NOT(ISERROR(SEARCH("Pesquisa de Preços",E2045)))</formula>
    </cfRule>
  </conditionalFormatting>
  <conditionalFormatting sqref="E1546 E1552">
    <cfRule type="containsText" dxfId="748" priority="1586" operator="containsText" text="Pesquisa de Preços">
      <formula>NOT(ISERROR(SEARCH("Pesquisa de Preços",E1546)))</formula>
    </cfRule>
  </conditionalFormatting>
  <conditionalFormatting sqref="E1545">
    <cfRule type="containsText" dxfId="747" priority="1585" operator="containsText" text="Pesquisa de Preços">
      <formula>NOT(ISERROR(SEARCH("Pesquisa de Preços",E1545)))</formula>
    </cfRule>
  </conditionalFormatting>
  <conditionalFormatting sqref="E1530">
    <cfRule type="containsText" dxfId="746" priority="1584" operator="containsText" text="Pesquisa de Preços">
      <formula>NOT(ISERROR(SEARCH("Pesquisa de Preços",E1530)))</formula>
    </cfRule>
  </conditionalFormatting>
  <conditionalFormatting sqref="E1529">
    <cfRule type="containsText" dxfId="745" priority="1583" operator="containsText" text="Pesquisa de Preços">
      <formula>NOT(ISERROR(SEARCH("Pesquisa de Preços",E1529)))</formula>
    </cfRule>
  </conditionalFormatting>
  <conditionalFormatting sqref="E1568:E1569 E1572:E1573">
    <cfRule type="containsText" dxfId="744" priority="1576" operator="containsText" text="Pesquisa de Preços">
      <formula>NOT(ISERROR(SEARCH("Pesquisa de Preços",E1568)))</formula>
    </cfRule>
  </conditionalFormatting>
  <conditionalFormatting sqref="E1497">
    <cfRule type="containsText" dxfId="743" priority="1562" operator="containsText" text="Pesquisa de Preços">
      <formula>NOT(ISERROR(SEARCH("Pesquisa de Preços",E1497)))</formula>
    </cfRule>
  </conditionalFormatting>
  <conditionalFormatting sqref="E1499 E1512">
    <cfRule type="containsText" dxfId="742" priority="1573" operator="containsText" text="Pesquisa de Preços">
      <formula>NOT(ISERROR(SEARCH("Pesquisa de Preços",E1499)))</formula>
    </cfRule>
  </conditionalFormatting>
  <conditionalFormatting sqref="E1498">
    <cfRule type="containsText" dxfId="741" priority="1572" operator="containsText" text="Pesquisa de Preços">
      <formula>NOT(ISERROR(SEARCH("Pesquisa de Preços",E1498)))</formula>
    </cfRule>
  </conditionalFormatting>
  <conditionalFormatting sqref="E1544">
    <cfRule type="containsText" dxfId="740" priority="1580" operator="containsText" text="Pesquisa de Preços">
      <formula>NOT(ISERROR(SEARCH("Pesquisa de Preços",E1544)))</formula>
    </cfRule>
  </conditionalFormatting>
  <conditionalFormatting sqref="E1575:E1576 E1579:E1580">
    <cfRule type="containsText" dxfId="739" priority="1579" operator="containsText" text="Pesquisa de Preços">
      <formula>NOT(ISERROR(SEARCH("Pesquisa de Preços",E1575)))</formula>
    </cfRule>
  </conditionalFormatting>
  <conditionalFormatting sqref="E1574">
    <cfRule type="containsText" dxfId="738" priority="1578" operator="containsText" text="Pesquisa de Preços">
      <formula>NOT(ISERROR(SEARCH("Pesquisa de Preços",E1574)))</formula>
    </cfRule>
  </conditionalFormatting>
  <conditionalFormatting sqref="E1578">
    <cfRule type="containsText" dxfId="737" priority="1577" operator="containsText" text="Pesquisa de Preços">
      <formula>NOT(ISERROR(SEARCH("Pesquisa de Preços",E1578)))</formula>
    </cfRule>
  </conditionalFormatting>
  <conditionalFormatting sqref="E1567">
    <cfRule type="containsText" dxfId="736" priority="1575" operator="containsText" text="Pesquisa de Preços">
      <formula>NOT(ISERROR(SEARCH("Pesquisa de Preços",E1567)))</formula>
    </cfRule>
  </conditionalFormatting>
  <conditionalFormatting sqref="E1570:E1571">
    <cfRule type="containsText" dxfId="735" priority="1574" operator="containsText" text="Pesquisa de Preços">
      <formula>NOT(ISERROR(SEARCH("Pesquisa de Preços",E1570)))</formula>
    </cfRule>
  </conditionalFormatting>
  <conditionalFormatting sqref="E1621">
    <cfRule type="containsText" dxfId="734" priority="1540" operator="containsText" text="Pesquisa de Preços">
      <formula>NOT(ISERROR(SEARCH("Pesquisa de Preços",E1621)))</formula>
    </cfRule>
  </conditionalFormatting>
  <conditionalFormatting sqref="E1408">
    <cfRule type="containsText" dxfId="733" priority="1570" operator="containsText" text="Pesquisa de Preços">
      <formula>NOT(ISERROR(SEARCH("Pesquisa de Preços",E1408)))</formula>
    </cfRule>
  </conditionalFormatting>
  <conditionalFormatting sqref="E1615 E1619:E1620">
    <cfRule type="containsText" dxfId="732" priority="1533" operator="containsText" text="Pesquisa de Preços">
      <formula>NOT(ISERROR(SEARCH("Pesquisa de Preços",E1615)))</formula>
    </cfRule>
  </conditionalFormatting>
  <conditionalFormatting sqref="E1439 E1452">
    <cfRule type="containsText" dxfId="731" priority="1569" operator="containsText" text="Pesquisa de Preços">
      <formula>NOT(ISERROR(SEARCH("Pesquisa de Preços",E1439)))</formula>
    </cfRule>
  </conditionalFormatting>
  <conditionalFormatting sqref="E1438">
    <cfRule type="containsText" dxfId="730" priority="1568" operator="containsText" text="Pesquisa de Preços">
      <formula>NOT(ISERROR(SEARCH("Pesquisa de Preços",E1438)))</formula>
    </cfRule>
  </conditionalFormatting>
  <conditionalFormatting sqref="E1633 E1637">
    <cfRule type="containsText" dxfId="729" priority="1545" operator="containsText" text="Pesquisa de Preços">
      <formula>NOT(ISERROR(SEARCH("Pesquisa de Preços",E1633)))</formula>
    </cfRule>
  </conditionalFormatting>
  <conditionalFormatting sqref="E1424 E1437">
    <cfRule type="containsText" dxfId="728" priority="1567" operator="containsText" text="Pesquisa de Preços">
      <formula>NOT(ISERROR(SEARCH("Pesquisa de Preços",E1424)))</formula>
    </cfRule>
  </conditionalFormatting>
  <conditionalFormatting sqref="E1469 E1482">
    <cfRule type="containsText" dxfId="727" priority="1565" operator="containsText" text="Pesquisa de Preços">
      <formula>NOT(ISERROR(SEARCH("Pesquisa de Preços",E1469)))</formula>
    </cfRule>
  </conditionalFormatting>
  <conditionalFormatting sqref="E1696 E1699 E1701">
    <cfRule type="containsText" dxfId="726" priority="1547" operator="containsText" text="Pesquisa de Preços">
      <formula>NOT(ISERROR(SEARCH("Pesquisa de Preços",E1696)))</formula>
    </cfRule>
  </conditionalFormatting>
  <conditionalFormatting sqref="E1467">
    <cfRule type="containsText" dxfId="725" priority="1563" operator="containsText" text="Pesquisa de Preços">
      <formula>NOT(ISERROR(SEARCH("Pesquisa de Preços",E1467)))</formula>
    </cfRule>
  </conditionalFormatting>
  <conditionalFormatting sqref="E2283">
    <cfRule type="containsText" dxfId="724" priority="1390" operator="containsText" text="Pesquisa de Preços">
      <formula>NOT(ISERROR(SEARCH("Pesquisa de Preços",E2283)))</formula>
    </cfRule>
  </conditionalFormatting>
  <conditionalFormatting sqref="E1597 E1601">
    <cfRule type="containsText" dxfId="723" priority="1555" operator="containsText" text="Pesquisa de Preços">
      <formula>NOT(ISERROR(SEARCH("Pesquisa de Preços",E1597)))</formula>
    </cfRule>
  </conditionalFormatting>
  <conditionalFormatting sqref="E1582:E1583 E1594:E1595">
    <cfRule type="containsText" dxfId="722" priority="1561" operator="containsText" text="Pesquisa de Preços">
      <formula>NOT(ISERROR(SEARCH("Pesquisa de Preços",E1582)))</formula>
    </cfRule>
  </conditionalFormatting>
  <conditionalFormatting sqref="E2216">
    <cfRule type="containsText" dxfId="721" priority="1406" operator="containsText" text="Pesquisa de Preços">
      <formula>NOT(ISERROR(SEARCH("Pesquisa de Preços",E2216)))</formula>
    </cfRule>
  </conditionalFormatting>
  <conditionalFormatting sqref="E1584:E1593">
    <cfRule type="containsText" dxfId="720" priority="1559" operator="containsText" text="Pesquisa de Preços">
      <formula>NOT(ISERROR(SEARCH("Pesquisa de Preços",E1584)))</formula>
    </cfRule>
  </conditionalFormatting>
  <conditionalFormatting sqref="E1396:E1397 E1399:E1400">
    <cfRule type="containsText" dxfId="719" priority="1558" operator="containsText" text="Pesquisa de Preços">
      <formula>NOT(ISERROR(SEARCH("Pesquisa de Preços",E1396)))</formula>
    </cfRule>
  </conditionalFormatting>
  <conditionalFormatting sqref="E1395">
    <cfRule type="containsText" dxfId="718" priority="1557" operator="containsText" text="Pesquisa de Preços">
      <formula>NOT(ISERROR(SEARCH("Pesquisa de Preços",E1395)))</formula>
    </cfRule>
  </conditionalFormatting>
  <conditionalFormatting sqref="E2235">
    <cfRule type="containsText" dxfId="717" priority="1402" operator="containsText" text="Pesquisa de Preços">
      <formula>NOT(ISERROR(SEARCH("Pesquisa de Preços",E2235)))</formula>
    </cfRule>
  </conditionalFormatting>
  <conditionalFormatting sqref="E1398">
    <cfRule type="containsText" dxfId="716" priority="1556" operator="containsText" text="Pesquisa de Preços">
      <formula>NOT(ISERROR(SEARCH("Pesquisa de Preços",E1398)))</formula>
    </cfRule>
  </conditionalFormatting>
  <conditionalFormatting sqref="E1596">
    <cfRule type="containsText" dxfId="715" priority="1554" operator="containsText" text="Pesquisa de Preços">
      <formula>NOT(ISERROR(SEARCH("Pesquisa de Preços",E1596)))</formula>
    </cfRule>
  </conditionalFormatting>
  <conditionalFormatting sqref="E1639 E1641:E1642">
    <cfRule type="containsText" dxfId="714" priority="1539" operator="containsText" text="Pesquisa de Preços">
      <formula>NOT(ISERROR(SEARCH("Pesquisa de Preços",E1639)))</formula>
    </cfRule>
  </conditionalFormatting>
  <conditionalFormatting sqref="E1603 E1607">
    <cfRule type="containsText" dxfId="713" priority="1553" operator="containsText" text="Pesquisa de Preços">
      <formula>NOT(ISERROR(SEARCH("Pesquisa de Preços",E1603)))</formula>
    </cfRule>
  </conditionalFormatting>
  <conditionalFormatting sqref="E1602">
    <cfRule type="containsText" dxfId="712" priority="1552" operator="containsText" text="Pesquisa de Preços">
      <formula>NOT(ISERROR(SEARCH("Pesquisa de Preços",E1602)))</formula>
    </cfRule>
  </conditionalFormatting>
  <conditionalFormatting sqref="E1649">
    <cfRule type="containsText" dxfId="711" priority="1549" operator="containsText" text="Pesquisa de Preços">
      <formula>NOT(ISERROR(SEARCH("Pesquisa de Preços",E1649)))</formula>
    </cfRule>
  </conditionalFormatting>
  <conditionalFormatting sqref="E1613">
    <cfRule type="containsText" dxfId="710" priority="1551" operator="containsText" text="Pesquisa de Preços">
      <formula>NOT(ISERROR(SEARCH("Pesquisa de Preços",E1613)))</formula>
    </cfRule>
  </conditionalFormatting>
  <conditionalFormatting sqref="E1650:E1651">
    <cfRule type="containsText" dxfId="709" priority="1550" operator="containsText" text="Pesquisa de Preços">
      <formula>NOT(ISERROR(SEARCH("Pesquisa de Preços",E1650)))</formula>
    </cfRule>
  </conditionalFormatting>
  <conditionalFormatting sqref="E2255">
    <cfRule type="containsText" dxfId="708" priority="1398" operator="containsText" text="Pesquisa de Preços">
      <formula>NOT(ISERROR(SEARCH("Pesquisa de Preços",E2255)))</formula>
    </cfRule>
  </conditionalFormatting>
  <conditionalFormatting sqref="E1652:E1653">
    <cfRule type="containsText" dxfId="707" priority="1548" operator="containsText" text="Pesquisa de Preços">
      <formula>NOT(ISERROR(SEARCH("Pesquisa de Preços",E1652)))</formula>
    </cfRule>
  </conditionalFormatting>
  <conditionalFormatting sqref="E1695">
    <cfRule type="containsText" dxfId="706" priority="1546" operator="containsText" text="Pesquisa de Preços">
      <formula>NOT(ISERROR(SEARCH("Pesquisa de Preços",E1695)))</formula>
    </cfRule>
  </conditionalFormatting>
  <conditionalFormatting sqref="E1627 E1631">
    <cfRule type="containsText" dxfId="705" priority="1543" operator="containsText" text="Pesquisa de Preços">
      <formula>NOT(ISERROR(SEARCH("Pesquisa de Preços",E1627)))</formula>
    </cfRule>
  </conditionalFormatting>
  <conditionalFormatting sqref="E1632">
    <cfRule type="containsText" dxfId="704" priority="1544" operator="containsText" text="Pesquisa de Preços">
      <formula>NOT(ISERROR(SEARCH("Pesquisa de Preços",E1632)))</formula>
    </cfRule>
  </conditionalFormatting>
  <conditionalFormatting sqref="E1626">
    <cfRule type="containsText" dxfId="703" priority="1542" operator="containsText" text="Pesquisa de Preços">
      <formula>NOT(ISERROR(SEARCH("Pesquisa de Preços",E1626)))</formula>
    </cfRule>
  </conditionalFormatting>
  <conditionalFormatting sqref="E1622 E1624:E1625">
    <cfRule type="containsText" dxfId="702" priority="1541" operator="containsText" text="Pesquisa de Preços">
      <formula>NOT(ISERROR(SEARCH("Pesquisa de Preços",E1622)))</formula>
    </cfRule>
  </conditionalFormatting>
  <conditionalFormatting sqref="E1644 E1647:E1648">
    <cfRule type="containsText" dxfId="701" priority="1537" operator="containsText" text="Pesquisa de Preços">
      <formula>NOT(ISERROR(SEARCH("Pesquisa de Preços",E1644)))</formula>
    </cfRule>
  </conditionalFormatting>
  <conditionalFormatting sqref="E1748 E1739:E1741">
    <cfRule type="containsText" dxfId="700" priority="1521" operator="containsText" text="Pesquisa de Preços">
      <formula>NOT(ISERROR(SEARCH("Pesquisa de Preços",E1739)))</formula>
    </cfRule>
  </conditionalFormatting>
  <conditionalFormatting sqref="E1689 E1693:E1694">
    <cfRule type="containsText" dxfId="699" priority="1535" operator="containsText" text="Pesquisa de Preços">
      <formula>NOT(ISERROR(SEARCH("Pesquisa de Preços",E1689)))</formula>
    </cfRule>
  </conditionalFormatting>
  <conditionalFormatting sqref="E1688">
    <cfRule type="containsText" dxfId="698" priority="1534" operator="containsText" text="Pesquisa de Preços">
      <formula>NOT(ISERROR(SEARCH("Pesquisa de Preços",E1688)))</formula>
    </cfRule>
  </conditionalFormatting>
  <conditionalFormatting sqref="E2365">
    <cfRule type="containsText" dxfId="697" priority="1367" operator="containsText" text="Pesquisa de Preços">
      <formula>NOT(ISERROR(SEARCH("Pesquisa de Preços",E2365)))</formula>
    </cfRule>
  </conditionalFormatting>
  <conditionalFormatting sqref="E2360">
    <cfRule type="containsText" dxfId="696" priority="1369" operator="containsText" text="Pesquisa de Preços">
      <formula>NOT(ISERROR(SEARCH("Pesquisa de Preços",E2360)))</formula>
    </cfRule>
  </conditionalFormatting>
  <conditionalFormatting sqref="E1683 E1686:E1687">
    <cfRule type="containsText" dxfId="695" priority="1531" operator="containsText" text="Pesquisa de Preços">
      <formula>NOT(ISERROR(SEARCH("Pesquisa de Preços",E1683)))</formula>
    </cfRule>
  </conditionalFormatting>
  <conditionalFormatting sqref="E1682">
    <cfRule type="containsText" dxfId="694" priority="1530" operator="containsText" text="Pesquisa de Preços">
      <formula>NOT(ISERROR(SEARCH("Pesquisa de Preços",E1682)))</formula>
    </cfRule>
  </conditionalFormatting>
  <conditionalFormatting sqref="E1678 E1680:E1681">
    <cfRule type="containsText" dxfId="693" priority="1529" operator="containsText" text="Pesquisa de Preços">
      <formula>NOT(ISERROR(SEARCH("Pesquisa de Preços",E1678)))</formula>
    </cfRule>
  </conditionalFormatting>
  <conditionalFormatting sqref="E1677">
    <cfRule type="containsText" dxfId="692" priority="1528" operator="containsText" text="Pesquisa de Preços">
      <formula>NOT(ISERROR(SEARCH("Pesquisa de Preços",E1677)))</formula>
    </cfRule>
  </conditionalFormatting>
  <conditionalFormatting sqref="E1728:E1729 E1737">
    <cfRule type="containsText" dxfId="691" priority="1515" operator="containsText" text="Pesquisa de Preços">
      <formula>NOT(ISERROR(SEARCH("Pesquisa de Preços",E1728)))</formula>
    </cfRule>
  </conditionalFormatting>
  <conditionalFormatting sqref="E1673">
    <cfRule type="containsText" dxfId="690" priority="1525" operator="containsText" text="Pesquisa de Preços">
      <formula>NOT(ISERROR(SEARCH("Pesquisa de Preços",E1673)))</formula>
    </cfRule>
  </conditionalFormatting>
  <conditionalFormatting sqref="E1668">
    <cfRule type="containsText" dxfId="689" priority="1527" operator="containsText" text="Pesquisa de Preços">
      <formula>NOT(ISERROR(SEARCH("Pesquisa de Preços",E1668)))</formula>
    </cfRule>
  </conditionalFormatting>
  <conditionalFormatting sqref="E1667">
    <cfRule type="containsText" dxfId="688" priority="1526" operator="containsText" text="Pesquisa de Preços">
      <formula>NOT(ISERROR(SEARCH("Pesquisa de Preços",E1667)))</formula>
    </cfRule>
  </conditionalFormatting>
  <conditionalFormatting sqref="E2337">
    <cfRule type="containsText" dxfId="687" priority="1377" operator="containsText" text="Pesquisa de Preços">
      <formula>NOT(ISERROR(SEARCH("Pesquisa de Preços",E2337)))</formula>
    </cfRule>
  </conditionalFormatting>
  <conditionalFormatting sqref="E2349">
    <cfRule type="containsText" dxfId="686" priority="1375" operator="containsText" text="Pesquisa de Preços">
      <formula>NOT(ISERROR(SEARCH("Pesquisa de Preços",E2349)))</formula>
    </cfRule>
  </conditionalFormatting>
  <conditionalFormatting sqref="E1662 E1665:E1666">
    <cfRule type="containsText" dxfId="685" priority="1523" operator="containsText" text="Pesquisa de Preços">
      <formula>NOT(ISERROR(SEARCH("Pesquisa de Preços",E1662)))</formula>
    </cfRule>
  </conditionalFormatting>
  <conditionalFormatting sqref="E1750 E1759">
    <cfRule type="containsText" dxfId="684" priority="1519" operator="containsText" text="Pesquisa de Preços">
      <formula>NOT(ISERROR(SEARCH("Pesquisa de Preços",E1750)))</formula>
    </cfRule>
  </conditionalFormatting>
  <conditionalFormatting sqref="E1717:E1718 E1726">
    <cfRule type="containsText" dxfId="683" priority="1517" operator="containsText" text="Pesquisa de Preços">
      <formula>NOT(ISERROR(SEARCH("Pesquisa de Preços",E1717)))</formula>
    </cfRule>
  </conditionalFormatting>
  <conditionalFormatting sqref="E897">
    <cfRule type="containsText" dxfId="682" priority="1365" operator="containsText" text="Pesquisa de Preços">
      <formula>NOT(ISERROR(SEARCH("Pesquisa de Preços",E897)))</formula>
    </cfRule>
  </conditionalFormatting>
  <conditionalFormatting sqref="E876">
    <cfRule type="containsText" dxfId="681" priority="1363" operator="containsText" text="Pesquisa de Preços">
      <formula>NOT(ISERROR(SEARCH("Pesquisa de Preços",E876)))</formula>
    </cfRule>
  </conditionalFormatting>
  <conditionalFormatting sqref="E1703:E1704 E1706:E1707">
    <cfRule type="containsText" dxfId="680" priority="1513" operator="containsText" text="Pesquisa de Preços">
      <formula>NOT(ISERROR(SEARCH("Pesquisa de Preços",E1703)))</formula>
    </cfRule>
  </conditionalFormatting>
  <conditionalFormatting sqref="E884">
    <cfRule type="containsText" dxfId="679" priority="1360" operator="containsText" text="Pesquisa de Preços">
      <formula>NOT(ISERROR(SEARCH("Pesquisa de Preços",E884)))</formula>
    </cfRule>
  </conditionalFormatting>
  <conditionalFormatting sqref="E1709">
    <cfRule type="containsText" dxfId="678" priority="1511" operator="containsText" text="Pesquisa de Preços">
      <formula>NOT(ISERROR(SEARCH("Pesquisa de Preços",E1709)))</formula>
    </cfRule>
  </conditionalFormatting>
  <conditionalFormatting sqref="E855">
    <cfRule type="containsText" dxfId="677" priority="1357" operator="containsText" text="Pesquisa de Preços">
      <formula>NOT(ISERROR(SEARCH("Pesquisa de Preços",E855)))</formula>
    </cfRule>
  </conditionalFormatting>
  <conditionalFormatting sqref="E1712:E1713">
    <cfRule type="containsText" dxfId="676" priority="1509" operator="containsText" text="Pesquisa de Preços">
      <formula>NOT(ISERROR(SEARCH("Pesquisa de Preços",E1712)))</formula>
    </cfRule>
  </conditionalFormatting>
  <conditionalFormatting sqref="E1822">
    <cfRule type="containsText" dxfId="675" priority="1508" operator="containsText" text="Pesquisa de Preços">
      <formula>NOT(ISERROR(SEARCH("Pesquisa de Preços",E1822)))</formula>
    </cfRule>
  </conditionalFormatting>
  <conditionalFormatting sqref="E1821">
    <cfRule type="containsText" dxfId="674" priority="1507" operator="containsText" text="Pesquisa de Preços">
      <formula>NOT(ISERROR(SEARCH("Pesquisa de Preços",E1821)))</formula>
    </cfRule>
  </conditionalFormatting>
  <conditionalFormatting sqref="E1848">
    <cfRule type="containsText" dxfId="673" priority="1498" operator="containsText" text="Pesquisa de Preços">
      <formula>NOT(ISERROR(SEARCH("Pesquisa de Preços",E1848)))</formula>
    </cfRule>
  </conditionalFormatting>
  <conditionalFormatting sqref="E1817">
    <cfRule type="containsText" dxfId="672" priority="1506" operator="containsText" text="Pesquisa de Preços">
      <formula>NOT(ISERROR(SEARCH("Pesquisa de Preços",E1817)))</formula>
    </cfRule>
  </conditionalFormatting>
  <conditionalFormatting sqref="E1816">
    <cfRule type="containsText" dxfId="671" priority="1505" operator="containsText" text="Pesquisa de Preços">
      <formula>NOT(ISERROR(SEARCH("Pesquisa de Preços",E1816)))</formula>
    </cfRule>
  </conditionalFormatting>
  <conditionalFormatting sqref="E1827 E1830:E1831">
    <cfRule type="containsText" dxfId="670" priority="1504" operator="containsText" text="Pesquisa de Preços">
      <formula>NOT(ISERROR(SEARCH("Pesquisa de Preços",E1827)))</formula>
    </cfRule>
  </conditionalFormatting>
  <conditionalFormatting sqref="E1826">
    <cfRule type="containsText" dxfId="669" priority="1503" operator="containsText" text="Pesquisa de Preços">
      <formula>NOT(ISERROR(SEARCH("Pesquisa de Preços",E1826)))</formula>
    </cfRule>
  </conditionalFormatting>
  <conditionalFormatting sqref="E1829">
    <cfRule type="containsText" dxfId="668" priority="1502" operator="containsText" text="Pesquisa de Preços">
      <formula>NOT(ISERROR(SEARCH("Pesquisa de Preços",E1829)))</formula>
    </cfRule>
  </conditionalFormatting>
  <conditionalFormatting sqref="E1837">
    <cfRule type="containsText" dxfId="667" priority="1501" operator="containsText" text="Pesquisa de Preços">
      <formula>NOT(ISERROR(SEARCH("Pesquisa de Preços",E1837)))</formula>
    </cfRule>
  </conditionalFormatting>
  <conditionalFormatting sqref="E1846:E1847 E1849:E1850">
    <cfRule type="containsText" dxfId="666" priority="1500" operator="containsText" text="Pesquisa de Preços">
      <formula>NOT(ISERROR(SEARCH("Pesquisa de Preços",E1846)))</formula>
    </cfRule>
  </conditionalFormatting>
  <conditionalFormatting sqref="E1852:E1853 E1855:E1856">
    <cfRule type="containsText" dxfId="665" priority="1497" operator="containsText" text="Pesquisa de Preços">
      <formula>NOT(ISERROR(SEARCH("Pesquisa de Preços",E1852)))</formula>
    </cfRule>
  </conditionalFormatting>
  <conditionalFormatting sqref="E1860">
    <cfRule type="containsText" dxfId="664" priority="1490" operator="containsText" text="Pesquisa de Preços">
      <formula>NOT(ISERROR(SEARCH("Pesquisa de Preços",E1860)))</formula>
    </cfRule>
  </conditionalFormatting>
  <conditionalFormatting sqref="E1854">
    <cfRule type="containsText" dxfId="663" priority="1495" operator="containsText" text="Pesquisa de Preços">
      <formula>NOT(ISERROR(SEARCH("Pesquisa de Preços",E1854)))</formula>
    </cfRule>
  </conditionalFormatting>
  <conditionalFormatting sqref="E1839:E1840 E1844">
    <cfRule type="containsText" dxfId="662" priority="1494" operator="containsText" text="Pesquisa de Preços">
      <formula>NOT(ISERROR(SEARCH("Pesquisa de Preços",E1839)))</formula>
    </cfRule>
  </conditionalFormatting>
  <conditionalFormatting sqref="E1858:E1859 E1861:E1862">
    <cfRule type="containsText" dxfId="661" priority="1492" operator="containsText" text="Pesquisa de Preços">
      <formula>NOT(ISERROR(SEARCH("Pesquisa de Preços",E1858)))</formula>
    </cfRule>
  </conditionalFormatting>
  <conditionalFormatting sqref="E2370">
    <cfRule type="containsText" dxfId="660" priority="1338" operator="containsText" text="Pesquisa de Preços">
      <formula>NOT(ISERROR(SEARCH("Pesquisa de Preços",E2370)))</formula>
    </cfRule>
  </conditionalFormatting>
  <conditionalFormatting sqref="E1868">
    <cfRule type="containsText" dxfId="659" priority="1489" operator="containsText" text="Pesquisa de Preços">
      <formula>NOT(ISERROR(SEARCH("Pesquisa de Preços",E1868)))</formula>
    </cfRule>
  </conditionalFormatting>
  <conditionalFormatting sqref="E2397">
    <cfRule type="containsText" dxfId="658" priority="1335" operator="containsText" text="Pesquisa de Preços">
      <formula>NOT(ISERROR(SEARCH("Pesquisa de Preços",E2397)))</formula>
    </cfRule>
  </conditionalFormatting>
  <conditionalFormatting sqref="E1904">
    <cfRule type="containsText" dxfId="657" priority="1488" operator="containsText" text="Pesquisa de Preços">
      <formula>NOT(ISERROR(SEARCH("Pesquisa de Preços",E1904)))</formula>
    </cfRule>
  </conditionalFormatting>
  <conditionalFormatting sqref="E2391">
    <cfRule type="containsText" dxfId="656" priority="1333" operator="containsText" text="Pesquisa de Preços">
      <formula>NOT(ISERROR(SEARCH("Pesquisa de Preços",E2391)))</formula>
    </cfRule>
  </conditionalFormatting>
  <conditionalFormatting sqref="E1880">
    <cfRule type="containsText" dxfId="655" priority="1487" operator="containsText" text="Pesquisa de Preços">
      <formula>NOT(ISERROR(SEARCH("Pesquisa de Preços",E1880)))</formula>
    </cfRule>
  </conditionalFormatting>
  <conditionalFormatting sqref="E1898">
    <cfRule type="containsText" dxfId="654" priority="1486" operator="containsText" text="Pesquisa de Preços">
      <formula>NOT(ISERROR(SEARCH("Pesquisa de Preços",E1898)))</formula>
    </cfRule>
  </conditionalFormatting>
  <conditionalFormatting sqref="E1874">
    <cfRule type="containsText" dxfId="653" priority="1485" operator="containsText" text="Pesquisa de Preços">
      <formula>NOT(ISERROR(SEARCH("Pesquisa de Preços",E1874)))</formula>
    </cfRule>
  </conditionalFormatting>
  <conditionalFormatting sqref="E1886">
    <cfRule type="containsText" dxfId="652" priority="1484" operator="containsText" text="Pesquisa de Preços">
      <formula>NOT(ISERROR(SEARCH("Pesquisa de Preços",E1886)))</formula>
    </cfRule>
  </conditionalFormatting>
  <conditionalFormatting sqref="E1908">
    <cfRule type="containsText" dxfId="651" priority="1480" operator="containsText" text="Pesquisa de Preços">
      <formula>NOT(ISERROR(SEARCH("Pesquisa de Preços",E1908)))</formula>
    </cfRule>
  </conditionalFormatting>
  <conditionalFormatting sqref="E1892">
    <cfRule type="containsText" dxfId="650" priority="1483" operator="containsText" text="Pesquisa de Preços">
      <formula>NOT(ISERROR(SEARCH("Pesquisa de Preços",E1892)))</formula>
    </cfRule>
  </conditionalFormatting>
  <conditionalFormatting sqref="E1933 E1936:E1937">
    <cfRule type="containsText" dxfId="649" priority="1472" operator="containsText" text="Pesquisa de Preços">
      <formula>NOT(ISERROR(SEARCH("Pesquisa de Preços",E1933)))</formula>
    </cfRule>
  </conditionalFormatting>
  <conditionalFormatting sqref="E1906:E1907 E1909:E1910">
    <cfRule type="containsText" dxfId="648" priority="1482" operator="containsText" text="Pesquisa de Preços">
      <formula>NOT(ISERROR(SEARCH("Pesquisa de Preços",E1906)))</formula>
    </cfRule>
  </conditionalFormatting>
  <conditionalFormatting sqref="E1914">
    <cfRule type="containsText" dxfId="647" priority="1477" operator="containsText" text="Pesquisa de Preços">
      <formula>NOT(ISERROR(SEARCH("Pesquisa de Preços",E1914)))</formula>
    </cfRule>
  </conditionalFormatting>
  <conditionalFormatting sqref="E1912:E1913 E1915:E1916">
    <cfRule type="containsText" dxfId="646" priority="1479" operator="containsText" text="Pesquisa de Preços">
      <formula>NOT(ISERROR(SEARCH("Pesquisa de Preços",E1912)))</formula>
    </cfRule>
  </conditionalFormatting>
  <conditionalFormatting sqref="E1928:E1929 E1931">
    <cfRule type="containsText" dxfId="645" priority="1476" operator="containsText" text="Pesquisa de Preços">
      <formula>NOT(ISERROR(SEARCH("Pesquisa de Preços",E1928)))</formula>
    </cfRule>
  </conditionalFormatting>
  <conditionalFormatting sqref="E1923">
    <cfRule type="containsText" dxfId="644" priority="1474" operator="containsText" text="Pesquisa de Preços">
      <formula>NOT(ISERROR(SEARCH("Pesquisa de Preços",E1923)))</formula>
    </cfRule>
  </conditionalFormatting>
  <conditionalFormatting sqref="E1954:E1955 E1957:E1958">
    <cfRule type="containsText" dxfId="643" priority="1470" operator="containsText" text="Pesquisa de Preços">
      <formula>NOT(ISERROR(SEARCH("Pesquisa de Preços",E1954)))</formula>
    </cfRule>
  </conditionalFormatting>
  <conditionalFormatting sqref="E1956">
    <cfRule type="containsText" dxfId="642" priority="1468" operator="containsText" text="Pesquisa de Preços">
      <formula>NOT(ISERROR(SEARCH("Pesquisa de Preços",E1956)))</formula>
    </cfRule>
  </conditionalFormatting>
  <conditionalFormatting sqref="E1963:E1964">
    <cfRule type="containsText" dxfId="641" priority="1467" operator="containsText" text="Pesquisa de Preços">
      <formula>NOT(ISERROR(SEARCH("Pesquisa de Preços",E1963)))</formula>
    </cfRule>
  </conditionalFormatting>
  <conditionalFormatting sqref="E1973:E1974 E1977:E1978">
    <cfRule type="containsText" dxfId="640" priority="1461" operator="containsText" text="Pesquisa de Preços">
      <formula>NOT(ISERROR(SEARCH("Pesquisa de Preços",E1973)))</formula>
    </cfRule>
  </conditionalFormatting>
  <conditionalFormatting sqref="E1975:E1976">
    <cfRule type="containsText" dxfId="639" priority="1459" operator="containsText" text="Pesquisa de Preços">
      <formula>NOT(ISERROR(SEARCH("Pesquisa de Preços",E1975)))</formula>
    </cfRule>
  </conditionalFormatting>
  <conditionalFormatting sqref="E1988:E1989 E1993:E1994">
    <cfRule type="containsText" dxfId="638" priority="1466" operator="containsText" text="Pesquisa de Preços">
      <formula>NOT(ISERROR(SEARCH("Pesquisa de Preços",E1988)))</formula>
    </cfRule>
  </conditionalFormatting>
  <conditionalFormatting sqref="E1987">
    <cfRule type="containsText" dxfId="637" priority="1465" operator="containsText" text="Pesquisa de Preços">
      <formula>NOT(ISERROR(SEARCH("Pesquisa de Preços",E1987)))</formula>
    </cfRule>
  </conditionalFormatting>
  <conditionalFormatting sqref="E1990:E1991">
    <cfRule type="containsText" dxfId="636" priority="1464" operator="containsText" text="Pesquisa de Preços">
      <formula>NOT(ISERROR(SEARCH("Pesquisa de Preços",E1990)))</formula>
    </cfRule>
  </conditionalFormatting>
  <conditionalFormatting sqref="E1980 E1986">
    <cfRule type="containsText" dxfId="635" priority="1463" operator="containsText" text="Pesquisa de Preços">
      <formula>NOT(ISERROR(SEARCH("Pesquisa de Preços",E1980)))</formula>
    </cfRule>
  </conditionalFormatting>
  <conditionalFormatting sqref="E1965">
    <cfRule type="containsText" dxfId="634" priority="1457" operator="containsText" text="Pesquisa de Preços">
      <formula>NOT(ISERROR(SEARCH("Pesquisa de Preços",E1965)))</formula>
    </cfRule>
  </conditionalFormatting>
  <conditionalFormatting sqref="E1966:E1967 E1970:E1971">
    <cfRule type="containsText" dxfId="633" priority="1458" operator="containsText" text="Pesquisa de Preços">
      <formula>NOT(ISERROR(SEARCH("Pesquisa de Preços",E1966)))</formula>
    </cfRule>
  </conditionalFormatting>
  <conditionalFormatting sqref="E1968:E1969">
    <cfRule type="containsText" dxfId="632" priority="1456" operator="containsText" text="Pesquisa de Preços">
      <formula>NOT(ISERROR(SEARCH("Pesquisa de Preços",E1968)))</formula>
    </cfRule>
  </conditionalFormatting>
  <conditionalFormatting sqref="E2017 E2022">
    <cfRule type="containsText" dxfId="631" priority="1455" operator="containsText" text="Pesquisa de Preços">
      <formula>NOT(ISERROR(SEARCH("Pesquisa de Preços",E2017)))</formula>
    </cfRule>
  </conditionalFormatting>
  <conditionalFormatting sqref="E2012:E2013">
    <cfRule type="containsText" dxfId="630" priority="1451" operator="containsText" text="Pesquisa de Preços">
      <formula>NOT(ISERROR(SEARCH("Pesquisa de Preços",E2012)))</formula>
    </cfRule>
  </conditionalFormatting>
  <conditionalFormatting sqref="E2014:E2015 E2010:E2011">
    <cfRule type="containsText" dxfId="629" priority="1453" operator="containsText" text="Pesquisa de Preços">
      <formula>NOT(ISERROR(SEARCH("Pesquisa de Preços",E2010)))</formula>
    </cfRule>
  </conditionalFormatting>
  <conditionalFormatting sqref="E2005:E2006">
    <cfRule type="containsText" dxfId="628" priority="1448" operator="containsText" text="Pesquisa de Preços">
      <formula>NOT(ISERROR(SEARCH("Pesquisa de Preços",E2005)))</formula>
    </cfRule>
  </conditionalFormatting>
  <conditionalFormatting sqref="E2007:E2008 E2003:E2004">
    <cfRule type="containsText" dxfId="627" priority="1450" operator="containsText" text="Pesquisa de Preços">
      <formula>NOT(ISERROR(SEARCH("Pesquisa de Preços",E2003)))</formula>
    </cfRule>
  </conditionalFormatting>
  <conditionalFormatting sqref="E1996 E2001">
    <cfRule type="containsText" dxfId="626" priority="1447" operator="containsText" text="Pesquisa de Preços">
      <formula>NOT(ISERROR(SEARCH("Pesquisa de Preços",E1996)))</formula>
    </cfRule>
  </conditionalFormatting>
  <conditionalFormatting sqref="E2141">
    <cfRule type="containsText" dxfId="625" priority="1444" operator="containsText" text="Pesquisa de Preços">
      <formula>NOT(ISERROR(SEARCH("Pesquisa de Preços",E2141)))</formula>
    </cfRule>
  </conditionalFormatting>
  <conditionalFormatting sqref="E2142:E2143">
    <cfRule type="containsText" dxfId="624" priority="1445" operator="containsText" text="Pesquisa de Preços">
      <formula>NOT(ISERROR(SEARCH("Pesquisa de Preços",E2142)))</formula>
    </cfRule>
  </conditionalFormatting>
  <conditionalFormatting sqref="E2144:E2145">
    <cfRule type="containsText" dxfId="623" priority="1443" operator="containsText" text="Pesquisa de Preços">
      <formula>NOT(ISERROR(SEARCH("Pesquisa de Preços",E2144)))</formula>
    </cfRule>
  </conditionalFormatting>
  <conditionalFormatting sqref="E2130:E2131">
    <cfRule type="containsText" dxfId="622" priority="1442" operator="containsText" text="Pesquisa de Preços">
      <formula>NOT(ISERROR(SEARCH("Pesquisa de Preços",E2130)))</formula>
    </cfRule>
  </conditionalFormatting>
  <conditionalFormatting sqref="E2129">
    <cfRule type="containsText" dxfId="621" priority="1441" operator="containsText" text="Pesquisa de Preços">
      <formula>NOT(ISERROR(SEARCH("Pesquisa de Preços",E2129)))</formula>
    </cfRule>
  </conditionalFormatting>
  <conditionalFormatting sqref="E2156 E2160:E2162">
    <cfRule type="containsText" dxfId="620" priority="1439" operator="containsText" text="Pesquisa de Preços">
      <formula>NOT(ISERROR(SEARCH("Pesquisa de Preços",E2156)))</formula>
    </cfRule>
  </conditionalFormatting>
  <conditionalFormatting sqref="E2155">
    <cfRule type="containsText" dxfId="619" priority="1438" operator="containsText" text="Pesquisa de Preços">
      <formula>NOT(ISERROR(SEARCH("Pesquisa de Preços",E2155)))</formula>
    </cfRule>
  </conditionalFormatting>
  <conditionalFormatting sqref="E2159">
    <cfRule type="containsText" dxfId="618" priority="1437" operator="containsText" text="Pesquisa de Preços">
      <formula>NOT(ISERROR(SEARCH("Pesquisa de Preços",E2159)))</formula>
    </cfRule>
  </conditionalFormatting>
  <conditionalFormatting sqref="E2172 E2176:E2178">
    <cfRule type="containsText" dxfId="617" priority="1436" operator="containsText" text="Pesquisa de Preços">
      <formula>NOT(ISERROR(SEARCH("Pesquisa de Preços",E2172)))</formula>
    </cfRule>
  </conditionalFormatting>
  <conditionalFormatting sqref="E2152:E2154">
    <cfRule type="containsText" dxfId="616" priority="1434" operator="containsText" text="Pesquisa de Preços">
      <formula>NOT(ISERROR(SEARCH("Pesquisa de Preços",E2152)))</formula>
    </cfRule>
  </conditionalFormatting>
  <conditionalFormatting sqref="E2184:E2186">
    <cfRule type="containsText" dxfId="615" priority="1433" operator="containsText" text="Pesquisa de Preços">
      <formula>NOT(ISERROR(SEARCH("Pesquisa de Preços",E2184)))</formula>
    </cfRule>
  </conditionalFormatting>
  <conditionalFormatting sqref="E2062 E2066:E2068">
    <cfRule type="containsText" dxfId="614" priority="1428" operator="containsText" text="Pesquisa de Preços">
      <formula>NOT(ISERROR(SEARCH("Pesquisa de Preços",E2062)))</formula>
    </cfRule>
  </conditionalFormatting>
  <conditionalFormatting sqref="E2168:E2170">
    <cfRule type="containsText" dxfId="613" priority="1432" operator="containsText" text="Pesquisa de Preços">
      <formula>NOT(ISERROR(SEARCH("Pesquisa de Preços",E2168)))</formula>
    </cfRule>
  </conditionalFormatting>
  <conditionalFormatting sqref="E2061">
    <cfRule type="containsText" dxfId="612" priority="1427" operator="containsText" text="Pesquisa de Preços">
      <formula>NOT(ISERROR(SEARCH("Pesquisa de Preços",E2061)))</formula>
    </cfRule>
  </conditionalFormatting>
  <conditionalFormatting sqref="E2192:E2194">
    <cfRule type="containsText" dxfId="611" priority="1431" operator="containsText" text="Pesquisa de Preços">
      <formula>NOT(ISERROR(SEARCH("Pesquisa de Preços",E2192)))</formula>
    </cfRule>
  </conditionalFormatting>
  <conditionalFormatting sqref="E2244:E2247 E2249">
    <cfRule type="containsText" dxfId="610" priority="1387" operator="containsText" text="Pesquisa de Preços">
      <formula>NOT(ISERROR(SEARCH("Pesquisa de Preços",E2244)))</formula>
    </cfRule>
  </conditionalFormatting>
  <conditionalFormatting sqref="E2046 E2050:E2052">
    <cfRule type="containsText" dxfId="609" priority="1430" operator="containsText" text="Pesquisa de Preços">
      <formula>NOT(ISERROR(SEARCH("Pesquisa de Preços",E2046)))</formula>
    </cfRule>
  </conditionalFormatting>
  <conditionalFormatting sqref="E2054 E2058:E2060">
    <cfRule type="containsText" dxfId="608" priority="1422" operator="containsText" text="Pesquisa de Preços">
      <formula>NOT(ISERROR(SEARCH("Pesquisa de Preços",E2054)))</formula>
    </cfRule>
  </conditionalFormatting>
  <conditionalFormatting sqref="E2344:E2345 E2348">
    <cfRule type="containsText" dxfId="607" priority="1380" operator="containsText" text="Pesquisa de Preços">
      <formula>NOT(ISERROR(SEARCH("Pesquisa de Preços",E2344)))</formula>
    </cfRule>
  </conditionalFormatting>
  <conditionalFormatting sqref="E2038 E2042:E2044">
    <cfRule type="containsText" dxfId="606" priority="1426" operator="containsText" text="Pesquisa de Preços">
      <formula>NOT(ISERROR(SEARCH("Pesquisa de Preços",E2038)))</formula>
    </cfRule>
  </conditionalFormatting>
  <conditionalFormatting sqref="E2037">
    <cfRule type="containsText" dxfId="605" priority="1425" operator="containsText" text="Pesquisa de Preços">
      <formula>NOT(ISERROR(SEARCH("Pesquisa de Preços",E2037)))</formula>
    </cfRule>
  </conditionalFormatting>
  <conditionalFormatting sqref="E2070 E2074:E2076">
    <cfRule type="containsText" dxfId="604" priority="1424" operator="containsText" text="Pesquisa de Preços">
      <formula>NOT(ISERROR(SEARCH("Pesquisa de Preços",E2070)))</formula>
    </cfRule>
  </conditionalFormatting>
  <conditionalFormatting sqref="E2069">
    <cfRule type="containsText" dxfId="603" priority="1423" operator="containsText" text="Pesquisa de Preços">
      <formula>NOT(ISERROR(SEARCH("Pesquisa de Preços",E2069)))</formula>
    </cfRule>
  </conditionalFormatting>
  <conditionalFormatting sqref="E2325:E2326">
    <cfRule type="containsText" dxfId="602" priority="1386" operator="containsText" text="Pesquisa de Preços">
      <formula>NOT(ISERROR(SEARCH("Pesquisa de Preços",E2325)))</formula>
    </cfRule>
  </conditionalFormatting>
  <conditionalFormatting sqref="E2053">
    <cfRule type="containsText" dxfId="601" priority="1421" operator="containsText" text="Pesquisa de Preços">
      <formula>NOT(ISERROR(SEARCH("Pesquisa de Preços",E2053)))</formula>
    </cfRule>
  </conditionalFormatting>
  <conditionalFormatting sqref="E2305">
    <cfRule type="containsText" dxfId="600" priority="1395" operator="containsText" text="Pesquisa de Preços">
      <formula>NOT(ISERROR(SEARCH("Pesquisa de Preços",E2305)))</formula>
    </cfRule>
  </conditionalFormatting>
  <conditionalFormatting sqref="E2078 E2082:E2084">
    <cfRule type="containsText" dxfId="599" priority="1420" operator="containsText" text="Pesquisa de Preços">
      <formula>NOT(ISERROR(SEARCH("Pesquisa de Preços",E2078)))</formula>
    </cfRule>
  </conditionalFormatting>
  <conditionalFormatting sqref="E2077">
    <cfRule type="containsText" dxfId="598" priority="1419" operator="containsText" text="Pesquisa de Preços">
      <formula>NOT(ISERROR(SEARCH("Pesquisa de Preços",E2077)))</formula>
    </cfRule>
  </conditionalFormatting>
  <conditionalFormatting sqref="E2256">
    <cfRule type="containsText" dxfId="597" priority="1399" operator="containsText" text="Pesquisa de Preços">
      <formula>NOT(ISERROR(SEARCH("Pesquisa de Preços",E2256)))</formula>
    </cfRule>
  </conditionalFormatting>
  <conditionalFormatting sqref="E2036">
    <cfRule type="containsText" dxfId="596" priority="1418" operator="containsText" text="Pesquisa de Preços">
      <formula>NOT(ISERROR(SEARCH("Pesquisa de Preços",E2036)))</formula>
    </cfRule>
  </conditionalFormatting>
  <conditionalFormatting sqref="E2114:E2116">
    <cfRule type="containsText" dxfId="595" priority="1417" operator="containsText" text="Pesquisa de Preços">
      <formula>NOT(ISERROR(SEARCH("Pesquisa de Preços",E2114)))</formula>
    </cfRule>
  </conditionalFormatting>
  <conditionalFormatting sqref="E2229">
    <cfRule type="containsText" dxfId="594" priority="1400" operator="containsText" text="Pesquisa de Preços">
      <formula>NOT(ISERROR(SEARCH("Pesquisa de Preços",E2229)))</formula>
    </cfRule>
  </conditionalFormatting>
  <conditionalFormatting sqref="E2106:E2108">
    <cfRule type="containsText" dxfId="593" priority="1416" operator="containsText" text="Pesquisa de Preços">
      <formula>NOT(ISERROR(SEARCH("Pesquisa de Preços",E2106)))</formula>
    </cfRule>
  </conditionalFormatting>
  <conditionalFormatting sqref="E2221">
    <cfRule type="containsText" dxfId="592" priority="1405" operator="containsText" text="Pesquisa de Preços">
      <formula>NOT(ISERROR(SEARCH("Pesquisa de Preços",E2221)))</formula>
    </cfRule>
  </conditionalFormatting>
  <conditionalFormatting sqref="E2223">
    <cfRule type="containsText" dxfId="591" priority="1404" operator="containsText" text="Pesquisa de Preços">
      <formula>NOT(ISERROR(SEARCH("Pesquisa de Preços",E2223)))</formula>
    </cfRule>
  </conditionalFormatting>
  <conditionalFormatting sqref="E2100">
    <cfRule type="containsText" dxfId="590" priority="1415" operator="containsText" text="Pesquisa de Preços">
      <formula>NOT(ISERROR(SEARCH("Pesquisa de Preços",E2100)))</formula>
    </cfRule>
  </conditionalFormatting>
  <conditionalFormatting sqref="E2026">
    <cfRule type="containsText" dxfId="589" priority="1412" operator="containsText" text="Pesquisa de Preços">
      <formula>NOT(ISERROR(SEARCH("Pesquisa de Preços",E2026)))</formula>
    </cfRule>
  </conditionalFormatting>
  <conditionalFormatting sqref="E2024:E2025 E2027:E2028">
    <cfRule type="containsText" dxfId="588" priority="1414" operator="containsText" text="Pesquisa de Preços">
      <formula>NOT(ISERROR(SEARCH("Pesquisa de Preços",E2024)))</formula>
    </cfRule>
  </conditionalFormatting>
  <conditionalFormatting sqref="E2023">
    <cfRule type="containsText" dxfId="587" priority="1413" operator="containsText" text="Pesquisa de Preços">
      <formula>NOT(ISERROR(SEARCH("Pesquisa de Preços",E2023)))</formula>
    </cfRule>
  </conditionalFormatting>
  <conditionalFormatting sqref="E2118">
    <cfRule type="containsText" dxfId="586" priority="1411" operator="containsText" text="Pesquisa de Preços">
      <formula>NOT(ISERROR(SEARCH("Pesquisa de Preços",E2118)))</formula>
    </cfRule>
  </conditionalFormatting>
  <conditionalFormatting sqref="E2117">
    <cfRule type="containsText" dxfId="585" priority="1410" operator="containsText" text="Pesquisa de Preços">
      <formula>NOT(ISERROR(SEARCH("Pesquisa de Preços",E2117)))</formula>
    </cfRule>
  </conditionalFormatting>
  <conditionalFormatting sqref="E2212:E2213">
    <cfRule type="containsText" dxfId="584" priority="1409" operator="containsText" text="Pesquisa de Preços">
      <formula>NOT(ISERROR(SEARCH("Pesquisa de Preços",E2212)))</formula>
    </cfRule>
  </conditionalFormatting>
  <conditionalFormatting sqref="E2211">
    <cfRule type="containsText" dxfId="583" priority="1408" operator="containsText" text="Pesquisa de Preços">
      <formula>NOT(ISERROR(SEARCH("Pesquisa de Preços",E2211)))</formula>
    </cfRule>
  </conditionalFormatting>
  <conditionalFormatting sqref="E2217:E2218 E2220">
    <cfRule type="containsText" dxfId="582" priority="1407" operator="containsText" text="Pesquisa de Preços">
      <formula>NOT(ISERROR(SEARCH("Pesquisa de Preços",E2217)))</formula>
    </cfRule>
  </conditionalFormatting>
  <conditionalFormatting sqref="E2236 E2239:E2240">
    <cfRule type="containsText" dxfId="581" priority="1403" operator="containsText" text="Pesquisa de Preços">
      <formula>NOT(ISERROR(SEARCH("Pesquisa de Preços",E2236)))</formula>
    </cfRule>
  </conditionalFormatting>
  <conditionalFormatting sqref="E2230 E2233:E2234">
    <cfRule type="containsText" dxfId="580" priority="1401" operator="containsText" text="Pesquisa de Preços">
      <formula>NOT(ISERROR(SEARCH("Pesquisa de Preços",E2230)))</formula>
    </cfRule>
  </conditionalFormatting>
  <conditionalFormatting sqref="E2306">
    <cfRule type="containsText" dxfId="579" priority="1396" operator="containsText" text="Pesquisa de Preços">
      <formula>NOT(ISERROR(SEARCH("Pesquisa de Preços",E2306)))</formula>
    </cfRule>
  </conditionalFormatting>
  <conditionalFormatting sqref="E2259">
    <cfRule type="containsText" dxfId="578" priority="1397" operator="containsText" text="Pesquisa de Preços">
      <formula>NOT(ISERROR(SEARCH("Pesquisa de Preços",E2259)))</formula>
    </cfRule>
  </conditionalFormatting>
  <conditionalFormatting sqref="E2293">
    <cfRule type="containsText" dxfId="577" priority="1393" operator="containsText" text="Pesquisa de Preços">
      <formula>NOT(ISERROR(SEARCH("Pesquisa de Preços",E2293)))</formula>
    </cfRule>
  </conditionalFormatting>
  <conditionalFormatting sqref="E2294">
    <cfRule type="containsText" dxfId="576" priority="1394" operator="containsText" text="Pesquisa de Preços">
      <formula>NOT(ISERROR(SEARCH("Pesquisa de Preços",E2294)))</formula>
    </cfRule>
  </conditionalFormatting>
  <conditionalFormatting sqref="E2284 E2292">
    <cfRule type="containsText" dxfId="575" priority="1391" operator="containsText" text="Pesquisa de Preços">
      <formula>NOT(ISERROR(SEARCH("Pesquisa de Preços",E2284)))</formula>
    </cfRule>
  </conditionalFormatting>
  <conditionalFormatting sqref="E2241">
    <cfRule type="containsText" dxfId="574" priority="1388" operator="containsText" text="Pesquisa de Preços">
      <formula>NOT(ISERROR(SEARCH("Pesquisa de Preços",E2241)))</formula>
    </cfRule>
  </conditionalFormatting>
  <conditionalFormatting sqref="E2242:E2243">
    <cfRule type="containsText" dxfId="573" priority="1389" operator="containsText" text="Pesquisa de Preços">
      <formula>NOT(ISERROR(SEARCH("Pesquisa de Preços",E2242)))</formula>
    </cfRule>
  </conditionalFormatting>
  <conditionalFormatting sqref="E2324">
    <cfRule type="containsText" dxfId="572" priority="1385" operator="containsText" text="Pesquisa de Preços">
      <formula>NOT(ISERROR(SEARCH("Pesquisa de Preços",E2324)))</formula>
    </cfRule>
  </conditionalFormatting>
  <conditionalFormatting sqref="E2329">
    <cfRule type="containsText" dxfId="571" priority="1384" operator="containsText" text="Pesquisa de Preços">
      <formula>NOT(ISERROR(SEARCH("Pesquisa de Preços",E2329)))</formula>
    </cfRule>
  </conditionalFormatting>
  <conditionalFormatting sqref="E2323">
    <cfRule type="containsText" dxfId="570" priority="1383" operator="containsText" text="Pesquisa de Preços">
      <formula>NOT(ISERROR(SEARCH("Pesquisa de Preços",E2323)))</formula>
    </cfRule>
  </conditionalFormatting>
  <conditionalFormatting sqref="E2356">
    <cfRule type="containsText" dxfId="569" priority="1382" operator="containsText" text="Pesquisa de Preços">
      <formula>NOT(ISERROR(SEARCH("Pesquisa de Preços",E2356)))</formula>
    </cfRule>
  </conditionalFormatting>
  <conditionalFormatting sqref="E2355">
    <cfRule type="containsText" dxfId="568" priority="1381" operator="containsText" text="Pesquisa de Preços">
      <formula>NOT(ISERROR(SEARCH("Pesquisa de Preços",E2355)))</formula>
    </cfRule>
  </conditionalFormatting>
  <conditionalFormatting sqref="E2343">
    <cfRule type="containsText" dxfId="567" priority="1379" operator="containsText" text="Pesquisa de Preços">
      <formula>NOT(ISERROR(SEARCH("Pesquisa de Preços",E2343)))</formula>
    </cfRule>
  </conditionalFormatting>
  <conditionalFormatting sqref="E2338:E2339 E2342">
    <cfRule type="containsText" dxfId="566" priority="1378" operator="containsText" text="Pesquisa de Preços">
      <formula>NOT(ISERROR(SEARCH("Pesquisa de Preços",E2338)))</formula>
    </cfRule>
  </conditionalFormatting>
  <conditionalFormatting sqref="E2350:E2351 E2353:E2354">
    <cfRule type="containsText" dxfId="565" priority="1376" operator="containsText" text="Pesquisa de Preços">
      <formula>NOT(ISERROR(SEARCH("Pesquisa de Preços",E2350)))</formula>
    </cfRule>
  </conditionalFormatting>
  <conditionalFormatting sqref="E2352">
    <cfRule type="containsText" dxfId="564" priority="1374" operator="containsText" text="Pesquisa de Preços">
      <formula>NOT(ISERROR(SEARCH("Pesquisa de Preços",E2352)))</formula>
    </cfRule>
  </conditionalFormatting>
  <conditionalFormatting sqref="E2332 E2335:E2336">
    <cfRule type="containsText" dxfId="563" priority="1373" operator="containsText" text="Pesquisa de Preços">
      <formula>NOT(ISERROR(SEARCH("Pesquisa de Preços",E2332)))</formula>
    </cfRule>
  </conditionalFormatting>
  <conditionalFormatting sqref="E2331">
    <cfRule type="containsText" dxfId="562" priority="1372" operator="containsText" text="Pesquisa de Preços">
      <formula>NOT(ISERROR(SEARCH("Pesquisa de Preços",E2331)))</formula>
    </cfRule>
  </conditionalFormatting>
  <conditionalFormatting sqref="E2334">
    <cfRule type="containsText" dxfId="561" priority="1371" operator="containsText" text="Pesquisa de Preços">
      <formula>NOT(ISERROR(SEARCH("Pesquisa de Preços",E2334)))</formula>
    </cfRule>
  </conditionalFormatting>
  <conditionalFormatting sqref="E2361:E2364">
    <cfRule type="containsText" dxfId="560" priority="1370" operator="containsText" text="Pesquisa de Preços">
      <formula>NOT(ISERROR(SEARCH("Pesquisa de Preços",E2361)))</formula>
    </cfRule>
  </conditionalFormatting>
  <conditionalFormatting sqref="E2366 E2368:E2369">
    <cfRule type="containsText" dxfId="559" priority="1368" operator="containsText" text="Pesquisa de Preços">
      <formula>NOT(ISERROR(SEARCH("Pesquisa de Preços",E2366)))</formula>
    </cfRule>
  </conditionalFormatting>
  <conditionalFormatting sqref="E898:E899 E901:E903">
    <cfRule type="containsText" dxfId="558" priority="1366" operator="containsText" text="Pesquisa de Preços">
      <formula>NOT(ISERROR(SEARCH("Pesquisa de Preços",E898)))</formula>
    </cfRule>
  </conditionalFormatting>
  <conditionalFormatting sqref="E856:E857 E860:E861">
    <cfRule type="containsText" dxfId="557" priority="1358" operator="containsText" text="Pesquisa de Preços">
      <formula>NOT(ISERROR(SEARCH("Pesquisa de Preços",E856)))</formula>
    </cfRule>
  </conditionalFormatting>
  <conditionalFormatting sqref="E877:E878 E882:E883">
    <cfRule type="containsText" dxfId="556" priority="1364" operator="containsText" text="Pesquisa de Preços">
      <formula>NOT(ISERROR(SEARCH("Pesquisa de Preços",E877)))</formula>
    </cfRule>
  </conditionalFormatting>
  <conditionalFormatting sqref="E879:E880">
    <cfRule type="containsText" dxfId="555" priority="1362" operator="containsText" text="Pesquisa de Preços">
      <formula>NOT(ISERROR(SEARCH("Pesquisa de Preços",E879)))</formula>
    </cfRule>
  </conditionalFormatting>
  <conditionalFormatting sqref="E885:E886 E891">
    <cfRule type="containsText" dxfId="554" priority="1361" operator="containsText" text="Pesquisa de Preços">
      <formula>NOT(ISERROR(SEARCH("Pesquisa de Preços",E885)))</formula>
    </cfRule>
  </conditionalFormatting>
  <conditionalFormatting sqref="E887:E888">
    <cfRule type="containsText" dxfId="553" priority="1359" operator="containsText" text="Pesquisa de Preços">
      <formula>NOT(ISERROR(SEARCH("Pesquisa de Preços",E887)))</formula>
    </cfRule>
  </conditionalFormatting>
  <conditionalFormatting sqref="E858:E859">
    <cfRule type="containsText" dxfId="552" priority="1356" operator="containsText" text="Pesquisa de Preços">
      <formula>NOT(ISERROR(SEARCH("Pesquisa de Preços",E858)))</formula>
    </cfRule>
  </conditionalFormatting>
  <conditionalFormatting sqref="E845:E848">
    <cfRule type="containsText" dxfId="551" priority="1355" operator="containsText" text="Pesquisa de Preços">
      <formula>NOT(ISERROR(SEARCH("Pesquisa de Preços",E845)))</formula>
    </cfRule>
  </conditionalFormatting>
  <conditionalFormatting sqref="E844">
    <cfRule type="containsText" dxfId="550" priority="1354" operator="containsText" text="Pesquisa de Preços">
      <formula>NOT(ISERROR(SEARCH("Pesquisa de Preços",E844)))</formula>
    </cfRule>
  </conditionalFormatting>
  <conditionalFormatting sqref="E850 E853:E854">
    <cfRule type="containsText" dxfId="549" priority="1353" operator="containsText" text="Pesquisa de Preços">
      <formula>NOT(ISERROR(SEARCH("Pesquisa de Preços",E850)))</formula>
    </cfRule>
  </conditionalFormatting>
  <conditionalFormatting sqref="E849">
    <cfRule type="containsText" dxfId="548" priority="1352" operator="containsText" text="Pesquisa de Preços">
      <formula>NOT(ISERROR(SEARCH("Pesquisa de Preços",E849)))</formula>
    </cfRule>
  </conditionalFormatting>
  <conditionalFormatting sqref="E869">
    <cfRule type="containsText" dxfId="547" priority="1351" operator="containsText" text="Pesquisa de Preços">
      <formula>NOT(ISERROR(SEARCH("Pesquisa de Preços",E869)))</formula>
    </cfRule>
  </conditionalFormatting>
  <conditionalFormatting sqref="E868">
    <cfRule type="containsText" dxfId="546" priority="1350" operator="containsText" text="Pesquisa de Preços">
      <formula>NOT(ISERROR(SEARCH("Pesquisa de Preços",E868)))</formula>
    </cfRule>
  </conditionalFormatting>
  <conditionalFormatting sqref="E863">
    <cfRule type="containsText" dxfId="545" priority="1349" operator="containsText" text="Pesquisa de Preços">
      <formula>NOT(ISERROR(SEARCH("Pesquisa de Preços",E863)))</formula>
    </cfRule>
  </conditionalFormatting>
  <conditionalFormatting sqref="E862">
    <cfRule type="containsText" dxfId="544" priority="1348" operator="containsText" text="Pesquisa de Preços">
      <formula>NOT(ISERROR(SEARCH("Pesquisa de Preços",E862)))</formula>
    </cfRule>
  </conditionalFormatting>
  <conditionalFormatting sqref="E893:E894">
    <cfRule type="containsText" dxfId="543" priority="1347" operator="containsText" text="Pesquisa de Preços">
      <formula>NOT(ISERROR(SEARCH("Pesquisa de Preços",E893)))</formula>
    </cfRule>
  </conditionalFormatting>
  <conditionalFormatting sqref="E892">
    <cfRule type="containsText" dxfId="542" priority="1346" operator="containsText" text="Pesquisa de Preços">
      <formula>NOT(ISERROR(SEARCH("Pesquisa de Preços",E892)))</formula>
    </cfRule>
  </conditionalFormatting>
  <conditionalFormatting sqref="E905:E906">
    <cfRule type="containsText" dxfId="541" priority="1345" operator="containsText" text="Pesquisa de Preços">
      <formula>NOT(ISERROR(SEARCH("Pesquisa de Preços",E905)))</formula>
    </cfRule>
  </conditionalFormatting>
  <conditionalFormatting sqref="E904">
    <cfRule type="containsText" dxfId="540" priority="1344" operator="containsText" text="Pesquisa de Preços">
      <formula>NOT(ISERROR(SEARCH("Pesquisa de Preços",E904)))</formula>
    </cfRule>
  </conditionalFormatting>
  <conditionalFormatting sqref="E2377:E2378">
    <cfRule type="containsText" dxfId="539" priority="1343" operator="containsText" text="Pesquisa de Preços">
      <formula>NOT(ISERROR(SEARCH("Pesquisa de Preços",E2377)))</formula>
    </cfRule>
  </conditionalFormatting>
  <conditionalFormatting sqref="E2376">
    <cfRule type="containsText" dxfId="538" priority="1342" operator="containsText" text="Pesquisa de Preços">
      <formula>NOT(ISERROR(SEARCH("Pesquisa de Preços",E2376)))</formula>
    </cfRule>
  </conditionalFormatting>
  <conditionalFormatting sqref="E2385 E2388 E2390">
    <cfRule type="containsText" dxfId="537" priority="1341" operator="containsText" text="Pesquisa de Preços">
      <formula>NOT(ISERROR(SEARCH("Pesquisa de Preços",E2385)))</formula>
    </cfRule>
  </conditionalFormatting>
  <conditionalFormatting sqref="E2384">
    <cfRule type="containsText" dxfId="536" priority="1340" operator="containsText" text="Pesquisa de Preços">
      <formula>NOT(ISERROR(SEARCH("Pesquisa de Preços",E2384)))</formula>
    </cfRule>
  </conditionalFormatting>
  <conditionalFormatting sqref="E2371:E2372 E2374:E2375">
    <cfRule type="containsText" dxfId="535" priority="1339" operator="containsText" text="Pesquisa de Preços">
      <formula>NOT(ISERROR(SEARCH("Pesquisa de Preços",E2371)))</formula>
    </cfRule>
  </conditionalFormatting>
  <conditionalFormatting sqref="E2398 E2403">
    <cfRule type="containsText" dxfId="534" priority="1336" operator="containsText" text="Pesquisa de Preços">
      <formula>NOT(ISERROR(SEARCH("Pesquisa de Preços",E2398)))</formula>
    </cfRule>
  </conditionalFormatting>
  <conditionalFormatting sqref="E2373">
    <cfRule type="containsText" dxfId="533" priority="1337" operator="containsText" text="Pesquisa de Preços">
      <formula>NOT(ISERROR(SEARCH("Pesquisa de Preços",E2373)))</formula>
    </cfRule>
  </conditionalFormatting>
  <conditionalFormatting sqref="E2392">
    <cfRule type="containsText" dxfId="532" priority="1334" operator="containsText" text="Pesquisa de Preços">
      <formula>NOT(ISERROR(SEARCH("Pesquisa de Preços",E2392)))</formula>
    </cfRule>
  </conditionalFormatting>
  <conditionalFormatting sqref="E1775:E1776 E1779:E1780">
    <cfRule type="containsText" dxfId="531" priority="1332" operator="containsText" text="Pesquisa de Preços">
      <formula>NOT(ISERROR(SEARCH("Pesquisa de Preços",E1775)))</formula>
    </cfRule>
  </conditionalFormatting>
  <conditionalFormatting sqref="E1774">
    <cfRule type="containsText" dxfId="530" priority="1331" operator="containsText" text="Pesquisa de Preços">
      <formula>NOT(ISERROR(SEARCH("Pesquisa de Preços",E1774)))</formula>
    </cfRule>
  </conditionalFormatting>
  <conditionalFormatting sqref="E1747">
    <cfRule type="containsText" dxfId="529" priority="1258" operator="containsText" text="Pesquisa de Preços">
      <formula>NOT(ISERROR(SEARCH("Pesquisa de Preços",E1747)))</formula>
    </cfRule>
  </conditionalFormatting>
  <conditionalFormatting sqref="E1777:E1778">
    <cfRule type="containsText" dxfId="528" priority="1330" operator="containsText" text="Pesquisa de Preços">
      <formula>NOT(ISERROR(SEARCH("Pesquisa de Preços",E1777)))</formula>
    </cfRule>
  </conditionalFormatting>
  <conditionalFormatting sqref="E1789:E1790 E1793:E1794">
    <cfRule type="containsText" dxfId="527" priority="1329" operator="containsText" text="Pesquisa de Preços">
      <formula>NOT(ISERROR(SEARCH("Pesquisa de Preços",E1789)))</formula>
    </cfRule>
  </conditionalFormatting>
  <conditionalFormatting sqref="E1788">
    <cfRule type="containsText" dxfId="526" priority="1328" operator="containsText" text="Pesquisa de Preços">
      <formula>NOT(ISERROR(SEARCH("Pesquisa de Preços",E1788)))</formula>
    </cfRule>
  </conditionalFormatting>
  <conditionalFormatting sqref="E1791:E1792">
    <cfRule type="containsText" dxfId="525" priority="1327" operator="containsText" text="Pesquisa de Preços">
      <formula>NOT(ISERROR(SEARCH("Pesquisa de Preços",E1791)))</formula>
    </cfRule>
  </conditionalFormatting>
  <conditionalFormatting sqref="E1803:E1804 E1807:E1808">
    <cfRule type="containsText" dxfId="524" priority="1326" operator="containsText" text="Pesquisa de Preços">
      <formula>NOT(ISERROR(SEARCH("Pesquisa de Preços",E1803)))</formula>
    </cfRule>
  </conditionalFormatting>
  <conditionalFormatting sqref="E1802">
    <cfRule type="containsText" dxfId="523" priority="1325" operator="containsText" text="Pesquisa de Preços">
      <formula>NOT(ISERROR(SEARCH("Pesquisa de Preços",E1802)))</formula>
    </cfRule>
  </conditionalFormatting>
  <conditionalFormatting sqref="E1805:E1806">
    <cfRule type="containsText" dxfId="522" priority="1324" operator="containsText" text="Pesquisa de Preços">
      <formula>NOT(ISERROR(SEARCH("Pesquisa de Preços",E1805)))</formula>
    </cfRule>
  </conditionalFormatting>
  <conditionalFormatting sqref="E1761:E1762 E1765:E1766">
    <cfRule type="containsText" dxfId="521" priority="1323" operator="containsText" text="Pesquisa de Preços">
      <formula>NOT(ISERROR(SEARCH("Pesquisa de Preços",E1761)))</formula>
    </cfRule>
  </conditionalFormatting>
  <conditionalFormatting sqref="E1760">
    <cfRule type="containsText" dxfId="520" priority="1322" operator="containsText" text="Pesquisa de Preços">
      <formula>NOT(ISERROR(SEARCH("Pesquisa de Preços",E1760)))</formula>
    </cfRule>
  </conditionalFormatting>
  <conditionalFormatting sqref="E1763:E1764">
    <cfRule type="containsText" dxfId="519" priority="1321" operator="containsText" text="Pesquisa de Preços">
      <formula>NOT(ISERROR(SEARCH("Pesquisa de Preços",E1763)))</formula>
    </cfRule>
  </conditionalFormatting>
  <conditionalFormatting sqref="E1768:E1769 E1772:E1773">
    <cfRule type="containsText" dxfId="518" priority="1320" operator="containsText" text="Pesquisa de Preços">
      <formula>NOT(ISERROR(SEARCH("Pesquisa de Preços",E1768)))</formula>
    </cfRule>
  </conditionalFormatting>
  <conditionalFormatting sqref="E1767">
    <cfRule type="containsText" dxfId="517" priority="1319" operator="containsText" text="Pesquisa de Preços">
      <formula>NOT(ISERROR(SEARCH("Pesquisa de Preços",E1767)))</formula>
    </cfRule>
  </conditionalFormatting>
  <conditionalFormatting sqref="E589 E593">
    <cfRule type="containsText" dxfId="516" priority="1257" operator="containsText" text="Pesquisa de Preços">
      <formula>NOT(ISERROR(SEARCH("Pesquisa de Preços",E589)))</formula>
    </cfRule>
  </conditionalFormatting>
  <conditionalFormatting sqref="E1770:E1771">
    <cfRule type="containsText" dxfId="515" priority="1318" operator="containsText" text="Pesquisa de Preços">
      <formula>NOT(ISERROR(SEARCH("Pesquisa de Preços",E1770)))</formula>
    </cfRule>
  </conditionalFormatting>
  <conditionalFormatting sqref="E1782 E1787">
    <cfRule type="containsText" dxfId="514" priority="1317" operator="containsText" text="Pesquisa de Preços">
      <formula>NOT(ISERROR(SEARCH("Pesquisa de Preços",E1782)))</formula>
    </cfRule>
  </conditionalFormatting>
  <conditionalFormatting sqref="E1781">
    <cfRule type="containsText" dxfId="513" priority="1316" operator="containsText" text="Pesquisa de Preços">
      <formula>NOT(ISERROR(SEARCH("Pesquisa de Preços",E1781)))</formula>
    </cfRule>
  </conditionalFormatting>
  <conditionalFormatting sqref="E379">
    <cfRule type="containsText" dxfId="512" priority="1254" operator="containsText" text="Pesquisa de Preços">
      <formula>NOT(ISERROR(SEARCH("Pesquisa de Preços",E379)))</formula>
    </cfRule>
  </conditionalFormatting>
  <conditionalFormatting sqref="E1801">
    <cfRule type="containsText" dxfId="511" priority="1315" operator="containsText" text="Pesquisa de Preços">
      <formula>NOT(ISERROR(SEARCH("Pesquisa de Preços",E1801)))</formula>
    </cfRule>
  </conditionalFormatting>
  <conditionalFormatting sqref="E1175">
    <cfRule type="containsText" dxfId="510" priority="1314" operator="containsText" text="Pesquisa de Preços">
      <formula>NOT(ISERROR(SEARCH("Pesquisa de Preços",E1175)))</formula>
    </cfRule>
  </conditionalFormatting>
  <conditionalFormatting sqref="E1985">
    <cfRule type="containsText" dxfId="509" priority="1312" operator="containsText" text="Pesquisa de Preços">
      <formula>NOT(ISERROR(SEARCH("Pesquisa de Preços",E1985)))</formula>
    </cfRule>
  </conditionalFormatting>
  <conditionalFormatting sqref="E1982:E1983">
    <cfRule type="containsText" dxfId="508" priority="1311" operator="containsText" text="Pesquisa de Preços">
      <formula>NOT(ISERROR(SEARCH("Pesquisa de Preços",E1982)))</formula>
    </cfRule>
  </conditionalFormatting>
  <conditionalFormatting sqref="E2018 E2021">
    <cfRule type="containsText" dxfId="507" priority="1310" operator="containsText" text="Pesquisa de Preços">
      <formula>NOT(ISERROR(SEARCH("Pesquisa de Preços",E2018)))</formula>
    </cfRule>
  </conditionalFormatting>
  <conditionalFormatting sqref="E2019:E2020">
    <cfRule type="containsText" dxfId="506" priority="1309" operator="containsText" text="Pesquisa de Preços">
      <formula>NOT(ISERROR(SEARCH("Pesquisa de Preços",E2019)))</formula>
    </cfRule>
  </conditionalFormatting>
  <conditionalFormatting sqref="E1997 E2000">
    <cfRule type="containsText" dxfId="505" priority="1308" operator="containsText" text="Pesquisa de Preços">
      <formula>NOT(ISERROR(SEARCH("Pesquisa de Preços",E1997)))</formula>
    </cfRule>
  </conditionalFormatting>
  <conditionalFormatting sqref="E1998:E1999">
    <cfRule type="containsText" dxfId="504" priority="1307" operator="containsText" text="Pesquisa de Preços">
      <formula>NOT(ISERROR(SEARCH("Pesquisa de Preços",E1998)))</formula>
    </cfRule>
  </conditionalFormatting>
  <conditionalFormatting sqref="E2098:E2099">
    <cfRule type="containsText" dxfId="503" priority="1306" operator="containsText" text="Pesquisa de Preços">
      <formula>NOT(ISERROR(SEARCH("Pesquisa de Preços",E2098)))</formula>
    </cfRule>
  </conditionalFormatting>
  <conditionalFormatting sqref="E2034:E2035">
    <cfRule type="containsText" dxfId="502" priority="1305" operator="containsText" text="Pesquisa de Preços">
      <formula>NOT(ISERROR(SEARCH("Pesquisa de Preços",E2034)))</formula>
    </cfRule>
  </conditionalFormatting>
  <conditionalFormatting sqref="E828">
    <cfRule type="containsText" dxfId="501" priority="1237" operator="containsText" text="Pesquisa de Preços">
      <formula>NOT(ISERROR(SEARCH("Pesquisa de Preços",E828)))</formula>
    </cfRule>
  </conditionalFormatting>
  <conditionalFormatting sqref="E829">
    <cfRule type="containsText" dxfId="500" priority="1236" operator="containsText" text="Pesquisa de Preços">
      <formula>NOT(ISERROR(SEARCH("Pesquisa de Preços",E829)))</formula>
    </cfRule>
  </conditionalFormatting>
  <conditionalFormatting sqref="E94:E95">
    <cfRule type="containsText" dxfId="499" priority="1231" operator="containsText" text="Pesquisa de Preços">
      <formula>NOT(ISERROR(SEARCH("Pesquisa de Preços",E94)))</formula>
    </cfRule>
  </conditionalFormatting>
  <conditionalFormatting sqref="E206">
    <cfRule type="containsText" dxfId="498" priority="1229" operator="containsText" text="Pesquisa de Preços">
      <formula>NOT(ISERROR(SEARCH("Pesquisa de Preços",E206)))</formula>
    </cfRule>
  </conditionalFormatting>
  <conditionalFormatting sqref="E1640">
    <cfRule type="containsText" dxfId="497" priority="1227" operator="containsText" text="Pesquisa de Preços">
      <formula>NOT(ISERROR(SEARCH("Pesquisa de Preços",E1640)))</formula>
    </cfRule>
  </conditionalFormatting>
  <conditionalFormatting sqref="E1616">
    <cfRule type="containsText" dxfId="496" priority="1225" operator="containsText" text="Pesquisa de Preços">
      <formula>NOT(ISERROR(SEARCH("Pesquisa de Preços",E1616)))</formula>
    </cfRule>
  </conditionalFormatting>
  <conditionalFormatting sqref="E1692">
    <cfRule type="containsText" dxfId="495" priority="1224" operator="containsText" text="Pesquisa de Preços">
      <formula>NOT(ISERROR(SEARCH("Pesquisa de Preços",E1692)))</formula>
    </cfRule>
  </conditionalFormatting>
  <conditionalFormatting sqref="E54">
    <cfRule type="containsText" dxfId="494" priority="1287" operator="containsText" text="Pesquisa de Preços">
      <formula>NOT(ISERROR(SEARCH("Pesquisa de Preços",E54)))</formula>
    </cfRule>
  </conditionalFormatting>
  <conditionalFormatting sqref="E205">
    <cfRule type="containsText" dxfId="493" priority="1304" operator="containsText" text="Pesquisa de Preços">
      <formula>NOT(ISERROR(SEARCH("Pesquisa de Preços",E205)))</formula>
    </cfRule>
  </conditionalFormatting>
  <conditionalFormatting sqref="E204">
    <cfRule type="containsText" dxfId="492" priority="1303" operator="containsText" text="Pesquisa de Preços">
      <formula>NOT(ISERROR(SEARCH("Pesquisa de Preços",E204)))</formula>
    </cfRule>
  </conditionalFormatting>
  <conditionalFormatting sqref="E103:E104">
    <cfRule type="containsText" dxfId="491" priority="1302" operator="containsText" text="Pesquisa de Preços">
      <formula>NOT(ISERROR(SEARCH("Pesquisa de Preços",E103)))</formula>
    </cfRule>
  </conditionalFormatting>
  <conditionalFormatting sqref="E102">
    <cfRule type="containsText" dxfId="490" priority="1301" operator="containsText" text="Pesquisa de Preços">
      <formula>NOT(ISERROR(SEARCH("Pesquisa de Preços",E102)))</formula>
    </cfRule>
  </conditionalFormatting>
  <conditionalFormatting sqref="E422:E423">
    <cfRule type="containsText" dxfId="489" priority="1300" operator="containsText" text="Pesquisa de Preços">
      <formula>NOT(ISERROR(SEARCH("Pesquisa de Preços",E422)))</formula>
    </cfRule>
  </conditionalFormatting>
  <conditionalFormatting sqref="E421">
    <cfRule type="containsText" dxfId="488" priority="1299" operator="containsText" text="Pesquisa de Preços">
      <formula>NOT(ISERROR(SEARCH("Pesquisa de Preços",E421)))</formula>
    </cfRule>
  </conditionalFormatting>
  <conditionalFormatting sqref="E424:E426">
    <cfRule type="containsText" dxfId="487" priority="1298" operator="containsText" text="Pesquisa de Preços">
      <formula>NOT(ISERROR(SEARCH("Pesquisa de Preços",E424)))</formula>
    </cfRule>
  </conditionalFormatting>
  <conditionalFormatting sqref="E615 E619">
    <cfRule type="containsText" dxfId="486" priority="1297" operator="containsText" text="Pesquisa de Preços">
      <formula>NOT(ISERROR(SEARCH("Pesquisa de Preços",E615)))</formula>
    </cfRule>
  </conditionalFormatting>
  <conditionalFormatting sqref="E614">
    <cfRule type="containsText" dxfId="485" priority="1296" operator="containsText" text="Pesquisa de Preços">
      <formula>NOT(ISERROR(SEARCH("Pesquisa de Preços",E614)))</formula>
    </cfRule>
  </conditionalFormatting>
  <conditionalFormatting sqref="E588 E594">
    <cfRule type="containsText" dxfId="484" priority="1295" operator="containsText" text="Pesquisa de Preços">
      <formula>NOT(ISERROR(SEARCH("Pesquisa de Preços",E588)))</formula>
    </cfRule>
  </conditionalFormatting>
  <conditionalFormatting sqref="E587">
    <cfRule type="containsText" dxfId="483" priority="1294" operator="containsText" text="Pesquisa de Preços">
      <formula>NOT(ISERROR(SEARCH("Pesquisa de Preços",E587)))</formula>
    </cfRule>
  </conditionalFormatting>
  <conditionalFormatting sqref="E637:E638 E641:E642">
    <cfRule type="containsText" dxfId="482" priority="1293" operator="containsText" text="Pesquisa de Preços">
      <formula>NOT(ISERROR(SEARCH("Pesquisa de Preços",E637)))</formula>
    </cfRule>
  </conditionalFormatting>
  <conditionalFormatting sqref="E636">
    <cfRule type="containsText" dxfId="481" priority="1292" operator="containsText" text="Pesquisa de Preços">
      <formula>NOT(ISERROR(SEARCH("Pesquisa de Preços",E636)))</formula>
    </cfRule>
  </conditionalFormatting>
  <conditionalFormatting sqref="E639:E640">
    <cfRule type="containsText" dxfId="480" priority="1291" operator="containsText" text="Pesquisa de Preços">
      <formula>NOT(ISERROR(SEARCH("Pesquisa de Preços",E639)))</formula>
    </cfRule>
  </conditionalFormatting>
  <conditionalFormatting sqref="E225">
    <cfRule type="containsText" dxfId="479" priority="1290" operator="containsText" text="Pesquisa de Preços">
      <formula>NOT(ISERROR(SEARCH("Pesquisa de Preços",E225)))</formula>
    </cfRule>
  </conditionalFormatting>
  <conditionalFormatting sqref="E150:E151">
    <cfRule type="containsText" dxfId="478" priority="1289" operator="containsText" text="Pesquisa de Preços">
      <formula>NOT(ISERROR(SEARCH("Pesquisa de Preços",E150)))</formula>
    </cfRule>
  </conditionalFormatting>
  <conditionalFormatting sqref="E162:E163">
    <cfRule type="containsText" dxfId="477" priority="1288" operator="containsText" text="Pesquisa de Preços">
      <formula>NOT(ISERROR(SEARCH("Pesquisa de Preços",E162)))</formula>
    </cfRule>
  </conditionalFormatting>
  <conditionalFormatting sqref="E55:E57">
    <cfRule type="containsText" dxfId="476" priority="1286" operator="containsText" text="Pesquisa de Preços">
      <formula>NOT(ISERROR(SEARCH("Pesquisa de Preços",E55)))</formula>
    </cfRule>
  </conditionalFormatting>
  <conditionalFormatting sqref="E30:E31">
    <cfRule type="containsText" dxfId="475" priority="1285" operator="containsText" text="Pesquisa de Preços">
      <formula>NOT(ISERROR(SEARCH("Pesquisa de Preços",E30)))</formula>
    </cfRule>
  </conditionalFormatting>
  <conditionalFormatting sqref="E25:E26">
    <cfRule type="containsText" dxfId="474" priority="1284" operator="containsText" text="Pesquisa de Preços">
      <formula>NOT(ISERROR(SEARCH("Pesquisa de Preços",E25)))</formula>
    </cfRule>
  </conditionalFormatting>
  <conditionalFormatting sqref="E180">
    <cfRule type="containsText" dxfId="473" priority="1283" operator="containsText" text="Pesquisa de Preços">
      <formula>NOT(ISERROR(SEARCH("Pesquisa de Preços",E180)))</formula>
    </cfRule>
  </conditionalFormatting>
  <conditionalFormatting sqref="E127:E128">
    <cfRule type="containsText" dxfId="472" priority="1282" operator="containsText" text="Pesquisa de Preços">
      <formula>NOT(ISERROR(SEARCH("Pesquisa de Preços",E127)))</formula>
    </cfRule>
  </conditionalFormatting>
  <conditionalFormatting sqref="E1925">
    <cfRule type="containsText" dxfId="471" priority="1207" operator="containsText" text="Pesquisa de Preços">
      <formula>NOT(ISERROR(SEARCH("Pesquisa de Preços",E1925)))</formula>
    </cfRule>
  </conditionalFormatting>
  <conditionalFormatting sqref="E84">
    <cfRule type="containsText" dxfId="470" priority="1281" operator="containsText" text="Pesquisa de Preços">
      <formula>NOT(ISERROR(SEARCH("Pesquisa de Preços",E84)))</formula>
    </cfRule>
  </conditionalFormatting>
  <conditionalFormatting sqref="E85">
    <cfRule type="containsText" dxfId="469" priority="1280" operator="containsText" text="Pesquisa de Preços">
      <formula>NOT(ISERROR(SEARCH("Pesquisa de Preços",E85)))</formula>
    </cfRule>
  </conditionalFormatting>
  <conditionalFormatting sqref="E61">
    <cfRule type="containsText" dxfId="468" priority="1279" operator="containsText" text="Pesquisa de Preços">
      <formula>NOT(ISERROR(SEARCH("Pesquisa de Preços",E61)))</formula>
    </cfRule>
  </conditionalFormatting>
  <conditionalFormatting sqref="E62">
    <cfRule type="containsText" dxfId="467" priority="1278" operator="containsText" text="Pesquisa de Preços">
      <formula>NOT(ISERROR(SEARCH("Pesquisa de Preços",E62)))</formula>
    </cfRule>
  </conditionalFormatting>
  <conditionalFormatting sqref="E2357">
    <cfRule type="containsText" dxfId="466" priority="1204" operator="containsText" text="Pesquisa de Preços">
      <formula>NOT(ISERROR(SEARCH("Pesquisa de Preços",E2357)))</formula>
    </cfRule>
  </conditionalFormatting>
  <conditionalFormatting sqref="E44:E45">
    <cfRule type="containsText" dxfId="465" priority="1277" operator="containsText" text="Pesquisa de Preços">
      <formula>NOT(ISERROR(SEARCH("Pesquisa de Preços",E44)))</formula>
    </cfRule>
  </conditionalFormatting>
  <conditionalFormatting sqref="E310">
    <cfRule type="containsText" dxfId="464" priority="1276" operator="containsText" text="Pesquisa de Preços">
      <formula>NOT(ISERROR(SEARCH("Pesquisa de Preços",E310)))</formula>
    </cfRule>
  </conditionalFormatting>
  <conditionalFormatting sqref="E296">
    <cfRule type="containsText" dxfId="463" priority="1275" operator="containsText" text="Pesquisa de Preços">
      <formula>NOT(ISERROR(SEARCH("Pesquisa de Preços",E296)))</formula>
    </cfRule>
  </conditionalFormatting>
  <conditionalFormatting sqref="E456">
    <cfRule type="containsText" dxfId="462" priority="1274" operator="containsText" text="Pesquisa de Preços">
      <formula>NOT(ISERROR(SEARCH("Pesquisa de Preços",E456)))</formula>
    </cfRule>
  </conditionalFormatting>
  <conditionalFormatting sqref="E499:E500">
    <cfRule type="containsText" dxfId="461" priority="1271" operator="containsText" text="Pesquisa de Preços">
      <formula>NOT(ISERROR(SEARCH("Pesquisa de Preços",E499)))</formula>
    </cfRule>
  </conditionalFormatting>
  <conditionalFormatting sqref="E466">
    <cfRule type="containsText" dxfId="460" priority="1273" operator="containsText" text="Pesquisa de Preços">
      <formula>NOT(ISERROR(SEARCH("Pesquisa de Preços",E466)))</formula>
    </cfRule>
  </conditionalFormatting>
  <conditionalFormatting sqref="E498 E501">
    <cfRule type="containsText" dxfId="459" priority="1272" operator="containsText" text="Pesquisa de Preços">
      <formula>NOT(ISERROR(SEARCH("Pesquisa de Preços",E498)))</formula>
    </cfRule>
  </conditionalFormatting>
  <conditionalFormatting sqref="E622">
    <cfRule type="containsText" dxfId="458" priority="1270" operator="containsText" text="Pesquisa de Preços">
      <formula>NOT(ISERROR(SEARCH("Pesquisa de Preços",E622)))</formula>
    </cfRule>
  </conditionalFormatting>
  <conditionalFormatting sqref="E623:E625">
    <cfRule type="containsText" dxfId="457" priority="1269" operator="containsText" text="Pesquisa de Preços">
      <formula>NOT(ISERROR(SEARCH("Pesquisa de Preços",E623)))</formula>
    </cfRule>
  </conditionalFormatting>
  <conditionalFormatting sqref="E998">
    <cfRule type="containsText" dxfId="456" priority="1268" operator="containsText" text="Pesquisa de Preços">
      <formula>NOT(ISERROR(SEARCH("Pesquisa de Preços",E998)))</formula>
    </cfRule>
  </conditionalFormatting>
  <conditionalFormatting sqref="E613">
    <cfRule type="containsText" dxfId="455" priority="1252" operator="containsText" text="Pesquisa de Preços">
      <formula>NOT(ISERROR(SEARCH("Pesquisa de Preços",E613)))</formula>
    </cfRule>
  </conditionalFormatting>
  <conditionalFormatting sqref="E736">
    <cfRule type="containsText" dxfId="454" priority="1251" operator="containsText" text="Pesquisa de Preços">
      <formula>NOT(ISERROR(SEARCH("Pesquisa de Preços",E736)))</formula>
    </cfRule>
  </conditionalFormatting>
  <conditionalFormatting sqref="E1502">
    <cfRule type="containsText" dxfId="453" priority="1265" operator="containsText" text="Pesquisa de Preços">
      <formula>NOT(ISERROR(SEARCH("Pesquisa de Preços",E1502)))</formula>
    </cfRule>
  </conditionalFormatting>
  <conditionalFormatting sqref="E590:E592">
    <cfRule type="containsText" dxfId="452" priority="1256" operator="containsText" text="Pesquisa de Preços">
      <formula>NOT(ISERROR(SEARCH("Pesquisa de Preços",E590)))</formula>
    </cfRule>
  </conditionalFormatting>
  <conditionalFormatting sqref="E1629:E1630">
    <cfRule type="containsText" dxfId="451" priority="1261" operator="containsText" text="Pesquisa de Preços">
      <formula>NOT(ISERROR(SEARCH("Pesquisa de Preços",E1629)))</formula>
    </cfRule>
  </conditionalFormatting>
  <conditionalFormatting sqref="E1634">
    <cfRule type="containsText" dxfId="450" priority="1264" operator="containsText" text="Pesquisa de Preços">
      <formula>NOT(ISERROR(SEARCH("Pesquisa de Preços",E1634)))</formula>
    </cfRule>
  </conditionalFormatting>
  <conditionalFormatting sqref="E1635:E1636">
    <cfRule type="containsText" dxfId="449" priority="1263" operator="containsText" text="Pesquisa de Preços">
      <formula>NOT(ISERROR(SEARCH("Pesquisa de Preços",E1635)))</formula>
    </cfRule>
  </conditionalFormatting>
  <conditionalFormatting sqref="E1628">
    <cfRule type="containsText" dxfId="448" priority="1262" operator="containsText" text="Pesquisa de Preços">
      <formula>NOT(ISERROR(SEARCH("Pesquisa de Preços",E1628)))</formula>
    </cfRule>
  </conditionalFormatting>
  <conditionalFormatting sqref="E1751">
    <cfRule type="containsText" dxfId="447" priority="1260" operator="containsText" text="Pesquisa de Preços">
      <formula>NOT(ISERROR(SEARCH("Pesquisa de Preços",E1751)))</formula>
    </cfRule>
  </conditionalFormatting>
  <conditionalFormatting sqref="E380">
    <cfRule type="containsText" dxfId="446" priority="1255" operator="containsText" text="Pesquisa de Preços">
      <formula>NOT(ISERROR(SEARCH("Pesquisa de Preços",E380)))</formula>
    </cfRule>
  </conditionalFormatting>
  <conditionalFormatting sqref="E1072:E1073">
    <cfRule type="containsText" dxfId="445" priority="1177" operator="containsText" text="Pesquisa de Preços">
      <formula>NOT(ISERROR(SEARCH("Pesquisa de Preços",E1072)))</formula>
    </cfRule>
  </conditionalFormatting>
  <conditionalFormatting sqref="E604">
    <cfRule type="containsText" dxfId="444" priority="1253" operator="containsText" text="Pesquisa de Preços">
      <formula>NOT(ISERROR(SEARCH("Pesquisa de Preços",E604)))</formula>
    </cfRule>
  </conditionalFormatting>
  <conditionalFormatting sqref="E1085:E1089">
    <cfRule type="containsText" dxfId="443" priority="1176" operator="containsText" text="Pesquisa de Preços">
      <formula>NOT(ISERROR(SEARCH("Pesquisa de Preços",E1085)))</formula>
    </cfRule>
  </conditionalFormatting>
  <conditionalFormatting sqref="E735">
    <cfRule type="containsText" dxfId="442" priority="1250" operator="containsText" text="Pesquisa de Preços">
      <formula>NOT(ISERROR(SEARCH("Pesquisa de Preços",E735)))</formula>
    </cfRule>
  </conditionalFormatting>
  <conditionalFormatting sqref="E630">
    <cfRule type="containsText" dxfId="441" priority="1247" operator="containsText" text="Pesquisa de Preços">
      <formula>NOT(ISERROR(SEARCH("Pesquisa de Preços",E630)))</formula>
    </cfRule>
  </conditionalFormatting>
  <conditionalFormatting sqref="E629 E634:E635">
    <cfRule type="containsText" dxfId="440" priority="1249" operator="containsText" text="Pesquisa de Preços">
      <formula>NOT(ISERROR(SEARCH("Pesquisa de Preços",E629)))</formula>
    </cfRule>
  </conditionalFormatting>
  <conditionalFormatting sqref="E628">
    <cfRule type="containsText" dxfId="439" priority="1248" operator="containsText" text="Pesquisa de Preços">
      <formula>NOT(ISERROR(SEARCH("Pesquisa de Preços",E628)))</formula>
    </cfRule>
  </conditionalFormatting>
  <conditionalFormatting sqref="E1262:E1263 E1258:E1259">
    <cfRule type="containsText" dxfId="438" priority="1245" operator="containsText" text="Pesquisa de Preços">
      <formula>NOT(ISERROR(SEARCH("Pesquisa de Preços",E1258)))</formula>
    </cfRule>
  </conditionalFormatting>
  <conditionalFormatting sqref="E631:E633">
    <cfRule type="containsText" dxfId="437" priority="1246" operator="containsText" text="Pesquisa de Preços">
      <formula>NOT(ISERROR(SEARCH("Pesquisa de Preços",E631)))</formula>
    </cfRule>
  </conditionalFormatting>
  <conditionalFormatting sqref="E1257">
    <cfRule type="containsText" dxfId="436" priority="1244" operator="containsText" text="Pesquisa de Preços">
      <formula>NOT(ISERROR(SEARCH("Pesquisa de Preços",E1257)))</formula>
    </cfRule>
  </conditionalFormatting>
  <conditionalFormatting sqref="E1260:E1261">
    <cfRule type="containsText" dxfId="435" priority="1243" operator="containsText" text="Pesquisa de Preços">
      <formula>NOT(ISERROR(SEARCH("Pesquisa de Preços",E1260)))</formula>
    </cfRule>
  </conditionalFormatting>
  <conditionalFormatting sqref="E1160 E1164:E1165">
    <cfRule type="containsText" dxfId="434" priority="1242" operator="containsText" text="Pesquisa de Preços">
      <formula>NOT(ISERROR(SEARCH("Pesquisa de Preços",E1160)))</formula>
    </cfRule>
  </conditionalFormatting>
  <conditionalFormatting sqref="E1159">
    <cfRule type="containsText" dxfId="433" priority="1241" operator="containsText" text="Pesquisa de Preços">
      <formula>NOT(ISERROR(SEARCH("Pesquisa de Preços",E1159)))</formula>
    </cfRule>
  </conditionalFormatting>
  <conditionalFormatting sqref="E1220:E1221 E1216:E1217">
    <cfRule type="containsText" dxfId="432" priority="1240" operator="containsText" text="Pesquisa de Preços">
      <formula>NOT(ISERROR(SEARCH("Pesquisa de Preços",E1216)))</formula>
    </cfRule>
  </conditionalFormatting>
  <conditionalFormatting sqref="E1215">
    <cfRule type="containsText" dxfId="431" priority="1239" operator="containsText" text="Pesquisa de Preços">
      <formula>NOT(ISERROR(SEARCH("Pesquisa de Preços",E1215)))</formula>
    </cfRule>
  </conditionalFormatting>
  <conditionalFormatting sqref="E1218:E1219">
    <cfRule type="containsText" dxfId="430" priority="1238" operator="containsText" text="Pesquisa de Preços">
      <formula>NOT(ISERROR(SEARCH("Pesquisa de Preços",E1218)))</formula>
    </cfRule>
  </conditionalFormatting>
  <conditionalFormatting sqref="E1354">
    <cfRule type="containsText" dxfId="429" priority="1175" operator="containsText" text="Pesquisa de Preços">
      <formula>NOT(ISERROR(SEARCH("Pesquisa de Preços",E1354)))</formula>
    </cfRule>
  </conditionalFormatting>
  <conditionalFormatting sqref="E864 E866:E867">
    <cfRule type="containsText" dxfId="428" priority="1235" operator="containsText" text="Pesquisa de Preços">
      <formula>NOT(ISERROR(SEARCH("Pesquisa de Preços",E864)))</formula>
    </cfRule>
  </conditionalFormatting>
  <conditionalFormatting sqref="E865">
    <cfRule type="containsText" dxfId="427" priority="1234" operator="containsText" text="Pesquisa de Preços">
      <formula>NOT(ISERROR(SEARCH("Pesquisa de Preços",E865)))</formula>
    </cfRule>
  </conditionalFormatting>
  <conditionalFormatting sqref="E1514">
    <cfRule type="containsText" dxfId="426" priority="1174" operator="containsText" text="Pesquisa de Preços">
      <formula>NOT(ISERROR(SEARCH("Pesquisa de Preços",E1514)))</formula>
    </cfRule>
  </conditionalFormatting>
  <conditionalFormatting sqref="E207">
    <cfRule type="containsText" dxfId="425" priority="1230" operator="containsText" text="Pesquisa de Preços">
      <formula>NOT(ISERROR(SEARCH("Pesquisa de Preços",E207)))</formula>
    </cfRule>
  </conditionalFormatting>
  <conditionalFormatting sqref="E1623">
    <cfRule type="containsText" dxfId="424" priority="1228" operator="containsText" text="Pesquisa de Preços">
      <formula>NOT(ISERROR(SEARCH("Pesquisa de Preços",E1623)))</formula>
    </cfRule>
  </conditionalFormatting>
  <conditionalFormatting sqref="E1690">
    <cfRule type="containsText" dxfId="423" priority="1226" operator="containsText" text="Pesquisa de Preços">
      <formula>NOT(ISERROR(SEARCH("Pesquisa de Preços",E1690)))</formula>
    </cfRule>
  </conditionalFormatting>
  <conditionalFormatting sqref="E1618">
    <cfRule type="containsText" dxfId="422" priority="1223" operator="containsText" text="Pesquisa de Preços">
      <formula>NOT(ISERROR(SEARCH("Pesquisa de Preços",E1618)))</formula>
    </cfRule>
  </conditionalFormatting>
  <conditionalFormatting sqref="E141">
    <cfRule type="containsText" dxfId="421" priority="1222" operator="containsText" text="Pesquisa de Preços">
      <formula>NOT(ISERROR(SEARCH("Pesquisa de Preços",E141)))</formula>
    </cfRule>
  </conditionalFormatting>
  <conditionalFormatting sqref="E801">
    <cfRule type="containsText" dxfId="420" priority="1221" operator="containsText" text="Pesquisa de Preços">
      <formula>NOT(ISERROR(SEARCH("Pesquisa de Preços",E801)))</formula>
    </cfRule>
  </conditionalFormatting>
  <conditionalFormatting sqref="E1006">
    <cfRule type="containsText" dxfId="419" priority="1220" operator="containsText" text="Pesquisa de Preços">
      <formula>NOT(ISERROR(SEARCH("Pesquisa de Preços",E1006)))</formula>
    </cfRule>
  </conditionalFormatting>
  <conditionalFormatting sqref="E1011">
    <cfRule type="containsText" dxfId="418" priority="1219" operator="containsText" text="Pesquisa de Preços">
      <formula>NOT(ISERROR(SEARCH("Pesquisa de Preços",E1011)))</formula>
    </cfRule>
  </conditionalFormatting>
  <conditionalFormatting sqref="E113">
    <cfRule type="containsText" dxfId="417" priority="1218" operator="containsText" text="Pesquisa de Preços">
      <formula>NOT(ISERROR(SEARCH("Pesquisa de Preços",E113)))</formula>
    </cfRule>
  </conditionalFormatting>
  <conditionalFormatting sqref="E114">
    <cfRule type="containsText" dxfId="416" priority="1217" operator="containsText" text="Pesquisa de Preços">
      <formula>NOT(ISERROR(SEARCH("Pesquisa de Preços",E114)))</formula>
    </cfRule>
  </conditionalFormatting>
  <conditionalFormatting sqref="E1485">
    <cfRule type="containsText" dxfId="415" priority="1173" operator="containsText" text="Pesquisa de Preços">
      <formula>NOT(ISERROR(SEARCH("Pesquisa de Preços",E1485)))</formula>
    </cfRule>
  </conditionalFormatting>
  <conditionalFormatting sqref="E1697:E1698">
    <cfRule type="containsText" dxfId="414" priority="1216" operator="containsText" text="Pesquisa de Preços">
      <formula>NOT(ISERROR(SEARCH("Pesquisa de Preços",E1697)))</formula>
    </cfRule>
  </conditionalFormatting>
  <conditionalFormatting sqref="E1663">
    <cfRule type="containsText" dxfId="413" priority="1215" operator="containsText" text="Pesquisa de Preços">
      <formula>NOT(ISERROR(SEARCH("Pesquisa de Preços",E1663)))</formula>
    </cfRule>
  </conditionalFormatting>
  <conditionalFormatting sqref="E1746">
    <cfRule type="containsText" dxfId="412" priority="1214" operator="containsText" text="Pesquisa de Preços">
      <formula>NOT(ISERROR(SEARCH("Pesquisa de Preços",E1746)))</formula>
    </cfRule>
  </conditionalFormatting>
  <conditionalFormatting sqref="E1828">
    <cfRule type="containsText" dxfId="411" priority="1211" operator="containsText" text="Pesquisa de Preços">
      <formula>NOT(ISERROR(SEARCH("Pesquisa de Preços",E1828)))</formula>
    </cfRule>
  </conditionalFormatting>
  <conditionalFormatting sqref="E1842">
    <cfRule type="containsText" dxfId="410" priority="1210" operator="containsText" text="Pesquisa de Preços">
      <formula>NOT(ISERROR(SEARCH("Pesquisa de Preços",E1842)))</formula>
    </cfRule>
  </conditionalFormatting>
  <conditionalFormatting sqref="E1841">
    <cfRule type="containsText" dxfId="409" priority="1209" operator="containsText" text="Pesquisa de Preços">
      <formula>NOT(ISERROR(SEARCH("Pesquisa de Preços",E1841)))</formula>
    </cfRule>
  </conditionalFormatting>
  <conditionalFormatting sqref="E1843">
    <cfRule type="containsText" dxfId="408" priority="1208" operator="containsText" text="Pesquisa de Preços">
      <formula>NOT(ISERROR(SEARCH("Pesquisa de Preços",E1843)))</formula>
    </cfRule>
  </conditionalFormatting>
  <conditionalFormatting sqref="E1924">
    <cfRule type="containsText" dxfId="407" priority="1206" operator="containsText" text="Pesquisa de Preços">
      <formula>NOT(ISERROR(SEARCH("Pesquisa de Preços",E1924)))</formula>
    </cfRule>
  </conditionalFormatting>
  <conditionalFormatting sqref="E840">
    <cfRule type="containsText" dxfId="406" priority="1205" operator="containsText" text="Pesquisa de Preços">
      <formula>NOT(ISERROR(SEARCH("Pesquisa de Preços",E840)))</formula>
    </cfRule>
  </conditionalFormatting>
  <conditionalFormatting sqref="E2393">
    <cfRule type="containsText" dxfId="405" priority="1203" operator="containsText" text="Pesquisa de Preços">
      <formula>NOT(ISERROR(SEARCH("Pesquisa de Preços",E2393)))</formula>
    </cfRule>
  </conditionalFormatting>
  <conditionalFormatting sqref="E2257">
    <cfRule type="containsText" dxfId="404" priority="1202" operator="containsText" text="Pesquisa de Preços">
      <formula>NOT(ISERROR(SEARCH("Pesquisa de Preços",E2257)))</formula>
    </cfRule>
  </conditionalFormatting>
  <conditionalFormatting sqref="E2258">
    <cfRule type="containsText" dxfId="403" priority="1201" operator="containsText" text="Pesquisa de Preços">
      <formula>NOT(ISERROR(SEARCH("Pesquisa de Preços",E2258)))</formula>
    </cfRule>
  </conditionalFormatting>
  <conditionalFormatting sqref="E2386">
    <cfRule type="containsText" dxfId="402" priority="1200" operator="containsText" text="Pesquisa de Preços">
      <formula>NOT(ISERROR(SEARCH("Pesquisa de Preços",E2386)))</formula>
    </cfRule>
  </conditionalFormatting>
  <conditionalFormatting sqref="E132">
    <cfRule type="containsText" dxfId="401" priority="1199" operator="containsText" text="Pesquisa de Preços">
      <formula>NOT(ISERROR(SEARCH("Pesquisa de Preços",E132)))</formula>
    </cfRule>
  </conditionalFormatting>
  <conditionalFormatting sqref="E1120">
    <cfRule type="containsText" dxfId="400" priority="1198" operator="containsText" text="Pesquisa de Preços">
      <formula>NOT(ISERROR(SEARCH("Pesquisa de Preços",E1120)))</formula>
    </cfRule>
  </conditionalFormatting>
  <conditionalFormatting sqref="E1646">
    <cfRule type="containsText" dxfId="399" priority="1197" operator="containsText" text="Pesquisa de Preços">
      <formula>NOT(ISERROR(SEARCH("Pesquisa de Preços",E1646)))</formula>
    </cfRule>
  </conditionalFormatting>
  <conditionalFormatting sqref="E1645">
    <cfRule type="containsText" dxfId="398" priority="1196" operator="containsText" text="Pesquisa de Preços">
      <formula>NOT(ISERROR(SEARCH("Pesquisa de Preços",E1645)))</formula>
    </cfRule>
  </conditionalFormatting>
  <conditionalFormatting sqref="E321">
    <cfRule type="containsText" dxfId="397" priority="1195" operator="containsText" text="Pesquisa de Preços">
      <formula>NOT(ISERROR(SEARCH("Pesquisa de Preços",E321)))</formula>
    </cfRule>
  </conditionalFormatting>
  <conditionalFormatting sqref="E1959">
    <cfRule type="containsText" dxfId="396" priority="1172" operator="containsText" text="Pesquisa de Preços">
      <formula>NOT(ISERROR(SEARCH("Pesquisa de Preços",E1959)))</formula>
    </cfRule>
  </conditionalFormatting>
  <conditionalFormatting sqref="E1962">
    <cfRule type="containsText" dxfId="395" priority="1171" operator="containsText" text="Pesquisa de Preços">
      <formula>NOT(ISERROR(SEARCH("Pesquisa de Preços",E1962)))</formula>
    </cfRule>
  </conditionalFormatting>
  <conditionalFormatting sqref="E80">
    <cfRule type="containsText" dxfId="394" priority="1194" operator="containsText" text="Pesquisa de Preços">
      <formula>NOT(ISERROR(SEARCH("Pesquisa de Preços",E80)))</formula>
    </cfRule>
  </conditionalFormatting>
  <conditionalFormatting sqref="E1137">
    <cfRule type="containsText" dxfId="393" priority="1193" operator="containsText" text="Pesquisa de Preços">
      <formula>NOT(ISERROR(SEARCH("Pesquisa de Preços",E1137)))</formula>
    </cfRule>
  </conditionalFormatting>
  <conditionalFormatting sqref="E1136">
    <cfRule type="containsText" dxfId="392" priority="1192" operator="containsText" text="Pesquisa de Preços">
      <formula>NOT(ISERROR(SEARCH("Pesquisa de Preços",E1136)))</formula>
    </cfRule>
  </conditionalFormatting>
  <conditionalFormatting sqref="E1135">
    <cfRule type="containsText" dxfId="391" priority="1191" operator="containsText" text="Pesquisa de Preços">
      <formula>NOT(ISERROR(SEARCH("Pesquisa de Preços",E1135)))</formula>
    </cfRule>
  </conditionalFormatting>
  <conditionalFormatting sqref="E402:E412">
    <cfRule type="containsText" dxfId="390" priority="1190" operator="containsText" text="Pesquisa de Preços">
      <formula>NOT(ISERROR(SEARCH("Pesquisa de Preços",E402)))</formula>
    </cfRule>
  </conditionalFormatting>
  <conditionalFormatting sqref="E2136:E2137">
    <cfRule type="containsText" dxfId="389" priority="1170" operator="containsText" text="Pesquisa de Preços">
      <formula>NOT(ISERROR(SEARCH("Pesquisa de Preços",E2136)))</formula>
    </cfRule>
  </conditionalFormatting>
  <conditionalFormatting sqref="E194">
    <cfRule type="containsText" dxfId="388" priority="1189" operator="containsText" text="Pesquisa de Preços">
      <formula>NOT(ISERROR(SEARCH("Pesquisa de Preços",E194)))</formula>
    </cfRule>
  </conditionalFormatting>
  <conditionalFormatting sqref="E833:E837">
    <cfRule type="containsText" dxfId="387" priority="1188" operator="containsText" text="Pesquisa de Preços">
      <formula>NOT(ISERROR(SEARCH("Pesquisa de Preços",E833)))</formula>
    </cfRule>
  </conditionalFormatting>
  <conditionalFormatting sqref="E833:E837">
    <cfRule type="containsText" dxfId="386" priority="1187" operator="containsText" text="Pesquisa de Preços">
      <formula>NOT(ISERROR(SEARCH("Pesquisa de Preços",E833)))</formula>
    </cfRule>
  </conditionalFormatting>
  <conditionalFormatting sqref="E1934">
    <cfRule type="containsText" dxfId="385" priority="1186" operator="containsText" text="Pesquisa de Preços">
      <formula>NOT(ISERROR(SEARCH("Pesquisa de Preços",E1934)))</formula>
    </cfRule>
  </conditionalFormatting>
  <conditionalFormatting sqref="E1935">
    <cfRule type="containsText" dxfId="384" priority="1185" operator="containsText" text="Pesquisa de Preços">
      <formula>NOT(ISERROR(SEARCH("Pesquisa de Preços",E1935)))</formula>
    </cfRule>
  </conditionalFormatting>
  <conditionalFormatting sqref="E811">
    <cfRule type="containsText" dxfId="383" priority="1184" operator="containsText" text="Pesquisa de Preços">
      <formula>NOT(ISERROR(SEARCH("Pesquisa de Preços",E811)))</formula>
    </cfRule>
  </conditionalFormatting>
  <conditionalFormatting sqref="E768">
    <cfRule type="containsText" dxfId="382" priority="1183" operator="containsText" text="Pesquisa de Preços">
      <formula>NOT(ISERROR(SEARCH("Pesquisa de Preços",E768)))</formula>
    </cfRule>
  </conditionalFormatting>
  <conditionalFormatting sqref="E767">
    <cfRule type="containsText" dxfId="381" priority="1182" operator="containsText" text="Pesquisa de Preços">
      <formula>NOT(ISERROR(SEARCH("Pesquisa de Preços",E767)))</formula>
    </cfRule>
  </conditionalFormatting>
  <conditionalFormatting sqref="E851">
    <cfRule type="containsText" dxfId="380" priority="1181" operator="containsText" text="Pesquisa de Preços">
      <formula>NOT(ISERROR(SEARCH("Pesquisa de Preços",E851)))</formula>
    </cfRule>
  </conditionalFormatting>
  <conditionalFormatting sqref="E872:E873">
    <cfRule type="containsText" dxfId="379" priority="1180" operator="containsText" text="Pesquisa de Preços">
      <formula>NOT(ISERROR(SEARCH("Pesquisa de Preços",E872)))</formula>
    </cfRule>
  </conditionalFormatting>
  <conditionalFormatting sqref="E2163">
    <cfRule type="containsText" dxfId="378" priority="1169" operator="containsText" text="Pesquisa de Preços">
      <formula>NOT(ISERROR(SEARCH("Pesquisa de Preços",E2163)))</formula>
    </cfRule>
  </conditionalFormatting>
  <conditionalFormatting sqref="E870">
    <cfRule type="containsText" dxfId="377" priority="1179" operator="containsText" text="Pesquisa de Preços">
      <formula>NOT(ISERROR(SEARCH("Pesquisa de Preços",E870)))</formula>
    </cfRule>
  </conditionalFormatting>
  <conditionalFormatting sqref="E895">
    <cfRule type="containsText" dxfId="376" priority="1178" operator="containsText" text="Pesquisa de Preços">
      <formula>NOT(ISERROR(SEARCH("Pesquisa de Preços",E895)))</formula>
    </cfRule>
  </conditionalFormatting>
  <conditionalFormatting sqref="E170">
    <cfRule type="containsText" dxfId="375" priority="1167" operator="containsText" text="Pesquisa de Preços">
      <formula>NOT(ISERROR(SEARCH("Pesquisa de Preços",E170)))</formula>
    </cfRule>
  </conditionalFormatting>
  <conditionalFormatting sqref="E171:E172">
    <cfRule type="containsText" dxfId="374" priority="1168" operator="containsText" text="Pesquisa de Preços">
      <formula>NOT(ISERROR(SEARCH("Pesquisa de Preços",E171)))</formula>
    </cfRule>
  </conditionalFormatting>
  <conditionalFormatting sqref="D2750">
    <cfRule type="containsText" dxfId="373" priority="1146" operator="containsText" text="Pesquisa de Preços">
      <formula>NOT(ISERROR(SEARCH("Pesquisa de Preços",D2750)))</formula>
    </cfRule>
  </conditionalFormatting>
  <conditionalFormatting sqref="D2755">
    <cfRule type="containsText" dxfId="372" priority="1142" operator="containsText" text="Pesquisa de Preços">
      <formula>NOT(ISERROR(SEARCH("Pesquisa de Preços",D2755)))</formula>
    </cfRule>
  </conditionalFormatting>
  <conditionalFormatting sqref="D4628">
    <cfRule type="containsText" dxfId="371" priority="1120" operator="containsText" text="Pesquisa de Preços">
      <formula>NOT(ISERROR(SEARCH("Pesquisa de Preços",D4628)))</formula>
    </cfRule>
  </conditionalFormatting>
  <conditionalFormatting sqref="D4638">
    <cfRule type="containsText" dxfId="370" priority="1112" operator="containsText" text="Pesquisa de Preços">
      <formula>NOT(ISERROR(SEARCH("Pesquisa de Preços",D4638)))</formula>
    </cfRule>
  </conditionalFormatting>
  <conditionalFormatting sqref="D4648">
    <cfRule type="containsText" dxfId="369" priority="1096" operator="containsText" text="Pesquisa de Preços">
      <formula>NOT(ISERROR(SEARCH("Pesquisa de Preços",D4648)))</formula>
    </cfRule>
  </conditionalFormatting>
  <conditionalFormatting sqref="D4653">
    <cfRule type="containsText" dxfId="368" priority="1066" operator="containsText" text="Pesquisa de Preços">
      <formula>NOT(ISERROR(SEARCH("Pesquisa de Preços",D4653)))</formula>
    </cfRule>
  </conditionalFormatting>
  <conditionalFormatting sqref="D4658">
    <cfRule type="containsText" dxfId="367" priority="1062" operator="containsText" text="Pesquisa de Preços">
      <formula>NOT(ISERROR(SEARCH("Pesquisa de Preços",D4658)))</formula>
    </cfRule>
  </conditionalFormatting>
  <conditionalFormatting sqref="D4728:D4729 D4736">
    <cfRule type="containsText" dxfId="366" priority="1009" operator="containsText" text="Pesquisa de Preços">
      <formula>NOT(ISERROR(SEARCH("Pesquisa de Preços",D4728)))</formula>
    </cfRule>
  </conditionalFormatting>
  <conditionalFormatting sqref="D4663">
    <cfRule type="containsText" dxfId="365" priority="1058" operator="containsText" text="Pesquisa de Preços">
      <formula>NOT(ISERROR(SEARCH("Pesquisa de Preços",D4663)))</formula>
    </cfRule>
  </conditionalFormatting>
  <conditionalFormatting sqref="E4731:E4734">
    <cfRule type="containsText" dxfId="364" priority="1005" operator="containsText" text="Pesquisa de Preços">
      <formula>NOT(ISERROR(SEARCH("Pesquisa de Preços",E4731)))</formula>
    </cfRule>
  </conditionalFormatting>
  <conditionalFormatting sqref="D4671">
    <cfRule type="containsText" dxfId="363" priority="1054" operator="containsText" text="Pesquisa de Preços">
      <formula>NOT(ISERROR(SEARCH("Pesquisa de Preços",D4671)))</formula>
    </cfRule>
  </conditionalFormatting>
  <conditionalFormatting sqref="D4737">
    <cfRule type="containsText" dxfId="362" priority="1001" operator="containsText" text="Pesquisa de Preços">
      <formula>NOT(ISERROR(SEARCH("Pesquisa de Preços",D4737)))</formula>
    </cfRule>
  </conditionalFormatting>
  <conditionalFormatting sqref="D4679">
    <cfRule type="containsText" dxfId="361" priority="1050" operator="containsText" text="Pesquisa de Preços">
      <formula>NOT(ISERROR(SEARCH("Pesquisa de Preços",D4679)))</formula>
    </cfRule>
  </conditionalFormatting>
  <conditionalFormatting sqref="E4737">
    <cfRule type="containsText" dxfId="360" priority="997" operator="containsText" text="Pesquisa de Preços">
      <formula>NOT(ISERROR(SEARCH("Pesquisa de Preços",E4737)))</formula>
    </cfRule>
  </conditionalFormatting>
  <conditionalFormatting sqref="D4687">
    <cfRule type="containsText" dxfId="359" priority="1046" operator="containsText" text="Pesquisa de Preços">
      <formula>NOT(ISERROR(SEARCH("Pesquisa de Preços",D4687)))</formula>
    </cfRule>
  </conditionalFormatting>
  <conditionalFormatting sqref="E4741:E4742">
    <cfRule type="containsText" dxfId="358" priority="993" operator="containsText" text="Pesquisa de Preços">
      <formula>NOT(ISERROR(SEARCH("Pesquisa de Preços",E4741)))</formula>
    </cfRule>
  </conditionalFormatting>
  <conditionalFormatting sqref="D4695">
    <cfRule type="containsText" dxfId="357" priority="1042" operator="containsText" text="Pesquisa de Preços">
      <formula>NOT(ISERROR(SEARCH("Pesquisa de Preços",D4695)))</formula>
    </cfRule>
  </conditionalFormatting>
  <conditionalFormatting sqref="D4745">
    <cfRule type="containsText" dxfId="356" priority="989" operator="containsText" text="Pesquisa de Preços">
      <formula>NOT(ISERROR(SEARCH("Pesquisa de Preços",D4745)))</formula>
    </cfRule>
  </conditionalFormatting>
  <conditionalFormatting sqref="D4703">
    <cfRule type="containsText" dxfId="355" priority="1038" operator="containsText" text="Pesquisa de Preços">
      <formula>NOT(ISERROR(SEARCH("Pesquisa de Preços",D4703)))</formula>
    </cfRule>
  </conditionalFormatting>
  <conditionalFormatting sqref="D4752">
    <cfRule type="containsText" dxfId="354" priority="985" operator="containsText" text="Pesquisa de Preços">
      <formula>NOT(ISERROR(SEARCH("Pesquisa de Preços",D4752)))</formula>
    </cfRule>
  </conditionalFormatting>
  <conditionalFormatting sqref="D4711">
    <cfRule type="containsText" dxfId="353" priority="1034" operator="containsText" text="Pesquisa de Preços">
      <formula>NOT(ISERROR(SEARCH("Pesquisa de Preços",D4711)))</formula>
    </cfRule>
  </conditionalFormatting>
  <conditionalFormatting sqref="D4719">
    <cfRule type="containsText" dxfId="352" priority="1030" operator="containsText" text="Pesquisa de Preços">
      <formula>NOT(ISERROR(SEARCH("Pesquisa de Preços",D4719)))</formula>
    </cfRule>
  </conditionalFormatting>
  <conditionalFormatting sqref="D4727">
    <cfRule type="containsText" dxfId="351" priority="1010" operator="containsText" text="Pesquisa de Preços">
      <formula>NOT(ISERROR(SEARCH("Pesquisa de Preços",D4727)))</formula>
    </cfRule>
  </conditionalFormatting>
  <conditionalFormatting sqref="D4759">
    <cfRule type="containsText" dxfId="350" priority="981" operator="containsText" text="Pesquisa de Preços">
      <formula>NOT(ISERROR(SEARCH("Pesquisa de Preços",D4759)))</formula>
    </cfRule>
  </conditionalFormatting>
  <conditionalFormatting sqref="D4731:D4733">
    <cfRule type="containsText" dxfId="349" priority="1008" operator="containsText" text="Pesquisa de Preços">
      <formula>NOT(ISERROR(SEARCH("Pesquisa de Preços",D4731)))</formula>
    </cfRule>
  </conditionalFormatting>
  <conditionalFormatting sqref="E4727">
    <cfRule type="containsText" dxfId="348" priority="1006" operator="containsText" text="Pesquisa de Preços">
      <formula>NOT(ISERROR(SEARCH("Pesquisa de Preços",E4727)))</formula>
    </cfRule>
  </conditionalFormatting>
  <conditionalFormatting sqref="E4728:E4729 E4736">
    <cfRule type="containsText" dxfId="347" priority="1007" operator="containsText" text="Pesquisa de Preços">
      <formula>NOT(ISERROR(SEARCH("Pesquisa de Preços",E4728)))</formula>
    </cfRule>
  </conditionalFormatting>
  <conditionalFormatting sqref="D4738:D4739 D4744">
    <cfRule type="containsText" dxfId="346" priority="1000" operator="containsText" text="Pesquisa de Preços">
      <formula>NOT(ISERROR(SEARCH("Pesquisa de Preços",D4738)))</formula>
    </cfRule>
  </conditionalFormatting>
  <conditionalFormatting sqref="E4738:E4739 E4744">
    <cfRule type="containsText" dxfId="345" priority="998" operator="containsText" text="Pesquisa de Preços">
      <formula>NOT(ISERROR(SEARCH("Pesquisa de Preços",E4738)))</formula>
    </cfRule>
  </conditionalFormatting>
  <conditionalFormatting sqref="E1042">
    <cfRule type="containsText" dxfId="344" priority="992" operator="containsText" text="Pesquisa de Preços">
      <formula>NOT(ISERROR(SEARCH("Pesquisa de Preços",E1042)))</formula>
    </cfRule>
  </conditionalFormatting>
  <conditionalFormatting sqref="E1043">
    <cfRule type="containsText" dxfId="343" priority="991" operator="containsText" text="Pesquisa de Preços">
      <formula>NOT(ISERROR(SEARCH("Pesquisa de Preços",E1043)))</formula>
    </cfRule>
  </conditionalFormatting>
  <conditionalFormatting sqref="E4807:E4808 E4812">
    <cfRule type="containsText" dxfId="342" priority="940" operator="containsText" text="Pesquisa de Preços">
      <formula>NOT(ISERROR(SEARCH("Pesquisa de Preços",E4807)))</formula>
    </cfRule>
  </conditionalFormatting>
  <conditionalFormatting sqref="E4786:E4787 E4791">
    <cfRule type="containsText" dxfId="341" priority="961" operator="containsText" text="Pesquisa de Preços">
      <formula>NOT(ISERROR(SEARCH("Pesquisa de Preços",E4786)))</formula>
    </cfRule>
  </conditionalFormatting>
  <conditionalFormatting sqref="E4785">
    <cfRule type="containsText" dxfId="340" priority="960" operator="containsText" text="Pesquisa de Preços">
      <formula>NOT(ISERROR(SEARCH("Pesquisa de Preços",E4785)))</formula>
    </cfRule>
  </conditionalFormatting>
  <conditionalFormatting sqref="D4786:D4787 D4790:D4791">
    <cfRule type="containsText" dxfId="339" priority="962" operator="containsText" text="Pesquisa de Preços">
      <formula>NOT(ISERROR(SEARCH("Pesquisa de Preços",D4786)))</formula>
    </cfRule>
  </conditionalFormatting>
  <conditionalFormatting sqref="D4766">
    <cfRule type="containsText" dxfId="338" priority="977" operator="containsText" text="Pesquisa de Preços">
      <formula>NOT(ISERROR(SEARCH("Pesquisa de Preços",D4766)))</formula>
    </cfRule>
  </conditionalFormatting>
  <conditionalFormatting sqref="D4815">
    <cfRule type="containsText" dxfId="337" priority="924" operator="containsText" text="Pesquisa de Preços">
      <formula>NOT(ISERROR(SEARCH("Pesquisa de Preços",D4815)))</formula>
    </cfRule>
  </conditionalFormatting>
  <conditionalFormatting sqref="D4773">
    <cfRule type="containsText" dxfId="336" priority="973" operator="containsText" text="Pesquisa de Preços">
      <formula>NOT(ISERROR(SEARCH("Pesquisa de Preços",D4773)))</formula>
    </cfRule>
  </conditionalFormatting>
  <conditionalFormatting sqref="E4793:E4794 E4798">
    <cfRule type="containsText" dxfId="335" priority="954" operator="containsText" text="Pesquisa de Preços">
      <formula>NOT(ISERROR(SEARCH("Pesquisa de Preços",E4793)))</formula>
    </cfRule>
  </conditionalFormatting>
  <conditionalFormatting sqref="D4780">
    <cfRule type="containsText" dxfId="334" priority="969" operator="containsText" text="Pesquisa de Preços">
      <formula>NOT(ISERROR(SEARCH("Pesquisa de Preços",D4780)))</formula>
    </cfRule>
  </conditionalFormatting>
  <conditionalFormatting sqref="D4785">
    <cfRule type="containsText" dxfId="333" priority="963" operator="containsText" text="Pesquisa de Preços">
      <formula>NOT(ISERROR(SEARCH("Pesquisa de Preços",D4785)))</formula>
    </cfRule>
  </conditionalFormatting>
  <conditionalFormatting sqref="D4792">
    <cfRule type="containsText" dxfId="332" priority="956" operator="containsText" text="Pesquisa de Preços">
      <formula>NOT(ISERROR(SEARCH("Pesquisa de Preços",D4792)))</formula>
    </cfRule>
  </conditionalFormatting>
  <conditionalFormatting sqref="D4807:D4808 D4811:D4812">
    <cfRule type="containsText" dxfId="331" priority="941" operator="containsText" text="Pesquisa de Preços">
      <formula>NOT(ISERROR(SEARCH("Pesquisa de Preços",D4807)))</formula>
    </cfRule>
  </conditionalFormatting>
  <conditionalFormatting sqref="D4793:D4794 D4797:D4798">
    <cfRule type="containsText" dxfId="330" priority="955" operator="containsText" text="Pesquisa de Preços">
      <formula>NOT(ISERROR(SEARCH("Pesquisa de Preços",D4793)))</formula>
    </cfRule>
  </conditionalFormatting>
  <conditionalFormatting sqref="E4792">
    <cfRule type="containsText" dxfId="329" priority="953" operator="containsText" text="Pesquisa de Preços">
      <formula>NOT(ISERROR(SEARCH("Pesquisa de Preços",E4792)))</formula>
    </cfRule>
  </conditionalFormatting>
  <conditionalFormatting sqref="D4800:D4801 D4804:D4805">
    <cfRule type="containsText" dxfId="328" priority="948" operator="containsText" text="Pesquisa de Preços">
      <formula>NOT(ISERROR(SEARCH("Pesquisa de Preços",D4800)))</formula>
    </cfRule>
  </conditionalFormatting>
  <conditionalFormatting sqref="D4799">
    <cfRule type="containsText" dxfId="327" priority="949" operator="containsText" text="Pesquisa de Preços">
      <formula>NOT(ISERROR(SEARCH("Pesquisa de Preços",D4799)))</formula>
    </cfRule>
  </conditionalFormatting>
  <conditionalFormatting sqref="E4799">
    <cfRule type="containsText" dxfId="326" priority="946" operator="containsText" text="Pesquisa de Preços">
      <formula>NOT(ISERROR(SEARCH("Pesquisa de Preços",E4799)))</formula>
    </cfRule>
  </conditionalFormatting>
  <conditionalFormatting sqref="E4800:E4801 E4805">
    <cfRule type="containsText" dxfId="325" priority="947" operator="containsText" text="Pesquisa de Preços">
      <formula>NOT(ISERROR(SEARCH("Pesquisa de Preços",E4800)))</formula>
    </cfRule>
  </conditionalFormatting>
  <conditionalFormatting sqref="E4849">
    <cfRule type="containsText" dxfId="324" priority="893" operator="containsText" text="Pesquisa de Preços">
      <formula>NOT(ISERROR(SEARCH("Pesquisa de Preços",E4849)))</formula>
    </cfRule>
  </conditionalFormatting>
  <conditionalFormatting sqref="D4806">
    <cfRule type="containsText" dxfId="323" priority="942" operator="containsText" text="Pesquisa de Preços">
      <formula>NOT(ISERROR(SEARCH("Pesquisa de Preços",D4806)))</formula>
    </cfRule>
  </conditionalFormatting>
  <conditionalFormatting sqref="E4806">
    <cfRule type="containsText" dxfId="322" priority="939" operator="containsText" text="Pesquisa de Preços">
      <formula>NOT(ISERROR(SEARCH("Pesquisa de Preços",E4806)))</formula>
    </cfRule>
  </conditionalFormatting>
  <conditionalFormatting sqref="D4837">
    <cfRule type="containsText" dxfId="321" priority="918" operator="containsText" text="Pesquisa de Preços">
      <formula>NOT(ISERROR(SEARCH("Pesquisa de Preços",D4837)))</formula>
    </cfRule>
  </conditionalFormatting>
  <conditionalFormatting sqref="D4813">
    <cfRule type="containsText" dxfId="320" priority="933" operator="containsText" text="Pesquisa de Preços">
      <formula>NOT(ISERROR(SEARCH("Pesquisa de Preços",D4813)))</formula>
    </cfRule>
  </conditionalFormatting>
  <conditionalFormatting sqref="D4816">
    <cfRule type="containsText" dxfId="319" priority="926" operator="containsText" text="Pesquisa de Preços">
      <formula>NOT(ISERROR(SEARCH("Pesquisa de Preços",D4816)))</formula>
    </cfRule>
  </conditionalFormatting>
  <conditionalFormatting sqref="E4843 E4848">
    <cfRule type="containsText" dxfId="318" priority="903" operator="containsText" text="Pesquisa de Preços">
      <formula>NOT(ISERROR(SEARCH("Pesquisa de Preços",E4843)))</formula>
    </cfRule>
  </conditionalFormatting>
  <conditionalFormatting sqref="E4815">
    <cfRule type="containsText" dxfId="317" priority="923" operator="containsText" text="Pesquisa de Preços">
      <formula>NOT(ISERROR(SEARCH("Pesquisa de Preços",E4815)))</formula>
    </cfRule>
  </conditionalFormatting>
  <conditionalFormatting sqref="D4843 D4847:D4848">
    <cfRule type="containsText" dxfId="316" priority="904" operator="containsText" text="Pesquisa de Preços">
      <formula>NOT(ISERROR(SEARCH("Pesquisa de Preços",D4843)))</formula>
    </cfRule>
  </conditionalFormatting>
  <conditionalFormatting sqref="D4818 D4824 D4830 D4836">
    <cfRule type="containsText" dxfId="315" priority="919" operator="containsText" text="Pesquisa de Preços">
      <formula>NOT(ISERROR(SEARCH("Pesquisa de Preços",D4818)))</formula>
    </cfRule>
  </conditionalFormatting>
  <conditionalFormatting sqref="D4839:D4840">
    <cfRule type="containsText" dxfId="314" priority="917" operator="containsText" text="Pesquisa de Preços">
      <formula>NOT(ISERROR(SEARCH("Pesquisa de Preços",D4839)))</formula>
    </cfRule>
  </conditionalFormatting>
  <conditionalFormatting sqref="E4831 E4835">
    <cfRule type="containsText" dxfId="313" priority="912" operator="containsText" text="Pesquisa de Preços">
      <formula>NOT(ISERROR(SEARCH("Pesquisa de Preços",E4831)))</formula>
    </cfRule>
  </conditionalFormatting>
  <conditionalFormatting sqref="D4831 D4835">
    <cfRule type="containsText" dxfId="312" priority="916" operator="containsText" text="Pesquisa de Preços">
      <formula>NOT(ISERROR(SEARCH("Pesquisa de Preços",D4831)))</formula>
    </cfRule>
  </conditionalFormatting>
  <conditionalFormatting sqref="E4830">
    <cfRule type="containsText" dxfId="311" priority="911" operator="containsText" text="Pesquisa de Preços">
      <formula>NOT(ISERROR(SEARCH("Pesquisa de Preços",E4830)))</formula>
    </cfRule>
  </conditionalFormatting>
  <conditionalFormatting sqref="E4839:E4840">
    <cfRule type="containsText" dxfId="310" priority="913" operator="containsText" text="Pesquisa de Preços">
      <formula>NOT(ISERROR(SEARCH("Pesquisa de Preços",E4839)))</formula>
    </cfRule>
  </conditionalFormatting>
  <conditionalFormatting sqref="E4836">
    <cfRule type="containsText" dxfId="309" priority="914" operator="containsText" text="Pesquisa de Preços">
      <formula>NOT(ISERROR(SEARCH("Pesquisa de Preços",E4836)))</formula>
    </cfRule>
  </conditionalFormatting>
  <conditionalFormatting sqref="E4837">
    <cfRule type="containsText" dxfId="308" priority="915" operator="containsText" text="Pesquisa de Preços">
      <formula>NOT(ISERROR(SEARCH("Pesquisa de Preços",E4837)))</formula>
    </cfRule>
  </conditionalFormatting>
  <conditionalFormatting sqref="D4842">
    <cfRule type="containsText" dxfId="307" priority="905" operator="containsText" text="Pesquisa de Preços">
      <formula>NOT(ISERROR(SEARCH("Pesquisa de Preços",D4842)))</formula>
    </cfRule>
  </conditionalFormatting>
  <conditionalFormatting sqref="E4842">
    <cfRule type="containsText" dxfId="306" priority="902" operator="containsText" text="Pesquisa de Preços">
      <formula>NOT(ISERROR(SEARCH("Pesquisa de Preços",E4842)))</formula>
    </cfRule>
  </conditionalFormatting>
  <conditionalFormatting sqref="E4862">
    <cfRule type="containsText" dxfId="305" priority="875" operator="containsText" text="Pesquisa de Preços">
      <formula>NOT(ISERROR(SEARCH("Pesquisa de Preços",E4862)))</formula>
    </cfRule>
  </conditionalFormatting>
  <conditionalFormatting sqref="D4849">
    <cfRule type="containsText" dxfId="304" priority="896" operator="containsText" text="Pesquisa de Preços">
      <formula>NOT(ISERROR(SEARCH("Pesquisa de Preços",D4849)))</formula>
    </cfRule>
  </conditionalFormatting>
  <conditionalFormatting sqref="D4850">
    <cfRule type="containsText" dxfId="303" priority="895" operator="containsText" text="Pesquisa de Preços">
      <formula>NOT(ISERROR(SEARCH("Pesquisa de Preços",D4850)))</formula>
    </cfRule>
  </conditionalFormatting>
  <conditionalFormatting sqref="E4850:E4851 E4853">
    <cfRule type="containsText" dxfId="302" priority="894" operator="containsText" text="Pesquisa de Preços">
      <formula>NOT(ISERROR(SEARCH("Pesquisa de Preços",E4850)))</formula>
    </cfRule>
  </conditionalFormatting>
  <conditionalFormatting sqref="D4845">
    <cfRule type="containsText" dxfId="301" priority="866" operator="containsText" text="Pesquisa de Preços">
      <formula>NOT(ISERROR(SEARCH("Pesquisa de Preços",D4845)))</formula>
    </cfRule>
  </conditionalFormatting>
  <conditionalFormatting sqref="D4862">
    <cfRule type="containsText" dxfId="300" priority="878" operator="containsText" text="Pesquisa de Preços">
      <formula>NOT(ISERROR(SEARCH("Pesquisa de Preços",D4862)))</formula>
    </cfRule>
  </conditionalFormatting>
  <conditionalFormatting sqref="D4863:D4864">
    <cfRule type="containsText" dxfId="299" priority="877" operator="containsText" text="Pesquisa de Preços">
      <formula>NOT(ISERROR(SEARCH("Pesquisa de Preços",D4863)))</formula>
    </cfRule>
  </conditionalFormatting>
  <conditionalFormatting sqref="E4863:E4864 E4867">
    <cfRule type="containsText" dxfId="298" priority="876" operator="containsText" text="Pesquisa de Preços">
      <formula>NOT(ISERROR(SEARCH("Pesquisa de Preços",E4863)))</formula>
    </cfRule>
  </conditionalFormatting>
  <conditionalFormatting sqref="D4854">
    <cfRule type="containsText" dxfId="297" priority="871" operator="containsText" text="Pesquisa de Preços">
      <formula>NOT(ISERROR(SEARCH("Pesquisa de Preços",D4854)))</formula>
    </cfRule>
  </conditionalFormatting>
  <conditionalFormatting sqref="D4871">
    <cfRule type="containsText" dxfId="296" priority="865" operator="containsText" text="Pesquisa de Preços">
      <formula>NOT(ISERROR(SEARCH("Pesquisa de Preços",D4871)))</formula>
    </cfRule>
  </conditionalFormatting>
  <conditionalFormatting sqref="D4868">
    <cfRule type="containsText" dxfId="295" priority="860" operator="containsText" text="Pesquisa de Preços">
      <formula>NOT(ISERROR(SEARCH("Pesquisa de Preços",D4868)))</formula>
    </cfRule>
  </conditionalFormatting>
  <conditionalFormatting sqref="D4869">
    <cfRule type="containsText" dxfId="294" priority="859" operator="containsText" text="Pesquisa de Preços">
      <formula>NOT(ISERROR(SEARCH("Pesquisa de Preços",D4869)))</formula>
    </cfRule>
  </conditionalFormatting>
  <conditionalFormatting sqref="E4868">
    <cfRule type="containsText" dxfId="293" priority="857" operator="containsText" text="Pesquisa de Preços">
      <formula>NOT(ISERROR(SEARCH("Pesquisa de Preços",E4868)))</formula>
    </cfRule>
  </conditionalFormatting>
  <conditionalFormatting sqref="E4869:E4871">
    <cfRule type="containsText" dxfId="292" priority="858" operator="containsText" text="Pesquisa de Preços">
      <formula>NOT(ISERROR(SEARCH("Pesquisa de Preços",E4869)))</formula>
    </cfRule>
  </conditionalFormatting>
  <conditionalFormatting sqref="D4877">
    <cfRule type="containsText" dxfId="291" priority="854" operator="containsText" text="Pesquisa de Preços">
      <formula>NOT(ISERROR(SEARCH("Pesquisa de Preços",D4877)))</formula>
    </cfRule>
  </conditionalFormatting>
  <conditionalFormatting sqref="D4872">
    <cfRule type="containsText" dxfId="290" priority="849" operator="containsText" text="Pesquisa de Preços">
      <formula>NOT(ISERROR(SEARCH("Pesquisa de Preços",D4872)))</formula>
    </cfRule>
  </conditionalFormatting>
  <conditionalFormatting sqref="D4873:D4874">
    <cfRule type="containsText" dxfId="289" priority="848" operator="containsText" text="Pesquisa de Preços">
      <formula>NOT(ISERROR(SEARCH("Pesquisa de Preços",D4873)))</formula>
    </cfRule>
  </conditionalFormatting>
  <conditionalFormatting sqref="E4872">
    <cfRule type="containsText" dxfId="288" priority="846" operator="containsText" text="Pesquisa de Preços">
      <formula>NOT(ISERROR(SEARCH("Pesquisa de Preços",E4872)))</formula>
    </cfRule>
  </conditionalFormatting>
  <conditionalFormatting sqref="E4873:E4874 E4877">
    <cfRule type="containsText" dxfId="287" priority="847" operator="containsText" text="Pesquisa de Preços">
      <formula>NOT(ISERROR(SEARCH("Pesquisa de Preços",E4873)))</formula>
    </cfRule>
  </conditionalFormatting>
  <conditionalFormatting sqref="E4878">
    <cfRule type="containsText" dxfId="286" priority="824" operator="containsText" text="Pesquisa de Preços">
      <formula>NOT(ISERROR(SEARCH("Pesquisa de Preços",E4878)))</formula>
    </cfRule>
  </conditionalFormatting>
  <conditionalFormatting sqref="D4884">
    <cfRule type="containsText" dxfId="285" priority="818" operator="containsText" text="Pesquisa de Preços">
      <formula>NOT(ISERROR(SEARCH("Pesquisa de Preços",D4884)))</formula>
    </cfRule>
  </conditionalFormatting>
  <conditionalFormatting sqref="E4885:E4886 E4890">
    <cfRule type="containsText" dxfId="284" priority="816" operator="containsText" text="Pesquisa de Preços">
      <formula>NOT(ISERROR(SEARCH("Pesquisa de Preços",E4885)))</formula>
    </cfRule>
  </conditionalFormatting>
  <conditionalFormatting sqref="D4885:D4886 D4890">
    <cfRule type="containsText" dxfId="283" priority="817" operator="containsText" text="Pesquisa de Preços">
      <formula>NOT(ISERROR(SEARCH("Pesquisa de Preços",D4885)))</formula>
    </cfRule>
  </conditionalFormatting>
  <conditionalFormatting sqref="D4883">
    <cfRule type="containsText" dxfId="282" priority="832" operator="containsText" text="Pesquisa de Preços">
      <formula>NOT(ISERROR(SEARCH("Pesquisa de Preços",D4883)))</formula>
    </cfRule>
  </conditionalFormatting>
  <conditionalFormatting sqref="D4878">
    <cfRule type="containsText" dxfId="281" priority="827" operator="containsText" text="Pesquisa de Preços">
      <formula>NOT(ISERROR(SEARCH("Pesquisa de Preços",D4878)))</formula>
    </cfRule>
  </conditionalFormatting>
  <conditionalFormatting sqref="D4879:D4880">
    <cfRule type="containsText" dxfId="280" priority="826" operator="containsText" text="Pesquisa de Preços">
      <formula>NOT(ISERROR(SEARCH("Pesquisa de Preços",D4879)))</formula>
    </cfRule>
  </conditionalFormatting>
  <conditionalFormatting sqref="E4879:E4880 E4883">
    <cfRule type="containsText" dxfId="279" priority="825" operator="containsText" text="Pesquisa de Preços">
      <formula>NOT(ISERROR(SEARCH("Pesquisa de Preços",E4879)))</formula>
    </cfRule>
  </conditionalFormatting>
  <conditionalFormatting sqref="D4887:D4888 D4886:E4887">
    <cfRule type="containsText" dxfId="278" priority="821" operator="containsText" text="Pesquisa de Preços">
      <formula>NOT(ISERROR(SEARCH("Pesquisa de Preços",D4886)))</formula>
    </cfRule>
  </conditionalFormatting>
  <conditionalFormatting sqref="E4884">
    <cfRule type="containsText" dxfId="277" priority="815" operator="containsText" text="Pesquisa de Preços">
      <formula>NOT(ISERROR(SEARCH("Pesquisa de Preços",E4884)))</formula>
    </cfRule>
  </conditionalFormatting>
  <conditionalFormatting sqref="E4887:E4889">
    <cfRule type="containsText" dxfId="276" priority="814" operator="containsText" text="Pesquisa de Preços">
      <formula>NOT(ISERROR(SEARCH("Pesquisa de Preços",E4887)))</formula>
    </cfRule>
  </conditionalFormatting>
  <conditionalFormatting sqref="E4895">
    <cfRule type="containsText" dxfId="275" priority="797" operator="containsText" text="Pesquisa de Preços">
      <formula>NOT(ISERROR(SEARCH("Pesquisa de Preços",E4895)))</formula>
    </cfRule>
  </conditionalFormatting>
  <conditionalFormatting sqref="D4891">
    <cfRule type="containsText" dxfId="274" priority="809" operator="containsText" text="Pesquisa de Preços">
      <formula>NOT(ISERROR(SEARCH("Pesquisa de Preços",D4891)))</formula>
    </cfRule>
  </conditionalFormatting>
  <conditionalFormatting sqref="E4892 E4897">
    <cfRule type="containsText" dxfId="273" priority="807" operator="containsText" text="Pesquisa de Preços">
      <formula>NOT(ISERROR(SEARCH("Pesquisa de Preços",E4892)))</formula>
    </cfRule>
  </conditionalFormatting>
  <conditionalFormatting sqref="D4892 D4897">
    <cfRule type="containsText" dxfId="272" priority="808" operator="containsText" text="Pesquisa de Preços">
      <formula>NOT(ISERROR(SEARCH("Pesquisa de Preços",D4892)))</formula>
    </cfRule>
  </conditionalFormatting>
  <conditionalFormatting sqref="E4914:E4915">
    <cfRule type="containsText" dxfId="271" priority="756" operator="containsText" text="Pesquisa de Preços">
      <formula>NOT(ISERROR(SEARCH("Pesquisa de Preços",E4914)))</formula>
    </cfRule>
  </conditionalFormatting>
  <conditionalFormatting sqref="E4891">
    <cfRule type="containsText" dxfId="270" priority="806" operator="containsText" text="Pesquisa de Preços">
      <formula>NOT(ISERROR(SEARCH("Pesquisa de Preços",E4891)))</formula>
    </cfRule>
  </conditionalFormatting>
  <conditionalFormatting sqref="E4896">
    <cfRule type="containsText" dxfId="269" priority="805" operator="containsText" text="Pesquisa de Preços">
      <formula>NOT(ISERROR(SEARCH("Pesquisa de Preços",E4896)))</formula>
    </cfRule>
  </conditionalFormatting>
  <conditionalFormatting sqref="D4895">
    <cfRule type="containsText" dxfId="268" priority="798" operator="containsText" text="Pesquisa de Preços">
      <formula>NOT(ISERROR(SEARCH("Pesquisa de Preços",D4895)))</formula>
    </cfRule>
  </conditionalFormatting>
  <conditionalFormatting sqref="D4905">
    <cfRule type="containsText" dxfId="267" priority="791" operator="containsText" text="Pesquisa de Preços">
      <formula>NOT(ISERROR(SEARCH("Pesquisa de Preços",D4905)))</formula>
    </cfRule>
  </conditionalFormatting>
  <conditionalFormatting sqref="D4898">
    <cfRule type="containsText" dxfId="266" priority="795" operator="containsText" text="Pesquisa de Preços">
      <formula>NOT(ISERROR(SEARCH("Pesquisa de Preços",D4898)))</formula>
    </cfRule>
  </conditionalFormatting>
  <conditionalFormatting sqref="D4910">
    <cfRule type="containsText" dxfId="265" priority="786" operator="containsText" text="Pesquisa de Preços">
      <formula>NOT(ISERROR(SEARCH("Pesquisa de Preços",D4910)))</formula>
    </cfRule>
  </conditionalFormatting>
  <conditionalFormatting sqref="D4908">
    <cfRule type="containsText" dxfId="264" priority="783" operator="containsText" text="Pesquisa de Preços">
      <formula>NOT(ISERROR(SEARCH("Pesquisa de Preços",D4908)))</formula>
    </cfRule>
  </conditionalFormatting>
  <conditionalFormatting sqref="D1331">
    <cfRule type="containsText" dxfId="263" priority="779" operator="containsText" text="Pesquisa de Preços">
      <formula>NOT(ISERROR(SEARCH("Pesquisa de Preços",D1331)))</formula>
    </cfRule>
  </conditionalFormatting>
  <conditionalFormatting sqref="E1331">
    <cfRule type="containsText" dxfId="262" priority="778" operator="containsText" text="Pesquisa de Preços">
      <formula>NOT(ISERROR(SEARCH("Pesquisa de Preços",E1331)))</formula>
    </cfRule>
  </conditionalFormatting>
  <conditionalFormatting sqref="E1330">
    <cfRule type="containsText" dxfId="261" priority="777" operator="containsText" text="Pesquisa de Preços">
      <formula>NOT(ISERROR(SEARCH("Pesquisa de Preços",E1330)))</formula>
    </cfRule>
  </conditionalFormatting>
  <conditionalFormatting sqref="D1337">
    <cfRule type="containsText" dxfId="260" priority="773" operator="containsText" text="Pesquisa de Preços">
      <formula>NOT(ISERROR(SEARCH("Pesquisa de Preços",D1337)))</formula>
    </cfRule>
  </conditionalFormatting>
  <conditionalFormatting sqref="E1337">
    <cfRule type="containsText" dxfId="259" priority="772" operator="containsText" text="Pesquisa de Preços">
      <formula>NOT(ISERROR(SEARCH("Pesquisa de Preços",E1337)))</formula>
    </cfRule>
  </conditionalFormatting>
  <conditionalFormatting sqref="E1336">
    <cfRule type="containsText" dxfId="258" priority="771" operator="containsText" text="Pesquisa de Preços">
      <formula>NOT(ISERROR(SEARCH("Pesquisa de Preços",E1336)))</formula>
    </cfRule>
  </conditionalFormatting>
  <conditionalFormatting sqref="D1343">
    <cfRule type="containsText" dxfId="257" priority="767" operator="containsText" text="Pesquisa de Preços">
      <formula>NOT(ISERROR(SEARCH("Pesquisa de Preços",D1343)))</formula>
    </cfRule>
  </conditionalFormatting>
  <conditionalFormatting sqref="E1343">
    <cfRule type="containsText" dxfId="256" priority="766" operator="containsText" text="Pesquisa de Preços">
      <formula>NOT(ISERROR(SEARCH("Pesquisa de Preços",E1343)))</formula>
    </cfRule>
  </conditionalFormatting>
  <conditionalFormatting sqref="E1342">
    <cfRule type="containsText" dxfId="255" priority="765" operator="containsText" text="Pesquisa de Preços">
      <formula>NOT(ISERROR(SEARCH("Pesquisa de Preços",E1342)))</formula>
    </cfRule>
  </conditionalFormatting>
  <conditionalFormatting sqref="D4913 D4919">
    <cfRule type="containsText" dxfId="254" priority="761" operator="containsText" text="Pesquisa de Preços">
      <formula>NOT(ISERROR(SEARCH("Pesquisa de Preços",D4913)))</formula>
    </cfRule>
  </conditionalFormatting>
  <conditionalFormatting sqref="D4914:D4915">
    <cfRule type="containsText" dxfId="253" priority="759" operator="containsText" text="Pesquisa de Preços">
      <formula>NOT(ISERROR(SEARCH("Pesquisa de Preços",D4914)))</formula>
    </cfRule>
  </conditionalFormatting>
  <conditionalFormatting sqref="D4920:D4921">
    <cfRule type="containsText" dxfId="252" priority="760" operator="containsText" text="Pesquisa de Preços">
      <formula>NOT(ISERROR(SEARCH("Pesquisa de Preços",D4920)))</formula>
    </cfRule>
  </conditionalFormatting>
  <conditionalFormatting sqref="E4919">
    <cfRule type="containsText" dxfId="251" priority="757" operator="containsText" text="Pesquisa de Preços">
      <formula>NOT(ISERROR(SEARCH("Pesquisa de Preços",E4919)))</formula>
    </cfRule>
  </conditionalFormatting>
  <conditionalFormatting sqref="E4913">
    <cfRule type="containsText" dxfId="250" priority="755" operator="containsText" text="Pesquisa de Preços">
      <formula>NOT(ISERROR(SEARCH("Pesquisa de Preços",E4913)))</formula>
    </cfRule>
  </conditionalFormatting>
  <conditionalFormatting sqref="E4920:E4921">
    <cfRule type="containsText" dxfId="249" priority="758" operator="containsText" text="Pesquisa de Preços">
      <formula>NOT(ISERROR(SEARCH("Pesquisa de Preços",E4920)))</formula>
    </cfRule>
  </conditionalFormatting>
  <conditionalFormatting sqref="D4923">
    <cfRule type="containsText" dxfId="248" priority="751" operator="containsText" text="Pesquisa de Preços">
      <formula>NOT(ISERROR(SEARCH("Pesquisa de Preços",D4923)))</formula>
    </cfRule>
  </conditionalFormatting>
  <conditionalFormatting sqref="E4923">
    <cfRule type="containsText" dxfId="247" priority="750" operator="containsText" text="Pesquisa de Preços">
      <formula>NOT(ISERROR(SEARCH("Pesquisa de Preços",E4923)))</formula>
    </cfRule>
  </conditionalFormatting>
  <conditionalFormatting sqref="E4922">
    <cfRule type="containsText" dxfId="246" priority="749" operator="containsText" text="Pesquisa de Preços">
      <formula>NOT(ISERROR(SEARCH("Pesquisa de Preços",E4922)))</formula>
    </cfRule>
  </conditionalFormatting>
  <conditionalFormatting sqref="D4917">
    <cfRule type="containsText" dxfId="245" priority="745" operator="containsText" text="Pesquisa de Preços">
      <formula>NOT(ISERROR(SEARCH("Pesquisa de Preços",D4917)))</formula>
    </cfRule>
  </conditionalFormatting>
  <conditionalFormatting sqref="E4917">
    <cfRule type="containsText" dxfId="244" priority="744" operator="containsText" text="Pesquisa de Preços">
      <formula>NOT(ISERROR(SEARCH("Pesquisa de Preços",E4917)))</formula>
    </cfRule>
  </conditionalFormatting>
  <conditionalFormatting sqref="E4916">
    <cfRule type="containsText" dxfId="243" priority="743" operator="containsText" text="Pesquisa de Preços">
      <formula>NOT(ISERROR(SEARCH("Pesquisa de Preços",E4916)))</formula>
    </cfRule>
  </conditionalFormatting>
  <conditionalFormatting sqref="D4925">
    <cfRule type="containsText" dxfId="242" priority="739" operator="containsText" text="Pesquisa de Preços">
      <formula>NOT(ISERROR(SEARCH("Pesquisa de Preços",D4925)))</formula>
    </cfRule>
  </conditionalFormatting>
  <conditionalFormatting sqref="D4926 D4930">
    <cfRule type="containsText" dxfId="241" priority="738" operator="containsText" text="Pesquisa de Preços">
      <formula>NOT(ISERROR(SEARCH("Pesquisa de Preços",D4926)))</formula>
    </cfRule>
  </conditionalFormatting>
  <conditionalFormatting sqref="D4927">
    <cfRule type="containsText" dxfId="240" priority="737" operator="containsText" text="Pesquisa de Preços">
      <formula>NOT(ISERROR(SEARCH("Pesquisa de Preços",D4927)))</formula>
    </cfRule>
  </conditionalFormatting>
  <conditionalFormatting sqref="D4928:D4929">
    <cfRule type="containsText" dxfId="239" priority="736" operator="containsText" text="Pesquisa de Preços">
      <formula>NOT(ISERROR(SEARCH("Pesquisa de Preços",D4928)))</formula>
    </cfRule>
  </conditionalFormatting>
  <conditionalFormatting sqref="E4926 E4930">
    <cfRule type="containsText" dxfId="238" priority="735" operator="containsText" text="Pesquisa de Preços">
      <formula>NOT(ISERROR(SEARCH("Pesquisa de Preços",E4926)))</formula>
    </cfRule>
  </conditionalFormatting>
  <conditionalFormatting sqref="E4925">
    <cfRule type="containsText" dxfId="237" priority="734" operator="containsText" text="Pesquisa de Preços">
      <formula>NOT(ISERROR(SEARCH("Pesquisa de Preços",E4925)))</formula>
    </cfRule>
  </conditionalFormatting>
  <conditionalFormatting sqref="E4927">
    <cfRule type="containsText" dxfId="236" priority="733" operator="containsText" text="Pesquisa de Preços">
      <formula>NOT(ISERROR(SEARCH("Pesquisa de Preços",E4927)))</formula>
    </cfRule>
  </conditionalFormatting>
  <conditionalFormatting sqref="E4928:E4929">
    <cfRule type="containsText" dxfId="235" priority="732" operator="containsText" text="Pesquisa de Preços">
      <formula>NOT(ISERROR(SEARCH("Pesquisa de Preços",E4928)))</formula>
    </cfRule>
  </conditionalFormatting>
  <conditionalFormatting sqref="D4931">
    <cfRule type="containsText" dxfId="234" priority="728" operator="containsText" text="Pesquisa de Preços">
      <formula>NOT(ISERROR(SEARCH("Pesquisa de Preços",D4931)))</formula>
    </cfRule>
  </conditionalFormatting>
  <conditionalFormatting sqref="D4932 D4936">
    <cfRule type="containsText" dxfId="233" priority="727" operator="containsText" text="Pesquisa de Preços">
      <formula>NOT(ISERROR(SEARCH("Pesquisa de Preços",D4932)))</formula>
    </cfRule>
  </conditionalFormatting>
  <conditionalFormatting sqref="D4933">
    <cfRule type="containsText" dxfId="232" priority="726" operator="containsText" text="Pesquisa de Preços">
      <formula>NOT(ISERROR(SEARCH("Pesquisa de Preços",D4933)))</formula>
    </cfRule>
  </conditionalFormatting>
  <conditionalFormatting sqref="D4934:D4935">
    <cfRule type="containsText" dxfId="231" priority="725" operator="containsText" text="Pesquisa de Preços">
      <formula>NOT(ISERROR(SEARCH("Pesquisa de Preços",D4934)))</formula>
    </cfRule>
  </conditionalFormatting>
  <conditionalFormatting sqref="E4932 E4936">
    <cfRule type="containsText" dxfId="230" priority="724" operator="containsText" text="Pesquisa de Preços">
      <formula>NOT(ISERROR(SEARCH("Pesquisa de Preços",E4932)))</formula>
    </cfRule>
  </conditionalFormatting>
  <conditionalFormatting sqref="E4931">
    <cfRule type="containsText" dxfId="229" priority="723" operator="containsText" text="Pesquisa de Preços">
      <formula>NOT(ISERROR(SEARCH("Pesquisa de Preços",E4931)))</formula>
    </cfRule>
  </conditionalFormatting>
  <conditionalFormatting sqref="E4933">
    <cfRule type="containsText" dxfId="228" priority="722" operator="containsText" text="Pesquisa de Preços">
      <formula>NOT(ISERROR(SEARCH("Pesquisa de Preços",E4933)))</formula>
    </cfRule>
  </conditionalFormatting>
  <conditionalFormatting sqref="E4934:E4935">
    <cfRule type="containsText" dxfId="227" priority="721" operator="containsText" text="Pesquisa de Preços">
      <formula>NOT(ISERROR(SEARCH("Pesquisa de Preços",E4934)))</formula>
    </cfRule>
  </conditionalFormatting>
  <conditionalFormatting sqref="E4938:E4939 E4943">
    <cfRule type="containsText" dxfId="226" priority="713" operator="containsText" text="Pesquisa de Preços">
      <formula>NOT(ISERROR(SEARCH("Pesquisa de Preços",E4938)))</formula>
    </cfRule>
  </conditionalFormatting>
  <conditionalFormatting sqref="E4937">
    <cfRule type="containsText" dxfId="225" priority="712" operator="containsText" text="Pesquisa de Preços">
      <formula>NOT(ISERROR(SEARCH("Pesquisa de Preços",E4937)))</formula>
    </cfRule>
  </conditionalFormatting>
  <conditionalFormatting sqref="D4938:D4939 D4942:D4943">
    <cfRule type="containsText" dxfId="224" priority="714" operator="containsText" text="Pesquisa de Preços">
      <formula>NOT(ISERROR(SEARCH("Pesquisa de Preços",D4938)))</formula>
    </cfRule>
  </conditionalFormatting>
  <conditionalFormatting sqref="D4937">
    <cfRule type="containsText" dxfId="223" priority="715" operator="containsText" text="Pesquisa de Preços">
      <formula>NOT(ISERROR(SEARCH("Pesquisa de Preços",D4937)))</formula>
    </cfRule>
  </conditionalFormatting>
  <conditionalFormatting sqref="D4838">
    <cfRule type="containsText" dxfId="222" priority="703" operator="containsText" text="Pesquisa de Preços">
      <formula>NOT(ISERROR(SEARCH("Pesquisa de Preços",D4838)))</formula>
    </cfRule>
  </conditionalFormatting>
  <conditionalFormatting sqref="E4838">
    <cfRule type="containsText" dxfId="221" priority="702" operator="containsText" text="Pesquisa de Preços">
      <formula>NOT(ISERROR(SEARCH("Pesquisa de Preços",E4838)))</formula>
    </cfRule>
  </conditionalFormatting>
  <conditionalFormatting sqref="D2295">
    <cfRule type="containsText" dxfId="220" priority="693" operator="containsText" text="Pesquisa de Preços">
      <formula>NOT(ISERROR(SEARCH("Pesquisa de Preços",D2295)))</formula>
    </cfRule>
  </conditionalFormatting>
  <conditionalFormatting sqref="E2295">
    <cfRule type="containsText" dxfId="219" priority="692" operator="containsText" text="Pesquisa de Preços">
      <formula>NOT(ISERROR(SEARCH("Pesquisa de Preços",E2295)))</formula>
    </cfRule>
  </conditionalFormatting>
  <conditionalFormatting sqref="D2296:D2297">
    <cfRule type="containsText" dxfId="218" priority="681" operator="containsText" text="Pesquisa de Preços">
      <formula>NOT(ISERROR(SEARCH("Pesquisa de Preços",D2296)))</formula>
    </cfRule>
  </conditionalFormatting>
  <conditionalFormatting sqref="E2296:E2297">
    <cfRule type="containsText" dxfId="217" priority="680" operator="containsText" text="Pesquisa de Preços">
      <formula>NOT(ISERROR(SEARCH("Pesquisa de Preços",E2296)))</formula>
    </cfRule>
  </conditionalFormatting>
  <conditionalFormatting sqref="D2248">
    <cfRule type="containsText" dxfId="216" priority="656" operator="containsText" text="Pesquisa de Preços">
      <formula>NOT(ISERROR(SEARCH("Pesquisa de Preços",D2248)))</formula>
    </cfRule>
  </conditionalFormatting>
  <conditionalFormatting sqref="E2248">
    <cfRule type="containsText" dxfId="215" priority="655" operator="containsText" text="Pesquisa de Preços">
      <formula>NOT(ISERROR(SEARCH("Pesquisa de Preços",E2248)))</formula>
    </cfRule>
  </conditionalFormatting>
  <conditionalFormatting sqref="D4896">
    <cfRule type="containsText" dxfId="214" priority="652" operator="containsText" text="Pesquisa de Preços">
      <formula>NOT(ISERROR(SEARCH("Pesquisa de Preços",D4896)))</formula>
    </cfRule>
  </conditionalFormatting>
  <conditionalFormatting sqref="D4945 D4950">
    <cfRule type="containsText" dxfId="213" priority="635" operator="containsText" text="Pesquisa de Preços">
      <formula>NOT(ISERROR(SEARCH("Pesquisa de Preços",D4945)))</formula>
    </cfRule>
  </conditionalFormatting>
  <conditionalFormatting sqref="D4944">
    <cfRule type="containsText" dxfId="212" priority="636" operator="containsText" text="Pesquisa de Preços">
      <formula>NOT(ISERROR(SEARCH("Pesquisa de Preços",D4944)))</formula>
    </cfRule>
  </conditionalFormatting>
  <conditionalFormatting sqref="E4945 E4950">
    <cfRule type="containsText" dxfId="211" priority="634" operator="containsText" text="Pesquisa de Preços">
      <formula>NOT(ISERROR(SEARCH("Pesquisa de Preços",E4945)))</formula>
    </cfRule>
  </conditionalFormatting>
  <conditionalFormatting sqref="E4944">
    <cfRule type="containsText" dxfId="210" priority="633" operator="containsText" text="Pesquisa de Preços">
      <formula>NOT(ISERROR(SEARCH("Pesquisa de Preços",E4944)))</formula>
    </cfRule>
  </conditionalFormatting>
  <conditionalFormatting sqref="D4951">
    <cfRule type="containsText" dxfId="209" priority="626" operator="containsText" text="Pesquisa de Preços">
      <formula>NOT(ISERROR(SEARCH("Pesquisa de Preços",D4951)))</formula>
    </cfRule>
  </conditionalFormatting>
  <conditionalFormatting sqref="D4952 D4963">
    <cfRule type="containsText" dxfId="208" priority="625" operator="containsText" text="Pesquisa de Preços">
      <formula>NOT(ISERROR(SEARCH("Pesquisa de Preços",D4952)))</formula>
    </cfRule>
  </conditionalFormatting>
  <conditionalFormatting sqref="E4951">
    <cfRule type="containsText" dxfId="207" priority="623" operator="containsText" text="Pesquisa de Preços">
      <formula>NOT(ISERROR(SEARCH("Pesquisa de Preços",E4951)))</formula>
    </cfRule>
  </conditionalFormatting>
  <conditionalFormatting sqref="E4952 E4963">
    <cfRule type="containsText" dxfId="206" priority="624" operator="containsText" text="Pesquisa de Preços">
      <formula>NOT(ISERROR(SEARCH("Pesquisa de Preços",E4952)))</formula>
    </cfRule>
  </conditionalFormatting>
  <conditionalFormatting sqref="D4964">
    <cfRule type="containsText" dxfId="205" priority="609" operator="containsText" text="Pesquisa de Preços">
      <formula>NOT(ISERROR(SEARCH("Pesquisa de Preços",D4964)))</formula>
    </cfRule>
  </conditionalFormatting>
  <conditionalFormatting sqref="D4967">
    <cfRule type="containsText" dxfId="204" priority="601" operator="containsText" text="Pesquisa de Preços">
      <formula>NOT(ISERROR(SEARCH("Pesquisa de Preços",D4967)))</formula>
    </cfRule>
  </conditionalFormatting>
  <conditionalFormatting sqref="D4970">
    <cfRule type="containsText" dxfId="203" priority="597" operator="containsText" text="Pesquisa de Preços">
      <formula>NOT(ISERROR(SEARCH("Pesquisa de Preços",D4970)))</formula>
    </cfRule>
  </conditionalFormatting>
  <conditionalFormatting sqref="D4975">
    <cfRule type="containsText" dxfId="202" priority="592" operator="containsText" text="Pesquisa de Preços">
      <formula>NOT(ISERROR(SEARCH("Pesquisa de Preços",D4975)))</formula>
    </cfRule>
  </conditionalFormatting>
  <conditionalFormatting sqref="D4973">
    <cfRule type="containsText" dxfId="201" priority="589" operator="containsText" text="Pesquisa de Preços">
      <formula>NOT(ISERROR(SEARCH("Pesquisa de Preços",D4973)))</formula>
    </cfRule>
  </conditionalFormatting>
  <conditionalFormatting sqref="D4978">
    <cfRule type="containsText" dxfId="200" priority="583" operator="containsText" text="Pesquisa de Preços">
      <formula>NOT(ISERROR(SEARCH("Pesquisa de Preços",D4978)))</formula>
    </cfRule>
  </conditionalFormatting>
  <conditionalFormatting sqref="D4983">
    <cfRule type="containsText" dxfId="199" priority="580" operator="containsText" text="Pesquisa de Preços">
      <formula>NOT(ISERROR(SEARCH("Pesquisa de Preços",D4983)))</formula>
    </cfRule>
  </conditionalFormatting>
  <conditionalFormatting sqref="D4981">
    <cfRule type="containsText" dxfId="198" priority="577" operator="containsText" text="Pesquisa de Preços">
      <formula>NOT(ISERROR(SEARCH("Pesquisa de Preços",D4981)))</formula>
    </cfRule>
  </conditionalFormatting>
  <conditionalFormatting sqref="D4986">
    <cfRule type="containsText" dxfId="197" priority="571" operator="containsText" text="Pesquisa de Preços">
      <formula>NOT(ISERROR(SEARCH("Pesquisa de Preços",D4986)))</formula>
    </cfRule>
  </conditionalFormatting>
  <conditionalFormatting sqref="D4991">
    <cfRule type="containsText" dxfId="196" priority="568" operator="containsText" text="Pesquisa de Preços">
      <formula>NOT(ISERROR(SEARCH("Pesquisa de Preços",D4991)))</formula>
    </cfRule>
  </conditionalFormatting>
  <conditionalFormatting sqref="D4989">
    <cfRule type="containsText" dxfId="195" priority="565" operator="containsText" text="Pesquisa de Preços">
      <formula>NOT(ISERROR(SEARCH("Pesquisa de Preços",D4989)))</formula>
    </cfRule>
  </conditionalFormatting>
  <conditionalFormatting sqref="D4994">
    <cfRule type="containsText" dxfId="194" priority="547" operator="containsText" text="Pesquisa de Preços">
      <formula>NOT(ISERROR(SEARCH("Pesquisa de Preços",D4994)))</formula>
    </cfRule>
  </conditionalFormatting>
  <conditionalFormatting sqref="D4999">
    <cfRule type="containsText" dxfId="193" priority="544" operator="containsText" text="Pesquisa de Preços">
      <formula>NOT(ISERROR(SEARCH("Pesquisa de Preços",D4999)))</formula>
    </cfRule>
  </conditionalFormatting>
  <conditionalFormatting sqref="D4997">
    <cfRule type="containsText" dxfId="192" priority="541" operator="containsText" text="Pesquisa de Preços">
      <formula>NOT(ISERROR(SEARCH("Pesquisa de Preços",D4997)))</formula>
    </cfRule>
  </conditionalFormatting>
  <conditionalFormatting sqref="D5002">
    <cfRule type="containsText" dxfId="191" priority="535" operator="containsText" text="Pesquisa de Preços">
      <formula>NOT(ISERROR(SEARCH("Pesquisa de Preços",D5002)))</formula>
    </cfRule>
  </conditionalFormatting>
  <conditionalFormatting sqref="D5006">
    <cfRule type="containsText" dxfId="190" priority="532" operator="containsText" text="Pesquisa de Preços">
      <formula>NOT(ISERROR(SEARCH("Pesquisa de Preços",D5006)))</formula>
    </cfRule>
  </conditionalFormatting>
  <conditionalFormatting sqref="D5004">
    <cfRule type="containsText" dxfId="189" priority="522" operator="containsText" text="Pesquisa de Preços">
      <formula>NOT(ISERROR(SEARCH("Pesquisa de Preços",D5004)))</formula>
    </cfRule>
  </conditionalFormatting>
  <conditionalFormatting sqref="D5008">
    <cfRule type="containsText" dxfId="188" priority="520" operator="containsText" text="Pesquisa de Preços">
      <formula>NOT(ISERROR(SEARCH("Pesquisa de Preços",D5008)))</formula>
    </cfRule>
  </conditionalFormatting>
  <conditionalFormatting sqref="D5013">
    <cfRule type="containsText" dxfId="187" priority="517" operator="containsText" text="Pesquisa de Preços">
      <formula>NOT(ISERROR(SEARCH("Pesquisa de Preços",D5013)))</formula>
    </cfRule>
  </conditionalFormatting>
  <conditionalFormatting sqref="D5011">
    <cfRule type="containsText" dxfId="186" priority="514" operator="containsText" text="Pesquisa de Preços">
      <formula>NOT(ISERROR(SEARCH("Pesquisa de Preços",D5011)))</formula>
    </cfRule>
  </conditionalFormatting>
  <conditionalFormatting sqref="D5016">
    <cfRule type="containsText" dxfId="185" priority="508" operator="containsText" text="Pesquisa de Preços">
      <formula>NOT(ISERROR(SEARCH("Pesquisa de Preços",D5016)))</formula>
    </cfRule>
  </conditionalFormatting>
  <conditionalFormatting sqref="D5020">
    <cfRule type="containsText" dxfId="184" priority="505" operator="containsText" text="Pesquisa de Preços">
      <formula>NOT(ISERROR(SEARCH("Pesquisa de Preços",D5020)))</formula>
    </cfRule>
  </conditionalFormatting>
  <conditionalFormatting sqref="D5018">
    <cfRule type="containsText" dxfId="183" priority="500" operator="containsText" text="Pesquisa de Preços">
      <formula>NOT(ISERROR(SEARCH("Pesquisa de Preços",D5018)))</formula>
    </cfRule>
  </conditionalFormatting>
  <conditionalFormatting sqref="D5022">
    <cfRule type="containsText" dxfId="182" priority="498" operator="containsText" text="Pesquisa de Preços">
      <formula>NOT(ISERROR(SEARCH("Pesquisa de Preços",D5022)))</formula>
    </cfRule>
  </conditionalFormatting>
  <conditionalFormatting sqref="D5027">
    <cfRule type="containsText" dxfId="181" priority="495" operator="containsText" text="Pesquisa de Preços">
      <formula>NOT(ISERROR(SEARCH("Pesquisa de Preços",D5027)))</formula>
    </cfRule>
  </conditionalFormatting>
  <conditionalFormatting sqref="D5025">
    <cfRule type="containsText" dxfId="180" priority="492" operator="containsText" text="Pesquisa de Preços">
      <formula>NOT(ISERROR(SEARCH("Pesquisa de Preços",D5025)))</formula>
    </cfRule>
  </conditionalFormatting>
  <conditionalFormatting sqref="D5030">
    <cfRule type="containsText" dxfId="179" priority="484" operator="containsText" text="Pesquisa de Preços">
      <formula>NOT(ISERROR(SEARCH("Pesquisa de Preços",D5030)))</formula>
    </cfRule>
  </conditionalFormatting>
  <conditionalFormatting sqref="D5035">
    <cfRule type="containsText" dxfId="178" priority="481" operator="containsText" text="Pesquisa de Preços">
      <formula>NOT(ISERROR(SEARCH("Pesquisa de Preços",D5035)))</formula>
    </cfRule>
  </conditionalFormatting>
  <conditionalFormatting sqref="D5033">
    <cfRule type="containsText" dxfId="177" priority="478" operator="containsText" text="Pesquisa de Preços">
      <formula>NOT(ISERROR(SEARCH("Pesquisa de Preços",D5033)))</formula>
    </cfRule>
  </conditionalFormatting>
  <conditionalFormatting sqref="D5038">
    <cfRule type="containsText" dxfId="176" priority="472" operator="containsText" text="Pesquisa de Preços">
      <formula>NOT(ISERROR(SEARCH("Pesquisa de Preços",D5038)))</formula>
    </cfRule>
  </conditionalFormatting>
  <conditionalFormatting sqref="D5043">
    <cfRule type="containsText" dxfId="175" priority="469" operator="containsText" text="Pesquisa de Preços">
      <formula>NOT(ISERROR(SEARCH("Pesquisa de Preços",D5043)))</formula>
    </cfRule>
  </conditionalFormatting>
  <conditionalFormatting sqref="D5041">
    <cfRule type="containsText" dxfId="174" priority="466" operator="containsText" text="Pesquisa de Preços">
      <formula>NOT(ISERROR(SEARCH("Pesquisa de Preços",D5041)))</formula>
    </cfRule>
  </conditionalFormatting>
  <conditionalFormatting sqref="D5046">
    <cfRule type="containsText" dxfId="173" priority="460" operator="containsText" text="Pesquisa de Preços">
      <formula>NOT(ISERROR(SEARCH("Pesquisa de Preços",D5046)))</formula>
    </cfRule>
  </conditionalFormatting>
  <conditionalFormatting sqref="D5051">
    <cfRule type="containsText" dxfId="172" priority="457" operator="containsText" text="Pesquisa de Preços">
      <formula>NOT(ISERROR(SEARCH("Pesquisa de Preços",D5051)))</formula>
    </cfRule>
  </conditionalFormatting>
  <conditionalFormatting sqref="D5049">
    <cfRule type="containsText" dxfId="171" priority="454" operator="containsText" text="Pesquisa de Preços">
      <formula>NOT(ISERROR(SEARCH("Pesquisa de Preços",D5049)))</formula>
    </cfRule>
  </conditionalFormatting>
  <conditionalFormatting sqref="D5056">
    <cfRule type="containsText" dxfId="170" priority="445" operator="containsText" text="Pesquisa de Preços">
      <formula>NOT(ISERROR(SEARCH("Pesquisa de Preços",D5056)))</formula>
    </cfRule>
  </conditionalFormatting>
  <conditionalFormatting sqref="D5061">
    <cfRule type="containsText" dxfId="169" priority="442" operator="containsText" text="Pesquisa de Preços">
      <formula>NOT(ISERROR(SEARCH("Pesquisa de Preços",D5061)))</formula>
    </cfRule>
  </conditionalFormatting>
  <conditionalFormatting sqref="D5059">
    <cfRule type="containsText" dxfId="168" priority="439" operator="containsText" text="Pesquisa de Preços">
      <formula>NOT(ISERROR(SEARCH("Pesquisa de Preços",D5059)))</formula>
    </cfRule>
  </conditionalFormatting>
  <conditionalFormatting sqref="D5066">
    <cfRule type="containsText" dxfId="167" priority="430" operator="containsText" text="Pesquisa de Preços">
      <formula>NOT(ISERROR(SEARCH("Pesquisa de Preços",D5066)))</formula>
    </cfRule>
  </conditionalFormatting>
  <conditionalFormatting sqref="D5071">
    <cfRule type="containsText" dxfId="166" priority="427" operator="containsText" text="Pesquisa de Preços">
      <formula>NOT(ISERROR(SEARCH("Pesquisa de Preços",D5071)))</formula>
    </cfRule>
  </conditionalFormatting>
  <conditionalFormatting sqref="D5069">
    <cfRule type="containsText" dxfId="165" priority="424" operator="containsText" text="Pesquisa de Preços">
      <formula>NOT(ISERROR(SEARCH("Pesquisa de Preços",D5069)))</formula>
    </cfRule>
  </conditionalFormatting>
  <conditionalFormatting sqref="D5068">
    <cfRule type="containsText" dxfId="164" priority="419" operator="containsText" text="Pesquisa de Preços">
      <formula>NOT(ISERROR(SEARCH("Pesquisa de Preços",D5068)))</formula>
    </cfRule>
  </conditionalFormatting>
  <conditionalFormatting sqref="D5073">
    <cfRule type="containsText" dxfId="163" priority="417" operator="containsText" text="Pesquisa de Preços">
      <formula>NOT(ISERROR(SEARCH("Pesquisa de Preços",D5073)))</formula>
    </cfRule>
  </conditionalFormatting>
  <conditionalFormatting sqref="D5078">
    <cfRule type="containsText" dxfId="162" priority="414" operator="containsText" text="Pesquisa de Preços">
      <formula>NOT(ISERROR(SEARCH("Pesquisa de Preços",D5078)))</formula>
    </cfRule>
  </conditionalFormatting>
  <conditionalFormatting sqref="D5076">
    <cfRule type="containsText" dxfId="161" priority="411" operator="containsText" text="Pesquisa de Preços">
      <formula>NOT(ISERROR(SEARCH("Pesquisa de Preços",D5076)))</formula>
    </cfRule>
  </conditionalFormatting>
  <conditionalFormatting sqref="D5075">
    <cfRule type="containsText" dxfId="160" priority="408" operator="containsText" text="Pesquisa de Preços">
      <formula>NOT(ISERROR(SEARCH("Pesquisa de Preços",D5075)))</formula>
    </cfRule>
  </conditionalFormatting>
  <conditionalFormatting sqref="D5084">
    <cfRule type="containsText" dxfId="159" priority="383" operator="containsText" text="Pesquisa de Preços">
      <formula>NOT(ISERROR(SEARCH("Pesquisa de Preços",D5084)))</formula>
    </cfRule>
  </conditionalFormatting>
  <conditionalFormatting sqref="D5080">
    <cfRule type="containsText" dxfId="158" priority="395" operator="containsText" text="Pesquisa de Preços">
      <formula>NOT(ISERROR(SEARCH("Pesquisa de Preços",D5080)))</formula>
    </cfRule>
  </conditionalFormatting>
  <conditionalFormatting sqref="D5082">
    <cfRule type="containsText" dxfId="157" priority="386" operator="containsText" text="Pesquisa de Preços">
      <formula>NOT(ISERROR(SEARCH("Pesquisa de Preços",D5082)))</formula>
    </cfRule>
  </conditionalFormatting>
  <conditionalFormatting sqref="D5090">
    <cfRule type="containsText" dxfId="156" priority="373" operator="containsText" text="Pesquisa de Preços">
      <formula>NOT(ISERROR(SEARCH("Pesquisa de Preços",D5090)))</formula>
    </cfRule>
  </conditionalFormatting>
  <conditionalFormatting sqref="D5086">
    <cfRule type="containsText" dxfId="155" priority="381" operator="containsText" text="Pesquisa de Preços">
      <formula>NOT(ISERROR(SEARCH("Pesquisa de Preços",D5086)))</formula>
    </cfRule>
  </conditionalFormatting>
  <conditionalFormatting sqref="D5088">
    <cfRule type="containsText" dxfId="154" priority="374" operator="containsText" text="Pesquisa de Preços">
      <formula>NOT(ISERROR(SEARCH("Pesquisa de Preços",D5088)))</formula>
    </cfRule>
  </conditionalFormatting>
  <conditionalFormatting sqref="D5130">
    <cfRule type="containsText" dxfId="153" priority="325" operator="containsText" text="Pesquisa de Preços">
      <formula>NOT(ISERROR(SEARCH("Pesquisa de Preços",D5130)))</formula>
    </cfRule>
  </conditionalFormatting>
  <conditionalFormatting sqref="D5092">
    <cfRule type="containsText" dxfId="152" priority="355" operator="containsText" text="Pesquisa de Preços">
      <formula>NOT(ISERROR(SEARCH("Pesquisa de Preços",D5092)))</formula>
    </cfRule>
  </conditionalFormatting>
  <conditionalFormatting sqref="D5095">
    <cfRule type="containsText" dxfId="151" priority="352" operator="containsText" text="Pesquisa de Preços">
      <formula>NOT(ISERROR(SEARCH("Pesquisa de Preços",D5095)))</formula>
    </cfRule>
  </conditionalFormatting>
  <conditionalFormatting sqref="D5093 D5096:D5097">
    <cfRule type="containsText" dxfId="150" priority="354" operator="containsText" text="Pesquisa de Preços">
      <formula>NOT(ISERROR(SEARCH("Pesquisa de Preços",D5093)))</formula>
    </cfRule>
  </conditionalFormatting>
  <conditionalFormatting sqref="D5094">
    <cfRule type="containsText" dxfId="149" priority="353" operator="containsText" text="Pesquisa de Preços">
      <formula>NOT(ISERROR(SEARCH("Pesquisa de Preços",D5094)))</formula>
    </cfRule>
  </conditionalFormatting>
  <conditionalFormatting sqref="E5097">
    <cfRule type="containsText" dxfId="148" priority="351" operator="containsText" text="Pesquisa de Preços">
      <formula>NOT(ISERROR(SEARCH("Pesquisa de Preços",E5097)))</formula>
    </cfRule>
  </conditionalFormatting>
  <conditionalFormatting sqref="D5098">
    <cfRule type="containsText" dxfId="147" priority="347" operator="containsText" text="Pesquisa de Preços">
      <formula>NOT(ISERROR(SEARCH("Pesquisa de Preços",D5098)))</formula>
    </cfRule>
  </conditionalFormatting>
  <conditionalFormatting sqref="D5101">
    <cfRule type="containsText" dxfId="146" priority="344" operator="containsText" text="Pesquisa de Preços">
      <formula>NOT(ISERROR(SEARCH("Pesquisa de Preços",D5101)))</formula>
    </cfRule>
  </conditionalFormatting>
  <conditionalFormatting sqref="D5099">
    <cfRule type="containsText" dxfId="145" priority="346" operator="containsText" text="Pesquisa de Preços">
      <formula>NOT(ISERROR(SEARCH("Pesquisa de Preços",D5099)))</formula>
    </cfRule>
  </conditionalFormatting>
  <conditionalFormatting sqref="D5100">
    <cfRule type="containsText" dxfId="144" priority="345" operator="containsText" text="Pesquisa de Preços">
      <formula>NOT(ISERROR(SEARCH("Pesquisa de Preços",D5100)))</formula>
    </cfRule>
  </conditionalFormatting>
  <conditionalFormatting sqref="E5112">
    <cfRule type="containsText" dxfId="143" priority="343" operator="containsText" text="Pesquisa de Preços">
      <formula>NOT(ISERROR(SEARCH("Pesquisa de Preços",E5112)))</formula>
    </cfRule>
  </conditionalFormatting>
  <conditionalFormatting sqref="D5121">
    <cfRule type="containsText" dxfId="142" priority="339" operator="containsText" text="Pesquisa de Preços">
      <formula>NOT(ISERROR(SEARCH("Pesquisa de Preços",D5121)))</formula>
    </cfRule>
  </conditionalFormatting>
  <conditionalFormatting sqref="D5124">
    <cfRule type="containsText" dxfId="141" priority="336" operator="containsText" text="Pesquisa de Preços">
      <formula>NOT(ISERROR(SEARCH("Pesquisa de Preços",D5124)))</formula>
    </cfRule>
  </conditionalFormatting>
  <conditionalFormatting sqref="D5122 D5125:D5126">
    <cfRule type="containsText" dxfId="140" priority="338" operator="containsText" text="Pesquisa de Preços">
      <formula>NOT(ISERROR(SEARCH("Pesquisa de Preços",D5122)))</formula>
    </cfRule>
  </conditionalFormatting>
  <conditionalFormatting sqref="D5123">
    <cfRule type="containsText" dxfId="139" priority="337" operator="containsText" text="Pesquisa de Preços">
      <formula>NOT(ISERROR(SEARCH("Pesquisa de Preços",D5123)))</formula>
    </cfRule>
  </conditionalFormatting>
  <conditionalFormatting sqref="E5126">
    <cfRule type="containsText" dxfId="138" priority="335" operator="containsText" text="Pesquisa de Preços">
      <formula>NOT(ISERROR(SEARCH("Pesquisa de Preços",E5126)))</formula>
    </cfRule>
  </conditionalFormatting>
  <conditionalFormatting sqref="D5127">
    <cfRule type="containsText" dxfId="137" priority="331" operator="containsText" text="Pesquisa de Preços">
      <formula>NOT(ISERROR(SEARCH("Pesquisa de Preços",D5127)))</formula>
    </cfRule>
  </conditionalFormatting>
  <conditionalFormatting sqref="D5132">
    <cfRule type="containsText" dxfId="136" priority="328" operator="containsText" text="Pesquisa de Preços">
      <formula>NOT(ISERROR(SEARCH("Pesquisa de Preços",D5132)))</formula>
    </cfRule>
  </conditionalFormatting>
  <conditionalFormatting sqref="D5129">
    <cfRule type="containsText" dxfId="135" priority="322" operator="containsText" text="Pesquisa de Preços">
      <formula>NOT(ISERROR(SEARCH("Pesquisa de Preços",D5129)))</formula>
    </cfRule>
  </conditionalFormatting>
  <conditionalFormatting sqref="D5105 D5108 D5111">
    <cfRule type="containsText" dxfId="134" priority="321" operator="containsText" text="Pesquisa de Preços">
      <formula>NOT(ISERROR(SEARCH("Pesquisa de Preços",D5105)))</formula>
    </cfRule>
  </conditionalFormatting>
  <conditionalFormatting sqref="D5104 D5107 D5110">
    <cfRule type="containsText" dxfId="133" priority="317" operator="containsText" text="Pesquisa de Preços">
      <formula>NOT(ISERROR(SEARCH("Pesquisa de Preços",D5104)))</formula>
    </cfRule>
  </conditionalFormatting>
  <conditionalFormatting sqref="D5103 D5106 D5109">
    <cfRule type="containsText" dxfId="132" priority="318" operator="containsText" text="Pesquisa de Preços">
      <formula>NOT(ISERROR(SEARCH("Pesquisa de Preços",D5103)))</formula>
    </cfRule>
  </conditionalFormatting>
  <conditionalFormatting sqref="E1065">
    <cfRule type="containsText" dxfId="131" priority="316" operator="containsText" text="Pesquisa de Preços">
      <formula>NOT(ISERROR(SEARCH("Pesquisa de Preços",E1065)))</formula>
    </cfRule>
  </conditionalFormatting>
  <conditionalFormatting sqref="E1064">
    <cfRule type="containsText" dxfId="130" priority="315" operator="containsText" text="Pesquisa de Preços">
      <formula>NOT(ISERROR(SEARCH("Pesquisa de Preços",E1064)))</formula>
    </cfRule>
  </conditionalFormatting>
  <conditionalFormatting sqref="E1163">
    <cfRule type="containsText" dxfId="129" priority="314" operator="containsText" text="Pesquisa de Preços">
      <formula>NOT(ISERROR(SEARCH("Pesquisa de Preços",E1163)))</formula>
    </cfRule>
  </conditionalFormatting>
  <conditionalFormatting sqref="E1161:E1162">
    <cfRule type="containsText" dxfId="128" priority="313" operator="containsText" text="Pesquisa de Preços">
      <formula>NOT(ISERROR(SEARCH("Pesquisa de Preços",E1161)))</formula>
    </cfRule>
  </conditionalFormatting>
  <conditionalFormatting sqref="E1178">
    <cfRule type="containsText" dxfId="127" priority="312" operator="containsText" text="Pesquisa de Preços">
      <formula>NOT(ISERROR(SEARCH("Pesquisa de Preços",E1178)))</formula>
    </cfRule>
  </conditionalFormatting>
  <conditionalFormatting sqref="E1176:E1177">
    <cfRule type="containsText" dxfId="126" priority="311" operator="containsText" text="Pesquisa de Preços">
      <formula>NOT(ISERROR(SEARCH("Pesquisa de Preços",E1176)))</formula>
    </cfRule>
  </conditionalFormatting>
  <conditionalFormatting sqref="E1192">
    <cfRule type="containsText" dxfId="125" priority="310" operator="containsText" text="Pesquisa de Preços">
      <formula>NOT(ISERROR(SEARCH("Pesquisa de Preços",E1192)))</formula>
    </cfRule>
  </conditionalFormatting>
  <conditionalFormatting sqref="E1190:E1191">
    <cfRule type="containsText" dxfId="124" priority="309" operator="containsText" text="Pesquisa de Preços">
      <formula>NOT(ISERROR(SEARCH("Pesquisa de Preços",E1190)))</formula>
    </cfRule>
  </conditionalFormatting>
  <conditionalFormatting sqref="E1199">
    <cfRule type="containsText" dxfId="123" priority="308" operator="containsText" text="Pesquisa de Preços">
      <formula>NOT(ISERROR(SEARCH("Pesquisa de Preços",E1199)))</formula>
    </cfRule>
  </conditionalFormatting>
  <conditionalFormatting sqref="E1197:E1198">
    <cfRule type="containsText" dxfId="122" priority="307" operator="containsText" text="Pesquisa de Preços">
      <formula>NOT(ISERROR(SEARCH("Pesquisa de Preços",E1197)))</formula>
    </cfRule>
  </conditionalFormatting>
  <conditionalFormatting sqref="E1206">
    <cfRule type="containsText" dxfId="121" priority="306" operator="containsText" text="Pesquisa de Preços">
      <formula>NOT(ISERROR(SEARCH("Pesquisa de Preços",E1206)))</formula>
    </cfRule>
  </conditionalFormatting>
  <conditionalFormatting sqref="E1204:E1205">
    <cfRule type="containsText" dxfId="120" priority="305" operator="containsText" text="Pesquisa de Preços">
      <formula>NOT(ISERROR(SEARCH("Pesquisa de Preços",E1204)))</formula>
    </cfRule>
  </conditionalFormatting>
  <conditionalFormatting sqref="D618">
    <cfRule type="containsText" dxfId="119" priority="291" operator="containsText" text="Pesquisa de Preços">
      <formula>NOT(ISERROR(SEARCH("Pesquisa de Preços",D618)))</formula>
    </cfRule>
  </conditionalFormatting>
  <conditionalFormatting sqref="D616:D617">
    <cfRule type="containsText" dxfId="118" priority="290" operator="containsText" text="Pesquisa de Preços">
      <formula>NOT(ISERROR(SEARCH("Pesquisa de Preços",D616)))</formula>
    </cfRule>
  </conditionalFormatting>
  <conditionalFormatting sqref="E618">
    <cfRule type="containsText" dxfId="117" priority="289" operator="containsText" text="Pesquisa de Preços">
      <formula>NOT(ISERROR(SEARCH("Pesquisa de Preços",E618)))</formula>
    </cfRule>
  </conditionalFormatting>
  <conditionalFormatting sqref="E616:E617">
    <cfRule type="containsText" dxfId="116" priority="288" operator="containsText" text="Pesquisa de Preços">
      <formula>NOT(ISERROR(SEARCH("Pesquisa de Preços",E616)))</formula>
    </cfRule>
  </conditionalFormatting>
  <conditionalFormatting sqref="D265">
    <cfRule type="containsText" dxfId="115" priority="276" operator="containsText" text="Pesquisa de Preços">
      <formula>NOT(ISERROR(SEARCH("Pesquisa de Preços",D265)))</formula>
    </cfRule>
  </conditionalFormatting>
  <conditionalFormatting sqref="E265">
    <cfRule type="containsText" dxfId="114" priority="275" operator="containsText" text="Pesquisa de Preços">
      <formula>NOT(ISERROR(SEARCH("Pesquisa de Preços",E265)))</formula>
    </cfRule>
  </conditionalFormatting>
  <conditionalFormatting sqref="D2133">
    <cfRule type="containsText" dxfId="113" priority="272" operator="containsText" text="Pesquisa de Preços">
      <formula>NOT(ISERROR(SEARCH("Pesquisa de Preços",D2133)))</formula>
    </cfRule>
  </conditionalFormatting>
  <conditionalFormatting sqref="E2133">
    <cfRule type="containsText" dxfId="112" priority="271" operator="containsText" text="Pesquisa de Preços">
      <formula>NOT(ISERROR(SEARCH("Pesquisa de Preços",E2133)))</formula>
    </cfRule>
  </conditionalFormatting>
  <conditionalFormatting sqref="D2139">
    <cfRule type="containsText" dxfId="111" priority="268" operator="containsText" text="Pesquisa de Preços">
      <formula>NOT(ISERROR(SEARCH("Pesquisa de Preços",D2139)))</formula>
    </cfRule>
  </conditionalFormatting>
  <conditionalFormatting sqref="D5120">
    <cfRule type="containsText" dxfId="110" priority="258" operator="containsText" text="Pesquisa de Preços">
      <formula>NOT(ISERROR(SEARCH("Pesquisa de Preços",D5120)))</formula>
    </cfRule>
  </conditionalFormatting>
  <conditionalFormatting sqref="E5113">
    <cfRule type="containsText" dxfId="109" priority="251" operator="containsText" text="Pesquisa de Preços">
      <formula>NOT(ISERROR(SEARCH("Pesquisa de Preços",E5113)))</formula>
    </cfRule>
  </conditionalFormatting>
  <conditionalFormatting sqref="E5120">
    <cfRule type="containsText" dxfId="108" priority="255" operator="containsText" text="Pesquisa de Preços">
      <formula>NOT(ISERROR(SEARCH("Pesquisa de Preços",E5120)))</formula>
    </cfRule>
  </conditionalFormatting>
  <conditionalFormatting sqref="D5113">
    <cfRule type="containsText" dxfId="107" priority="246" operator="containsText" text="Pesquisa de Preços">
      <formula>NOT(ISERROR(SEARCH("Pesquisa de Preços",D5113)))</formula>
    </cfRule>
  </conditionalFormatting>
  <conditionalFormatting sqref="D5138">
    <cfRule type="containsText" dxfId="106" priority="229" operator="containsText" text="Pesquisa de Preços">
      <formula>NOT(ISERROR(SEARCH("Pesquisa de Preços",D5138)))</formula>
    </cfRule>
  </conditionalFormatting>
  <conditionalFormatting sqref="D5136">
    <cfRule type="containsText" dxfId="105" priority="230" operator="containsText" text="Pesquisa de Preços">
      <formula>NOT(ISERROR(SEARCH("Pesquisa de Preços",D5136)))</formula>
    </cfRule>
  </conditionalFormatting>
  <conditionalFormatting sqref="D5144">
    <cfRule type="containsText" dxfId="104" priority="217" operator="containsText" text="Pesquisa de Preços">
      <formula>NOT(ISERROR(SEARCH("Pesquisa de Preços",D5144)))</formula>
    </cfRule>
  </conditionalFormatting>
  <conditionalFormatting sqref="D5142">
    <cfRule type="containsText" dxfId="103" priority="218" operator="containsText" text="Pesquisa de Preços">
      <formula>NOT(ISERROR(SEARCH("Pesquisa de Preços",D5142)))</formula>
    </cfRule>
  </conditionalFormatting>
  <conditionalFormatting sqref="D5134">
    <cfRule type="containsText" dxfId="102" priority="209" operator="containsText" text="Pesquisa de Preços">
      <formula>NOT(ISERROR(SEARCH("Pesquisa de Preços",D5134)))</formula>
    </cfRule>
  </conditionalFormatting>
  <conditionalFormatting sqref="D5140">
    <cfRule type="containsText" dxfId="101" priority="208" operator="containsText" text="Pesquisa de Preços">
      <formula>NOT(ISERROR(SEARCH("Pesquisa de Preços",D5140)))</formula>
    </cfRule>
  </conditionalFormatting>
  <conditionalFormatting sqref="D2413">
    <cfRule type="containsText" dxfId="100" priority="207" operator="containsText" text="Pesquisa de Preços">
      <formula>NOT(ISERROR(SEARCH("Pesquisa de Preços",D2413)))</formula>
    </cfRule>
  </conditionalFormatting>
  <conditionalFormatting sqref="D2410">
    <cfRule type="containsText" dxfId="99" priority="206" operator="containsText" text="Pesquisa de Preços">
      <formula>NOT(ISERROR(SEARCH("Pesquisa de Preços",D2410)))</formula>
    </cfRule>
  </conditionalFormatting>
  <conditionalFormatting sqref="E2413">
    <cfRule type="containsText" dxfId="98" priority="205" operator="containsText" text="Pesquisa de Preços">
      <formula>NOT(ISERROR(SEARCH("Pesquisa de Preços",E2413)))</formula>
    </cfRule>
  </conditionalFormatting>
  <conditionalFormatting sqref="D2417">
    <cfRule type="containsText" dxfId="97" priority="202" operator="containsText" text="Pesquisa de Preços">
      <formula>NOT(ISERROR(SEARCH("Pesquisa de Preços",D2417)))</formula>
    </cfRule>
  </conditionalFormatting>
  <conditionalFormatting sqref="D2414">
    <cfRule type="containsText" dxfId="96" priority="201" operator="containsText" text="Pesquisa de Preços">
      <formula>NOT(ISERROR(SEARCH("Pesquisa de Preços",D2414)))</formula>
    </cfRule>
  </conditionalFormatting>
  <conditionalFormatting sqref="E2417">
    <cfRule type="containsText" dxfId="95" priority="200" operator="containsText" text="Pesquisa de Preços">
      <formula>NOT(ISERROR(SEARCH("Pesquisa de Preços",E2417)))</formula>
    </cfRule>
  </conditionalFormatting>
  <conditionalFormatting sqref="D2421">
    <cfRule type="containsText" dxfId="94" priority="197" operator="containsText" text="Pesquisa de Preços">
      <formula>NOT(ISERROR(SEARCH("Pesquisa de Preços",D2421)))</formula>
    </cfRule>
  </conditionalFormatting>
  <conditionalFormatting sqref="D2418">
    <cfRule type="containsText" dxfId="93" priority="196" operator="containsText" text="Pesquisa de Preços">
      <formula>NOT(ISERROR(SEARCH("Pesquisa de Preços",D2418)))</formula>
    </cfRule>
  </conditionalFormatting>
  <conditionalFormatting sqref="E2421">
    <cfRule type="containsText" dxfId="92" priority="195" operator="containsText" text="Pesquisa de Preços">
      <formula>NOT(ISERROR(SEARCH("Pesquisa de Preços",E2421)))</formula>
    </cfRule>
  </conditionalFormatting>
  <conditionalFormatting sqref="D2429">
    <cfRule type="containsText" dxfId="91" priority="192" operator="containsText" text="Pesquisa de Preços">
      <formula>NOT(ISERROR(SEARCH("Pesquisa de Preços",D2429)))</formula>
    </cfRule>
  </conditionalFormatting>
  <conditionalFormatting sqref="D2426">
    <cfRule type="containsText" dxfId="90" priority="191" operator="containsText" text="Pesquisa de Preços">
      <formula>NOT(ISERROR(SEARCH("Pesquisa de Preços",D2426)))</formula>
    </cfRule>
  </conditionalFormatting>
  <conditionalFormatting sqref="E2429">
    <cfRule type="containsText" dxfId="89" priority="190" operator="containsText" text="Pesquisa de Preços">
      <formula>NOT(ISERROR(SEARCH("Pesquisa de Preços",E2429)))</formula>
    </cfRule>
  </conditionalFormatting>
  <conditionalFormatting sqref="D2433">
    <cfRule type="containsText" dxfId="88" priority="187" operator="containsText" text="Pesquisa de Preços">
      <formula>NOT(ISERROR(SEARCH("Pesquisa de Preços",D2433)))</formula>
    </cfRule>
  </conditionalFormatting>
  <conditionalFormatting sqref="D2430">
    <cfRule type="containsText" dxfId="87" priority="186" operator="containsText" text="Pesquisa de Preços">
      <formula>NOT(ISERROR(SEARCH("Pesquisa de Preços",D2430)))</formula>
    </cfRule>
  </conditionalFormatting>
  <conditionalFormatting sqref="E2433">
    <cfRule type="containsText" dxfId="86" priority="185" operator="containsText" text="Pesquisa de Preços">
      <formula>NOT(ISERROR(SEARCH("Pesquisa de Preços",E2433)))</formula>
    </cfRule>
  </conditionalFormatting>
  <conditionalFormatting sqref="D2437">
    <cfRule type="containsText" dxfId="85" priority="182" operator="containsText" text="Pesquisa de Preços">
      <formula>NOT(ISERROR(SEARCH("Pesquisa de Preços",D2437)))</formula>
    </cfRule>
  </conditionalFormatting>
  <conditionalFormatting sqref="D2434">
    <cfRule type="containsText" dxfId="84" priority="181" operator="containsText" text="Pesquisa de Preços">
      <formula>NOT(ISERROR(SEARCH("Pesquisa de Preços",D2434)))</formula>
    </cfRule>
  </conditionalFormatting>
  <conditionalFormatting sqref="E2437">
    <cfRule type="containsText" dxfId="83" priority="180" operator="containsText" text="Pesquisa de Preços">
      <formula>NOT(ISERROR(SEARCH("Pesquisa de Preços",E2437)))</formula>
    </cfRule>
  </conditionalFormatting>
  <conditionalFormatting sqref="D2441">
    <cfRule type="containsText" dxfId="82" priority="177" operator="containsText" text="Pesquisa de Preços">
      <formula>NOT(ISERROR(SEARCH("Pesquisa de Preços",D2441)))</formula>
    </cfRule>
  </conditionalFormatting>
  <conditionalFormatting sqref="D2438">
    <cfRule type="containsText" dxfId="81" priority="176" operator="containsText" text="Pesquisa de Preços">
      <formula>NOT(ISERROR(SEARCH("Pesquisa de Preços",D2438)))</formula>
    </cfRule>
  </conditionalFormatting>
  <conditionalFormatting sqref="E2441">
    <cfRule type="containsText" dxfId="80" priority="175" operator="containsText" text="Pesquisa de Preços">
      <formula>NOT(ISERROR(SEARCH("Pesquisa de Preços",E2441)))</formula>
    </cfRule>
  </conditionalFormatting>
  <conditionalFormatting sqref="D2445">
    <cfRule type="containsText" dxfId="79" priority="172" operator="containsText" text="Pesquisa de Preços">
      <formula>NOT(ISERROR(SEARCH("Pesquisa de Preços",D2445)))</formula>
    </cfRule>
  </conditionalFormatting>
  <conditionalFormatting sqref="D2442">
    <cfRule type="containsText" dxfId="78" priority="171" operator="containsText" text="Pesquisa de Preços">
      <formula>NOT(ISERROR(SEARCH("Pesquisa de Preços",D2442)))</formula>
    </cfRule>
  </conditionalFormatting>
  <conditionalFormatting sqref="E2445">
    <cfRule type="containsText" dxfId="77" priority="170" operator="containsText" text="Pesquisa de Preços">
      <formula>NOT(ISERROR(SEARCH("Pesquisa de Preços",E2445)))</formula>
    </cfRule>
  </conditionalFormatting>
  <conditionalFormatting sqref="D2449">
    <cfRule type="containsText" dxfId="76" priority="167" operator="containsText" text="Pesquisa de Preços">
      <formula>NOT(ISERROR(SEARCH("Pesquisa de Preços",D2449)))</formula>
    </cfRule>
  </conditionalFormatting>
  <conditionalFormatting sqref="D2446">
    <cfRule type="containsText" dxfId="75" priority="166" operator="containsText" text="Pesquisa de Preços">
      <formula>NOT(ISERROR(SEARCH("Pesquisa de Preços",D2446)))</formula>
    </cfRule>
  </conditionalFormatting>
  <conditionalFormatting sqref="E2449">
    <cfRule type="containsText" dxfId="74" priority="165" operator="containsText" text="Pesquisa de Preços">
      <formula>NOT(ISERROR(SEARCH("Pesquisa de Preços",E2449)))</formula>
    </cfRule>
  </conditionalFormatting>
  <conditionalFormatting sqref="D2454">
    <cfRule type="containsText" dxfId="73" priority="161" operator="containsText" text="Pesquisa de Preços">
      <formula>NOT(ISERROR(SEARCH("Pesquisa de Preços",D2454)))</formula>
    </cfRule>
  </conditionalFormatting>
  <conditionalFormatting sqref="D2458">
    <cfRule type="containsText" dxfId="72" priority="157" operator="containsText" text="Pesquisa de Preços">
      <formula>NOT(ISERROR(SEARCH("Pesquisa de Preços",D2458)))</formula>
    </cfRule>
  </conditionalFormatting>
  <conditionalFormatting sqref="D2470">
    <cfRule type="containsText" dxfId="71" priority="153" operator="containsText" text="Pesquisa de Preços">
      <formula>NOT(ISERROR(SEARCH("Pesquisa de Preços",D2470)))</formula>
    </cfRule>
  </conditionalFormatting>
  <conditionalFormatting sqref="D2474">
    <cfRule type="containsText" dxfId="70" priority="149" operator="containsText" text="Pesquisa de Preços">
      <formula>NOT(ISERROR(SEARCH("Pesquisa de Preços",D2474)))</formula>
    </cfRule>
  </conditionalFormatting>
  <conditionalFormatting sqref="D2478">
    <cfRule type="containsText" dxfId="69" priority="145" operator="containsText" text="Pesquisa de Preços">
      <formula>NOT(ISERROR(SEARCH("Pesquisa de Preços",D2478)))</formula>
    </cfRule>
  </conditionalFormatting>
  <conditionalFormatting sqref="D2482">
    <cfRule type="containsText" dxfId="68" priority="141" operator="containsText" text="Pesquisa de Preços">
      <formula>NOT(ISERROR(SEARCH("Pesquisa de Preços",D2482)))</formula>
    </cfRule>
  </conditionalFormatting>
  <conditionalFormatting sqref="D2486">
    <cfRule type="containsText" dxfId="67" priority="137" operator="containsText" text="Pesquisa de Preços">
      <formula>NOT(ISERROR(SEARCH("Pesquisa de Preços",D2486)))</formula>
    </cfRule>
  </conditionalFormatting>
  <conditionalFormatting sqref="D2490">
    <cfRule type="containsText" dxfId="66" priority="133" operator="containsText" text="Pesquisa de Preços">
      <formula>NOT(ISERROR(SEARCH("Pesquisa de Preços",D2490)))</formula>
    </cfRule>
  </conditionalFormatting>
  <conditionalFormatting sqref="D2494">
    <cfRule type="containsText" dxfId="65" priority="129" operator="containsText" text="Pesquisa de Preços">
      <formula>NOT(ISERROR(SEARCH("Pesquisa de Preços",D2494)))</formula>
    </cfRule>
  </conditionalFormatting>
  <conditionalFormatting sqref="D2498">
    <cfRule type="containsText" dxfId="64" priority="125" operator="containsText" text="Pesquisa de Preços">
      <formula>NOT(ISERROR(SEARCH("Pesquisa de Preços",D2498)))</formula>
    </cfRule>
  </conditionalFormatting>
  <conditionalFormatting sqref="D2502">
    <cfRule type="containsText" dxfId="63" priority="121" operator="containsText" text="Pesquisa de Preços">
      <formula>NOT(ISERROR(SEARCH("Pesquisa de Preços",D2502)))</formula>
    </cfRule>
  </conditionalFormatting>
  <conditionalFormatting sqref="D2506">
    <cfRule type="containsText" dxfId="62" priority="117" operator="containsText" text="Pesquisa de Preços">
      <formula>NOT(ISERROR(SEARCH("Pesquisa de Preços",D2506)))</formula>
    </cfRule>
  </conditionalFormatting>
  <conditionalFormatting sqref="D2510">
    <cfRule type="containsText" dxfId="61" priority="113" operator="containsText" text="Pesquisa de Preços">
      <formula>NOT(ISERROR(SEARCH("Pesquisa de Preços",D2510)))</formula>
    </cfRule>
  </conditionalFormatting>
  <conditionalFormatting sqref="D2514">
    <cfRule type="containsText" dxfId="60" priority="107" operator="containsText" text="Pesquisa de Preços">
      <formula>NOT(ISERROR(SEARCH("Pesquisa de Preços",D2514)))</formula>
    </cfRule>
  </conditionalFormatting>
  <conditionalFormatting sqref="D2518">
    <cfRule type="containsText" dxfId="59" priority="103" operator="containsText" text="Pesquisa de Preços">
      <formula>NOT(ISERROR(SEARCH("Pesquisa de Preços",D2518)))</formula>
    </cfRule>
  </conditionalFormatting>
  <conditionalFormatting sqref="D2522">
    <cfRule type="containsText" dxfId="58" priority="99" operator="containsText" text="Pesquisa de Preços">
      <formula>NOT(ISERROR(SEARCH("Pesquisa de Preços",D2522)))</formula>
    </cfRule>
  </conditionalFormatting>
  <conditionalFormatting sqref="D2526">
    <cfRule type="containsText" dxfId="57" priority="95" operator="containsText" text="Pesquisa de Preços">
      <formula>NOT(ISERROR(SEARCH("Pesquisa de Preços",D2526)))</formula>
    </cfRule>
  </conditionalFormatting>
  <conditionalFormatting sqref="D2530">
    <cfRule type="containsText" dxfId="56" priority="91" operator="containsText" text="Pesquisa de Preços">
      <formula>NOT(ISERROR(SEARCH("Pesquisa de Preços",D2530)))</formula>
    </cfRule>
  </conditionalFormatting>
  <conditionalFormatting sqref="D2534">
    <cfRule type="containsText" dxfId="55" priority="87" operator="containsText" text="Pesquisa de Preços">
      <formula>NOT(ISERROR(SEARCH("Pesquisa de Preços",D2534)))</formula>
    </cfRule>
  </conditionalFormatting>
  <conditionalFormatting sqref="D2538">
    <cfRule type="containsText" dxfId="54" priority="83" operator="containsText" text="Pesquisa de Preços">
      <formula>NOT(ISERROR(SEARCH("Pesquisa de Preços",D2538)))</formula>
    </cfRule>
  </conditionalFormatting>
  <conditionalFormatting sqref="D2542">
    <cfRule type="containsText" dxfId="53" priority="79" operator="containsText" text="Pesquisa de Preços">
      <formula>NOT(ISERROR(SEARCH("Pesquisa de Preços",D2542)))</formula>
    </cfRule>
  </conditionalFormatting>
  <conditionalFormatting sqref="D2546">
    <cfRule type="containsText" dxfId="52" priority="75" operator="containsText" text="Pesquisa de Preços">
      <formula>NOT(ISERROR(SEARCH("Pesquisa de Preços",D2546)))</formula>
    </cfRule>
  </conditionalFormatting>
  <conditionalFormatting sqref="D2550">
    <cfRule type="containsText" dxfId="51" priority="71" operator="containsText" text="Pesquisa de Preços">
      <formula>NOT(ISERROR(SEARCH("Pesquisa de Preços",D2550)))</formula>
    </cfRule>
  </conditionalFormatting>
  <conditionalFormatting sqref="D2554">
    <cfRule type="containsText" dxfId="50" priority="67" operator="containsText" text="Pesquisa de Preços">
      <formula>NOT(ISERROR(SEARCH("Pesquisa de Preços",D2554)))</formula>
    </cfRule>
  </conditionalFormatting>
  <conditionalFormatting sqref="D2558">
    <cfRule type="containsText" dxfId="49" priority="63" operator="containsText" text="Pesquisa de Preços">
      <formula>NOT(ISERROR(SEARCH("Pesquisa de Preços",D2558)))</formula>
    </cfRule>
  </conditionalFormatting>
  <conditionalFormatting sqref="D2658">
    <cfRule type="containsText" dxfId="48" priority="49" operator="containsText" text="Pesquisa de Preços">
      <formula>NOT(ISERROR(SEARCH("Pesquisa de Preços",D2658)))</formula>
    </cfRule>
  </conditionalFormatting>
  <conditionalFormatting sqref="D2566">
    <cfRule type="containsText" dxfId="47" priority="55" operator="containsText" text="Pesquisa de Preços">
      <formula>NOT(ISERROR(SEARCH("Pesquisa de Preços",D2566)))</formula>
    </cfRule>
  </conditionalFormatting>
  <conditionalFormatting sqref="D2562">
    <cfRule type="containsText" dxfId="46" priority="51" operator="containsText" text="Pesquisa de Preços">
      <formula>NOT(ISERROR(SEARCH("Pesquisa de Preços",D2562)))</formula>
    </cfRule>
  </conditionalFormatting>
  <conditionalFormatting sqref="D2666">
    <cfRule type="containsText" dxfId="45" priority="45" operator="containsText" text="Pesquisa de Preços">
      <formula>NOT(ISERROR(SEARCH("Pesquisa de Preços",D2666)))</formula>
    </cfRule>
  </conditionalFormatting>
  <conditionalFormatting sqref="D2462">
    <cfRule type="containsText" dxfId="44" priority="41" operator="containsText" text="Pesquisa de Preços">
      <formula>NOT(ISERROR(SEARCH("Pesquisa de Preços",D2462)))</formula>
    </cfRule>
  </conditionalFormatting>
  <conditionalFormatting sqref="D2466">
    <cfRule type="containsText" dxfId="43" priority="37" operator="containsText" text="Pesquisa de Preços">
      <formula>NOT(ISERROR(SEARCH("Pesquisa de Preços",D2466)))</formula>
    </cfRule>
  </conditionalFormatting>
  <conditionalFormatting sqref="D881">
    <cfRule type="containsText" dxfId="42" priority="27" operator="containsText" text="Pesquisa de Preços">
      <formula>NOT(ISERROR(SEARCH("Pesquisa de Preços",D881)))</formula>
    </cfRule>
  </conditionalFormatting>
  <conditionalFormatting sqref="E881">
    <cfRule type="containsText" dxfId="41" priority="26" operator="containsText" text="Pesquisa de Preços">
      <formula>NOT(ISERROR(SEARCH("Pesquisa de Preços",E881)))</formula>
    </cfRule>
  </conditionalFormatting>
  <conditionalFormatting sqref="D890">
    <cfRule type="containsText" dxfId="40" priority="14" operator="containsText" text="Pesquisa de Preços">
      <formula>NOT(ISERROR(SEARCH("Pesquisa de Preços",D890)))</formula>
    </cfRule>
  </conditionalFormatting>
  <conditionalFormatting sqref="E890">
    <cfRule type="containsText" dxfId="39" priority="13" operator="containsText" text="Pesquisa de Preços">
      <formula>NOT(ISERROR(SEARCH("Pesquisa de Preços",E890)))</formula>
    </cfRule>
  </conditionalFormatting>
  <conditionalFormatting sqref="D889">
    <cfRule type="containsText" dxfId="38" priority="12" operator="containsText" text="Pesquisa de Preços">
      <formula>NOT(ISERROR(SEARCH("Pesquisa de Preços",D889)))</formula>
    </cfRule>
  </conditionalFormatting>
  <conditionalFormatting sqref="E889">
    <cfRule type="containsText" dxfId="37" priority="11" operator="containsText" text="Pesquisa de Preços">
      <formula>NOT(ISERROR(SEARCH("Pesquisa de Preços",E889)))</formula>
    </cfRule>
  </conditionalFormatting>
  <conditionalFormatting sqref="D692">
    <cfRule type="containsText" dxfId="36" priority="9" operator="containsText" text="Pesquisa de Preços">
      <formula>NOT(ISERROR(SEARCH("Pesquisa de Preços",D692)))</formula>
    </cfRule>
  </conditionalFormatting>
  <conditionalFormatting sqref="E692">
    <cfRule type="containsText" dxfId="35" priority="8" operator="containsText" text="Pesquisa de Preços">
      <formula>NOT(ISERROR(SEARCH("Pesquisa de Preços",E692)))</formula>
    </cfRule>
  </conditionalFormatting>
  <conditionalFormatting sqref="D691">
    <cfRule type="containsText" dxfId="34" priority="4" operator="containsText" text="Pesquisa de Preços">
      <formula>NOT(ISERROR(SEARCH("Pesquisa de Preços",D691)))</formula>
    </cfRule>
  </conditionalFormatting>
  <conditionalFormatting sqref="E691">
    <cfRule type="containsText" dxfId="33" priority="3" operator="containsText" text="Pesquisa de Preços">
      <formula>NOT(ISERROR(SEARCH("Pesquisa de Preços",E691)))</formula>
    </cfRule>
  </conditionalFormatting>
  <hyperlinks>
    <hyperlink ref="C461" r:id="rId1"/>
    <hyperlink ref="C495" r:id="rId2"/>
    <hyperlink ref="C494" r:id="rId3"/>
    <hyperlink ref="C479" r:id="rId4"/>
    <hyperlink ref="C480" r:id="rId5"/>
    <hyperlink ref="C4529" r:id="rId6"/>
    <hyperlink ref="C4596" r:id="rId7"/>
    <hyperlink ref="C4575" r:id="rId8"/>
  </hyperlinks>
  <printOptions horizontalCentered="1"/>
  <pageMargins left="0.19685039370078741" right="0.19685039370078741" top="0.98425196850393704" bottom="0.59055118110236227" header="0.19685039370078741" footer="0.19685039370078741"/>
  <pageSetup paperSize="9" scale="47" fitToHeight="0" orientation="landscape" horizontalDpi="4294967295" verticalDpi="4294967295" r:id="rId9"/>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16" manualBreakCount="16">
    <brk id="86" max="10" man="1"/>
    <brk id="288" max="10" man="1"/>
    <brk id="324" max="10" man="1"/>
    <brk id="378" max="10" man="1"/>
    <brk id="452" max="10" man="1"/>
    <brk id="487" max="10" man="1"/>
    <brk id="535" max="10" man="1"/>
    <brk id="577" max="10" man="1"/>
    <brk id="788" max="10" man="1"/>
    <brk id="891" max="10" man="1"/>
    <brk id="1613" max="10" man="1"/>
    <brk id="1726" max="10" man="1"/>
    <brk id="1787" max="10" man="1"/>
    <brk id="2084" max="10" man="1"/>
    <brk id="2375" max="10" man="1"/>
    <brk id="3221" max="10" man="1"/>
  </rowBreaks>
  <drawing r:id="rId10"/>
  <legacyDrawingHF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filterMode="1">
    <pageSetUpPr fitToPage="1"/>
  </sheetPr>
  <dimension ref="A1:I437"/>
  <sheetViews>
    <sheetView zoomScale="90" zoomScaleNormal="90" workbookViewId="0">
      <pane ySplit="5" topLeftCell="A6" activePane="bottomLeft" state="frozen"/>
      <selection pane="bottomLeft" activeCell="N52" sqref="N52"/>
    </sheetView>
  </sheetViews>
  <sheetFormatPr defaultRowHeight="15" x14ac:dyDescent="0.25"/>
  <cols>
    <col min="1" max="1" width="46.85546875" customWidth="1"/>
    <col min="2" max="2" width="65.7109375" style="5"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81" t="str">
        <f>Composições!A1</f>
        <v>Reforma do Centro de Treinamento da SPOL</v>
      </c>
      <c r="B1" s="105"/>
      <c r="C1" s="81"/>
      <c r="D1" s="81"/>
      <c r="E1" s="81"/>
      <c r="F1" s="81"/>
      <c r="G1" s="81"/>
      <c r="H1" s="82"/>
      <c r="I1" s="83"/>
    </row>
    <row r="2" spans="1:9" ht="24.95" customHeight="1" x14ac:dyDescent="0.25">
      <c r="A2" s="10" t="s">
        <v>1505</v>
      </c>
      <c r="B2" s="11"/>
      <c r="C2" s="11"/>
      <c r="D2" s="11"/>
      <c r="E2" s="11"/>
      <c r="F2" s="11"/>
      <c r="G2" s="11"/>
      <c r="H2" s="13"/>
      <c r="I2" s="83"/>
    </row>
    <row r="3" spans="1:9" ht="20.100000000000001" customHeight="1" x14ac:dyDescent="0.25">
      <c r="A3" s="14" t="str">
        <f>Composições!A3</f>
        <v>Data: Maio de 2021</v>
      </c>
      <c r="B3" s="14"/>
      <c r="C3" s="14"/>
      <c r="D3" s="14"/>
      <c r="E3" s="14"/>
      <c r="F3" s="14"/>
      <c r="G3" s="14"/>
      <c r="H3" s="14"/>
      <c r="I3" s="84"/>
    </row>
    <row r="4" spans="1:9" ht="15.75" thickBot="1" x14ac:dyDescent="0.3">
      <c r="A4" s="85"/>
      <c r="B4" s="86"/>
      <c r="C4" s="86"/>
      <c r="D4" s="86"/>
      <c r="E4" s="86"/>
      <c r="F4" s="86"/>
      <c r="G4" s="86"/>
      <c r="H4" s="87"/>
      <c r="I4" s="88"/>
    </row>
    <row r="5" spans="1:9" ht="30.75" thickBot="1" x14ac:dyDescent="0.3">
      <c r="A5" s="20" t="s">
        <v>2</v>
      </c>
      <c r="B5" s="21" t="s">
        <v>3</v>
      </c>
      <c r="C5" s="21" t="s">
        <v>4</v>
      </c>
      <c r="D5" s="21" t="s">
        <v>5</v>
      </c>
      <c r="E5" s="21" t="s">
        <v>6</v>
      </c>
      <c r="F5" s="21" t="s">
        <v>7</v>
      </c>
      <c r="G5" s="21" t="s">
        <v>1506</v>
      </c>
      <c r="H5" s="24"/>
      <c r="I5" s="89" t="s">
        <v>9</v>
      </c>
    </row>
    <row r="6" spans="1:9" ht="26.25" customHeight="1" thickBot="1" x14ac:dyDescent="0.3">
      <c r="A6" s="188" t="s">
        <v>110</v>
      </c>
      <c r="B6" s="166" t="s">
        <v>568</v>
      </c>
      <c r="C6" s="90" t="s">
        <v>123</v>
      </c>
      <c r="D6" s="91"/>
      <c r="E6" s="71" t="s">
        <v>568</v>
      </c>
      <c r="F6" s="71" t="str">
        <f>IF(ISNUMBER(E6),E6*$D6,"")</f>
        <v/>
      </c>
      <c r="G6" s="72"/>
      <c r="H6" s="30"/>
      <c r="I6" s="156">
        <v>0.81359999999999999</v>
      </c>
    </row>
    <row r="7" spans="1:9" x14ac:dyDescent="0.25">
      <c r="A7" s="188"/>
      <c r="B7" s="32" t="s">
        <v>568</v>
      </c>
      <c r="C7" s="32"/>
      <c r="D7" s="92"/>
      <c r="E7" s="31" t="s">
        <v>568</v>
      </c>
      <c r="F7" s="31" t="str">
        <f>IF(ISNUMBER(E7),E7*$D7,"")</f>
        <v/>
      </c>
      <c r="G7" s="35"/>
      <c r="H7" s="31"/>
      <c r="I7" s="156">
        <v>0.81359999999999999</v>
      </c>
    </row>
    <row r="8" spans="1:9" x14ac:dyDescent="0.25">
      <c r="A8" s="188"/>
      <c r="B8" s="36" t="s">
        <v>116</v>
      </c>
      <c r="C8" s="36" t="s">
        <v>123</v>
      </c>
      <c r="D8" s="37">
        <v>1.07</v>
      </c>
      <c r="E8" s="31">
        <v>90.25</v>
      </c>
      <c r="F8" s="34">
        <f>IF(ISNUMBER(E8),E8*$D8,"")</f>
        <v>96.56750000000001</v>
      </c>
      <c r="G8" s="45">
        <f>SUM(F8:F12)</f>
        <v>511.25031794899996</v>
      </c>
      <c r="H8" s="46"/>
      <c r="I8" s="156">
        <v>0.81359999999999999</v>
      </c>
    </row>
    <row r="9" spans="1:9" x14ac:dyDescent="0.25">
      <c r="A9" s="188"/>
      <c r="B9" s="36" t="s">
        <v>117</v>
      </c>
      <c r="C9" s="36" t="s">
        <v>953</v>
      </c>
      <c r="D9" s="37">
        <v>482.96</v>
      </c>
      <c r="E9" s="34">
        <v>0.47499999999999998</v>
      </c>
      <c r="F9" s="34">
        <f>IF(ISNUMBER(E9),E9*$D9,"")</f>
        <v>229.40599999999998</v>
      </c>
      <c r="G9" s="45"/>
      <c r="H9" s="46"/>
      <c r="I9" s="156">
        <v>0.81359999999999999</v>
      </c>
    </row>
    <row r="10" spans="1:9" x14ac:dyDescent="0.25">
      <c r="A10" s="188"/>
      <c r="B10" s="36" t="s">
        <v>1507</v>
      </c>
      <c r="C10" s="36" t="s">
        <v>755</v>
      </c>
      <c r="D10" s="37">
        <v>8.57</v>
      </c>
      <c r="E10" s="31">
        <v>16.311500000000002</v>
      </c>
      <c r="F10" s="34">
        <f>IF(ISNUMBER(E10),E10*$D10,"")</f>
        <v>139.78955500000004</v>
      </c>
      <c r="G10" s="45"/>
      <c r="H10" s="46"/>
      <c r="I10" s="156">
        <v>0.81359999999999999</v>
      </c>
    </row>
    <row r="11" spans="1:9" ht="51" x14ac:dyDescent="0.25">
      <c r="A11" s="188"/>
      <c r="B11" s="36" t="s">
        <v>3611</v>
      </c>
      <c r="C11" s="36" t="s">
        <v>123</v>
      </c>
      <c r="D11" s="37">
        <f>ROUND(1*D8,4)</f>
        <v>1.07</v>
      </c>
      <c r="E11" s="31">
        <v>5.6237587000000007</v>
      </c>
      <c r="F11" s="34">
        <f>IF(ISNUMBER(E11),E11*$D11,"")</f>
        <v>6.0174218090000009</v>
      </c>
      <c r="G11" s="45"/>
      <c r="H11" s="46"/>
      <c r="I11" s="156">
        <v>0.81359999999999999</v>
      </c>
    </row>
    <row r="12" spans="1:9" ht="38.25" x14ac:dyDescent="0.25">
      <c r="A12" s="188"/>
      <c r="B12" s="36" t="s">
        <v>3610</v>
      </c>
      <c r="C12" s="47" t="s">
        <v>125</v>
      </c>
      <c r="D12" s="37">
        <f>ROUND(D8*20,4)</f>
        <v>21.4</v>
      </c>
      <c r="E12" s="31">
        <v>1.8443850999999998</v>
      </c>
      <c r="F12" s="34">
        <f>IF(ISNUMBER(E12),E12*$D12,"")</f>
        <v>39.469841139999993</v>
      </c>
      <c r="G12" s="45"/>
      <c r="H12" s="46"/>
      <c r="I12" s="156">
        <v>0.81359999999999999</v>
      </c>
    </row>
    <row r="13" spans="1:9" x14ac:dyDescent="0.25">
      <c r="A13" s="188"/>
      <c r="B13" s="51"/>
      <c r="C13" s="47"/>
      <c r="D13" s="37"/>
      <c r="E13" s="31" t="s">
        <v>568</v>
      </c>
      <c r="F13" s="34" t="str">
        <f>IF(ISNUMBER(E13),E13*$D13,"")</f>
        <v/>
      </c>
      <c r="G13" s="45"/>
      <c r="H13" s="46"/>
      <c r="I13" s="156">
        <v>0.81359999999999999</v>
      </c>
    </row>
    <row r="14" spans="1:9" x14ac:dyDescent="0.25">
      <c r="A14" s="188"/>
      <c r="B14" s="48" t="s">
        <v>808</v>
      </c>
      <c r="C14" s="47"/>
      <c r="D14" s="37"/>
      <c r="E14" s="31" t="s">
        <v>568</v>
      </c>
      <c r="F14" s="34" t="str">
        <f>IF(ISNUMBER(E14),E14*$D14,"")</f>
        <v/>
      </c>
      <c r="G14" s="45"/>
      <c r="H14" s="46"/>
      <c r="I14" s="156">
        <v>0.81359999999999999</v>
      </c>
    </row>
    <row r="15" spans="1:9" ht="15.75" thickBot="1" x14ac:dyDescent="0.3">
      <c r="A15" s="192"/>
      <c r="B15" s="36" t="s">
        <v>568</v>
      </c>
      <c r="C15" s="36"/>
      <c r="D15" s="93"/>
      <c r="E15" s="31" t="s">
        <v>568</v>
      </c>
      <c r="F15" s="34" t="str">
        <f>IF(ISNUMBER(E15),E15*$D15,"")</f>
        <v/>
      </c>
      <c r="G15" s="35"/>
      <c r="H15" s="31"/>
      <c r="I15" s="156">
        <v>0.81359999999999999</v>
      </c>
    </row>
    <row r="16" spans="1:9" ht="15.75" hidden="1" customHeight="1" thickBot="1" x14ac:dyDescent="0.3">
      <c r="A16" s="191" t="s">
        <v>448</v>
      </c>
      <c r="B16" s="41" t="s">
        <v>568</v>
      </c>
      <c r="C16" s="26" t="s">
        <v>297</v>
      </c>
      <c r="D16" s="94"/>
      <c r="E16" s="42" t="s">
        <v>568</v>
      </c>
      <c r="F16" s="42" t="str">
        <f>IF(ISNUMBER(E16),E16*$D16,"")</f>
        <v/>
      </c>
      <c r="G16" s="29"/>
      <c r="H16" s="30"/>
      <c r="I16" s="156">
        <v>0</v>
      </c>
    </row>
    <row r="17" spans="1:9" ht="15.75" hidden="1" thickBot="1" x14ac:dyDescent="0.3">
      <c r="A17" s="188"/>
      <c r="B17" s="32" t="s">
        <v>568</v>
      </c>
      <c r="C17" s="32"/>
      <c r="D17" s="92"/>
      <c r="E17" s="43" t="s">
        <v>568</v>
      </c>
      <c r="F17" s="31" t="str">
        <f>IF(ISNUMBER(E17),E17*$D17,"")</f>
        <v/>
      </c>
      <c r="G17" s="35"/>
      <c r="H17" s="31"/>
      <c r="I17" s="156">
        <v>0</v>
      </c>
    </row>
    <row r="18" spans="1:9" ht="26.25" hidden="1" thickBot="1" x14ac:dyDescent="0.3">
      <c r="A18" s="188"/>
      <c r="B18" s="36" t="s">
        <v>109</v>
      </c>
      <c r="C18" s="36" t="s">
        <v>755</v>
      </c>
      <c r="D18" s="37">
        <v>2.2700000000000001E-2</v>
      </c>
      <c r="E18" s="31">
        <v>16.891000000000002</v>
      </c>
      <c r="F18" s="34">
        <f>IF(ISNUMBER(E18),E18*$D18,"")</f>
        <v>0.38342570000000009</v>
      </c>
      <c r="G18" s="45">
        <f>SUM(F18:F19)</f>
        <v>3.8883519</v>
      </c>
      <c r="H18" s="46"/>
      <c r="I18" s="156">
        <v>0</v>
      </c>
    </row>
    <row r="19" spans="1:9" ht="15.75" hidden="1" thickBot="1" x14ac:dyDescent="0.3">
      <c r="A19" s="188"/>
      <c r="B19" s="36" t="s">
        <v>1508</v>
      </c>
      <c r="C19" s="36" t="s">
        <v>755</v>
      </c>
      <c r="D19" s="37">
        <v>0.16209999999999999</v>
      </c>
      <c r="E19" s="31">
        <v>21.622</v>
      </c>
      <c r="F19" s="34">
        <f>IF(ISNUMBER(E19),E19*$D19,"")</f>
        <v>3.5049261999999999</v>
      </c>
      <c r="G19" s="45"/>
      <c r="H19" s="46"/>
      <c r="I19" s="156">
        <v>0</v>
      </c>
    </row>
    <row r="20" spans="1:9" ht="15.75" hidden="1" thickBot="1" x14ac:dyDescent="0.3">
      <c r="A20" s="192"/>
      <c r="B20" s="36" t="s">
        <v>568</v>
      </c>
      <c r="C20" s="36"/>
      <c r="D20" s="93"/>
      <c r="E20" s="31" t="s">
        <v>568</v>
      </c>
      <c r="F20" s="31" t="str">
        <f>IF(ISNUMBER(E20),E20*$D20,"")</f>
        <v/>
      </c>
      <c r="G20" s="35"/>
      <c r="H20" s="31"/>
      <c r="I20" s="156">
        <v>0</v>
      </c>
    </row>
    <row r="21" spans="1:9" ht="15.75" hidden="1" customHeight="1" thickBot="1" x14ac:dyDescent="0.3">
      <c r="A21" s="191" t="s">
        <v>530</v>
      </c>
      <c r="B21" s="41" t="s">
        <v>568</v>
      </c>
      <c r="C21" s="26" t="s">
        <v>523</v>
      </c>
      <c r="D21" s="94"/>
      <c r="E21" s="42" t="s">
        <v>568</v>
      </c>
      <c r="F21" s="42" t="str">
        <f>IF(ISNUMBER(E21),E21*$D21,"")</f>
        <v/>
      </c>
      <c r="G21" s="29"/>
      <c r="H21" s="30"/>
      <c r="I21" s="156">
        <v>0</v>
      </c>
    </row>
    <row r="22" spans="1:9" ht="15.75" hidden="1" thickBot="1" x14ac:dyDescent="0.3">
      <c r="A22" s="188"/>
      <c r="B22" s="32" t="s">
        <v>568</v>
      </c>
      <c r="C22" s="32"/>
      <c r="D22" s="92"/>
      <c r="E22" s="43" t="s">
        <v>568</v>
      </c>
      <c r="F22" s="31" t="str">
        <f>IF(ISNUMBER(E22),E22*$D22,"")</f>
        <v/>
      </c>
      <c r="G22" s="35"/>
      <c r="H22" s="31"/>
      <c r="I22" s="156">
        <v>0</v>
      </c>
    </row>
    <row r="23" spans="1:9" ht="26.25" hidden="1" thickBot="1" x14ac:dyDescent="0.3">
      <c r="A23" s="188"/>
      <c r="B23" s="36" t="s">
        <v>1509</v>
      </c>
      <c r="C23" s="36" t="s">
        <v>297</v>
      </c>
      <c r="D23" s="37">
        <v>0.65</v>
      </c>
      <c r="E23" s="34">
        <v>1.1114999999999999</v>
      </c>
      <c r="F23" s="34">
        <f>IF(ISNUMBER(E23),E23*$D23,"")</f>
        <v>0.72247499999999998</v>
      </c>
      <c r="G23" s="45">
        <f>SUM(F23:F25)</f>
        <v>2.3833030000000002</v>
      </c>
      <c r="H23" s="46"/>
      <c r="I23" s="156">
        <v>0</v>
      </c>
    </row>
    <row r="24" spans="1:9" ht="26.25" hidden="1" thickBot="1" x14ac:dyDescent="0.3">
      <c r="A24" s="188"/>
      <c r="B24" s="36" t="s">
        <v>109</v>
      </c>
      <c r="C24" s="36" t="s">
        <v>755</v>
      </c>
      <c r="D24" s="37">
        <v>0.01</v>
      </c>
      <c r="E24" s="31">
        <v>16.891000000000002</v>
      </c>
      <c r="F24" s="34">
        <f>IF(ISNUMBER(E24),E24*$D24,"")</f>
        <v>0.16891000000000003</v>
      </c>
      <c r="G24" s="45"/>
      <c r="H24" s="46"/>
      <c r="I24" s="156">
        <v>0</v>
      </c>
    </row>
    <row r="25" spans="1:9" ht="15.75" hidden="1" thickBot="1" x14ac:dyDescent="0.3">
      <c r="A25" s="188"/>
      <c r="B25" s="36" t="s">
        <v>1508</v>
      </c>
      <c r="C25" s="36" t="s">
        <v>755</v>
      </c>
      <c r="D25" s="37">
        <v>6.9000000000000006E-2</v>
      </c>
      <c r="E25" s="31">
        <v>21.622</v>
      </c>
      <c r="F25" s="34">
        <f>IF(ISNUMBER(E25),E25*$D25,"")</f>
        <v>1.4919180000000001</v>
      </c>
      <c r="G25" s="45"/>
      <c r="H25" s="46"/>
      <c r="I25" s="156">
        <v>0</v>
      </c>
    </row>
    <row r="26" spans="1:9" ht="15.75" hidden="1" thickBot="1" x14ac:dyDescent="0.3">
      <c r="A26" s="192"/>
      <c r="B26" s="36" t="s">
        <v>568</v>
      </c>
      <c r="C26" s="36"/>
      <c r="D26" s="93"/>
      <c r="E26" s="31" t="s">
        <v>568</v>
      </c>
      <c r="F26" s="31" t="str">
        <f>IF(ISNUMBER(E26),E26*$D26,"")</f>
        <v/>
      </c>
      <c r="G26" s="35"/>
      <c r="H26" s="31"/>
      <c r="I26" s="156">
        <v>0</v>
      </c>
    </row>
    <row r="27" spans="1:9" ht="15.75" hidden="1" customHeight="1" thickBot="1" x14ac:dyDescent="0.3">
      <c r="A27" s="191" t="s">
        <v>3768</v>
      </c>
      <c r="B27" s="41" t="s">
        <v>568</v>
      </c>
      <c r="C27" s="26" t="s">
        <v>1049</v>
      </c>
      <c r="D27" s="94"/>
      <c r="E27" s="42" t="s">
        <v>568</v>
      </c>
      <c r="F27" s="42" t="str">
        <f>IF(ISNUMBER(E27),E27*$D27,"")</f>
        <v/>
      </c>
      <c r="G27" s="29"/>
      <c r="H27" s="30"/>
      <c r="I27" s="156">
        <v>0</v>
      </c>
    </row>
    <row r="28" spans="1:9" ht="15.75" hidden="1" thickBot="1" x14ac:dyDescent="0.3">
      <c r="A28" s="188"/>
      <c r="B28" s="32" t="s">
        <v>568</v>
      </c>
      <c r="C28" s="32"/>
      <c r="D28" s="92"/>
      <c r="E28" s="43" t="s">
        <v>568</v>
      </c>
      <c r="F28" s="31" t="str">
        <f>IF(ISNUMBER(E28),E28*$D28,"")</f>
        <v/>
      </c>
      <c r="G28" s="35"/>
      <c r="H28" s="31"/>
      <c r="I28" s="156">
        <v>0</v>
      </c>
    </row>
    <row r="29" spans="1:9" ht="26.25" hidden="1" thickBot="1" x14ac:dyDescent="0.3">
      <c r="A29" s="188"/>
      <c r="B29" s="36" t="s">
        <v>1510</v>
      </c>
      <c r="C29" s="36" t="s">
        <v>1049</v>
      </c>
      <c r="D29" s="37">
        <v>1.1459999999999999</v>
      </c>
      <c r="E29" s="34">
        <v>40.650499999999994</v>
      </c>
      <c r="F29" s="34">
        <f>IF(ISNUMBER(E29),E29*$D29,"")</f>
        <v>46.585472999999986</v>
      </c>
      <c r="G29" s="45">
        <f>SUM(F29:F36)</f>
        <v>93.563476499999979</v>
      </c>
      <c r="H29" s="46"/>
      <c r="I29" s="156">
        <v>0</v>
      </c>
    </row>
    <row r="30" spans="1:9" ht="26.25" hidden="1" thickBot="1" x14ac:dyDescent="0.3">
      <c r="A30" s="188"/>
      <c r="B30" s="36" t="s">
        <v>3780</v>
      </c>
      <c r="C30" s="36" t="s">
        <v>523</v>
      </c>
      <c r="D30" s="37">
        <v>0.16600000000000001</v>
      </c>
      <c r="E30" s="34">
        <v>5.6905000000000001</v>
      </c>
      <c r="F30" s="34">
        <f>IF(ISNUMBER(E30),E30*$D30,"")</f>
        <v>0.9446230000000001</v>
      </c>
      <c r="G30" s="45"/>
      <c r="H30" s="46"/>
      <c r="I30" s="156">
        <v>0</v>
      </c>
    </row>
    <row r="31" spans="1:9" ht="26.25" hidden="1" thickBot="1" x14ac:dyDescent="0.3">
      <c r="A31" s="188"/>
      <c r="B31" s="36" t="s">
        <v>3782</v>
      </c>
      <c r="C31" s="36" t="s">
        <v>523</v>
      </c>
      <c r="D31" s="37">
        <v>6.952</v>
      </c>
      <c r="E31" s="34">
        <v>1.9854999999999998</v>
      </c>
      <c r="F31" s="34">
        <f>IF(ISNUMBER(E31),E31*$D31,"")</f>
        <v>13.803195999999998</v>
      </c>
      <c r="G31" s="45"/>
      <c r="H31" s="46"/>
      <c r="I31" s="156">
        <v>0</v>
      </c>
    </row>
    <row r="32" spans="1:9" ht="15.75" hidden="1" thickBot="1" x14ac:dyDescent="0.3">
      <c r="A32" s="188"/>
      <c r="B32" s="36" t="s">
        <v>1511</v>
      </c>
      <c r="C32" s="36" t="s">
        <v>953</v>
      </c>
      <c r="D32" s="37">
        <v>0.159</v>
      </c>
      <c r="E32" s="34">
        <v>17.394499999999997</v>
      </c>
      <c r="F32" s="34">
        <f>IF(ISNUMBER(E32),E32*$D32,"")</f>
        <v>2.7657254999999994</v>
      </c>
      <c r="G32" s="45"/>
      <c r="H32" s="46"/>
      <c r="I32" s="156">
        <v>0</v>
      </c>
    </row>
    <row r="33" spans="1:9" ht="15.75" hidden="1" thickBot="1" x14ac:dyDescent="0.3">
      <c r="A33" s="188"/>
      <c r="B33" s="36" t="s">
        <v>131</v>
      </c>
      <c r="C33" s="36" t="s">
        <v>755</v>
      </c>
      <c r="D33" s="37">
        <v>0.20200000000000001</v>
      </c>
      <c r="E33" s="31">
        <v>18.468</v>
      </c>
      <c r="F33" s="34">
        <f>IF(ISNUMBER(E33),E33*$D33,"")</f>
        <v>3.7305360000000003</v>
      </c>
      <c r="G33" s="45"/>
      <c r="H33" s="46"/>
      <c r="I33" s="156">
        <v>0</v>
      </c>
    </row>
    <row r="34" spans="1:9" ht="15.75" hidden="1" thickBot="1" x14ac:dyDescent="0.3">
      <c r="A34" s="188"/>
      <c r="B34" s="36" t="s">
        <v>78</v>
      </c>
      <c r="C34" s="36" t="s">
        <v>755</v>
      </c>
      <c r="D34" s="37">
        <v>1.012</v>
      </c>
      <c r="E34" s="31">
        <v>21.878499999999999</v>
      </c>
      <c r="F34" s="34">
        <f>IF(ISNUMBER(E34),E34*$D34,"")</f>
        <v>22.141041999999999</v>
      </c>
      <c r="G34" s="45"/>
      <c r="H34" s="46"/>
      <c r="I34" s="156">
        <v>0</v>
      </c>
    </row>
    <row r="35" spans="1:9" ht="26.25" hidden="1" thickBot="1" x14ac:dyDescent="0.3">
      <c r="A35" s="188"/>
      <c r="B35" s="36" t="s">
        <v>1512</v>
      </c>
      <c r="C35" s="36" t="s">
        <v>997</v>
      </c>
      <c r="D35" s="37">
        <v>0.05</v>
      </c>
      <c r="E35" s="31">
        <v>19.180499999999999</v>
      </c>
      <c r="F35" s="31">
        <f>IF(ISNUMBER(E35),E35*$D35,"")</f>
        <v>0.95902500000000002</v>
      </c>
      <c r="G35" s="45"/>
      <c r="H35" s="46"/>
      <c r="I35" s="156">
        <v>0</v>
      </c>
    </row>
    <row r="36" spans="1:9" ht="26.25" hidden="1" thickBot="1" x14ac:dyDescent="0.3">
      <c r="A36" s="188"/>
      <c r="B36" s="36" t="s">
        <v>1513</v>
      </c>
      <c r="C36" s="36" t="s">
        <v>999</v>
      </c>
      <c r="D36" s="37">
        <v>0.152</v>
      </c>
      <c r="E36" s="31">
        <v>17.327999999999999</v>
      </c>
      <c r="F36" s="31">
        <f>IF(ISNUMBER(E36),E36*$D36,"")</f>
        <v>2.6338559999999998</v>
      </c>
      <c r="G36" s="45"/>
      <c r="H36" s="46"/>
      <c r="I36" s="156">
        <v>0</v>
      </c>
    </row>
    <row r="37" spans="1:9" ht="15.75" hidden="1" thickBot="1" x14ac:dyDescent="0.3">
      <c r="A37" s="188"/>
      <c r="B37" s="36" t="s">
        <v>568</v>
      </c>
      <c r="C37" s="36"/>
      <c r="D37" s="93"/>
      <c r="E37" s="31" t="s">
        <v>568</v>
      </c>
      <c r="F37" s="31" t="str">
        <f>IF(ISNUMBER(E37),E37*$D37,"")</f>
        <v/>
      </c>
      <c r="G37" s="35"/>
      <c r="H37" s="31"/>
      <c r="I37" s="156">
        <v>0</v>
      </c>
    </row>
    <row r="38" spans="1:9" ht="15.75" hidden="1" customHeight="1" thickBot="1" x14ac:dyDescent="0.3">
      <c r="A38" s="191" t="s">
        <v>3770</v>
      </c>
      <c r="B38" s="41" t="s">
        <v>568</v>
      </c>
      <c r="C38" s="26" t="s">
        <v>523</v>
      </c>
      <c r="D38" s="94"/>
      <c r="E38" s="42" t="s">
        <v>568</v>
      </c>
      <c r="F38" s="42" t="str">
        <f>IF(ISNUMBER(E38),E38*$D38,"")</f>
        <v/>
      </c>
      <c r="G38" s="29"/>
      <c r="H38" s="30"/>
      <c r="I38" s="156">
        <v>0</v>
      </c>
    </row>
    <row r="39" spans="1:9" ht="15.75" hidden="1" thickBot="1" x14ac:dyDescent="0.3">
      <c r="A39" s="188"/>
      <c r="B39" s="32" t="s">
        <v>568</v>
      </c>
      <c r="C39" s="32"/>
      <c r="D39" s="92"/>
      <c r="E39" s="43" t="s">
        <v>568</v>
      </c>
      <c r="F39" s="31" t="str">
        <f>IF(ISNUMBER(E39),E39*$D39,"")</f>
        <v/>
      </c>
      <c r="G39" s="35"/>
      <c r="H39" s="31"/>
      <c r="I39" s="156">
        <v>0</v>
      </c>
    </row>
    <row r="40" spans="1:9" ht="26.25" hidden="1" thickBot="1" x14ac:dyDescent="0.3">
      <c r="A40" s="188"/>
      <c r="B40" s="36" t="s">
        <v>3442</v>
      </c>
      <c r="C40" s="36" t="s">
        <v>1049</v>
      </c>
      <c r="D40" s="37">
        <v>0.13600000000000001</v>
      </c>
      <c r="E40" s="31">
        <v>45.609499999999997</v>
      </c>
      <c r="F40" s="31">
        <f>IF(ISNUMBER(E40),E40*$D40,"")</f>
        <v>6.2028920000000003</v>
      </c>
      <c r="G40" s="45">
        <f>SUM(F40:F46)</f>
        <v>24.447442499999998</v>
      </c>
      <c r="H40" s="46"/>
      <c r="I40" s="156">
        <v>0</v>
      </c>
    </row>
    <row r="41" spans="1:9" ht="26.25" hidden="1" thickBot="1" x14ac:dyDescent="0.3">
      <c r="A41" s="188"/>
      <c r="B41" s="36" t="s">
        <v>3780</v>
      </c>
      <c r="C41" s="36" t="s">
        <v>523</v>
      </c>
      <c r="D41" s="37">
        <v>2.3420000000000001</v>
      </c>
      <c r="E41" s="31">
        <v>5.6905000000000001</v>
      </c>
      <c r="F41" s="31">
        <f>IF(ISNUMBER(E41),E41*$D41,"")</f>
        <v>13.327151000000001</v>
      </c>
      <c r="G41" s="45"/>
      <c r="H41" s="46"/>
      <c r="I41" s="156">
        <v>0</v>
      </c>
    </row>
    <row r="42" spans="1:9" ht="15.75" hidden="1" thickBot="1" x14ac:dyDescent="0.3">
      <c r="A42" s="188"/>
      <c r="B42" s="36" t="s">
        <v>1455</v>
      </c>
      <c r="C42" s="36" t="s">
        <v>953</v>
      </c>
      <c r="D42" s="37">
        <v>1.2E-2</v>
      </c>
      <c r="E42" s="31">
        <v>17.394499999999997</v>
      </c>
      <c r="F42" s="31">
        <f>IF(ISNUMBER(E42),E42*$D42,"")</f>
        <v>0.20873399999999998</v>
      </c>
      <c r="G42" s="45"/>
      <c r="H42" s="46"/>
      <c r="I42" s="156">
        <v>0</v>
      </c>
    </row>
    <row r="43" spans="1:9" ht="15.75" hidden="1" thickBot="1" x14ac:dyDescent="0.3">
      <c r="A43" s="188"/>
      <c r="B43" s="36" t="s">
        <v>839</v>
      </c>
      <c r="C43" s="36" t="s">
        <v>755</v>
      </c>
      <c r="D43" s="37">
        <v>3.2000000000000001E-2</v>
      </c>
      <c r="E43" s="31">
        <v>18.468</v>
      </c>
      <c r="F43" s="31">
        <f>IF(ISNUMBER(E43),E43*$D43,"")</f>
        <v>0.59097600000000006</v>
      </c>
      <c r="G43" s="45"/>
      <c r="H43" s="46"/>
      <c r="I43" s="156">
        <v>0</v>
      </c>
    </row>
    <row r="44" spans="1:9" ht="15.75" hidden="1" thickBot="1" x14ac:dyDescent="0.3">
      <c r="A44" s="188"/>
      <c r="B44" s="36" t="s">
        <v>1050</v>
      </c>
      <c r="C44" s="36" t="s">
        <v>755</v>
      </c>
      <c r="D44" s="37">
        <v>0.161</v>
      </c>
      <c r="E44" s="31">
        <v>21.878499999999999</v>
      </c>
      <c r="F44" s="31">
        <f>IF(ISNUMBER(E44),E44*$D44,"")</f>
        <v>3.5224384999999998</v>
      </c>
      <c r="G44" s="45"/>
      <c r="H44" s="46"/>
      <c r="I44" s="156">
        <v>0</v>
      </c>
    </row>
    <row r="45" spans="1:9" ht="26.25" hidden="1" thickBot="1" x14ac:dyDescent="0.3">
      <c r="A45" s="188"/>
      <c r="B45" s="36" t="s">
        <v>1222</v>
      </c>
      <c r="C45" s="36" t="s">
        <v>997</v>
      </c>
      <c r="D45" s="37">
        <v>2.1999999999999999E-2</v>
      </c>
      <c r="E45" s="31">
        <v>19.180499999999999</v>
      </c>
      <c r="F45" s="31">
        <f>IF(ISNUMBER(E45),E45*$D45,"")</f>
        <v>0.42197099999999993</v>
      </c>
      <c r="G45" s="45"/>
      <c r="H45" s="46"/>
      <c r="I45" s="156">
        <v>0</v>
      </c>
    </row>
    <row r="46" spans="1:9" ht="26.25" hidden="1" thickBot="1" x14ac:dyDescent="0.3">
      <c r="A46" s="188"/>
      <c r="B46" s="36" t="s">
        <v>1223</v>
      </c>
      <c r="C46" s="36" t="s">
        <v>999</v>
      </c>
      <c r="D46" s="37">
        <v>0.01</v>
      </c>
      <c r="E46" s="31">
        <v>17.327999999999999</v>
      </c>
      <c r="F46" s="34">
        <f>IF(ISNUMBER(E46),E46*$D46,"")</f>
        <v>0.17327999999999999</v>
      </c>
      <c r="G46" s="45"/>
      <c r="H46" s="46"/>
      <c r="I46" s="156">
        <v>0</v>
      </c>
    </row>
    <row r="47" spans="1:9" ht="15.75" hidden="1" thickBot="1" x14ac:dyDescent="0.3">
      <c r="A47" s="188"/>
      <c r="B47" s="36" t="s">
        <v>568</v>
      </c>
      <c r="C47" s="36"/>
      <c r="D47" s="93"/>
      <c r="E47" s="31" t="s">
        <v>568</v>
      </c>
      <c r="F47" s="31" t="str">
        <f>IF(ISNUMBER(E47),E47*$D47,"")</f>
        <v/>
      </c>
      <c r="G47" s="35"/>
      <c r="H47" s="31"/>
      <c r="I47" s="156">
        <v>0</v>
      </c>
    </row>
    <row r="48" spans="1:9" ht="26.25" customHeight="1" thickBot="1" x14ac:dyDescent="0.3">
      <c r="A48" s="191" t="s">
        <v>159</v>
      </c>
      <c r="B48" s="41" t="s">
        <v>568</v>
      </c>
      <c r="C48" s="26" t="s">
        <v>123</v>
      </c>
      <c r="D48" s="94"/>
      <c r="E48" s="42" t="s">
        <v>568</v>
      </c>
      <c r="F48" s="42" t="str">
        <f>IF(ISNUMBER(E48),E48*$D48,"")</f>
        <v/>
      </c>
      <c r="G48" s="29"/>
      <c r="H48" s="30"/>
      <c r="I48" s="156">
        <v>1.0008739999999998</v>
      </c>
    </row>
    <row r="49" spans="1:9" x14ac:dyDescent="0.25">
      <c r="A49" s="188"/>
      <c r="B49" s="32" t="s">
        <v>568</v>
      </c>
      <c r="C49" s="32"/>
      <c r="D49" s="92"/>
      <c r="E49" s="43" t="s">
        <v>568</v>
      </c>
      <c r="F49" s="31" t="str">
        <f>IF(ISNUMBER(E49),E49*$D49,"")</f>
        <v/>
      </c>
      <c r="G49" s="35"/>
      <c r="H49" s="31"/>
      <c r="I49" s="156">
        <v>1.0008739999999998</v>
      </c>
    </row>
    <row r="50" spans="1:9" x14ac:dyDescent="0.25">
      <c r="A50" s="188"/>
      <c r="B50" s="36" t="s">
        <v>116</v>
      </c>
      <c r="C50" s="36" t="s">
        <v>123</v>
      </c>
      <c r="D50" s="37">
        <v>1.1599999999999999</v>
      </c>
      <c r="E50" s="34">
        <v>90.25</v>
      </c>
      <c r="F50" s="34">
        <f>IF(ISNUMBER(E50),E50*$D50,"")</f>
        <v>104.69</v>
      </c>
      <c r="G50" s="45">
        <f>SUM(F50:F57)</f>
        <v>472.33356941199997</v>
      </c>
      <c r="H50" s="46"/>
      <c r="I50" s="156">
        <v>1.0008739999999998</v>
      </c>
    </row>
    <row r="51" spans="1:9" x14ac:dyDescent="0.25">
      <c r="A51" s="188"/>
      <c r="B51" s="36" t="s">
        <v>1514</v>
      </c>
      <c r="C51" s="36" t="s">
        <v>953</v>
      </c>
      <c r="D51" s="37">
        <v>174.1</v>
      </c>
      <c r="E51" s="34">
        <v>0.85499999999999998</v>
      </c>
      <c r="F51" s="34">
        <f>IF(ISNUMBER(E51),E51*$D51,"")</f>
        <v>148.85549999999998</v>
      </c>
      <c r="G51" s="45"/>
      <c r="H51" s="46"/>
      <c r="I51" s="156">
        <v>1.0008739999999998</v>
      </c>
    </row>
    <row r="52" spans="1:9" x14ac:dyDescent="0.25">
      <c r="A52" s="188"/>
      <c r="B52" s="36" t="s">
        <v>117</v>
      </c>
      <c r="C52" s="36" t="s">
        <v>953</v>
      </c>
      <c r="D52" s="37">
        <v>195.86</v>
      </c>
      <c r="E52" s="34">
        <v>0.47499999999999998</v>
      </c>
      <c r="F52" s="34">
        <f>IF(ISNUMBER(E52),E52*$D52,"")</f>
        <v>93.033500000000004</v>
      </c>
      <c r="G52" s="45"/>
      <c r="H52" s="46"/>
      <c r="I52" s="156">
        <v>1.0008739999999998</v>
      </c>
    </row>
    <row r="53" spans="1:9" ht="25.5" x14ac:dyDescent="0.25">
      <c r="A53" s="188"/>
      <c r="B53" s="36" t="s">
        <v>119</v>
      </c>
      <c r="C53" s="36" t="s">
        <v>755</v>
      </c>
      <c r="D53" s="37">
        <v>4.5</v>
      </c>
      <c r="E53" s="31">
        <v>16.5015</v>
      </c>
      <c r="F53" s="34">
        <f>IF(ISNUMBER(E53),E53*$D53,"")</f>
        <v>74.256749999999997</v>
      </c>
      <c r="G53" s="45"/>
      <c r="H53" s="46"/>
      <c r="I53" s="156">
        <v>1.0008739999999998</v>
      </c>
    </row>
    <row r="54" spans="1:9" ht="38.25" x14ac:dyDescent="0.25">
      <c r="A54" s="188"/>
      <c r="B54" s="36" t="s">
        <v>1515</v>
      </c>
      <c r="C54" s="36" t="s">
        <v>997</v>
      </c>
      <c r="D54" s="37">
        <v>1.05</v>
      </c>
      <c r="E54" s="31">
        <v>1.2064999999999999</v>
      </c>
      <c r="F54" s="34">
        <f>IF(ISNUMBER(E54),E54*$D54,"")</f>
        <v>1.2668249999999999</v>
      </c>
      <c r="G54" s="45"/>
      <c r="H54" s="46"/>
      <c r="I54" s="156">
        <v>1.0008739999999998</v>
      </c>
    </row>
    <row r="55" spans="1:9" ht="38.25" x14ac:dyDescent="0.25">
      <c r="A55" s="188"/>
      <c r="B55" s="36" t="s">
        <v>1516</v>
      </c>
      <c r="C55" s="36" t="s">
        <v>999</v>
      </c>
      <c r="D55" s="37">
        <v>3.45</v>
      </c>
      <c r="E55" s="31">
        <v>0.26600000000000001</v>
      </c>
      <c r="F55" s="34">
        <f>IF(ISNUMBER(E55),E55*$D55,"")</f>
        <v>0.91770000000000007</v>
      </c>
      <c r="G55" s="45"/>
      <c r="H55" s="46"/>
      <c r="I55" s="156">
        <v>1.0008739999999998</v>
      </c>
    </row>
    <row r="56" spans="1:9" ht="51" x14ac:dyDescent="0.25">
      <c r="A56" s="188"/>
      <c r="B56" s="36" t="s">
        <v>3611</v>
      </c>
      <c r="C56" s="36" t="s">
        <v>123</v>
      </c>
      <c r="D56" s="37">
        <f>ROUND(1*D50,4)</f>
        <v>1.1599999999999999</v>
      </c>
      <c r="E56" s="31">
        <v>5.6237587000000007</v>
      </c>
      <c r="F56" s="34">
        <f>IF(ISNUMBER(E56),E56*$D56,"")</f>
        <v>6.5235600920000003</v>
      </c>
      <c r="G56" s="45"/>
      <c r="H56" s="46"/>
      <c r="I56" s="156">
        <v>1.0008739999999998</v>
      </c>
    </row>
    <row r="57" spans="1:9" ht="38.25" x14ac:dyDescent="0.25">
      <c r="A57" s="188"/>
      <c r="B57" s="36" t="s">
        <v>3610</v>
      </c>
      <c r="C57" s="47" t="s">
        <v>125</v>
      </c>
      <c r="D57" s="37">
        <f>ROUND(D50*20,4)</f>
        <v>23.2</v>
      </c>
      <c r="E57" s="31">
        <v>1.8443850999999998</v>
      </c>
      <c r="F57" s="34">
        <f>IF(ISNUMBER(E57),E57*$D57,"")</f>
        <v>42.789734319999994</v>
      </c>
      <c r="G57" s="45"/>
      <c r="H57" s="46"/>
      <c r="I57" s="156">
        <v>1.0008739999999998</v>
      </c>
    </row>
    <row r="58" spans="1:9" x14ac:dyDescent="0.25">
      <c r="A58" s="188"/>
      <c r="B58" s="51"/>
      <c r="C58" s="47"/>
      <c r="D58" s="37"/>
      <c r="E58" s="31" t="s">
        <v>568</v>
      </c>
      <c r="F58" s="34" t="str">
        <f>IF(ISNUMBER(E58),E58*$D58,"")</f>
        <v/>
      </c>
      <c r="G58" s="45"/>
      <c r="H58" s="46"/>
      <c r="I58" s="156">
        <v>1.0008739999999998</v>
      </c>
    </row>
    <row r="59" spans="1:9" x14ac:dyDescent="0.25">
      <c r="A59" s="188"/>
      <c r="B59" s="48" t="s">
        <v>808</v>
      </c>
      <c r="C59" s="47"/>
      <c r="D59" s="37"/>
      <c r="E59" s="31" t="s">
        <v>568</v>
      </c>
      <c r="F59" s="34" t="str">
        <f>IF(ISNUMBER(E59),E59*$D59,"")</f>
        <v/>
      </c>
      <c r="G59" s="45"/>
      <c r="H59" s="46"/>
      <c r="I59" s="156">
        <v>1.0008739999999998</v>
      </c>
    </row>
    <row r="60" spans="1:9" ht="15.75" thickBot="1" x14ac:dyDescent="0.3">
      <c r="A60" s="188"/>
      <c r="B60" s="36" t="s">
        <v>568</v>
      </c>
      <c r="C60" s="36"/>
      <c r="D60" s="93"/>
      <c r="E60" s="31" t="s">
        <v>568</v>
      </c>
      <c r="F60" s="31" t="str">
        <f>IF(ISNUMBER(E60),E60*$D60,"")</f>
        <v/>
      </c>
      <c r="G60" s="35"/>
      <c r="H60" s="31"/>
      <c r="I60" s="156">
        <v>1.0008739999999998</v>
      </c>
    </row>
    <row r="61" spans="1:9" ht="26.25" hidden="1" customHeight="1" thickBot="1" x14ac:dyDescent="0.3">
      <c r="A61" s="191" t="s">
        <v>1540</v>
      </c>
      <c r="B61" s="41" t="s">
        <v>568</v>
      </c>
      <c r="C61" s="26" t="s">
        <v>1049</v>
      </c>
      <c r="D61" s="94"/>
      <c r="E61" s="42" t="s">
        <v>568</v>
      </c>
      <c r="F61" s="42" t="str">
        <f>IF(ISNUMBER(E61),E61*$D61,"")</f>
        <v/>
      </c>
      <c r="G61" s="29"/>
      <c r="H61" s="30"/>
      <c r="I61" s="156">
        <v>0</v>
      </c>
    </row>
    <row r="62" spans="1:9" ht="15.75" hidden="1" thickBot="1" x14ac:dyDescent="0.3">
      <c r="A62" s="188"/>
      <c r="B62" s="32" t="s">
        <v>568</v>
      </c>
      <c r="C62" s="32"/>
      <c r="D62" s="92"/>
      <c r="E62" s="98" t="s">
        <v>568</v>
      </c>
      <c r="F62" s="99" t="str">
        <f>IF(ISNUMBER(E62),E62*$D62,"")</f>
        <v/>
      </c>
      <c r="G62" s="35"/>
      <c r="H62" s="31"/>
      <c r="I62" s="156">
        <v>0</v>
      </c>
    </row>
    <row r="63" spans="1:9" ht="15.75" hidden="1" thickBot="1" x14ac:dyDescent="0.3">
      <c r="A63" s="188"/>
      <c r="B63" s="36" t="s">
        <v>117</v>
      </c>
      <c r="C63" s="36" t="s">
        <v>953</v>
      </c>
      <c r="D63" s="37">
        <v>0.5</v>
      </c>
      <c r="E63" s="34">
        <v>0.47499999999999998</v>
      </c>
      <c r="F63" s="34">
        <f>IF(ISNUMBER(E63),E63*$D63,"")</f>
        <v>0.23749999999999999</v>
      </c>
      <c r="G63" s="45">
        <f>SUM(F63:F67)</f>
        <v>36.230528848790001</v>
      </c>
      <c r="H63" s="46"/>
      <c r="I63" s="156">
        <v>0</v>
      </c>
    </row>
    <row r="64" spans="1:9" ht="15.75" hidden="1" thickBot="1" x14ac:dyDescent="0.3">
      <c r="A64" s="188"/>
      <c r="B64" s="36" t="s">
        <v>225</v>
      </c>
      <c r="C64" s="36" t="s">
        <v>104</v>
      </c>
      <c r="D64" s="37">
        <v>0.435</v>
      </c>
      <c r="E64" s="34">
        <v>12.112499999999999</v>
      </c>
      <c r="F64" s="34">
        <f>IF(ISNUMBER(E64),E64*$D64,"")</f>
        <v>5.2689374999999998</v>
      </c>
      <c r="G64" s="45"/>
      <c r="H64" s="46"/>
      <c r="I64" s="156">
        <v>0</v>
      </c>
    </row>
    <row r="65" spans="1:9" ht="39" hidden="1" thickBot="1" x14ac:dyDescent="0.3">
      <c r="A65" s="188"/>
      <c r="B65" s="36" t="s">
        <v>1432</v>
      </c>
      <c r="C65" s="36" t="s">
        <v>123</v>
      </c>
      <c r="D65" s="37">
        <v>4.3099999999999999E-2</v>
      </c>
      <c r="E65" s="31">
        <v>481.29510090000008</v>
      </c>
      <c r="F65" s="34">
        <f>IF(ISNUMBER(E65),E65*$D65,"")</f>
        <v>20.743818848790003</v>
      </c>
      <c r="G65" s="45"/>
      <c r="H65" s="46"/>
      <c r="I65" s="156">
        <v>0</v>
      </c>
    </row>
    <row r="66" spans="1:9" ht="15.75" hidden="1" thickBot="1" x14ac:dyDescent="0.3">
      <c r="A66" s="188"/>
      <c r="B66" s="36" t="s">
        <v>1198</v>
      </c>
      <c r="C66" s="36" t="s">
        <v>755</v>
      </c>
      <c r="D66" s="37">
        <v>0.33</v>
      </c>
      <c r="E66" s="31">
        <v>22.087499999999999</v>
      </c>
      <c r="F66" s="34">
        <f>IF(ISNUMBER(E66),E66*$D66,"")</f>
        <v>7.288875</v>
      </c>
      <c r="G66" s="45"/>
      <c r="H66" s="46"/>
      <c r="I66" s="156">
        <v>0</v>
      </c>
    </row>
    <row r="67" spans="1:9" ht="15.75" hidden="1" thickBot="1" x14ac:dyDescent="0.3">
      <c r="A67" s="188"/>
      <c r="B67" s="36" t="s">
        <v>1507</v>
      </c>
      <c r="C67" s="36" t="s">
        <v>755</v>
      </c>
      <c r="D67" s="37">
        <v>0.16500000000000001</v>
      </c>
      <c r="E67" s="31">
        <v>16.311500000000002</v>
      </c>
      <c r="F67" s="34">
        <f>IF(ISNUMBER(E67),E67*$D67,"")</f>
        <v>2.6913975000000003</v>
      </c>
      <c r="G67" s="45"/>
      <c r="H67" s="46"/>
      <c r="I67" s="156">
        <v>0</v>
      </c>
    </row>
    <row r="68" spans="1:9" ht="15.75" hidden="1" thickBot="1" x14ac:dyDescent="0.3">
      <c r="A68" s="188"/>
      <c r="B68" s="36" t="s">
        <v>568</v>
      </c>
      <c r="C68" s="36"/>
      <c r="D68" s="93"/>
      <c r="E68" s="31" t="s">
        <v>568</v>
      </c>
      <c r="F68" s="31" t="str">
        <f>IF(ISNUMBER(E68),E68*$D68,"")</f>
        <v/>
      </c>
      <c r="G68" s="35"/>
      <c r="H68" s="31"/>
      <c r="I68" s="156">
        <v>0</v>
      </c>
    </row>
    <row r="69" spans="1:9" ht="15.75" thickBot="1" x14ac:dyDescent="0.3">
      <c r="A69" s="191" t="s">
        <v>184</v>
      </c>
      <c r="B69" s="41" t="s">
        <v>568</v>
      </c>
      <c r="C69" s="26" t="s">
        <v>123</v>
      </c>
      <c r="D69" s="94"/>
      <c r="E69" s="42" t="s">
        <v>568</v>
      </c>
      <c r="F69" s="42" t="str">
        <f>IF(ISNUMBER(E69),E69*$D69,"")</f>
        <v/>
      </c>
      <c r="G69" s="29"/>
      <c r="H69" s="30"/>
      <c r="I69" s="156">
        <v>1.0779299999999998</v>
      </c>
    </row>
    <row r="70" spans="1:9" x14ac:dyDescent="0.25">
      <c r="A70" s="188"/>
      <c r="B70" s="32" t="s">
        <v>568</v>
      </c>
      <c r="C70" s="32"/>
      <c r="D70" s="92"/>
      <c r="E70" s="43" t="s">
        <v>568</v>
      </c>
      <c r="F70" s="31" t="str">
        <f>IF(ISNUMBER(E70),E70*$D70,"")</f>
        <v/>
      </c>
      <c r="G70" s="35"/>
      <c r="H70" s="31"/>
      <c r="I70" s="156">
        <v>1.0779299999999998</v>
      </c>
    </row>
    <row r="71" spans="1:9" ht="15.75" customHeight="1" x14ac:dyDescent="0.25">
      <c r="A71" s="188"/>
      <c r="B71" s="36" t="s">
        <v>1517</v>
      </c>
      <c r="C71" s="36" t="s">
        <v>123</v>
      </c>
      <c r="D71" s="37">
        <v>0.94</v>
      </c>
      <c r="E71" s="34">
        <v>112.63199999999999</v>
      </c>
      <c r="F71" s="34">
        <f>IF(ISNUMBER(E71),E71*$D71,"")</f>
        <v>105.87407999999999</v>
      </c>
      <c r="G71" s="45">
        <f>SUM(F71:F75)</f>
        <v>526.33683305800002</v>
      </c>
      <c r="H71" s="46"/>
      <c r="I71" s="156">
        <v>1.0779299999999998</v>
      </c>
    </row>
    <row r="72" spans="1:9" x14ac:dyDescent="0.25">
      <c r="A72" s="188"/>
      <c r="B72" s="36" t="s">
        <v>117</v>
      </c>
      <c r="C72" s="36" t="s">
        <v>953</v>
      </c>
      <c r="D72" s="37">
        <v>422.63</v>
      </c>
      <c r="E72" s="34">
        <v>0.47499999999999998</v>
      </c>
      <c r="F72" s="34">
        <f>IF(ISNUMBER(E72),E72*$D72,"")</f>
        <v>200.74924999999999</v>
      </c>
      <c r="G72" s="45"/>
      <c r="H72" s="46"/>
      <c r="I72" s="156">
        <v>1.0779299999999998</v>
      </c>
    </row>
    <row r="73" spans="1:9" x14ac:dyDescent="0.25">
      <c r="A73" s="188"/>
      <c r="B73" s="36" t="s">
        <v>1507</v>
      </c>
      <c r="C73" s="36" t="s">
        <v>755</v>
      </c>
      <c r="D73" s="37">
        <v>11.02</v>
      </c>
      <c r="E73" s="31">
        <v>16.311500000000002</v>
      </c>
      <c r="F73" s="34">
        <f>IF(ISNUMBER(E73),E73*$D73,"")</f>
        <v>179.75273000000001</v>
      </c>
      <c r="G73" s="45"/>
      <c r="H73" s="46"/>
      <c r="I73" s="156">
        <v>1.0779299999999998</v>
      </c>
    </row>
    <row r="74" spans="1:9" ht="51" x14ac:dyDescent="0.25">
      <c r="A74" s="188"/>
      <c r="B74" s="36" t="s">
        <v>3611</v>
      </c>
      <c r="C74" s="36" t="s">
        <v>123</v>
      </c>
      <c r="D74" s="37">
        <f>ROUND(1*D71,4)</f>
        <v>0.94</v>
      </c>
      <c r="E74" s="31">
        <v>5.6237587000000007</v>
      </c>
      <c r="F74" s="34">
        <f>IF(ISNUMBER(E74),E74*$D74,"")</f>
        <v>5.2863331780000005</v>
      </c>
      <c r="G74" s="45"/>
      <c r="H74" s="46"/>
      <c r="I74" s="156">
        <v>1.0779299999999998</v>
      </c>
    </row>
    <row r="75" spans="1:9" ht="38.25" x14ac:dyDescent="0.25">
      <c r="A75" s="188"/>
      <c r="B75" s="36" t="s">
        <v>3610</v>
      </c>
      <c r="C75" s="47" t="s">
        <v>125</v>
      </c>
      <c r="D75" s="37">
        <f>ROUND(D71*20,4)</f>
        <v>18.8</v>
      </c>
      <c r="E75" s="31">
        <v>1.8443850999999998</v>
      </c>
      <c r="F75" s="34">
        <f>IF(ISNUMBER(E75),E75*$D75,"")</f>
        <v>34.674439879999994</v>
      </c>
      <c r="G75" s="45"/>
      <c r="H75" s="46"/>
      <c r="I75" s="156">
        <v>1.0779299999999998</v>
      </c>
    </row>
    <row r="76" spans="1:9" x14ac:dyDescent="0.25">
      <c r="A76" s="188"/>
      <c r="B76" s="51"/>
      <c r="C76" s="47"/>
      <c r="D76" s="37"/>
      <c r="E76" s="31" t="s">
        <v>568</v>
      </c>
      <c r="F76" s="34" t="str">
        <f>IF(ISNUMBER(E76),E76*$D76,"")</f>
        <v/>
      </c>
      <c r="G76" s="45"/>
      <c r="H76" s="46"/>
      <c r="I76" s="156">
        <v>1.0779299999999998</v>
      </c>
    </row>
    <row r="77" spans="1:9" x14ac:dyDescent="0.25">
      <c r="A77" s="188"/>
      <c r="B77" s="48" t="s">
        <v>808</v>
      </c>
      <c r="C77" s="47"/>
      <c r="D77" s="37"/>
      <c r="E77" s="31" t="s">
        <v>568</v>
      </c>
      <c r="F77" s="34" t="str">
        <f>IF(ISNUMBER(E77),E77*$D77,"")</f>
        <v/>
      </c>
      <c r="G77" s="45"/>
      <c r="H77" s="46"/>
      <c r="I77" s="156">
        <v>1.0779299999999998</v>
      </c>
    </row>
    <row r="78" spans="1:9" ht="26.25" customHeight="1" thickBot="1" x14ac:dyDescent="0.3">
      <c r="A78" s="188"/>
      <c r="B78" s="36" t="s">
        <v>568</v>
      </c>
      <c r="C78" s="36"/>
      <c r="D78" s="93"/>
      <c r="E78" s="31" t="s">
        <v>568</v>
      </c>
      <c r="F78" s="31" t="str">
        <f>IF(ISNUMBER(E78),E78*$D78,"")</f>
        <v/>
      </c>
      <c r="G78" s="35"/>
      <c r="H78" s="31"/>
      <c r="I78" s="156">
        <v>1.0779299999999998</v>
      </c>
    </row>
    <row r="79" spans="1:9" ht="15.75" hidden="1" thickBot="1" x14ac:dyDescent="0.3">
      <c r="A79" s="191" t="s">
        <v>182</v>
      </c>
      <c r="B79" s="41" t="s">
        <v>568</v>
      </c>
      <c r="C79" s="26" t="s">
        <v>123</v>
      </c>
      <c r="D79" s="94"/>
      <c r="E79" s="42" t="s">
        <v>568</v>
      </c>
      <c r="F79" s="42" t="str">
        <f>IF(ISNUMBER(E79),E79*$D79,"")</f>
        <v/>
      </c>
      <c r="G79" s="29"/>
      <c r="H79" s="30"/>
      <c r="I79" s="156">
        <v>0</v>
      </c>
    </row>
    <row r="80" spans="1:9" ht="15.75" hidden="1" thickBot="1" x14ac:dyDescent="0.3">
      <c r="A80" s="188"/>
      <c r="B80" s="32" t="s">
        <v>568</v>
      </c>
      <c r="C80" s="32"/>
      <c r="D80" s="92"/>
      <c r="E80" s="43" t="s">
        <v>568</v>
      </c>
      <c r="F80" s="31" t="str">
        <f>IF(ISNUMBER(E80),E80*$D80,"")</f>
        <v/>
      </c>
      <c r="G80" s="35"/>
      <c r="H80" s="31"/>
      <c r="I80" s="156">
        <v>0</v>
      </c>
    </row>
    <row r="81" spans="1:9" ht="15.75" hidden="1" thickBot="1" x14ac:dyDescent="0.3">
      <c r="A81" s="188"/>
      <c r="B81" s="36" t="s">
        <v>1518</v>
      </c>
      <c r="C81" s="36" t="s">
        <v>953</v>
      </c>
      <c r="D81" s="37">
        <v>1981.23</v>
      </c>
      <c r="E81" s="34">
        <v>0.874</v>
      </c>
      <c r="F81" s="34">
        <f>IF(ISNUMBER(E81),E81*$D81,"")</f>
        <v>1731.59502</v>
      </c>
      <c r="G81" s="45">
        <f>SUM(F81:F84)</f>
        <v>1815.67705</v>
      </c>
      <c r="H81" s="46"/>
      <c r="I81" s="156">
        <v>0</v>
      </c>
    </row>
    <row r="82" spans="1:9" ht="26.25" hidden="1" thickBot="1" x14ac:dyDescent="0.3">
      <c r="A82" s="188"/>
      <c r="B82" s="36" t="s">
        <v>119</v>
      </c>
      <c r="C82" s="36" t="s">
        <v>755</v>
      </c>
      <c r="D82" s="37">
        <v>4.72</v>
      </c>
      <c r="E82" s="31">
        <v>16.5015</v>
      </c>
      <c r="F82" s="34">
        <f>IF(ISNUMBER(E82),E82*$D82,"")</f>
        <v>77.887079999999997</v>
      </c>
      <c r="G82" s="45"/>
      <c r="H82" s="46"/>
      <c r="I82" s="156">
        <v>0</v>
      </c>
    </row>
    <row r="83" spans="1:9" ht="26.25" hidden="1" thickBot="1" x14ac:dyDescent="0.3">
      <c r="A83" s="188"/>
      <c r="B83" s="36" t="s">
        <v>1519</v>
      </c>
      <c r="C83" s="36" t="s">
        <v>997</v>
      </c>
      <c r="D83" s="37">
        <v>1.1000000000000001</v>
      </c>
      <c r="E83" s="31">
        <v>3.2869999999999999</v>
      </c>
      <c r="F83" s="95">
        <f>IF(ISNUMBER(E83),E83*$D83,"")</f>
        <v>3.6157000000000004</v>
      </c>
      <c r="G83" s="45"/>
      <c r="H83" s="46"/>
      <c r="I83" s="156">
        <v>0</v>
      </c>
    </row>
    <row r="84" spans="1:9" ht="26.25" hidden="1" thickBot="1" x14ac:dyDescent="0.3">
      <c r="A84" s="188"/>
      <c r="B84" s="36" t="s">
        <v>1520</v>
      </c>
      <c r="C84" s="36" t="s">
        <v>999</v>
      </c>
      <c r="D84" s="37">
        <v>3.62</v>
      </c>
      <c r="E84" s="31">
        <v>0.71249999999999991</v>
      </c>
      <c r="F84" s="95">
        <f>IF(ISNUMBER(E84),E84*$D84,"")</f>
        <v>2.5792499999999996</v>
      </c>
      <c r="G84" s="45"/>
      <c r="H84" s="46"/>
      <c r="I84" s="156">
        <v>0</v>
      </c>
    </row>
    <row r="85" spans="1:9" ht="15.75" hidden="1" thickBot="1" x14ac:dyDescent="0.3">
      <c r="A85" s="188"/>
      <c r="B85" s="36" t="s">
        <v>568</v>
      </c>
      <c r="C85" s="36"/>
      <c r="D85" s="93"/>
      <c r="E85" s="31" t="s">
        <v>568</v>
      </c>
      <c r="F85" s="31" t="str">
        <f>IF(ISNUMBER(E85),E85*$D85,"")</f>
        <v/>
      </c>
      <c r="G85" s="35"/>
      <c r="H85" s="31"/>
      <c r="I85" s="156">
        <v>0</v>
      </c>
    </row>
    <row r="86" spans="1:9" ht="15.75" thickBot="1" x14ac:dyDescent="0.3">
      <c r="A86" s="191" t="s">
        <v>224</v>
      </c>
      <c r="B86" s="41" t="s">
        <v>568</v>
      </c>
      <c r="C86" s="26" t="s">
        <v>123</v>
      </c>
      <c r="D86" s="94"/>
      <c r="E86" s="42" t="s">
        <v>568</v>
      </c>
      <c r="F86" s="42" t="str">
        <f>IF(ISNUMBER(E86),E86*$D86,"")</f>
        <v/>
      </c>
      <c r="G86" s="29"/>
      <c r="H86" s="30"/>
      <c r="I86" s="156">
        <v>11.70219</v>
      </c>
    </row>
    <row r="87" spans="1:9" x14ac:dyDescent="0.25">
      <c r="A87" s="188"/>
      <c r="B87" s="32" t="s">
        <v>568</v>
      </c>
      <c r="C87" s="32"/>
      <c r="D87" s="92"/>
      <c r="E87" s="43" t="s">
        <v>568</v>
      </c>
      <c r="F87" s="31" t="str">
        <f>IF(ISNUMBER(E87),E87*$D87,"")</f>
        <v/>
      </c>
      <c r="G87" s="35"/>
      <c r="H87" s="31"/>
      <c r="I87" s="156">
        <v>11.70219</v>
      </c>
    </row>
    <row r="88" spans="1:9" ht="26.25" customHeight="1" x14ac:dyDescent="0.25">
      <c r="A88" s="188"/>
      <c r="B88" s="36" t="s">
        <v>116</v>
      </c>
      <c r="C88" s="36" t="s">
        <v>123</v>
      </c>
      <c r="D88" s="37">
        <v>1.35</v>
      </c>
      <c r="E88" s="34">
        <v>90.25</v>
      </c>
      <c r="F88" s="34">
        <f>IF(ISNUMBER(E88),E88*$D88,"")</f>
        <v>121.83750000000001</v>
      </c>
      <c r="G88" s="45">
        <f>SUM(F88:F92)</f>
        <v>574.90620194500002</v>
      </c>
      <c r="H88" s="46"/>
      <c r="I88" s="156">
        <v>11.70219</v>
      </c>
    </row>
    <row r="89" spans="1:9" x14ac:dyDescent="0.25">
      <c r="A89" s="188"/>
      <c r="B89" s="36" t="s">
        <v>117</v>
      </c>
      <c r="C89" s="36" t="s">
        <v>953</v>
      </c>
      <c r="D89" s="37">
        <v>454.58</v>
      </c>
      <c r="E89" s="34">
        <v>0.47499999999999998</v>
      </c>
      <c r="F89" s="34">
        <f>IF(ISNUMBER(E89),E89*$D89,"")</f>
        <v>215.92549999999997</v>
      </c>
      <c r="G89" s="45"/>
      <c r="H89" s="46"/>
      <c r="I89" s="156">
        <v>11.70219</v>
      </c>
    </row>
    <row r="90" spans="1:9" x14ac:dyDescent="0.25">
      <c r="A90" s="188"/>
      <c r="B90" s="36" t="s">
        <v>1507</v>
      </c>
      <c r="C90" s="36" t="s">
        <v>755</v>
      </c>
      <c r="D90" s="37">
        <v>11.02</v>
      </c>
      <c r="E90" s="31">
        <v>16.311500000000002</v>
      </c>
      <c r="F90" s="34">
        <f>IF(ISNUMBER(E90),E90*$D90,"")</f>
        <v>179.75273000000001</v>
      </c>
      <c r="G90" s="45"/>
      <c r="H90" s="46"/>
      <c r="I90" s="156">
        <v>11.70219</v>
      </c>
    </row>
    <row r="91" spans="1:9" ht="51" x14ac:dyDescent="0.25">
      <c r="A91" s="188"/>
      <c r="B91" s="36" t="s">
        <v>3611</v>
      </c>
      <c r="C91" s="36" t="s">
        <v>123</v>
      </c>
      <c r="D91" s="37">
        <f>ROUND(1*D88,4)</f>
        <v>1.35</v>
      </c>
      <c r="E91" s="31">
        <v>5.6237587000000007</v>
      </c>
      <c r="F91" s="34">
        <f>IF(ISNUMBER(E91),E91*$D91,"")</f>
        <v>7.5920742450000018</v>
      </c>
      <c r="G91" s="45"/>
      <c r="H91" s="46"/>
      <c r="I91" s="156">
        <v>11.70219</v>
      </c>
    </row>
    <row r="92" spans="1:9" ht="38.25" x14ac:dyDescent="0.25">
      <c r="A92" s="188"/>
      <c r="B92" s="36" t="s">
        <v>3610</v>
      </c>
      <c r="C92" s="47" t="s">
        <v>125</v>
      </c>
      <c r="D92" s="37">
        <f>ROUND(D88*20,4)</f>
        <v>27</v>
      </c>
      <c r="E92" s="31">
        <v>1.8443850999999998</v>
      </c>
      <c r="F92" s="34">
        <f>IF(ISNUMBER(E92),E92*$D92,"")</f>
        <v>49.798397699999995</v>
      </c>
      <c r="G92" s="45"/>
      <c r="H92" s="46"/>
      <c r="I92" s="156">
        <v>11.70219</v>
      </c>
    </row>
    <row r="93" spans="1:9" x14ac:dyDescent="0.25">
      <c r="A93" s="188"/>
      <c r="B93" s="51"/>
      <c r="C93" s="47"/>
      <c r="D93" s="37"/>
      <c r="E93" s="31" t="s">
        <v>568</v>
      </c>
      <c r="F93" s="34" t="str">
        <f>IF(ISNUMBER(E93),E93*$D93,"")</f>
        <v/>
      </c>
      <c r="G93" s="45"/>
      <c r="H93" s="46"/>
      <c r="I93" s="156">
        <v>11.70219</v>
      </c>
    </row>
    <row r="94" spans="1:9" x14ac:dyDescent="0.25">
      <c r="A94" s="188"/>
      <c r="B94" s="48" t="s">
        <v>808</v>
      </c>
      <c r="C94" s="47"/>
      <c r="D94" s="37"/>
      <c r="E94" s="31" t="s">
        <v>568</v>
      </c>
      <c r="F94" s="34" t="str">
        <f>IF(ISNUMBER(E94),E94*$D94,"")</f>
        <v/>
      </c>
      <c r="G94" s="45"/>
      <c r="H94" s="46"/>
      <c r="I94" s="156">
        <v>11.70219</v>
      </c>
    </row>
    <row r="95" spans="1:9" ht="15.75" thickBot="1" x14ac:dyDescent="0.3">
      <c r="A95" s="188"/>
      <c r="B95" s="36" t="s">
        <v>568</v>
      </c>
      <c r="C95" s="36"/>
      <c r="D95" s="93"/>
      <c r="E95" s="31" t="s">
        <v>568</v>
      </c>
      <c r="F95" s="31" t="str">
        <f>IF(ISNUMBER(E95),E95*$D95,"")</f>
        <v/>
      </c>
      <c r="G95" s="35"/>
      <c r="H95" s="31"/>
      <c r="I95" s="156">
        <v>11.70219</v>
      </c>
    </row>
    <row r="96" spans="1:9" ht="15.75" hidden="1" thickBot="1" x14ac:dyDescent="0.3">
      <c r="A96" s="191" t="s">
        <v>263</v>
      </c>
      <c r="B96" s="41" t="s">
        <v>568</v>
      </c>
      <c r="C96" s="26" t="s">
        <v>123</v>
      </c>
      <c r="D96" s="94"/>
      <c r="E96" s="42" t="s">
        <v>568</v>
      </c>
      <c r="F96" s="42" t="str">
        <f>IF(ISNUMBER(E96),E96*$D96,"")</f>
        <v/>
      </c>
      <c r="G96" s="29"/>
      <c r="H96" s="30"/>
      <c r="I96" s="156">
        <v>0</v>
      </c>
    </row>
    <row r="97" spans="1:9" ht="15.75" hidden="1" thickBot="1" x14ac:dyDescent="0.3">
      <c r="A97" s="188"/>
      <c r="B97" s="32" t="s">
        <v>568</v>
      </c>
      <c r="C97" s="32"/>
      <c r="D97" s="92"/>
      <c r="E97" s="43" t="s">
        <v>568</v>
      </c>
      <c r="F97" s="31" t="str">
        <f>IF(ISNUMBER(E97),E97*$D97,"")</f>
        <v/>
      </c>
      <c r="G97" s="35"/>
      <c r="H97" s="31"/>
      <c r="I97" s="156">
        <v>0</v>
      </c>
    </row>
    <row r="98" spans="1:9" ht="15.75" hidden="1" customHeight="1" x14ac:dyDescent="0.3">
      <c r="A98" s="188"/>
      <c r="B98" s="36" t="s">
        <v>116</v>
      </c>
      <c r="C98" s="36" t="s">
        <v>123</v>
      </c>
      <c r="D98" s="37">
        <v>1.1499999999999999</v>
      </c>
      <c r="E98" s="34">
        <v>90.25</v>
      </c>
      <c r="F98" s="34">
        <f>IF(ISNUMBER(E98),E98*$D98,"")</f>
        <v>103.78749999999999</v>
      </c>
      <c r="G98" s="45">
        <f>SUM(F98:F102)</f>
        <v>472.92951480500005</v>
      </c>
      <c r="H98" s="46"/>
      <c r="I98" s="156">
        <v>0</v>
      </c>
    </row>
    <row r="99" spans="1:9" ht="15.75" hidden="1" thickBot="1" x14ac:dyDescent="0.3">
      <c r="A99" s="188"/>
      <c r="B99" s="36" t="s">
        <v>117</v>
      </c>
      <c r="C99" s="36" t="s">
        <v>953</v>
      </c>
      <c r="D99" s="37">
        <v>389.54</v>
      </c>
      <c r="E99" s="34">
        <v>0.47499999999999998</v>
      </c>
      <c r="F99" s="34">
        <f>IF(ISNUMBER(E99),E99*$D99,"")</f>
        <v>185.03149999999999</v>
      </c>
      <c r="G99" s="45"/>
      <c r="H99" s="46"/>
      <c r="I99" s="156">
        <v>0</v>
      </c>
    </row>
    <row r="100" spans="1:9" ht="15.75" hidden="1" thickBot="1" x14ac:dyDescent="0.3">
      <c r="A100" s="188"/>
      <c r="B100" s="36" t="s">
        <v>1507</v>
      </c>
      <c r="C100" s="36" t="s">
        <v>755</v>
      </c>
      <c r="D100" s="37">
        <v>8.2899999999999991</v>
      </c>
      <c r="E100" s="31">
        <v>16.311500000000002</v>
      </c>
      <c r="F100" s="34">
        <f>IF(ISNUMBER(E100),E100*$D100,"")</f>
        <v>135.22233500000002</v>
      </c>
      <c r="G100" s="45"/>
      <c r="H100" s="46"/>
      <c r="I100" s="156">
        <v>0</v>
      </c>
    </row>
    <row r="101" spans="1:9" ht="51.75" hidden="1" thickBot="1" x14ac:dyDescent="0.3">
      <c r="A101" s="188"/>
      <c r="B101" s="36" t="s">
        <v>3611</v>
      </c>
      <c r="C101" s="36" t="s">
        <v>123</v>
      </c>
      <c r="D101" s="37">
        <f>ROUND(1*D98,4)</f>
        <v>1.1499999999999999</v>
      </c>
      <c r="E101" s="31">
        <v>5.6237587000000007</v>
      </c>
      <c r="F101" s="34">
        <f>IF(ISNUMBER(E101),E101*$D101,"")</f>
        <v>6.4673225050000003</v>
      </c>
      <c r="G101" s="45"/>
      <c r="H101" s="46"/>
      <c r="I101" s="156">
        <v>0</v>
      </c>
    </row>
    <row r="102" spans="1:9" ht="39" hidden="1" thickBot="1" x14ac:dyDescent="0.3">
      <c r="A102" s="188"/>
      <c r="B102" s="36" t="s">
        <v>3610</v>
      </c>
      <c r="C102" s="47" t="s">
        <v>125</v>
      </c>
      <c r="D102" s="37">
        <f>ROUND(D98*20,4)</f>
        <v>23</v>
      </c>
      <c r="E102" s="31">
        <v>1.8443850999999998</v>
      </c>
      <c r="F102" s="34">
        <f>IF(ISNUMBER(E102),E102*$D102,"")</f>
        <v>42.420857299999994</v>
      </c>
      <c r="G102" s="45"/>
      <c r="H102" s="46"/>
      <c r="I102" s="156">
        <v>0</v>
      </c>
    </row>
    <row r="103" spans="1:9" ht="15.75" hidden="1" thickBot="1" x14ac:dyDescent="0.3">
      <c r="A103" s="188"/>
      <c r="B103" s="51"/>
      <c r="C103" s="47"/>
      <c r="D103" s="37"/>
      <c r="E103" s="31" t="s">
        <v>568</v>
      </c>
      <c r="F103" s="34" t="str">
        <f>IF(ISNUMBER(E103),E103*$D103,"")</f>
        <v/>
      </c>
      <c r="G103" s="45"/>
      <c r="H103" s="46"/>
      <c r="I103" s="156">
        <v>0</v>
      </c>
    </row>
    <row r="104" spans="1:9" ht="15.75" hidden="1" customHeight="1" x14ac:dyDescent="0.3">
      <c r="A104" s="188"/>
      <c r="B104" s="48" t="s">
        <v>808</v>
      </c>
      <c r="C104" s="47"/>
      <c r="D104" s="37"/>
      <c r="E104" s="31" t="s">
        <v>568</v>
      </c>
      <c r="F104" s="34" t="str">
        <f>IF(ISNUMBER(E104),E104*$D104,"")</f>
        <v/>
      </c>
      <c r="G104" s="45"/>
      <c r="H104" s="46"/>
      <c r="I104" s="156">
        <v>0</v>
      </c>
    </row>
    <row r="105" spans="1:9" ht="15.75" hidden="1" thickBot="1" x14ac:dyDescent="0.3">
      <c r="A105" s="188"/>
      <c r="B105" s="36" t="s">
        <v>568</v>
      </c>
      <c r="C105" s="36"/>
      <c r="D105" s="93"/>
      <c r="E105" s="31" t="s">
        <v>568</v>
      </c>
      <c r="F105" s="31" t="str">
        <f>IF(ISNUMBER(E105),E105*$D105,"")</f>
        <v/>
      </c>
      <c r="G105" s="35"/>
      <c r="H105" s="31"/>
      <c r="I105" s="156">
        <v>0</v>
      </c>
    </row>
    <row r="106" spans="1:9" ht="15.75" thickBot="1" x14ac:dyDescent="0.3">
      <c r="A106" s="191" t="s">
        <v>512</v>
      </c>
      <c r="B106" s="41" t="s">
        <v>568</v>
      </c>
      <c r="C106" s="26" t="s">
        <v>523</v>
      </c>
      <c r="D106" s="94"/>
      <c r="E106" s="42" t="s">
        <v>568</v>
      </c>
      <c r="F106" s="42" t="str">
        <f>IF(ISNUMBER(E106),E106*$D106,"")</f>
        <v/>
      </c>
      <c r="G106" s="29"/>
      <c r="H106" s="30"/>
      <c r="I106" s="156">
        <v>869.8</v>
      </c>
    </row>
    <row r="107" spans="1:9" x14ac:dyDescent="0.25">
      <c r="A107" s="188"/>
      <c r="B107" s="32" t="s">
        <v>568</v>
      </c>
      <c r="C107" s="32"/>
      <c r="D107" s="92"/>
      <c r="E107" s="43" t="s">
        <v>568</v>
      </c>
      <c r="F107" s="31" t="str">
        <f>IF(ISNUMBER(E107),E107*$D107,"")</f>
        <v/>
      </c>
      <c r="G107" s="35"/>
      <c r="H107" s="31"/>
      <c r="I107" s="156">
        <v>869.8</v>
      </c>
    </row>
    <row r="108" spans="1:9" ht="25.5" x14ac:dyDescent="0.25">
      <c r="A108" s="188"/>
      <c r="B108" s="36" t="s">
        <v>1509</v>
      </c>
      <c r="C108" s="36" t="s">
        <v>297</v>
      </c>
      <c r="D108" s="37">
        <v>0.33300000000000002</v>
      </c>
      <c r="E108" s="34">
        <v>1.1114999999999999</v>
      </c>
      <c r="F108" s="34">
        <f>IF(ISNUMBER(E108),E108*$D108,"")</f>
        <v>0.3701295</v>
      </c>
      <c r="G108" s="45">
        <f>SUM(F108:F110)</f>
        <v>1.2113545000000001</v>
      </c>
      <c r="H108" s="46"/>
      <c r="I108" s="156">
        <v>869.8</v>
      </c>
    </row>
    <row r="109" spans="1:9" ht="25.5" x14ac:dyDescent="0.25">
      <c r="A109" s="188"/>
      <c r="B109" s="36" t="s">
        <v>109</v>
      </c>
      <c r="C109" s="36" t="s">
        <v>755</v>
      </c>
      <c r="D109" s="37">
        <v>5.0000000000000001E-3</v>
      </c>
      <c r="E109" s="31">
        <v>16.891000000000002</v>
      </c>
      <c r="F109" s="34">
        <f>IF(ISNUMBER(E109),E109*$D109,"")</f>
        <v>8.4455000000000016E-2</v>
      </c>
      <c r="G109" s="45"/>
      <c r="H109" s="46"/>
      <c r="I109" s="156">
        <v>869.8</v>
      </c>
    </row>
    <row r="110" spans="1:9" ht="15.75" customHeight="1" x14ac:dyDescent="0.25">
      <c r="A110" s="188"/>
      <c r="B110" s="36" t="s">
        <v>1508</v>
      </c>
      <c r="C110" s="36" t="s">
        <v>755</v>
      </c>
      <c r="D110" s="37">
        <v>3.5000000000000003E-2</v>
      </c>
      <c r="E110" s="31">
        <v>21.622</v>
      </c>
      <c r="F110" s="34">
        <f>IF(ISNUMBER(E110),E110*$D110,"")</f>
        <v>0.75677000000000005</v>
      </c>
      <c r="G110" s="45"/>
      <c r="H110" s="46"/>
      <c r="I110" s="156">
        <v>869.8</v>
      </c>
    </row>
    <row r="111" spans="1:9" ht="15.75" thickBot="1" x14ac:dyDescent="0.3">
      <c r="A111" s="188"/>
      <c r="B111" s="36" t="s">
        <v>568</v>
      </c>
      <c r="C111" s="36"/>
      <c r="D111" s="93"/>
      <c r="E111" s="31" t="s">
        <v>568</v>
      </c>
      <c r="F111" s="31" t="str">
        <f>IF(ISNUMBER(E111),E111*$D111,"")</f>
        <v/>
      </c>
      <c r="G111" s="35"/>
      <c r="H111" s="31"/>
      <c r="I111" s="156">
        <v>869.8</v>
      </c>
    </row>
    <row r="112" spans="1:9" ht="15.75" thickBot="1" x14ac:dyDescent="0.3">
      <c r="A112" s="191" t="s">
        <v>527</v>
      </c>
      <c r="B112" s="41" t="s">
        <v>568</v>
      </c>
      <c r="C112" s="26" t="s">
        <v>297</v>
      </c>
      <c r="D112" s="94"/>
      <c r="E112" s="42" t="s">
        <v>568</v>
      </c>
      <c r="F112" s="42" t="str">
        <f>IF(ISNUMBER(E112),E112*$D112,"")</f>
        <v/>
      </c>
      <c r="G112" s="29"/>
      <c r="H112" s="30"/>
      <c r="I112" s="156">
        <v>107.72255999999999</v>
      </c>
    </row>
    <row r="113" spans="1:9" x14ac:dyDescent="0.25">
      <c r="A113" s="188"/>
      <c r="B113" s="32" t="s">
        <v>568</v>
      </c>
      <c r="C113" s="32"/>
      <c r="D113" s="92"/>
      <c r="E113" s="43" t="s">
        <v>568</v>
      </c>
      <c r="F113" s="31" t="str">
        <f>IF(ISNUMBER(E113),E113*$D113,"")</f>
        <v/>
      </c>
      <c r="G113" s="35"/>
      <c r="H113" s="31"/>
      <c r="I113" s="156">
        <v>107.72255999999999</v>
      </c>
    </row>
    <row r="114" spans="1:9" ht="25.5" x14ac:dyDescent="0.25">
      <c r="A114" s="188"/>
      <c r="B114" s="36" t="s">
        <v>1521</v>
      </c>
      <c r="C114" s="36" t="s">
        <v>297</v>
      </c>
      <c r="D114" s="37">
        <v>1</v>
      </c>
      <c r="E114" s="34">
        <v>1.7384999999999999</v>
      </c>
      <c r="F114" s="34">
        <f>IF(ISNUMBER(E114),E114*$D114,"")</f>
        <v>1.7384999999999999</v>
      </c>
      <c r="G114" s="45">
        <f>SUM(F114:F116)</f>
        <v>8.9796317999999999</v>
      </c>
      <c r="H114" s="46"/>
      <c r="I114" s="156">
        <v>107.72255999999999</v>
      </c>
    </row>
    <row r="115" spans="1:9" x14ac:dyDescent="0.25">
      <c r="A115" s="188"/>
      <c r="B115" s="36" t="s">
        <v>74</v>
      </c>
      <c r="C115" s="36" t="s">
        <v>755</v>
      </c>
      <c r="D115" s="37">
        <v>0.1827</v>
      </c>
      <c r="E115" s="31">
        <v>17.366</v>
      </c>
      <c r="F115" s="34">
        <f>IF(ISNUMBER(E115),E115*$D115,"")</f>
        <v>3.1727682000000001</v>
      </c>
      <c r="G115" s="45"/>
      <c r="H115" s="46"/>
      <c r="I115" s="156">
        <v>107.72255999999999</v>
      </c>
    </row>
    <row r="116" spans="1:9" ht="15.75" customHeight="1" x14ac:dyDescent="0.25">
      <c r="A116" s="188"/>
      <c r="B116" s="36" t="s">
        <v>30</v>
      </c>
      <c r="C116" s="36" t="s">
        <v>755</v>
      </c>
      <c r="D116" s="37">
        <v>0.1827</v>
      </c>
      <c r="E116" s="31">
        <v>22.268000000000001</v>
      </c>
      <c r="F116" s="34">
        <f>IF(ISNUMBER(E116),E116*$D116,"")</f>
        <v>4.0683636000000005</v>
      </c>
      <c r="G116" s="45"/>
      <c r="H116" s="46"/>
      <c r="I116" s="156">
        <v>107.72255999999999</v>
      </c>
    </row>
    <row r="117" spans="1:9" ht="15.75" thickBot="1" x14ac:dyDescent="0.3">
      <c r="A117" s="188"/>
      <c r="B117" s="36" t="s">
        <v>568</v>
      </c>
      <c r="C117" s="36"/>
      <c r="D117" s="93"/>
      <c r="E117" s="31" t="s">
        <v>568</v>
      </c>
      <c r="F117" s="31" t="str">
        <f>IF(ISNUMBER(E117),E117*$D117,"")</f>
        <v/>
      </c>
      <c r="G117" s="35"/>
      <c r="H117" s="31"/>
      <c r="I117" s="156">
        <v>107.72255999999999</v>
      </c>
    </row>
    <row r="118" spans="1:9" ht="15.75" thickBot="1" x14ac:dyDescent="0.3">
      <c r="A118" s="191" t="s">
        <v>519</v>
      </c>
      <c r="B118" s="41" t="s">
        <v>568</v>
      </c>
      <c r="C118" s="26" t="s">
        <v>297</v>
      </c>
      <c r="D118" s="94"/>
      <c r="E118" s="42" t="s">
        <v>568</v>
      </c>
      <c r="F118" s="42" t="str">
        <f>IF(ISNUMBER(E118),E118*$D118,"")</f>
        <v/>
      </c>
      <c r="G118" s="29"/>
      <c r="H118" s="30"/>
      <c r="I118" s="156">
        <v>19.6647</v>
      </c>
    </row>
    <row r="119" spans="1:9" x14ac:dyDescent="0.25">
      <c r="A119" s="188"/>
      <c r="B119" s="32" t="s">
        <v>568</v>
      </c>
      <c r="C119" s="32"/>
      <c r="D119" s="92"/>
      <c r="E119" s="43" t="s">
        <v>568</v>
      </c>
      <c r="F119" s="31" t="str">
        <f>IF(ISNUMBER(E119),E119*$D119,"")</f>
        <v/>
      </c>
      <c r="G119" s="35"/>
      <c r="H119" s="31"/>
      <c r="I119" s="156">
        <v>19.6647</v>
      </c>
    </row>
    <row r="120" spans="1:9" ht="25.5" x14ac:dyDescent="0.25">
      <c r="A120" s="188"/>
      <c r="B120" s="36" t="s">
        <v>1522</v>
      </c>
      <c r="C120" s="36" t="s">
        <v>297</v>
      </c>
      <c r="D120" s="37">
        <v>1</v>
      </c>
      <c r="E120" s="34">
        <v>2.0234999999999999</v>
      </c>
      <c r="F120" s="34">
        <f>IF(ISNUMBER(E120),E120*$D120,"")</f>
        <v>2.0234999999999999</v>
      </c>
      <c r="G120" s="45">
        <f>SUM(F120:F122)</f>
        <v>10.081092200000001</v>
      </c>
      <c r="H120" s="46"/>
      <c r="I120" s="156">
        <v>19.6647</v>
      </c>
    </row>
    <row r="121" spans="1:9" x14ac:dyDescent="0.25">
      <c r="A121" s="188"/>
      <c r="B121" s="36" t="s">
        <v>74</v>
      </c>
      <c r="C121" s="36" t="s">
        <v>755</v>
      </c>
      <c r="D121" s="37">
        <v>0.20330000000000001</v>
      </c>
      <c r="E121" s="31">
        <v>17.366</v>
      </c>
      <c r="F121" s="34">
        <f>IF(ISNUMBER(E121),E121*$D121,"")</f>
        <v>3.5305078000000001</v>
      </c>
      <c r="G121" s="45"/>
      <c r="H121" s="46"/>
      <c r="I121" s="156">
        <v>19.6647</v>
      </c>
    </row>
    <row r="122" spans="1:9" ht="15.75" customHeight="1" x14ac:dyDescent="0.25">
      <c r="A122" s="188"/>
      <c r="B122" s="36" t="s">
        <v>30</v>
      </c>
      <c r="C122" s="36" t="s">
        <v>755</v>
      </c>
      <c r="D122" s="37">
        <v>0.20330000000000001</v>
      </c>
      <c r="E122" s="31">
        <v>22.268000000000001</v>
      </c>
      <c r="F122" s="34">
        <f>IF(ISNUMBER(E122),E122*$D122,"")</f>
        <v>4.5270844000000006</v>
      </c>
      <c r="G122" s="45"/>
      <c r="H122" s="46"/>
      <c r="I122" s="156">
        <v>19.6647</v>
      </c>
    </row>
    <row r="123" spans="1:9" ht="15.75" thickBot="1" x14ac:dyDescent="0.3">
      <c r="A123" s="188"/>
      <c r="B123" s="36" t="s">
        <v>568</v>
      </c>
      <c r="C123" s="36"/>
      <c r="D123" s="93"/>
      <c r="E123" s="31" t="s">
        <v>568</v>
      </c>
      <c r="F123" s="31" t="str">
        <f>IF(ISNUMBER(E123),E123*$D123,"")</f>
        <v/>
      </c>
      <c r="G123" s="35"/>
      <c r="H123" s="31"/>
      <c r="I123" s="156">
        <v>19.6647</v>
      </c>
    </row>
    <row r="124" spans="1:9" ht="15.75" thickBot="1" x14ac:dyDescent="0.3">
      <c r="A124" s="191" t="s">
        <v>516</v>
      </c>
      <c r="B124" s="41" t="s">
        <v>568</v>
      </c>
      <c r="C124" s="26" t="s">
        <v>297</v>
      </c>
      <c r="D124" s="94"/>
      <c r="E124" s="42" t="s">
        <v>568</v>
      </c>
      <c r="F124" s="42" t="str">
        <f>IF(ISNUMBER(E124),E124*$D124,"")</f>
        <v/>
      </c>
      <c r="G124" s="29"/>
      <c r="H124" s="30"/>
      <c r="I124" s="156">
        <v>14.89851</v>
      </c>
    </row>
    <row r="125" spans="1:9" x14ac:dyDescent="0.25">
      <c r="A125" s="188"/>
      <c r="B125" s="32" t="s">
        <v>568</v>
      </c>
      <c r="C125" s="32"/>
      <c r="D125" s="92"/>
      <c r="E125" s="43" t="s">
        <v>568</v>
      </c>
      <c r="F125" s="31" t="str">
        <f>IF(ISNUMBER(E125),E125*$D125,"")</f>
        <v/>
      </c>
      <c r="G125" s="35"/>
      <c r="H125" s="31"/>
      <c r="I125" s="156">
        <v>14.89851</v>
      </c>
    </row>
    <row r="126" spans="1:9" ht="25.5" x14ac:dyDescent="0.25">
      <c r="A126" s="188"/>
      <c r="B126" s="36" t="s">
        <v>1523</v>
      </c>
      <c r="C126" s="36" t="s">
        <v>297</v>
      </c>
      <c r="D126" s="37">
        <v>1</v>
      </c>
      <c r="E126" s="34">
        <v>3.5909999999999997</v>
      </c>
      <c r="F126" s="34">
        <f>IF(ISNUMBER(E126),E126*$D126,"")</f>
        <v>3.5909999999999997</v>
      </c>
      <c r="G126" s="45">
        <f>SUM(F126:F128)</f>
        <v>12.794014799999999</v>
      </c>
      <c r="H126" s="46"/>
      <c r="I126" s="156">
        <v>14.89851</v>
      </c>
    </row>
    <row r="127" spans="1:9" x14ac:dyDescent="0.25">
      <c r="A127" s="188"/>
      <c r="B127" s="36" t="s">
        <v>74</v>
      </c>
      <c r="C127" s="36" t="s">
        <v>755</v>
      </c>
      <c r="D127" s="37">
        <v>0.23219999999999999</v>
      </c>
      <c r="E127" s="31">
        <v>17.366</v>
      </c>
      <c r="F127" s="34">
        <f>IF(ISNUMBER(E127),E127*$D127,"")</f>
        <v>4.0323851999999993</v>
      </c>
      <c r="G127" s="45"/>
      <c r="H127" s="46"/>
      <c r="I127" s="156">
        <v>14.89851</v>
      </c>
    </row>
    <row r="128" spans="1:9" ht="15.75" customHeight="1" x14ac:dyDescent="0.25">
      <c r="A128" s="188"/>
      <c r="B128" s="36" t="s">
        <v>30</v>
      </c>
      <c r="C128" s="36" t="s">
        <v>755</v>
      </c>
      <c r="D128" s="37">
        <v>0.23219999999999999</v>
      </c>
      <c r="E128" s="31">
        <v>22.268000000000001</v>
      </c>
      <c r="F128" s="34">
        <f>IF(ISNUMBER(E128),E128*$D128,"")</f>
        <v>5.1706295999999998</v>
      </c>
      <c r="G128" s="45"/>
      <c r="H128" s="46"/>
      <c r="I128" s="156">
        <v>14.89851</v>
      </c>
    </row>
    <row r="129" spans="1:9" ht="15.75" thickBot="1" x14ac:dyDescent="0.3">
      <c r="A129" s="188"/>
      <c r="B129" s="36" t="s">
        <v>568</v>
      </c>
      <c r="C129" s="36"/>
      <c r="D129" s="93"/>
      <c r="E129" s="31" t="s">
        <v>568</v>
      </c>
      <c r="F129" s="31" t="str">
        <f>IF(ISNUMBER(E129),E129*$D129,"")</f>
        <v/>
      </c>
      <c r="G129" s="35"/>
      <c r="H129" s="31"/>
      <c r="I129" s="156">
        <v>14.89851</v>
      </c>
    </row>
    <row r="130" spans="1:9" ht="15.75" thickBot="1" x14ac:dyDescent="0.3">
      <c r="A130" s="191" t="s">
        <v>513</v>
      </c>
      <c r="B130" s="41" t="s">
        <v>568</v>
      </c>
      <c r="C130" s="26" t="s">
        <v>297</v>
      </c>
      <c r="D130" s="94"/>
      <c r="E130" s="42" t="s">
        <v>568</v>
      </c>
      <c r="F130" s="42" t="str">
        <f>IF(ISNUMBER(E130),E130*$D130,"")</f>
        <v/>
      </c>
      <c r="G130" s="29"/>
      <c r="H130" s="30"/>
      <c r="I130" s="156">
        <v>2.6663999999999999</v>
      </c>
    </row>
    <row r="131" spans="1:9" x14ac:dyDescent="0.25">
      <c r="A131" s="188"/>
      <c r="B131" s="32" t="s">
        <v>568</v>
      </c>
      <c r="C131" s="32"/>
      <c r="D131" s="92"/>
      <c r="E131" s="43" t="s">
        <v>568</v>
      </c>
      <c r="F131" s="31" t="str">
        <f>IF(ISNUMBER(E131),E131*$D131,"")</f>
        <v/>
      </c>
      <c r="G131" s="35"/>
      <c r="H131" s="31"/>
      <c r="I131" s="156">
        <v>2.6663999999999999</v>
      </c>
    </row>
    <row r="132" spans="1:9" ht="25.5" x14ac:dyDescent="0.25">
      <c r="A132" s="188"/>
      <c r="B132" s="36" t="s">
        <v>1524</v>
      </c>
      <c r="C132" s="36" t="s">
        <v>297</v>
      </c>
      <c r="D132" s="37">
        <v>1</v>
      </c>
      <c r="E132" s="34">
        <v>5.2060000000000004</v>
      </c>
      <c r="F132" s="34">
        <f>IF(ISNUMBER(E132),E132*$D132,"")</f>
        <v>5.2060000000000004</v>
      </c>
      <c r="G132" s="45">
        <f>SUM(F132:F134)</f>
        <v>15.712973400000001</v>
      </c>
      <c r="H132" s="46"/>
      <c r="I132" s="156">
        <v>2.6663999999999999</v>
      </c>
    </row>
    <row r="133" spans="1:9" x14ac:dyDescent="0.25">
      <c r="A133" s="188"/>
      <c r="B133" s="36" t="s">
        <v>74</v>
      </c>
      <c r="C133" s="36" t="s">
        <v>755</v>
      </c>
      <c r="D133" s="37">
        <v>0.2651</v>
      </c>
      <c r="E133" s="31">
        <v>17.366</v>
      </c>
      <c r="F133" s="34">
        <f>IF(ISNUMBER(E133),E133*$D133,"")</f>
        <v>4.6037265999999999</v>
      </c>
      <c r="G133" s="45"/>
      <c r="H133" s="46"/>
      <c r="I133" s="156">
        <v>2.6663999999999999</v>
      </c>
    </row>
    <row r="134" spans="1:9" ht="15.75" customHeight="1" x14ac:dyDescent="0.25">
      <c r="A134" s="188"/>
      <c r="B134" s="36" t="s">
        <v>30</v>
      </c>
      <c r="C134" s="36" t="s">
        <v>755</v>
      </c>
      <c r="D134" s="37">
        <v>0.2651</v>
      </c>
      <c r="E134" s="31">
        <v>22.268000000000001</v>
      </c>
      <c r="F134" s="34">
        <f>IF(ISNUMBER(E134),E134*$D134,"")</f>
        <v>5.9032467999999998</v>
      </c>
      <c r="G134" s="45"/>
      <c r="H134" s="46"/>
      <c r="I134" s="156">
        <v>2.6663999999999999</v>
      </c>
    </row>
    <row r="135" spans="1:9" ht="15.75" thickBot="1" x14ac:dyDescent="0.3">
      <c r="A135" s="188"/>
      <c r="B135" s="36" t="s">
        <v>568</v>
      </c>
      <c r="C135" s="36"/>
      <c r="D135" s="93"/>
      <c r="E135" s="31" t="s">
        <v>568</v>
      </c>
      <c r="F135" s="31" t="str">
        <f>IF(ISNUMBER(E135),E135*$D135,"")</f>
        <v/>
      </c>
      <c r="G135" s="35"/>
      <c r="H135" s="31"/>
      <c r="I135" s="156">
        <v>2.6663999999999999</v>
      </c>
    </row>
    <row r="136" spans="1:9" ht="15.75" hidden="1" thickBot="1" x14ac:dyDescent="0.3">
      <c r="A136" s="191" t="s">
        <v>524</v>
      </c>
      <c r="B136" s="41" t="s">
        <v>568</v>
      </c>
      <c r="C136" s="26" t="s">
        <v>297</v>
      </c>
      <c r="D136" s="94"/>
      <c r="E136" s="42" t="s">
        <v>568</v>
      </c>
      <c r="F136" s="42" t="str">
        <f>IF(ISNUMBER(E136),E136*$D136,"")</f>
        <v/>
      </c>
      <c r="G136" s="29"/>
      <c r="H136" s="30"/>
      <c r="I136" s="156">
        <v>0</v>
      </c>
    </row>
    <row r="137" spans="1:9" ht="15.75" hidden="1" thickBot="1" x14ac:dyDescent="0.3">
      <c r="A137" s="188"/>
      <c r="B137" s="32" t="s">
        <v>568</v>
      </c>
      <c r="C137" s="32"/>
      <c r="D137" s="92"/>
      <c r="E137" s="43" t="s">
        <v>568</v>
      </c>
      <c r="F137" s="31" t="str">
        <f>IF(ISNUMBER(E137),E137*$D137,"")</f>
        <v/>
      </c>
      <c r="G137" s="35"/>
      <c r="H137" s="31"/>
      <c r="I137" s="156">
        <v>0</v>
      </c>
    </row>
    <row r="138" spans="1:9" ht="26.25" hidden="1" thickBot="1" x14ac:dyDescent="0.3">
      <c r="A138" s="188"/>
      <c r="B138" s="36" t="s">
        <v>1525</v>
      </c>
      <c r="C138" s="36" t="s">
        <v>297</v>
      </c>
      <c r="D138" s="37">
        <v>1</v>
      </c>
      <c r="E138" s="34">
        <v>7.2579999999999991</v>
      </c>
      <c r="F138" s="34">
        <f>IF(ISNUMBER(E138),E138*$D138,"")</f>
        <v>7.2579999999999991</v>
      </c>
      <c r="G138" s="45">
        <f>SUM(F138:F140)</f>
        <v>17.764973399999999</v>
      </c>
      <c r="H138" s="46"/>
      <c r="I138" s="156">
        <v>0</v>
      </c>
    </row>
    <row r="139" spans="1:9" ht="15.75" hidden="1" thickBot="1" x14ac:dyDescent="0.3">
      <c r="A139" s="188"/>
      <c r="B139" s="36" t="s">
        <v>74</v>
      </c>
      <c r="C139" s="36" t="s">
        <v>755</v>
      </c>
      <c r="D139" s="37">
        <v>0.2651</v>
      </c>
      <c r="E139" s="31">
        <v>17.366</v>
      </c>
      <c r="F139" s="34">
        <f>IF(ISNUMBER(E139),E139*$D139,"")</f>
        <v>4.6037265999999999</v>
      </c>
      <c r="G139" s="45"/>
      <c r="H139" s="46"/>
      <c r="I139" s="156">
        <v>0</v>
      </c>
    </row>
    <row r="140" spans="1:9" ht="26.25" hidden="1" customHeight="1" x14ac:dyDescent="0.3">
      <c r="A140" s="188"/>
      <c r="B140" s="36" t="s">
        <v>30</v>
      </c>
      <c r="C140" s="36" t="s">
        <v>755</v>
      </c>
      <c r="D140" s="37">
        <v>0.2651</v>
      </c>
      <c r="E140" s="31">
        <v>22.268000000000001</v>
      </c>
      <c r="F140" s="34">
        <f>IF(ISNUMBER(E140),E140*$D140,"")</f>
        <v>5.9032467999999998</v>
      </c>
      <c r="G140" s="45"/>
      <c r="H140" s="46"/>
      <c r="I140" s="156">
        <v>0</v>
      </c>
    </row>
    <row r="141" spans="1:9" ht="15.75" hidden="1" thickBot="1" x14ac:dyDescent="0.3">
      <c r="A141" s="188"/>
      <c r="B141" s="36" t="s">
        <v>568</v>
      </c>
      <c r="C141" s="36"/>
      <c r="D141" s="93"/>
      <c r="E141" s="31" t="s">
        <v>568</v>
      </c>
      <c r="F141" s="31" t="str">
        <f>IF(ISNUMBER(E141),E141*$D141,"")</f>
        <v/>
      </c>
      <c r="G141" s="35"/>
      <c r="H141" s="31"/>
      <c r="I141" s="156">
        <v>0</v>
      </c>
    </row>
    <row r="142" spans="1:9" ht="15.75" hidden="1" thickBot="1" x14ac:dyDescent="0.3">
      <c r="A142" s="191" t="s">
        <v>1541</v>
      </c>
      <c r="B142" s="41" t="s">
        <v>568</v>
      </c>
      <c r="C142" s="26" t="s">
        <v>523</v>
      </c>
      <c r="D142" s="94"/>
      <c r="E142" s="42" t="s">
        <v>568</v>
      </c>
      <c r="F142" s="42" t="str">
        <f>IF(ISNUMBER(E142),E142*$D142,"")</f>
        <v/>
      </c>
      <c r="G142" s="29"/>
      <c r="H142" s="30"/>
      <c r="I142" s="156">
        <v>0</v>
      </c>
    </row>
    <row r="143" spans="1:9" ht="15.75" hidden="1" thickBot="1" x14ac:dyDescent="0.3">
      <c r="A143" s="188"/>
      <c r="B143" s="32" t="s">
        <v>568</v>
      </c>
      <c r="C143" s="32"/>
      <c r="D143" s="92"/>
      <c r="E143" s="98" t="s">
        <v>568</v>
      </c>
      <c r="F143" s="99" t="str">
        <f>IF(ISNUMBER(E143),E143*$D143,"")</f>
        <v/>
      </c>
      <c r="G143" s="35"/>
      <c r="H143" s="31"/>
      <c r="I143" s="156">
        <v>0</v>
      </c>
    </row>
    <row r="144" spans="1:9" ht="26.25" hidden="1" thickBot="1" x14ac:dyDescent="0.3">
      <c r="A144" s="188"/>
      <c r="B144" s="36" t="s">
        <v>1542</v>
      </c>
      <c r="C144" s="36" t="s">
        <v>297</v>
      </c>
      <c r="D144" s="37">
        <v>0.33300000000000002</v>
      </c>
      <c r="E144" s="34">
        <v>2.2894999999999999</v>
      </c>
      <c r="F144" s="34">
        <f>IF(ISNUMBER(E144),E144*$D144,"")</f>
        <v>0.76240350000000001</v>
      </c>
      <c r="G144" s="45">
        <f>SUM(F144:F146)</f>
        <v>2.3630965000000002</v>
      </c>
      <c r="H144" s="46"/>
      <c r="I144" s="156">
        <v>0</v>
      </c>
    </row>
    <row r="145" spans="1:9" ht="26.25" hidden="1" thickBot="1" x14ac:dyDescent="0.3">
      <c r="A145" s="188"/>
      <c r="B145" s="36" t="s">
        <v>109</v>
      </c>
      <c r="C145" s="36" t="s">
        <v>755</v>
      </c>
      <c r="D145" s="37">
        <v>8.9999999999999993E-3</v>
      </c>
      <c r="E145" s="31">
        <v>16.891000000000002</v>
      </c>
      <c r="F145" s="34">
        <f>IF(ISNUMBER(E145),E145*$D145,"")</f>
        <v>0.15201900000000002</v>
      </c>
      <c r="G145" s="45"/>
      <c r="H145" s="46"/>
      <c r="I145" s="156">
        <v>0</v>
      </c>
    </row>
    <row r="146" spans="1:9" ht="15.75" hidden="1" thickBot="1" x14ac:dyDescent="0.3">
      <c r="A146" s="188"/>
      <c r="B146" s="36" t="s">
        <v>1508</v>
      </c>
      <c r="C146" s="36" t="s">
        <v>755</v>
      </c>
      <c r="D146" s="37">
        <v>6.7000000000000004E-2</v>
      </c>
      <c r="E146" s="31">
        <v>21.622</v>
      </c>
      <c r="F146" s="34">
        <f>IF(ISNUMBER(E146),E146*$D146,"")</f>
        <v>1.448674</v>
      </c>
      <c r="G146" s="45"/>
      <c r="H146" s="46"/>
      <c r="I146" s="156">
        <v>0</v>
      </c>
    </row>
    <row r="147" spans="1:9" ht="15.75" hidden="1" thickBot="1" x14ac:dyDescent="0.3">
      <c r="A147" s="188"/>
      <c r="B147" s="36" t="s">
        <v>568</v>
      </c>
      <c r="C147" s="36"/>
      <c r="D147" s="93"/>
      <c r="E147" s="31" t="s">
        <v>568</v>
      </c>
      <c r="F147" s="31" t="str">
        <f>IF(ISNUMBER(E147),E147*$D147,"")</f>
        <v/>
      </c>
      <c r="G147" s="35"/>
      <c r="H147" s="31"/>
      <c r="I147" s="156">
        <v>0</v>
      </c>
    </row>
    <row r="148" spans="1:9" ht="15.75" hidden="1" thickBot="1" x14ac:dyDescent="0.3">
      <c r="A148" s="191" t="s">
        <v>1526</v>
      </c>
      <c r="B148" s="41" t="s">
        <v>568</v>
      </c>
      <c r="C148" s="26" t="s">
        <v>523</v>
      </c>
      <c r="D148" s="94"/>
      <c r="E148" s="42" t="s">
        <v>568</v>
      </c>
      <c r="F148" s="42" t="str">
        <f>IF(ISNUMBER(E148),E148*$D148,"")</f>
        <v/>
      </c>
      <c r="G148" s="29"/>
      <c r="H148" s="30"/>
      <c r="I148" s="156">
        <v>0</v>
      </c>
    </row>
    <row r="149" spans="1:9" ht="15.75" hidden="1" thickBot="1" x14ac:dyDescent="0.3">
      <c r="A149" s="188"/>
      <c r="B149" s="32" t="s">
        <v>568</v>
      </c>
      <c r="C149" s="32"/>
      <c r="D149" s="92"/>
      <c r="E149" s="43" t="s">
        <v>568</v>
      </c>
      <c r="F149" s="31" t="str">
        <f>IF(ISNUMBER(E149),E149*$D149,"")</f>
        <v/>
      </c>
      <c r="G149" s="35"/>
      <c r="H149" s="31"/>
      <c r="I149" s="156">
        <v>0</v>
      </c>
    </row>
    <row r="150" spans="1:9" ht="26.25" hidden="1" thickBot="1" x14ac:dyDescent="0.3">
      <c r="A150" s="188"/>
      <c r="B150" s="36" t="s">
        <v>1527</v>
      </c>
      <c r="C150" s="36" t="s">
        <v>297</v>
      </c>
      <c r="D150" s="37">
        <v>0.33300000000000002</v>
      </c>
      <c r="E150" s="34">
        <v>2.5459999999999998</v>
      </c>
      <c r="F150" s="34">
        <f>IF(ISNUMBER(E150),E150*$D150,"")</f>
        <v>0.84781799999999996</v>
      </c>
      <c r="G150" s="45">
        <f>SUM(F150:F152)</f>
        <v>2.4485109999999999</v>
      </c>
      <c r="H150" s="46"/>
      <c r="I150" s="156">
        <v>0</v>
      </c>
    </row>
    <row r="151" spans="1:9" ht="26.25" hidden="1" thickBot="1" x14ac:dyDescent="0.3">
      <c r="A151" s="188"/>
      <c r="B151" s="36" t="s">
        <v>109</v>
      </c>
      <c r="C151" s="36" t="s">
        <v>755</v>
      </c>
      <c r="D151" s="37">
        <v>8.9999999999999993E-3</v>
      </c>
      <c r="E151" s="31">
        <v>16.891000000000002</v>
      </c>
      <c r="F151" s="34">
        <f>IF(ISNUMBER(E151),E151*$D151,"")</f>
        <v>0.15201900000000002</v>
      </c>
      <c r="G151" s="45"/>
      <c r="H151" s="46"/>
      <c r="I151" s="156">
        <v>0</v>
      </c>
    </row>
    <row r="152" spans="1:9" ht="15.75" hidden="1" thickBot="1" x14ac:dyDescent="0.3">
      <c r="A152" s="188"/>
      <c r="B152" s="36" t="s">
        <v>1508</v>
      </c>
      <c r="C152" s="36" t="s">
        <v>755</v>
      </c>
      <c r="D152" s="37">
        <v>6.7000000000000004E-2</v>
      </c>
      <c r="E152" s="31">
        <v>21.622</v>
      </c>
      <c r="F152" s="34">
        <f>IF(ISNUMBER(E152),E152*$D152,"")</f>
        <v>1.448674</v>
      </c>
      <c r="G152" s="45"/>
      <c r="H152" s="46"/>
      <c r="I152" s="156">
        <v>0</v>
      </c>
    </row>
    <row r="153" spans="1:9" ht="15.75" hidden="1" thickBot="1" x14ac:dyDescent="0.3">
      <c r="A153" s="188"/>
      <c r="B153" s="36" t="s">
        <v>568</v>
      </c>
      <c r="C153" s="36"/>
      <c r="D153" s="93"/>
      <c r="E153" s="31" t="s">
        <v>568</v>
      </c>
      <c r="F153" s="31" t="str">
        <f>IF(ISNUMBER(E153),E153*$D153,"")</f>
        <v/>
      </c>
      <c r="G153" s="35"/>
      <c r="H153" s="31"/>
      <c r="I153" s="156">
        <v>0</v>
      </c>
    </row>
    <row r="154" spans="1:9" ht="26.25" customHeight="1" thickBot="1" x14ac:dyDescent="0.3">
      <c r="A154" s="191" t="s">
        <v>169</v>
      </c>
      <c r="B154" s="41" t="s">
        <v>568</v>
      </c>
      <c r="C154" s="26" t="s">
        <v>123</v>
      </c>
      <c r="D154" s="94"/>
      <c r="E154" s="42" t="s">
        <v>568</v>
      </c>
      <c r="F154" s="42" t="str">
        <f>IF(ISNUMBER(E154),E154*$D154,"")</f>
        <v/>
      </c>
      <c r="G154" s="29"/>
      <c r="H154" s="30"/>
      <c r="I154" s="156">
        <v>0.47319999999999995</v>
      </c>
    </row>
    <row r="155" spans="1:9" x14ac:dyDescent="0.25">
      <c r="A155" s="188"/>
      <c r="B155" s="32" t="s">
        <v>568</v>
      </c>
      <c r="C155" s="32"/>
      <c r="D155" s="92"/>
      <c r="E155" s="43" t="s">
        <v>568</v>
      </c>
      <c r="F155" s="31" t="str">
        <f>IF(ISNUMBER(E155),E155*$D155,"")</f>
        <v/>
      </c>
      <c r="G155" s="35"/>
      <c r="H155" s="31"/>
      <c r="I155" s="156">
        <v>0.47319999999999995</v>
      </c>
    </row>
    <row r="156" spans="1:9" x14ac:dyDescent="0.25">
      <c r="A156" s="188"/>
      <c r="B156" s="36" t="s">
        <v>116</v>
      </c>
      <c r="C156" s="36" t="s">
        <v>123</v>
      </c>
      <c r="D156" s="37">
        <v>1.18</v>
      </c>
      <c r="E156" s="34">
        <v>90.25</v>
      </c>
      <c r="F156" s="34">
        <f>IF(ISNUMBER(E156),E156*$D156,"")</f>
        <v>106.49499999999999</v>
      </c>
      <c r="G156" s="45">
        <f>SUM(F156:F164)</f>
        <v>454.53510862600001</v>
      </c>
      <c r="H156" s="46"/>
      <c r="I156" s="156">
        <v>0.47319999999999995</v>
      </c>
    </row>
    <row r="157" spans="1:9" x14ac:dyDescent="0.25">
      <c r="A157" s="188"/>
      <c r="B157" s="36" t="s">
        <v>1514</v>
      </c>
      <c r="C157" s="36" t="s">
        <v>953</v>
      </c>
      <c r="D157" s="37">
        <v>157.44</v>
      </c>
      <c r="E157" s="34">
        <v>0.85499999999999998</v>
      </c>
      <c r="F157" s="34">
        <f>IF(ISNUMBER(E157),E157*$D157,"")</f>
        <v>134.6112</v>
      </c>
      <c r="G157" s="45"/>
      <c r="H157" s="46"/>
      <c r="I157" s="156">
        <v>0.47319999999999995</v>
      </c>
    </row>
    <row r="158" spans="1:9" x14ac:dyDescent="0.25">
      <c r="A158" s="188"/>
      <c r="B158" s="36" t="s">
        <v>117</v>
      </c>
      <c r="C158" s="36" t="s">
        <v>953</v>
      </c>
      <c r="D158" s="37">
        <v>177.12</v>
      </c>
      <c r="E158" s="34">
        <v>0.47499999999999998</v>
      </c>
      <c r="F158" s="34">
        <f>IF(ISNUMBER(E158),E158*$D158,"")</f>
        <v>84.132000000000005</v>
      </c>
      <c r="G158" s="45"/>
      <c r="H158" s="46"/>
      <c r="I158" s="156">
        <v>0.47319999999999995</v>
      </c>
    </row>
    <row r="159" spans="1:9" x14ac:dyDescent="0.25">
      <c r="A159" s="188"/>
      <c r="B159" s="36" t="s">
        <v>1507</v>
      </c>
      <c r="C159" s="36" t="s">
        <v>755</v>
      </c>
      <c r="D159" s="37">
        <v>0.79</v>
      </c>
      <c r="E159" s="31">
        <v>16.311500000000002</v>
      </c>
      <c r="F159" s="34">
        <f>IF(ISNUMBER(E159),E159*$D159,"")</f>
        <v>12.886085000000003</v>
      </c>
      <c r="G159" s="45"/>
      <c r="H159" s="46"/>
      <c r="I159" s="156">
        <v>0.47319999999999995</v>
      </c>
    </row>
    <row r="160" spans="1:9" ht="25.5" x14ac:dyDescent="0.25">
      <c r="A160" s="188"/>
      <c r="B160" s="36" t="s">
        <v>119</v>
      </c>
      <c r="C160" s="36" t="s">
        <v>755</v>
      </c>
      <c r="D160" s="37">
        <v>3.65</v>
      </c>
      <c r="E160" s="31">
        <v>16.5015</v>
      </c>
      <c r="F160" s="34">
        <f>IF(ISNUMBER(E160),E160*$D160,"")</f>
        <v>60.230474999999998</v>
      </c>
      <c r="G160" s="45"/>
      <c r="H160" s="46"/>
      <c r="I160" s="156">
        <v>0.47319999999999995</v>
      </c>
    </row>
    <row r="161" spans="1:9" ht="38.25" x14ac:dyDescent="0.25">
      <c r="A161" s="188"/>
      <c r="B161" s="36" t="s">
        <v>1528</v>
      </c>
      <c r="C161" s="36" t="s">
        <v>997</v>
      </c>
      <c r="D161" s="37">
        <v>0.85</v>
      </c>
      <c r="E161" s="31">
        <v>3.4484999999999997</v>
      </c>
      <c r="F161" s="34">
        <f>IF(ISNUMBER(E161),E161*$D161,"")</f>
        <v>2.9312249999999995</v>
      </c>
      <c r="G161" s="45"/>
      <c r="H161" s="46"/>
      <c r="I161" s="156">
        <v>0.47319999999999995</v>
      </c>
    </row>
    <row r="162" spans="1:9" ht="38.25" x14ac:dyDescent="0.25">
      <c r="A162" s="188"/>
      <c r="B162" s="36" t="s">
        <v>1529</v>
      </c>
      <c r="C162" s="36" t="s">
        <v>999</v>
      </c>
      <c r="D162" s="37">
        <v>2.8</v>
      </c>
      <c r="E162" s="31">
        <v>1.1019999999999999</v>
      </c>
      <c r="F162" s="34">
        <f>IF(ISNUMBER(E162),E162*$D162,"")</f>
        <v>3.0855999999999995</v>
      </c>
      <c r="G162" s="45"/>
      <c r="H162" s="46"/>
      <c r="I162" s="156">
        <v>0.47319999999999995</v>
      </c>
    </row>
    <row r="163" spans="1:9" ht="51" x14ac:dyDescent="0.25">
      <c r="A163" s="188"/>
      <c r="B163" s="36" t="s">
        <v>3611</v>
      </c>
      <c r="C163" s="36" t="s">
        <v>123</v>
      </c>
      <c r="D163" s="37">
        <f>ROUND(1*D156,4)</f>
        <v>1.18</v>
      </c>
      <c r="E163" s="31">
        <v>5.6237587000000007</v>
      </c>
      <c r="F163" s="34">
        <f>IF(ISNUMBER(E163),E163*$D163,"")</f>
        <v>6.6360352660000004</v>
      </c>
      <c r="G163" s="45"/>
      <c r="H163" s="46"/>
      <c r="I163" s="156">
        <v>0.47319999999999995</v>
      </c>
    </row>
    <row r="164" spans="1:9" ht="38.25" x14ac:dyDescent="0.25">
      <c r="A164" s="188"/>
      <c r="B164" s="36" t="s">
        <v>3610</v>
      </c>
      <c r="C164" s="47" t="s">
        <v>125</v>
      </c>
      <c r="D164" s="37">
        <f>ROUND(D156*20,4)</f>
        <v>23.6</v>
      </c>
      <c r="E164" s="31">
        <v>1.8443850999999998</v>
      </c>
      <c r="F164" s="34">
        <f>IF(ISNUMBER(E164),E164*$D164,"")</f>
        <v>43.52748836</v>
      </c>
      <c r="G164" s="45"/>
      <c r="H164" s="46"/>
      <c r="I164" s="156">
        <v>0.47319999999999995</v>
      </c>
    </row>
    <row r="165" spans="1:9" x14ac:dyDescent="0.25">
      <c r="A165" s="188"/>
      <c r="B165" s="51"/>
      <c r="C165" s="47"/>
      <c r="D165" s="37"/>
      <c r="E165" s="31" t="s">
        <v>568</v>
      </c>
      <c r="F165" s="34" t="str">
        <f>IF(ISNUMBER(E165),E165*$D165,"")</f>
        <v/>
      </c>
      <c r="G165" s="45"/>
      <c r="H165" s="46"/>
      <c r="I165" s="156">
        <v>0.47319999999999995</v>
      </c>
    </row>
    <row r="166" spans="1:9" ht="15.75" customHeight="1" x14ac:dyDescent="0.25">
      <c r="A166" s="188"/>
      <c r="B166" s="48" t="s">
        <v>808</v>
      </c>
      <c r="C166" s="47"/>
      <c r="D166" s="37"/>
      <c r="E166" s="31" t="s">
        <v>568</v>
      </c>
      <c r="F166" s="34" t="str">
        <f>IF(ISNUMBER(E166),E166*$D166,"")</f>
        <v/>
      </c>
      <c r="G166" s="45"/>
      <c r="H166" s="46"/>
      <c r="I166" s="156">
        <v>0.47319999999999995</v>
      </c>
    </row>
    <row r="167" spans="1:9" ht="15.75" thickBot="1" x14ac:dyDescent="0.3">
      <c r="A167" s="188"/>
      <c r="B167" s="36"/>
      <c r="C167" s="36"/>
      <c r="D167" s="93"/>
      <c r="E167" s="31" t="s">
        <v>568</v>
      </c>
      <c r="F167" s="31" t="str">
        <f>IF(ISNUMBER(E167),E167*$D167,"")</f>
        <v/>
      </c>
      <c r="G167" s="35"/>
      <c r="H167" s="31"/>
      <c r="I167" s="156">
        <v>0.47319999999999995</v>
      </c>
    </row>
    <row r="168" spans="1:9" ht="15.75" hidden="1" thickBot="1" x14ac:dyDescent="0.3">
      <c r="A168" s="191" t="s">
        <v>1432</v>
      </c>
      <c r="B168" s="41" t="s">
        <v>568</v>
      </c>
      <c r="C168" s="26" t="s">
        <v>123</v>
      </c>
      <c r="D168" s="94"/>
      <c r="E168" s="42" t="s">
        <v>568</v>
      </c>
      <c r="F168" s="42" t="str">
        <f>IF(ISNUMBER(E168),E168*$D168,"")</f>
        <v/>
      </c>
      <c r="G168" s="29"/>
      <c r="H168" s="30"/>
      <c r="I168" s="156">
        <v>0</v>
      </c>
    </row>
    <row r="169" spans="1:9" ht="15.75" hidden="1" thickBot="1" x14ac:dyDescent="0.3">
      <c r="A169" s="188"/>
      <c r="B169" s="32" t="s">
        <v>568</v>
      </c>
      <c r="C169" s="32"/>
      <c r="D169" s="92"/>
      <c r="E169" s="43" t="s">
        <v>568</v>
      </c>
      <c r="F169" s="31" t="str">
        <f>IF(ISNUMBER(E169),E169*$D169,"")</f>
        <v/>
      </c>
      <c r="G169" s="35"/>
      <c r="H169" s="31"/>
      <c r="I169" s="156">
        <v>0</v>
      </c>
    </row>
    <row r="170" spans="1:9" ht="15.75" hidden="1" thickBot="1" x14ac:dyDescent="0.3">
      <c r="A170" s="188"/>
      <c r="B170" s="36" t="s">
        <v>116</v>
      </c>
      <c r="C170" s="36" t="s">
        <v>123</v>
      </c>
      <c r="D170" s="37">
        <v>1.36</v>
      </c>
      <c r="E170" s="34">
        <v>90.25</v>
      </c>
      <c r="F170" s="34">
        <f>IF(ISNUMBER(E170),E170*$D170,"")</f>
        <v>122.74000000000001</v>
      </c>
      <c r="G170" s="45">
        <f>SUM(F170:F176)</f>
        <v>481.36947655200004</v>
      </c>
      <c r="H170" s="46"/>
      <c r="I170" s="156">
        <v>0</v>
      </c>
    </row>
    <row r="171" spans="1:9" ht="15.75" hidden="1" thickBot="1" x14ac:dyDescent="0.3">
      <c r="A171" s="188"/>
      <c r="B171" s="36" t="s">
        <v>117</v>
      </c>
      <c r="C171" s="36" t="s">
        <v>953</v>
      </c>
      <c r="D171" s="37">
        <v>459.85</v>
      </c>
      <c r="E171" s="34">
        <v>0.47499999999999998</v>
      </c>
      <c r="F171" s="34">
        <f>IF(ISNUMBER(E171),E171*$D171,"")</f>
        <v>218.42875000000001</v>
      </c>
      <c r="G171" s="45"/>
      <c r="H171" s="46"/>
      <c r="I171" s="156">
        <v>0</v>
      </c>
    </row>
    <row r="172" spans="1:9" ht="15.75" hidden="1" customHeight="1" x14ac:dyDescent="0.3">
      <c r="A172" s="188"/>
      <c r="B172" s="36" t="s">
        <v>119</v>
      </c>
      <c r="C172" s="36" t="s">
        <v>755</v>
      </c>
      <c r="D172" s="37">
        <v>4.8499999999999996</v>
      </c>
      <c r="E172" s="31">
        <v>16.5015</v>
      </c>
      <c r="F172" s="34">
        <f>IF(ISNUMBER(E172),E172*$D172,"")</f>
        <v>80.032274999999998</v>
      </c>
      <c r="G172" s="45"/>
      <c r="H172" s="46"/>
      <c r="I172" s="156">
        <v>0</v>
      </c>
    </row>
    <row r="173" spans="1:9" ht="39" hidden="1" thickBot="1" x14ac:dyDescent="0.3">
      <c r="A173" s="188"/>
      <c r="B173" s="36" t="s">
        <v>1515</v>
      </c>
      <c r="C173" s="36" t="s">
        <v>997</v>
      </c>
      <c r="D173" s="37">
        <v>1.1299999999999999</v>
      </c>
      <c r="E173" s="31">
        <v>1.2064999999999999</v>
      </c>
      <c r="F173" s="34">
        <f>IF(ISNUMBER(E173),E173*$D173,"")</f>
        <v>1.3633449999999998</v>
      </c>
      <c r="G173" s="45"/>
      <c r="H173" s="46"/>
      <c r="I173" s="156">
        <v>0</v>
      </c>
    </row>
    <row r="174" spans="1:9" ht="39" hidden="1" thickBot="1" x14ac:dyDescent="0.3">
      <c r="A174" s="188"/>
      <c r="B174" s="36" t="s">
        <v>1516</v>
      </c>
      <c r="C174" s="36" t="s">
        <v>999</v>
      </c>
      <c r="D174" s="37">
        <v>3.72</v>
      </c>
      <c r="E174" s="31">
        <v>0.26600000000000001</v>
      </c>
      <c r="F174" s="34">
        <f>IF(ISNUMBER(E174),E174*$D174,"")</f>
        <v>0.98952000000000007</v>
      </c>
      <c r="G174" s="45"/>
      <c r="H174" s="46"/>
      <c r="I174" s="156">
        <v>0</v>
      </c>
    </row>
    <row r="175" spans="1:9" ht="51.75" hidden="1" thickBot="1" x14ac:dyDescent="0.3">
      <c r="A175" s="188"/>
      <c r="B175" s="36" t="s">
        <v>3611</v>
      </c>
      <c r="C175" s="36" t="s">
        <v>123</v>
      </c>
      <c r="D175" s="37">
        <f>ROUND(1*D170,4)</f>
        <v>1.36</v>
      </c>
      <c r="E175" s="31">
        <v>5.6237587000000007</v>
      </c>
      <c r="F175" s="34">
        <f>IF(ISNUMBER(E175),E175*$D175,"")</f>
        <v>7.6483118320000019</v>
      </c>
      <c r="G175" s="45"/>
      <c r="H175" s="46"/>
      <c r="I175" s="156">
        <v>0</v>
      </c>
    </row>
    <row r="176" spans="1:9" ht="39" hidden="1" thickBot="1" x14ac:dyDescent="0.3">
      <c r="A176" s="188"/>
      <c r="B176" s="36" t="s">
        <v>3610</v>
      </c>
      <c r="C176" s="47" t="s">
        <v>125</v>
      </c>
      <c r="D176" s="37">
        <f>ROUND(D170*20,4)</f>
        <v>27.2</v>
      </c>
      <c r="E176" s="31">
        <v>1.8443850999999998</v>
      </c>
      <c r="F176" s="34">
        <f>IF(ISNUMBER(E176),E176*$D176,"")</f>
        <v>50.167274719999995</v>
      </c>
      <c r="G176" s="45"/>
      <c r="H176" s="46"/>
      <c r="I176" s="156">
        <v>0</v>
      </c>
    </row>
    <row r="177" spans="1:9" ht="15.75" hidden="1" thickBot="1" x14ac:dyDescent="0.3">
      <c r="A177" s="188"/>
      <c r="B177" s="51"/>
      <c r="C177" s="47"/>
      <c r="D177" s="37"/>
      <c r="E177" s="31" t="s">
        <v>568</v>
      </c>
      <c r="F177" s="34" t="str">
        <f>IF(ISNUMBER(E177),E177*$D177,"")</f>
        <v/>
      </c>
      <c r="G177" s="45"/>
      <c r="H177" s="46"/>
      <c r="I177" s="156">
        <v>0</v>
      </c>
    </row>
    <row r="178" spans="1:9" ht="15.75" hidden="1" customHeight="1" x14ac:dyDescent="0.3">
      <c r="A178" s="188"/>
      <c r="B178" s="48" t="s">
        <v>808</v>
      </c>
      <c r="C178" s="47"/>
      <c r="D178" s="37"/>
      <c r="E178" s="31" t="s">
        <v>568</v>
      </c>
      <c r="F178" s="34" t="str">
        <f>IF(ISNUMBER(E178),E178*$D178,"")</f>
        <v/>
      </c>
      <c r="G178" s="45"/>
      <c r="H178" s="46"/>
      <c r="I178" s="156">
        <v>0</v>
      </c>
    </row>
    <row r="179" spans="1:9" ht="15.75" hidden="1" thickBot="1" x14ac:dyDescent="0.3">
      <c r="A179" s="188"/>
      <c r="B179" s="36"/>
      <c r="C179" s="36"/>
      <c r="D179" s="93"/>
      <c r="E179" s="31" t="s">
        <v>568</v>
      </c>
      <c r="F179" s="31" t="str">
        <f>IF(ISNUMBER(E179),E179*$D179,"")</f>
        <v/>
      </c>
      <c r="G179" s="35"/>
      <c r="H179" s="31"/>
      <c r="I179" s="156">
        <v>0</v>
      </c>
    </row>
    <row r="180" spans="1:9" ht="15.75" hidden="1" thickBot="1" x14ac:dyDescent="0.3">
      <c r="A180" s="191" t="s">
        <v>1000</v>
      </c>
      <c r="B180" s="41" t="s">
        <v>568</v>
      </c>
      <c r="C180" s="26" t="s">
        <v>123</v>
      </c>
      <c r="D180" s="94"/>
      <c r="E180" s="42" t="s">
        <v>568</v>
      </c>
      <c r="F180" s="42" t="str">
        <f>IF(ISNUMBER(E180),E180*$D180,"")</f>
        <v/>
      </c>
      <c r="G180" s="29"/>
      <c r="H180" s="30"/>
      <c r="I180" s="156">
        <v>0</v>
      </c>
    </row>
    <row r="181" spans="1:9" ht="15.75" hidden="1" thickBot="1" x14ac:dyDescent="0.3">
      <c r="A181" s="188"/>
      <c r="B181" s="32" t="s">
        <v>568</v>
      </c>
      <c r="C181" s="32"/>
      <c r="D181" s="92"/>
      <c r="E181" s="43" t="s">
        <v>568</v>
      </c>
      <c r="F181" s="31" t="str">
        <f>IF(ISNUMBER(E181),E181*$D181,"")</f>
        <v/>
      </c>
      <c r="G181" s="35"/>
      <c r="H181" s="31"/>
      <c r="I181" s="156">
        <v>0</v>
      </c>
    </row>
    <row r="182" spans="1:9" ht="51.75" hidden="1" thickBot="1" x14ac:dyDescent="0.3">
      <c r="A182" s="188"/>
      <c r="B182" s="36" t="s">
        <v>1002</v>
      </c>
      <c r="C182" s="36" t="s">
        <v>997</v>
      </c>
      <c r="D182" s="37">
        <v>6.0000000000000001E-3</v>
      </c>
      <c r="E182" s="34">
        <v>195.83299999999997</v>
      </c>
      <c r="F182" s="34">
        <f>IF(ISNUMBER(E182),E182*$D182,"")</f>
        <v>1.1749979999999998</v>
      </c>
      <c r="G182" s="45">
        <f>SUM(F182:F184)</f>
        <v>1.4336639999999998</v>
      </c>
      <c r="H182" s="46"/>
      <c r="I182" s="156">
        <v>0</v>
      </c>
    </row>
    <row r="183" spans="1:9" ht="51.75" hidden="1" thickBot="1" x14ac:dyDescent="0.3">
      <c r="A183" s="188"/>
      <c r="B183" s="36" t="s">
        <v>1003</v>
      </c>
      <c r="C183" s="36" t="s">
        <v>999</v>
      </c>
      <c r="D183" s="37">
        <v>3.0000000000000001E-3</v>
      </c>
      <c r="E183" s="34">
        <v>37.287500000000001</v>
      </c>
      <c r="F183" s="34">
        <f>IF(ISNUMBER(E183),E183*$D183,"")</f>
        <v>0.1118625</v>
      </c>
      <c r="G183" s="45"/>
      <c r="H183" s="46"/>
      <c r="I183" s="156">
        <v>0</v>
      </c>
    </row>
    <row r="184" spans="1:9" ht="15.75" hidden="1" customHeight="1" x14ac:dyDescent="0.3">
      <c r="A184" s="188"/>
      <c r="B184" s="36" t="s">
        <v>756</v>
      </c>
      <c r="C184" s="36" t="s">
        <v>755</v>
      </c>
      <c r="D184" s="37">
        <v>8.9999999999999993E-3</v>
      </c>
      <c r="E184" s="34">
        <v>16.311500000000002</v>
      </c>
      <c r="F184" s="34">
        <f>IF(ISNUMBER(E184),E184*$D184,"")</f>
        <v>0.1468035</v>
      </c>
      <c r="G184" s="45"/>
      <c r="H184" s="46"/>
      <c r="I184" s="156">
        <v>0</v>
      </c>
    </row>
    <row r="185" spans="1:9" ht="15.75" hidden="1" thickBot="1" x14ac:dyDescent="0.3">
      <c r="A185" s="188"/>
      <c r="B185" s="36"/>
      <c r="C185" s="36"/>
      <c r="D185" s="93"/>
      <c r="E185" s="31" t="s">
        <v>568</v>
      </c>
      <c r="F185" s="31" t="str">
        <f>IF(ISNUMBER(E185),E185*$D185,"")</f>
        <v/>
      </c>
      <c r="G185" s="35"/>
      <c r="H185" s="31"/>
      <c r="I185" s="156">
        <v>0</v>
      </c>
    </row>
    <row r="186" spans="1:9" ht="15.75" thickBot="1" x14ac:dyDescent="0.3">
      <c r="A186" s="191" t="s">
        <v>957</v>
      </c>
      <c r="B186" s="41" t="s">
        <v>568</v>
      </c>
      <c r="C186" s="26" t="s">
        <v>953</v>
      </c>
      <c r="D186" s="94"/>
      <c r="E186" s="42" t="s">
        <v>568</v>
      </c>
      <c r="F186" s="42" t="str">
        <f>IF(ISNUMBER(E186),E186*$D186,"")</f>
        <v/>
      </c>
      <c r="G186" s="29"/>
      <c r="H186" s="30"/>
      <c r="I186" s="156">
        <v>3.92</v>
      </c>
    </row>
    <row r="187" spans="1:9" x14ac:dyDescent="0.25">
      <c r="A187" s="188"/>
      <c r="B187" s="32" t="s">
        <v>568</v>
      </c>
      <c r="C187" s="32"/>
      <c r="D187" s="92"/>
      <c r="E187" s="43" t="s">
        <v>568</v>
      </c>
      <c r="F187" s="31" t="str">
        <f>IF(ISNUMBER(E187),E187*$D187,"")</f>
        <v/>
      </c>
      <c r="G187" s="35"/>
      <c r="H187" s="31"/>
      <c r="I187" s="156">
        <v>3.92</v>
      </c>
    </row>
    <row r="188" spans="1:9" x14ac:dyDescent="0.25">
      <c r="A188" s="188"/>
      <c r="B188" s="36" t="s">
        <v>822</v>
      </c>
      <c r="C188" s="36" t="s">
        <v>953</v>
      </c>
      <c r="D188" s="37">
        <v>1.1100000000000001</v>
      </c>
      <c r="E188" s="34">
        <v>9.5949999999999989</v>
      </c>
      <c r="F188" s="34">
        <f>IF(ISNUMBER(E188),E188*$D188,"")</f>
        <v>10.650449999999999</v>
      </c>
      <c r="G188" s="45">
        <f>SUM(F188:F190)</f>
        <v>11.1973156</v>
      </c>
      <c r="H188" s="46"/>
      <c r="I188" s="156">
        <v>3.92</v>
      </c>
    </row>
    <row r="189" spans="1:9" ht="15.75" customHeight="1" x14ac:dyDescent="0.25">
      <c r="A189" s="188"/>
      <c r="B189" s="36" t="s">
        <v>955</v>
      </c>
      <c r="C189" s="36" t="s">
        <v>755</v>
      </c>
      <c r="D189" s="37">
        <v>3.2000000000000002E-3</v>
      </c>
      <c r="E189" s="34">
        <v>17.081</v>
      </c>
      <c r="F189" s="34">
        <f>IF(ISNUMBER(E189),E189*$D189,"")</f>
        <v>5.4659199999999998E-2</v>
      </c>
      <c r="G189" s="45"/>
      <c r="H189" s="46"/>
      <c r="I189" s="156">
        <v>3.92</v>
      </c>
    </row>
    <row r="190" spans="1:9" x14ac:dyDescent="0.25">
      <c r="A190" s="188"/>
      <c r="B190" s="36" t="s">
        <v>956</v>
      </c>
      <c r="C190" s="36" t="s">
        <v>755</v>
      </c>
      <c r="D190" s="37">
        <v>2.24E-2</v>
      </c>
      <c r="E190" s="34">
        <v>21.973499999999998</v>
      </c>
      <c r="F190" s="34">
        <f>IF(ISNUMBER(E190),E190*$D190,"")</f>
        <v>0.49220639999999993</v>
      </c>
      <c r="G190" s="45"/>
      <c r="H190" s="46"/>
      <c r="I190" s="156">
        <v>3.92</v>
      </c>
    </row>
    <row r="191" spans="1:9" ht="15.75" thickBot="1" x14ac:dyDescent="0.3">
      <c r="A191" s="188"/>
      <c r="B191" s="36" t="s">
        <v>568</v>
      </c>
      <c r="C191" s="36"/>
      <c r="D191" s="93"/>
      <c r="E191" s="31" t="s">
        <v>568</v>
      </c>
      <c r="F191" s="31" t="str">
        <f>IF(ISNUMBER(E191),E191*$D191,"")</f>
        <v/>
      </c>
      <c r="G191" s="35"/>
      <c r="H191" s="31"/>
      <c r="I191" s="156">
        <v>3.92</v>
      </c>
    </row>
    <row r="192" spans="1:9" ht="15.75" hidden="1" thickBot="1" x14ac:dyDescent="0.3">
      <c r="A192" s="191" t="s">
        <v>990</v>
      </c>
      <c r="B192" s="41" t="s">
        <v>568</v>
      </c>
      <c r="C192" s="26" t="s">
        <v>953</v>
      </c>
      <c r="D192" s="94"/>
      <c r="E192" s="42" t="s">
        <v>568</v>
      </c>
      <c r="F192" s="42" t="str">
        <f>IF(ISNUMBER(E192),E192*$D192,"")</f>
        <v/>
      </c>
      <c r="G192" s="29"/>
      <c r="H192" s="30"/>
      <c r="I192" s="156">
        <v>0</v>
      </c>
    </row>
    <row r="193" spans="1:9" ht="15.75" hidden="1" customHeight="1" x14ac:dyDescent="0.3">
      <c r="A193" s="188"/>
      <c r="B193" s="32" t="s">
        <v>568</v>
      </c>
      <c r="C193" s="32"/>
      <c r="D193" s="92"/>
      <c r="E193" s="43" t="s">
        <v>568</v>
      </c>
      <c r="F193" s="31" t="str">
        <f>IF(ISNUMBER(E193),E193*$D193,"")</f>
        <v/>
      </c>
      <c r="G193" s="35"/>
      <c r="H193" s="31"/>
      <c r="I193" s="156">
        <v>0</v>
      </c>
    </row>
    <row r="194" spans="1:9" ht="15.75" hidden="1" thickBot="1" x14ac:dyDescent="0.3">
      <c r="A194" s="188"/>
      <c r="B194" s="36" t="s">
        <v>826</v>
      </c>
      <c r="C194" s="36" t="s">
        <v>953</v>
      </c>
      <c r="D194" s="37">
        <v>1.1100000000000001</v>
      </c>
      <c r="E194" s="34">
        <v>7.8374999999999995</v>
      </c>
      <c r="F194" s="34">
        <f>IF(ISNUMBER(E194),E194*$D194,"")</f>
        <v>8.6996250000000011</v>
      </c>
      <c r="G194" s="45">
        <f>SUM(F194:F196)</f>
        <v>8.8705204999999996</v>
      </c>
      <c r="H194" s="46"/>
      <c r="I194" s="156">
        <v>0</v>
      </c>
    </row>
    <row r="195" spans="1:9" ht="15.75" hidden="1" thickBot="1" x14ac:dyDescent="0.3">
      <c r="A195" s="188"/>
      <c r="B195" s="36" t="s">
        <v>955</v>
      </c>
      <c r="C195" s="36" t="s">
        <v>755</v>
      </c>
      <c r="D195" s="37">
        <v>1E-3</v>
      </c>
      <c r="E195" s="34">
        <v>17.081</v>
      </c>
      <c r="F195" s="34">
        <f>IF(ISNUMBER(E195),E195*$D195,"")</f>
        <v>1.7080999999999999E-2</v>
      </c>
      <c r="G195" s="45"/>
      <c r="H195" s="46"/>
      <c r="I195" s="156">
        <v>0</v>
      </c>
    </row>
    <row r="196" spans="1:9" ht="15.75" hidden="1" thickBot="1" x14ac:dyDescent="0.3">
      <c r="A196" s="188"/>
      <c r="B196" s="36" t="s">
        <v>956</v>
      </c>
      <c r="C196" s="36" t="s">
        <v>755</v>
      </c>
      <c r="D196" s="37">
        <v>7.0000000000000001E-3</v>
      </c>
      <c r="E196" s="34">
        <v>21.973499999999998</v>
      </c>
      <c r="F196" s="34">
        <f>IF(ISNUMBER(E196),E196*$D196,"")</f>
        <v>0.15381449999999999</v>
      </c>
      <c r="G196" s="45"/>
      <c r="H196" s="46"/>
      <c r="I196" s="156">
        <v>0</v>
      </c>
    </row>
    <row r="197" spans="1:9" ht="15.75" hidden="1" thickBot="1" x14ac:dyDescent="0.3">
      <c r="A197" s="188"/>
      <c r="B197" s="36" t="s">
        <v>568</v>
      </c>
      <c r="C197" s="36"/>
      <c r="D197" s="93"/>
      <c r="E197" s="31" t="s">
        <v>568</v>
      </c>
      <c r="F197" s="31" t="str">
        <f>IF(ISNUMBER(E197),E197*$D197,"")</f>
        <v/>
      </c>
      <c r="G197" s="35"/>
      <c r="H197" s="31"/>
      <c r="I197" s="156">
        <v>0</v>
      </c>
    </row>
    <row r="198" spans="1:9" ht="15.75" hidden="1" thickBot="1" x14ac:dyDescent="0.3">
      <c r="A198" s="191" t="s">
        <v>992</v>
      </c>
      <c r="B198" s="41" t="s">
        <v>568</v>
      </c>
      <c r="C198" s="26" t="s">
        <v>953</v>
      </c>
      <c r="D198" s="94"/>
      <c r="E198" s="42" t="s">
        <v>568</v>
      </c>
      <c r="F198" s="42" t="str">
        <f>IF(ISNUMBER(E198),E198*$D198,"")</f>
        <v/>
      </c>
      <c r="G198" s="29"/>
      <c r="H198" s="30"/>
      <c r="I198" s="156">
        <v>0</v>
      </c>
    </row>
    <row r="199" spans="1:9" ht="15.75" hidden="1" thickBot="1" x14ac:dyDescent="0.3">
      <c r="A199" s="188"/>
      <c r="B199" s="32" t="s">
        <v>568</v>
      </c>
      <c r="C199" s="32"/>
      <c r="D199" s="92"/>
      <c r="E199" s="43" t="s">
        <v>568</v>
      </c>
      <c r="F199" s="31" t="str">
        <f>IF(ISNUMBER(E199),E199*$D199,"")</f>
        <v/>
      </c>
      <c r="G199" s="35"/>
      <c r="H199" s="31"/>
      <c r="I199" s="156">
        <v>0</v>
      </c>
    </row>
    <row r="200" spans="1:9" ht="15.75" hidden="1" thickBot="1" x14ac:dyDescent="0.3">
      <c r="A200" s="188"/>
      <c r="B200" s="36" t="s">
        <v>1530</v>
      </c>
      <c r="C200" s="36" t="s">
        <v>953</v>
      </c>
      <c r="D200" s="37">
        <v>1.1399999999999999</v>
      </c>
      <c r="E200" s="34">
        <v>9.0344999999999995</v>
      </c>
      <c r="F200" s="34">
        <f>IF(ISNUMBER(E200),E200*$D200,"")</f>
        <v>10.299329999999999</v>
      </c>
      <c r="G200" s="45">
        <f>SUM(F200:F201)</f>
        <v>10.343276999999999</v>
      </c>
      <c r="H200" s="46"/>
      <c r="I200" s="156">
        <v>0</v>
      </c>
    </row>
    <row r="201" spans="1:9" ht="15.75" hidden="1" customHeight="1" x14ac:dyDescent="0.3">
      <c r="A201" s="188"/>
      <c r="B201" s="36" t="s">
        <v>956</v>
      </c>
      <c r="C201" s="36" t="s">
        <v>755</v>
      </c>
      <c r="D201" s="37">
        <v>2E-3</v>
      </c>
      <c r="E201" s="34">
        <v>21.973499999999998</v>
      </c>
      <c r="F201" s="34">
        <f>IF(ISNUMBER(E201),E201*$D201,"")</f>
        <v>4.3947E-2</v>
      </c>
      <c r="G201" s="45"/>
      <c r="H201" s="46"/>
      <c r="I201" s="156">
        <v>0</v>
      </c>
    </row>
    <row r="202" spans="1:9" ht="15.75" hidden="1" thickBot="1" x14ac:dyDescent="0.3">
      <c r="A202" s="188"/>
      <c r="B202" s="36" t="s">
        <v>568</v>
      </c>
      <c r="C202" s="36"/>
      <c r="D202" s="93"/>
      <c r="E202" s="31" t="s">
        <v>568</v>
      </c>
      <c r="F202" s="31" t="str">
        <f>IF(ISNUMBER(E202),E202*$D202,"")</f>
        <v/>
      </c>
      <c r="G202" s="35"/>
      <c r="H202" s="31"/>
      <c r="I202" s="156">
        <v>0</v>
      </c>
    </row>
    <row r="203" spans="1:9" ht="15.75" hidden="1" thickBot="1" x14ac:dyDescent="0.3">
      <c r="A203" s="191" t="s">
        <v>1043</v>
      </c>
      <c r="B203" s="41" t="s">
        <v>568</v>
      </c>
      <c r="C203" s="26" t="s">
        <v>1044</v>
      </c>
      <c r="D203" s="94"/>
      <c r="E203" s="42" t="s">
        <v>568</v>
      </c>
      <c r="F203" s="42" t="str">
        <f>IF(ISNUMBER(E203),E203*$D203,"")</f>
        <v/>
      </c>
      <c r="G203" s="29"/>
      <c r="H203" s="30"/>
      <c r="I203" s="156">
        <v>0</v>
      </c>
    </row>
    <row r="204" spans="1:9" ht="15.75" hidden="1" thickBot="1" x14ac:dyDescent="0.3">
      <c r="A204" s="188"/>
      <c r="B204" s="32" t="s">
        <v>568</v>
      </c>
      <c r="C204" s="32"/>
      <c r="D204" s="92"/>
      <c r="E204" s="43" t="s">
        <v>568</v>
      </c>
      <c r="F204" s="31" t="str">
        <f>IF(ISNUMBER(E204),E204*$D204,"")</f>
        <v/>
      </c>
      <c r="G204" s="35"/>
      <c r="H204" s="31"/>
      <c r="I204" s="156">
        <v>0</v>
      </c>
    </row>
    <row r="205" spans="1:9" ht="15.75" hidden="1" thickBot="1" x14ac:dyDescent="0.3">
      <c r="A205" s="188"/>
      <c r="B205" s="36" t="s">
        <v>756</v>
      </c>
      <c r="C205" s="36" t="s">
        <v>755</v>
      </c>
      <c r="D205" s="37">
        <v>0.61180000000000001</v>
      </c>
      <c r="E205" s="34">
        <v>16.311500000000002</v>
      </c>
      <c r="F205" s="34">
        <f>IF(ISNUMBER(E205),E205*$D205,"")</f>
        <v>9.9793757000000021</v>
      </c>
      <c r="G205" s="45">
        <f>SUM(F205:F205)</f>
        <v>9.9793757000000021</v>
      </c>
      <c r="H205" s="46"/>
      <c r="I205" s="156">
        <v>0</v>
      </c>
    </row>
    <row r="206" spans="1:9" ht="15.75" hidden="1" customHeight="1" thickBot="1" x14ac:dyDescent="0.3">
      <c r="A206" s="192"/>
      <c r="B206" s="55" t="s">
        <v>568</v>
      </c>
      <c r="C206" s="55"/>
      <c r="D206" s="96"/>
      <c r="E206" s="67" t="s">
        <v>568</v>
      </c>
      <c r="F206" s="67" t="str">
        <f>IF(ISNUMBER(E206),E206*$D206,"")</f>
        <v/>
      </c>
      <c r="G206" s="69"/>
      <c r="H206" s="31"/>
      <c r="I206" s="156">
        <v>0</v>
      </c>
    </row>
    <row r="207" spans="1:9" ht="15.75" thickBot="1" x14ac:dyDescent="0.3">
      <c r="A207" s="191" t="s">
        <v>115</v>
      </c>
      <c r="B207" s="41" t="s">
        <v>568</v>
      </c>
      <c r="C207" s="26" t="s">
        <v>123</v>
      </c>
      <c r="D207" s="94"/>
      <c r="E207" s="42" t="s">
        <v>568</v>
      </c>
      <c r="F207" s="42" t="str">
        <f>IF(ISNUMBER(E207),E207*$D207,"")</f>
        <v/>
      </c>
      <c r="G207" s="29"/>
      <c r="H207" s="30"/>
      <c r="I207" s="156">
        <v>0.2</v>
      </c>
    </row>
    <row r="208" spans="1:9" x14ac:dyDescent="0.25">
      <c r="A208" s="188"/>
      <c r="B208" s="32" t="s">
        <v>568</v>
      </c>
      <c r="C208" s="32"/>
      <c r="D208" s="92"/>
      <c r="E208" s="43" t="s">
        <v>568</v>
      </c>
      <c r="F208" s="31" t="str">
        <f>IF(ISNUMBER(E208),E208*$D208,"")</f>
        <v/>
      </c>
      <c r="G208" s="35"/>
      <c r="H208" s="31"/>
      <c r="I208" s="156">
        <v>0.2</v>
      </c>
    </row>
    <row r="209" spans="1:9" x14ac:dyDescent="0.25">
      <c r="A209" s="188"/>
      <c r="B209" s="36" t="s">
        <v>78</v>
      </c>
      <c r="C209" s="36" t="s">
        <v>12</v>
      </c>
      <c r="D209" s="37">
        <v>1.8460000000000001</v>
      </c>
      <c r="E209" s="34">
        <v>21.878499999999999</v>
      </c>
      <c r="F209" s="34">
        <f>IF(ISNUMBER(E209),E209*$D209,"")</f>
        <v>40.387711000000003</v>
      </c>
      <c r="G209" s="45">
        <f>SUM(F209:F213)</f>
        <v>172.94265500000003</v>
      </c>
      <c r="H209" s="46"/>
      <c r="I209" s="156">
        <v>0.2</v>
      </c>
    </row>
    <row r="210" spans="1:9" x14ac:dyDescent="0.25">
      <c r="A210" s="188"/>
      <c r="B210" s="36" t="s">
        <v>22</v>
      </c>
      <c r="C210" s="36" t="s">
        <v>12</v>
      </c>
      <c r="D210" s="37">
        <v>1.8460000000000001</v>
      </c>
      <c r="E210" s="34">
        <v>22.087499999999999</v>
      </c>
      <c r="F210" s="34">
        <f>IF(ISNUMBER(E210),E210*$D210,"")</f>
        <v>40.773524999999999</v>
      </c>
      <c r="G210" s="45"/>
      <c r="H210" s="46"/>
      <c r="I210" s="156">
        <v>0.2</v>
      </c>
    </row>
    <row r="211" spans="1:9" ht="15.75" customHeight="1" x14ac:dyDescent="0.25">
      <c r="A211" s="188"/>
      <c r="B211" s="36" t="s">
        <v>23</v>
      </c>
      <c r="C211" s="36" t="s">
        <v>12</v>
      </c>
      <c r="D211" s="37">
        <f>5.538</f>
        <v>5.5380000000000003</v>
      </c>
      <c r="E211" s="31">
        <v>16.311500000000002</v>
      </c>
      <c r="F211" s="34">
        <f>IF(ISNUMBER(E211),E211*$D211,"")</f>
        <v>90.33308700000002</v>
      </c>
      <c r="G211" s="45"/>
      <c r="H211" s="46"/>
      <c r="I211" s="156">
        <v>0.2</v>
      </c>
    </row>
    <row r="212" spans="1:9" ht="25.5" x14ac:dyDescent="0.25">
      <c r="A212" s="188"/>
      <c r="B212" s="36" t="s">
        <v>1531</v>
      </c>
      <c r="C212" s="47" t="s">
        <v>33</v>
      </c>
      <c r="D212" s="37">
        <v>0.67200000000000004</v>
      </c>
      <c r="E212" s="31">
        <v>1.4249999999999998</v>
      </c>
      <c r="F212" s="95">
        <f>IF(ISNUMBER(E212),E212*$D212,"")</f>
        <v>0.9575999999999999</v>
      </c>
      <c r="G212" s="45"/>
      <c r="H212" s="46"/>
      <c r="I212" s="156">
        <v>0.2</v>
      </c>
    </row>
    <row r="213" spans="1:9" ht="25.5" x14ac:dyDescent="0.25">
      <c r="A213" s="188"/>
      <c r="B213" s="36" t="s">
        <v>1532</v>
      </c>
      <c r="C213" s="47" t="s">
        <v>35</v>
      </c>
      <c r="D213" s="37">
        <v>1.1739999999999999</v>
      </c>
      <c r="E213" s="31">
        <v>0.41799999999999998</v>
      </c>
      <c r="F213" s="95">
        <f>IF(ISNUMBER(E213),E213*$D213,"")</f>
        <v>0.49073199999999995</v>
      </c>
      <c r="G213" s="45"/>
      <c r="H213" s="46"/>
      <c r="I213" s="156">
        <v>0.2</v>
      </c>
    </row>
    <row r="214" spans="1:9" ht="15.75" thickBot="1" x14ac:dyDescent="0.3">
      <c r="A214" s="188"/>
      <c r="B214" s="36"/>
      <c r="C214" s="36"/>
      <c r="D214" s="93"/>
      <c r="E214" s="31" t="s">
        <v>568</v>
      </c>
      <c r="F214" s="31" t="str">
        <f>IF(ISNUMBER(E214),E214*$D214,"")</f>
        <v/>
      </c>
      <c r="G214" s="35"/>
      <c r="H214" s="31"/>
      <c r="I214" s="156">
        <v>0.2</v>
      </c>
    </row>
    <row r="215" spans="1:9" ht="15.75" thickBot="1" x14ac:dyDescent="0.3">
      <c r="A215" s="191" t="s">
        <v>3610</v>
      </c>
      <c r="B215" s="41" t="s">
        <v>568</v>
      </c>
      <c r="C215" s="26" t="s">
        <v>125</v>
      </c>
      <c r="D215" s="94"/>
      <c r="E215" s="42" t="s">
        <v>568</v>
      </c>
      <c r="F215" s="42" t="str">
        <f>IF(ISNUMBER(E215),E215*$D215,"")</f>
        <v/>
      </c>
      <c r="G215" s="29"/>
      <c r="H215" s="30"/>
      <c r="I215" s="156">
        <v>45.936</v>
      </c>
    </row>
    <row r="216" spans="1:9" x14ac:dyDescent="0.25">
      <c r="A216" s="188"/>
      <c r="B216" s="32" t="s">
        <v>568</v>
      </c>
      <c r="C216" s="32"/>
      <c r="D216" s="92"/>
      <c r="E216" s="43" t="s">
        <v>568</v>
      </c>
      <c r="F216" s="31" t="str">
        <f>IF(ISNUMBER(E216),E216*$D216,"")</f>
        <v/>
      </c>
      <c r="G216" s="35"/>
      <c r="H216" s="31"/>
      <c r="I216" s="156">
        <v>45.936</v>
      </c>
    </row>
    <row r="217" spans="1:9" ht="51" x14ac:dyDescent="0.25">
      <c r="A217" s="188"/>
      <c r="B217" s="36" t="s">
        <v>1134</v>
      </c>
      <c r="C217" s="36" t="s">
        <v>997</v>
      </c>
      <c r="D217" s="37">
        <v>1.3899999999999999E-2</v>
      </c>
      <c r="E217" s="34">
        <v>117.43899999999999</v>
      </c>
      <c r="F217" s="34">
        <f>IF(ISNUMBER(E217),E217*$D217,"")</f>
        <v>1.6324020999999997</v>
      </c>
      <c r="G217" s="45">
        <f>SUM(F217:F218)</f>
        <v>1.8443850999999998</v>
      </c>
      <c r="H217" s="46"/>
      <c r="I217" s="156">
        <v>45.936</v>
      </c>
    </row>
    <row r="218" spans="1:9" ht="51" x14ac:dyDescent="0.25">
      <c r="A218" s="188"/>
      <c r="B218" s="36" t="s">
        <v>1135</v>
      </c>
      <c r="C218" s="36" t="s">
        <v>999</v>
      </c>
      <c r="D218" s="37">
        <v>6.0000000000000001E-3</v>
      </c>
      <c r="E218" s="34">
        <v>35.330499999999994</v>
      </c>
      <c r="F218" s="34">
        <f>IF(ISNUMBER(E218),E218*$D218,"")</f>
        <v>0.21198299999999998</v>
      </c>
      <c r="G218" s="45"/>
      <c r="H218" s="46"/>
      <c r="I218" s="156">
        <v>45.936</v>
      </c>
    </row>
    <row r="219" spans="1:9" ht="15.75" thickBot="1" x14ac:dyDescent="0.3">
      <c r="A219" s="192"/>
      <c r="B219" s="55" t="s">
        <v>568</v>
      </c>
      <c r="C219" s="55"/>
      <c r="D219" s="96"/>
      <c r="E219" s="67" t="s">
        <v>568</v>
      </c>
      <c r="F219" s="67" t="str">
        <f>IF(ISNUMBER(E219),E219*$D219,"")</f>
        <v/>
      </c>
      <c r="G219" s="69"/>
      <c r="H219" s="31"/>
      <c r="I219" s="156">
        <v>45.936</v>
      </c>
    </row>
    <row r="220" spans="1:9" ht="15.75" hidden="1" thickBot="1" x14ac:dyDescent="0.3">
      <c r="A220" s="191" t="s">
        <v>3609</v>
      </c>
      <c r="B220" s="41" t="s">
        <v>568</v>
      </c>
      <c r="C220" s="26" t="s">
        <v>807</v>
      </c>
      <c r="D220" s="94"/>
      <c r="E220" s="42" t="s">
        <v>568</v>
      </c>
      <c r="F220" s="42" t="str">
        <f>IF(ISNUMBER(E220),E220*$D220,"")</f>
        <v/>
      </c>
      <c r="G220" s="29"/>
      <c r="H220" s="30"/>
      <c r="I220" s="156">
        <v>0</v>
      </c>
    </row>
    <row r="221" spans="1:9" ht="15.75" hidden="1" thickBot="1" x14ac:dyDescent="0.3">
      <c r="A221" s="188"/>
      <c r="B221" s="32" t="s">
        <v>568</v>
      </c>
      <c r="C221" s="32"/>
      <c r="D221" s="92"/>
      <c r="E221" s="43" t="s">
        <v>568</v>
      </c>
      <c r="F221" s="31" t="str">
        <f>IF(ISNUMBER(E221),E221*$D221,"")</f>
        <v/>
      </c>
      <c r="G221" s="35"/>
      <c r="H221" s="31"/>
      <c r="I221" s="156">
        <v>0</v>
      </c>
    </row>
    <row r="222" spans="1:9" ht="51.75" hidden="1" thickBot="1" x14ac:dyDescent="0.3">
      <c r="A222" s="188"/>
      <c r="B222" s="36" t="s">
        <v>1134</v>
      </c>
      <c r="C222" s="36" t="s">
        <v>997</v>
      </c>
      <c r="D222" s="37">
        <v>9.2999999999999992E-3</v>
      </c>
      <c r="E222" s="34">
        <v>117.43899999999999</v>
      </c>
      <c r="F222" s="34">
        <f>IF(ISNUMBER(E222),E222*$D222,"")</f>
        <v>1.0921827</v>
      </c>
      <c r="G222" s="45">
        <f>SUM(F222:F223)</f>
        <v>1.2335046999999999</v>
      </c>
      <c r="H222" s="46"/>
      <c r="I222" s="156">
        <v>0</v>
      </c>
    </row>
    <row r="223" spans="1:9" ht="51.75" hidden="1" thickBot="1" x14ac:dyDescent="0.3">
      <c r="A223" s="188"/>
      <c r="B223" s="36" t="s">
        <v>1135</v>
      </c>
      <c r="C223" s="36" t="s">
        <v>999</v>
      </c>
      <c r="D223" s="37">
        <v>4.0000000000000001E-3</v>
      </c>
      <c r="E223" s="34">
        <v>35.330499999999994</v>
      </c>
      <c r="F223" s="34">
        <f>IF(ISNUMBER(E223),E223*$D223,"")</f>
        <v>0.14132199999999998</v>
      </c>
      <c r="G223" s="45"/>
      <c r="H223" s="46"/>
      <c r="I223" s="156">
        <v>0</v>
      </c>
    </row>
    <row r="224" spans="1:9" ht="15.75" hidden="1" thickBot="1" x14ac:dyDescent="0.3">
      <c r="A224" s="192"/>
      <c r="B224" s="55" t="s">
        <v>568</v>
      </c>
      <c r="C224" s="55"/>
      <c r="D224" s="96"/>
      <c r="E224" s="67" t="s">
        <v>568</v>
      </c>
      <c r="F224" s="67" t="str">
        <f>IF(ISNUMBER(E224),E224*$D224,"")</f>
        <v/>
      </c>
      <c r="G224" s="69"/>
      <c r="H224" s="31"/>
      <c r="I224" s="156">
        <v>0</v>
      </c>
    </row>
    <row r="225" spans="1:9" ht="15.75" hidden="1" customHeight="1" thickBot="1" x14ac:dyDescent="0.3">
      <c r="A225" s="191" t="s">
        <v>1130</v>
      </c>
      <c r="B225" s="41" t="s">
        <v>568</v>
      </c>
      <c r="C225" s="26" t="s">
        <v>123</v>
      </c>
      <c r="D225" s="94"/>
      <c r="E225" s="42" t="s">
        <v>568</v>
      </c>
      <c r="F225" s="42" t="str">
        <f>IF(ISNUMBER(E225),E225*$D225,"")</f>
        <v/>
      </c>
      <c r="G225" s="29"/>
      <c r="H225" s="30"/>
      <c r="I225" s="156">
        <v>0</v>
      </c>
    </row>
    <row r="226" spans="1:9" ht="15.75" hidden="1" thickBot="1" x14ac:dyDescent="0.3">
      <c r="A226" s="188"/>
      <c r="B226" s="32" t="s">
        <v>568</v>
      </c>
      <c r="C226" s="32"/>
      <c r="D226" s="92"/>
      <c r="E226" s="43" t="s">
        <v>568</v>
      </c>
      <c r="F226" s="31" t="str">
        <f>IF(ISNUMBER(E226),E226*$D226,"")</f>
        <v/>
      </c>
      <c r="G226" s="35"/>
      <c r="H226" s="31"/>
      <c r="I226" s="156">
        <v>0</v>
      </c>
    </row>
    <row r="227" spans="1:9" ht="26.25" hidden="1" thickBot="1" x14ac:dyDescent="0.3">
      <c r="A227" s="188"/>
      <c r="B227" s="36" t="s">
        <v>805</v>
      </c>
      <c r="C227" s="36" t="s">
        <v>123</v>
      </c>
      <c r="D227" s="37">
        <v>0.76100000000000001</v>
      </c>
      <c r="E227" s="34">
        <v>90.25</v>
      </c>
      <c r="F227" s="34">
        <f>IF(ISNUMBER(E227),E227*$D227,"")</f>
        <v>68.680250000000001</v>
      </c>
      <c r="G227" s="45">
        <f>SUM(F227:F235)</f>
        <v>407.3246133664</v>
      </c>
      <c r="H227" s="46"/>
      <c r="I227" s="156">
        <v>0</v>
      </c>
    </row>
    <row r="228" spans="1:9" ht="15.75" hidden="1" thickBot="1" x14ac:dyDescent="0.3">
      <c r="A228" s="188"/>
      <c r="B228" s="36" t="s">
        <v>801</v>
      </c>
      <c r="C228" s="36" t="s">
        <v>953</v>
      </c>
      <c r="D228" s="37">
        <v>325.16000000000003</v>
      </c>
      <c r="E228" s="34">
        <v>0.47499999999999998</v>
      </c>
      <c r="F228" s="34">
        <f>IF(ISNUMBER(E228),E228*$D228,"")</f>
        <v>154.45099999999999</v>
      </c>
      <c r="G228" s="45"/>
      <c r="H228" s="46"/>
      <c r="I228" s="156">
        <v>0</v>
      </c>
    </row>
    <row r="229" spans="1:9" ht="26.25" hidden="1" thickBot="1" x14ac:dyDescent="0.3">
      <c r="A229" s="188"/>
      <c r="B229" s="36" t="s">
        <v>813</v>
      </c>
      <c r="C229" s="36" t="s">
        <v>123</v>
      </c>
      <c r="D229" s="37">
        <v>0.59099999999999997</v>
      </c>
      <c r="E229" s="34">
        <v>117.63849999999999</v>
      </c>
      <c r="F229" s="34">
        <f>IF(ISNUMBER(E229),E229*$D229,"")</f>
        <v>69.524353499999989</v>
      </c>
      <c r="G229" s="45"/>
      <c r="H229" s="46"/>
      <c r="I229" s="156">
        <v>0</v>
      </c>
    </row>
    <row r="230" spans="1:9" ht="15.75" hidden="1" thickBot="1" x14ac:dyDescent="0.3">
      <c r="A230" s="188"/>
      <c r="B230" s="36" t="s">
        <v>756</v>
      </c>
      <c r="C230" s="36" t="s">
        <v>755</v>
      </c>
      <c r="D230" s="37">
        <v>2.0299999999999998</v>
      </c>
      <c r="E230" s="31">
        <v>16.311500000000002</v>
      </c>
      <c r="F230" s="34">
        <f>IF(ISNUMBER(E230),E230*$D230,"")</f>
        <v>33.112345000000005</v>
      </c>
      <c r="G230" s="45"/>
      <c r="H230" s="46"/>
      <c r="I230" s="156">
        <v>0</v>
      </c>
    </row>
    <row r="231" spans="1:9" ht="26.25" hidden="1" thickBot="1" x14ac:dyDescent="0.3">
      <c r="A231" s="188"/>
      <c r="B231" s="36" t="s">
        <v>1533</v>
      </c>
      <c r="C231" s="36" t="s">
        <v>755</v>
      </c>
      <c r="D231" s="37">
        <v>1.28</v>
      </c>
      <c r="E231" s="31">
        <v>16.5015</v>
      </c>
      <c r="F231" s="95">
        <f>IF(ISNUMBER(E231),E231*$D231,"")</f>
        <v>21.121919999999999</v>
      </c>
      <c r="G231" s="45"/>
      <c r="H231" s="46"/>
      <c r="I231" s="156">
        <v>0</v>
      </c>
    </row>
    <row r="232" spans="1:9" ht="39" hidden="1" thickBot="1" x14ac:dyDescent="0.3">
      <c r="A232" s="188"/>
      <c r="B232" s="36" t="s">
        <v>1454</v>
      </c>
      <c r="C232" s="36" t="s">
        <v>997</v>
      </c>
      <c r="D232" s="37">
        <v>0.66</v>
      </c>
      <c r="E232" s="31">
        <v>3.4484999999999997</v>
      </c>
      <c r="F232" s="95">
        <f>IF(ISNUMBER(E232),E232*$D232,"")</f>
        <v>2.2760099999999999</v>
      </c>
      <c r="G232" s="45"/>
      <c r="H232" s="46"/>
      <c r="I232" s="156">
        <v>0</v>
      </c>
    </row>
    <row r="233" spans="1:9" ht="39" hidden="1" thickBot="1" x14ac:dyDescent="0.3">
      <c r="A233" s="188"/>
      <c r="B233" s="36" t="s">
        <v>1534</v>
      </c>
      <c r="C233" s="47" t="s">
        <v>999</v>
      </c>
      <c r="D233" s="37">
        <v>0.62</v>
      </c>
      <c r="E233" s="31">
        <v>1.1019999999999999</v>
      </c>
      <c r="F233" s="34">
        <f>IF(ISNUMBER(E233),E233*$D233,"")</f>
        <v>0.68323999999999996</v>
      </c>
      <c r="G233" s="45"/>
      <c r="H233" s="46"/>
      <c r="I233" s="156">
        <v>0</v>
      </c>
    </row>
    <row r="234" spans="1:9" ht="51.75" hidden="1" thickBot="1" x14ac:dyDescent="0.3">
      <c r="A234" s="188"/>
      <c r="B234" s="36" t="s">
        <v>3611</v>
      </c>
      <c r="C234" s="36" t="s">
        <v>123</v>
      </c>
      <c r="D234" s="37">
        <f>ROUND(1*(D227+D229),4)</f>
        <v>1.3520000000000001</v>
      </c>
      <c r="E234" s="31">
        <v>5.6237587000000007</v>
      </c>
      <c r="F234" s="34">
        <f>IF(ISNUMBER(E234),E234*$D234,"")</f>
        <v>7.6033217624000011</v>
      </c>
      <c r="G234" s="45"/>
      <c r="H234" s="46"/>
      <c r="I234" s="156">
        <v>0</v>
      </c>
    </row>
    <row r="235" spans="1:9" ht="39" hidden="1" thickBot="1" x14ac:dyDescent="0.3">
      <c r="A235" s="188"/>
      <c r="B235" s="36" t="s">
        <v>3610</v>
      </c>
      <c r="C235" s="47" t="s">
        <v>125</v>
      </c>
      <c r="D235" s="37">
        <f>ROUND((D227+D229)*20,4)</f>
        <v>27.04</v>
      </c>
      <c r="E235" s="31">
        <v>1.8443850999999998</v>
      </c>
      <c r="F235" s="34">
        <f>IF(ISNUMBER(E235),E235*$D235,"")</f>
        <v>49.872173103999991</v>
      </c>
      <c r="G235" s="45"/>
      <c r="H235" s="46"/>
      <c r="I235" s="156">
        <v>0</v>
      </c>
    </row>
    <row r="236" spans="1:9" ht="15.75" hidden="1" thickBot="1" x14ac:dyDescent="0.3">
      <c r="A236" s="188"/>
      <c r="B236" s="51"/>
      <c r="C236" s="47"/>
      <c r="D236" s="37"/>
      <c r="E236" s="31" t="s">
        <v>568</v>
      </c>
      <c r="F236" s="34" t="str">
        <f>IF(ISNUMBER(E236),E236*$D236,"")</f>
        <v/>
      </c>
      <c r="G236" s="45"/>
      <c r="H236" s="46"/>
      <c r="I236" s="156">
        <v>0</v>
      </c>
    </row>
    <row r="237" spans="1:9" ht="26.25" hidden="1" thickBot="1" x14ac:dyDescent="0.3">
      <c r="A237" s="188"/>
      <c r="B237" s="48" t="s">
        <v>126</v>
      </c>
      <c r="C237" s="47"/>
      <c r="D237" s="37"/>
      <c r="E237" s="31" t="s">
        <v>568</v>
      </c>
      <c r="F237" s="34" t="str">
        <f>IF(ISNUMBER(E237),E237*$D237,"")</f>
        <v/>
      </c>
      <c r="G237" s="45"/>
      <c r="H237" s="46"/>
      <c r="I237" s="156">
        <v>0</v>
      </c>
    </row>
    <row r="238" spans="1:9" ht="15.75" hidden="1" thickBot="1" x14ac:dyDescent="0.3">
      <c r="A238" s="188"/>
      <c r="B238" s="36" t="s">
        <v>568</v>
      </c>
      <c r="C238" s="36"/>
      <c r="D238" s="93"/>
      <c r="E238" s="31" t="s">
        <v>568</v>
      </c>
      <c r="F238" s="31" t="str">
        <f>IF(ISNUMBER(E238),E238*$D238,"")</f>
        <v/>
      </c>
      <c r="G238" s="35"/>
      <c r="H238" s="31"/>
      <c r="I238" s="156">
        <v>0</v>
      </c>
    </row>
    <row r="239" spans="1:9" ht="26.25" hidden="1" customHeight="1" thickBot="1" x14ac:dyDescent="0.3">
      <c r="A239" s="191" t="s">
        <v>1543</v>
      </c>
      <c r="B239" s="41" t="s">
        <v>568</v>
      </c>
      <c r="C239" s="26" t="s">
        <v>123</v>
      </c>
      <c r="D239" s="94"/>
      <c r="E239" s="42" t="s">
        <v>568</v>
      </c>
      <c r="F239" s="42" t="str">
        <f>IF(ISNUMBER(E239),E239*$D239,"")</f>
        <v/>
      </c>
      <c r="G239" s="29"/>
      <c r="H239" s="30"/>
      <c r="I239" s="156">
        <v>0</v>
      </c>
    </row>
    <row r="240" spans="1:9" ht="15.75" hidden="1" thickBot="1" x14ac:dyDescent="0.3">
      <c r="A240" s="188"/>
      <c r="B240" s="32" t="s">
        <v>568</v>
      </c>
      <c r="C240" s="32"/>
      <c r="D240" s="92"/>
      <c r="E240" s="98" t="s">
        <v>568</v>
      </c>
      <c r="F240" s="99" t="str">
        <f>IF(ISNUMBER(E240),E240*$D240,"")</f>
        <v/>
      </c>
      <c r="G240" s="35"/>
      <c r="H240" s="31"/>
      <c r="I240" s="156">
        <v>0</v>
      </c>
    </row>
    <row r="241" spans="1:9" ht="26.25" hidden="1" thickBot="1" x14ac:dyDescent="0.3">
      <c r="A241" s="188"/>
      <c r="B241" s="36" t="s">
        <v>805</v>
      </c>
      <c r="C241" s="36" t="s">
        <v>123</v>
      </c>
      <c r="D241" s="37">
        <v>0.82699999999999996</v>
      </c>
      <c r="E241" s="34">
        <v>90.25</v>
      </c>
      <c r="F241" s="34">
        <f>IF(ISNUMBER(E241),E241*$D241,"")</f>
        <v>74.636749999999992</v>
      </c>
      <c r="G241" s="45">
        <f>SUM(F241:F249)</f>
        <v>366.76949528349996</v>
      </c>
      <c r="H241" s="46"/>
      <c r="I241" s="156">
        <v>0</v>
      </c>
    </row>
    <row r="242" spans="1:9" ht="15.75" hidden="1" thickBot="1" x14ac:dyDescent="0.3">
      <c r="A242" s="188"/>
      <c r="B242" s="36" t="s">
        <v>801</v>
      </c>
      <c r="C242" s="36" t="s">
        <v>953</v>
      </c>
      <c r="D242" s="37">
        <v>212.02</v>
      </c>
      <c r="E242" s="34">
        <v>0.47499999999999998</v>
      </c>
      <c r="F242" s="34">
        <f>IF(ISNUMBER(E242),E242*$D242,"")</f>
        <v>100.70950000000001</v>
      </c>
      <c r="G242" s="45"/>
      <c r="H242" s="46"/>
      <c r="I242" s="156">
        <v>0</v>
      </c>
    </row>
    <row r="243" spans="1:9" ht="26.25" hidden="1" thickBot="1" x14ac:dyDescent="0.3">
      <c r="A243" s="188"/>
      <c r="B243" s="36" t="s">
        <v>813</v>
      </c>
      <c r="C243" s="36" t="s">
        <v>123</v>
      </c>
      <c r="D243" s="37">
        <v>0.57799999999999996</v>
      </c>
      <c r="E243" s="34">
        <v>117.63849999999999</v>
      </c>
      <c r="F243" s="34">
        <f>IF(ISNUMBER(E243),E243*$D243,"")</f>
        <v>67.995052999999984</v>
      </c>
      <c r="G243" s="45"/>
      <c r="H243" s="46"/>
      <c r="I243" s="156">
        <v>0</v>
      </c>
    </row>
    <row r="244" spans="1:9" ht="15.75" hidden="1" thickBot="1" x14ac:dyDescent="0.3">
      <c r="A244" s="188"/>
      <c r="B244" s="36" t="s">
        <v>756</v>
      </c>
      <c r="C244" s="36" t="s">
        <v>755</v>
      </c>
      <c r="D244" s="37">
        <v>2.34</v>
      </c>
      <c r="E244" s="31">
        <v>16.311500000000002</v>
      </c>
      <c r="F244" s="34">
        <f>IF(ISNUMBER(E244),E244*$D244,"")</f>
        <v>38.168910000000004</v>
      </c>
      <c r="G244" s="45"/>
      <c r="H244" s="46"/>
      <c r="I244" s="156">
        <v>0</v>
      </c>
    </row>
    <row r="245" spans="1:9" ht="26.25" hidden="1" thickBot="1" x14ac:dyDescent="0.3">
      <c r="A245" s="188"/>
      <c r="B245" s="36" t="s">
        <v>1533</v>
      </c>
      <c r="C245" s="36" t="s">
        <v>755</v>
      </c>
      <c r="D245" s="37">
        <v>1.48</v>
      </c>
      <c r="E245" s="31">
        <v>16.5015</v>
      </c>
      <c r="F245" s="100">
        <f>IF(ISNUMBER(E245),E245*$D245,"")</f>
        <v>24.422219999999999</v>
      </c>
      <c r="G245" s="45"/>
      <c r="H245" s="46"/>
      <c r="I245" s="156">
        <v>0</v>
      </c>
    </row>
    <row r="246" spans="1:9" ht="39" hidden="1" thickBot="1" x14ac:dyDescent="0.3">
      <c r="A246" s="188"/>
      <c r="B246" s="36" t="s">
        <v>120</v>
      </c>
      <c r="C246" s="36" t="s">
        <v>997</v>
      </c>
      <c r="D246" s="37">
        <v>0.76</v>
      </c>
      <c r="E246" s="31">
        <v>1.2064999999999999</v>
      </c>
      <c r="F246" s="100">
        <f>IF(ISNUMBER(E246),E246*$D246,"")</f>
        <v>0.91693999999999998</v>
      </c>
      <c r="G246" s="45"/>
      <c r="H246" s="46"/>
      <c r="I246" s="156">
        <v>0</v>
      </c>
    </row>
    <row r="247" spans="1:9" ht="39" hidden="1" thickBot="1" x14ac:dyDescent="0.3">
      <c r="A247" s="188"/>
      <c r="B247" s="36" t="s">
        <v>121</v>
      </c>
      <c r="C247" s="47" t="s">
        <v>999</v>
      </c>
      <c r="D247" s="37">
        <v>0.72</v>
      </c>
      <c r="E247" s="31">
        <v>0.26600000000000001</v>
      </c>
      <c r="F247" s="34">
        <f>IF(ISNUMBER(E247),E247*$D247,"")</f>
        <v>0.19152</v>
      </c>
      <c r="G247" s="45"/>
      <c r="H247" s="46"/>
      <c r="I247" s="156">
        <v>0</v>
      </c>
    </row>
    <row r="248" spans="1:9" ht="51.75" hidden="1" thickBot="1" x14ac:dyDescent="0.3">
      <c r="A248" s="188"/>
      <c r="B248" s="36" t="s">
        <v>3611</v>
      </c>
      <c r="C248" s="36" t="s">
        <v>123</v>
      </c>
      <c r="D248" s="37">
        <f>ROUND(1*(D241+D243),4)</f>
        <v>1.405</v>
      </c>
      <c r="E248" s="31">
        <v>5.6237587000000007</v>
      </c>
      <c r="F248" s="34">
        <f>IF(ISNUMBER(E248),E248*$D248,"")</f>
        <v>7.9013809735000011</v>
      </c>
      <c r="G248" s="45"/>
      <c r="H248" s="46"/>
      <c r="I248" s="156">
        <v>0</v>
      </c>
    </row>
    <row r="249" spans="1:9" ht="15.75" hidden="1" customHeight="1" x14ac:dyDescent="0.3">
      <c r="A249" s="188"/>
      <c r="B249" s="36" t="s">
        <v>3610</v>
      </c>
      <c r="C249" s="47" t="s">
        <v>125</v>
      </c>
      <c r="D249" s="37">
        <f>ROUND((D241+D243)*20,4)</f>
        <v>28.1</v>
      </c>
      <c r="E249" s="31">
        <v>1.8443850999999998</v>
      </c>
      <c r="F249" s="34">
        <f>IF(ISNUMBER(E249),E249*$D249,"")</f>
        <v>51.827221309999999</v>
      </c>
      <c r="G249" s="45"/>
      <c r="H249" s="46"/>
      <c r="I249" s="156">
        <v>0</v>
      </c>
    </row>
    <row r="250" spans="1:9" ht="15.75" hidden="1" thickBot="1" x14ac:dyDescent="0.3">
      <c r="A250" s="188"/>
      <c r="B250" s="51"/>
      <c r="C250" s="47"/>
      <c r="D250" s="37"/>
      <c r="E250" s="31" t="s">
        <v>568</v>
      </c>
      <c r="F250" s="34" t="str">
        <f>IF(ISNUMBER(E250),E250*$D250,"")</f>
        <v/>
      </c>
      <c r="G250" s="45"/>
      <c r="H250" s="46"/>
      <c r="I250" s="156">
        <v>0</v>
      </c>
    </row>
    <row r="251" spans="1:9" ht="26.25" hidden="1" thickBot="1" x14ac:dyDescent="0.3">
      <c r="A251" s="188"/>
      <c r="B251" s="48" t="s">
        <v>126</v>
      </c>
      <c r="C251" s="47"/>
      <c r="D251" s="37"/>
      <c r="E251" s="31" t="s">
        <v>568</v>
      </c>
      <c r="F251" s="34" t="str">
        <f>IF(ISNUMBER(E251),E251*$D251,"")</f>
        <v/>
      </c>
      <c r="G251" s="45"/>
      <c r="H251" s="46"/>
      <c r="I251" s="156">
        <v>0</v>
      </c>
    </row>
    <row r="252" spans="1:9" ht="15.75" hidden="1" thickBot="1" x14ac:dyDescent="0.3">
      <c r="A252" s="188"/>
      <c r="B252" s="36" t="s">
        <v>568</v>
      </c>
      <c r="C252" s="36"/>
      <c r="D252" s="93"/>
      <c r="E252" s="31" t="s">
        <v>568</v>
      </c>
      <c r="F252" s="31" t="str">
        <f>IF(ISNUMBER(E252),E252*$D252,"")</f>
        <v/>
      </c>
      <c r="G252" s="35"/>
      <c r="H252" s="31"/>
      <c r="I252" s="156">
        <v>0</v>
      </c>
    </row>
    <row r="253" spans="1:9" ht="15.75" hidden="1" thickBot="1" x14ac:dyDescent="0.3">
      <c r="A253" s="191" t="s">
        <v>1087</v>
      </c>
      <c r="B253" s="41" t="s">
        <v>568</v>
      </c>
      <c r="C253" s="26" t="s">
        <v>123</v>
      </c>
      <c r="D253" s="94"/>
      <c r="E253" s="42" t="s">
        <v>568</v>
      </c>
      <c r="F253" s="49" t="str">
        <f>IF(ISNUMBER(E253),E253*$D253,"")</f>
        <v/>
      </c>
      <c r="G253" s="29"/>
      <c r="H253" s="30"/>
      <c r="I253" s="156">
        <v>0</v>
      </c>
    </row>
    <row r="254" spans="1:9" ht="15.75" hidden="1" thickBot="1" x14ac:dyDescent="0.3">
      <c r="A254" s="188"/>
      <c r="B254" s="32" t="s">
        <v>568</v>
      </c>
      <c r="C254" s="32"/>
      <c r="D254" s="92"/>
      <c r="E254" s="43" t="s">
        <v>568</v>
      </c>
      <c r="F254" s="31" t="str">
        <f>IF(ISNUMBER(E254),E254*$D254,"")</f>
        <v/>
      </c>
      <c r="G254" s="35"/>
      <c r="H254" s="31"/>
      <c r="I254" s="156">
        <v>0</v>
      </c>
    </row>
    <row r="255" spans="1:9" ht="26.25" hidden="1" thickBot="1" x14ac:dyDescent="0.3">
      <c r="A255" s="188"/>
      <c r="B255" s="36" t="s">
        <v>1368</v>
      </c>
      <c r="C255" s="36" t="s">
        <v>123</v>
      </c>
      <c r="D255" s="37">
        <v>0.51</v>
      </c>
      <c r="E255" s="34">
        <v>112.63199999999999</v>
      </c>
      <c r="F255" s="34">
        <f>IF(ISNUMBER(E255),E255*$D255,"")</f>
        <v>57.442319999999995</v>
      </c>
      <c r="G255" s="45">
        <f>SUM(F255:F263)</f>
        <v>442.352063735</v>
      </c>
      <c r="H255" s="46"/>
      <c r="I255" s="156">
        <v>0</v>
      </c>
    </row>
    <row r="256" spans="1:9" ht="15.75" hidden="1" thickBot="1" x14ac:dyDescent="0.3">
      <c r="A256" s="188"/>
      <c r="B256" s="36" t="s">
        <v>1535</v>
      </c>
      <c r="C256" s="36" t="s">
        <v>953</v>
      </c>
      <c r="D256" s="37">
        <v>10.35</v>
      </c>
      <c r="E256" s="34">
        <v>0.85499999999999998</v>
      </c>
      <c r="F256" s="34">
        <f>IF(ISNUMBER(E256),E256*$D256,"")</f>
        <v>8.8492499999999996</v>
      </c>
      <c r="G256" s="45"/>
      <c r="H256" s="46"/>
      <c r="I256" s="156">
        <v>0</v>
      </c>
    </row>
    <row r="257" spans="1:9" ht="15.75" hidden="1" customHeight="1" x14ac:dyDescent="0.3">
      <c r="A257" s="188"/>
      <c r="B257" s="36" t="s">
        <v>801</v>
      </c>
      <c r="C257" s="36" t="s">
        <v>953</v>
      </c>
      <c r="D257" s="37">
        <v>431.3</v>
      </c>
      <c r="E257" s="34">
        <v>0.47499999999999998</v>
      </c>
      <c r="F257" s="34">
        <f>IF(ISNUMBER(E257),E257*$D257,"")</f>
        <v>204.86750000000001</v>
      </c>
      <c r="G257" s="45"/>
      <c r="H257" s="46"/>
      <c r="I257" s="156">
        <v>0</v>
      </c>
    </row>
    <row r="258" spans="1:9" ht="26.25" hidden="1" thickBot="1" x14ac:dyDescent="0.3">
      <c r="A258" s="188"/>
      <c r="B258" s="36" t="s">
        <v>810</v>
      </c>
      <c r="C258" s="36" t="s">
        <v>123</v>
      </c>
      <c r="D258" s="37">
        <v>0.54</v>
      </c>
      <c r="E258" s="31">
        <v>135.81200000000001</v>
      </c>
      <c r="F258" s="34">
        <f>IF(ISNUMBER(E258),E258*$D258,"")</f>
        <v>73.338480000000004</v>
      </c>
      <c r="G258" s="45"/>
      <c r="H258" s="46"/>
      <c r="I258" s="156">
        <v>0</v>
      </c>
    </row>
    <row r="259" spans="1:9" ht="26.25" hidden="1" thickBot="1" x14ac:dyDescent="0.3">
      <c r="A259" s="188"/>
      <c r="B259" s="36" t="s">
        <v>1533</v>
      </c>
      <c r="C259" s="36" t="s">
        <v>755</v>
      </c>
      <c r="D259" s="37">
        <v>3.12</v>
      </c>
      <c r="E259" s="31">
        <v>16.5015</v>
      </c>
      <c r="F259" s="34">
        <f>IF(ISNUMBER(E259),E259*$D259,"")</f>
        <v>51.484680000000004</v>
      </c>
      <c r="G259" s="45"/>
      <c r="H259" s="46"/>
      <c r="I259" s="156">
        <v>0</v>
      </c>
    </row>
    <row r="260" spans="1:9" ht="39" hidden="1" thickBot="1" x14ac:dyDescent="0.3">
      <c r="A260" s="188"/>
      <c r="B260" s="36" t="s">
        <v>120</v>
      </c>
      <c r="C260" s="36" t="s">
        <v>997</v>
      </c>
      <c r="D260" s="37">
        <v>0.96</v>
      </c>
      <c r="E260" s="31">
        <v>1.2064999999999999</v>
      </c>
      <c r="F260" s="97">
        <f>IF(ISNUMBER(E260),E260*$D260,"")</f>
        <v>1.1582399999999999</v>
      </c>
      <c r="G260" s="45"/>
      <c r="H260" s="46"/>
      <c r="I260" s="156">
        <v>0</v>
      </c>
    </row>
    <row r="261" spans="1:9" ht="39" hidden="1" thickBot="1" x14ac:dyDescent="0.3">
      <c r="A261" s="188"/>
      <c r="B261" s="36" t="s">
        <v>121</v>
      </c>
      <c r="C261" s="36" t="s">
        <v>999</v>
      </c>
      <c r="D261" s="37">
        <v>2.16</v>
      </c>
      <c r="E261" s="31">
        <v>0.26600000000000001</v>
      </c>
      <c r="F261" s="97">
        <f>IF(ISNUMBER(E261),E261*$D261,"")</f>
        <v>0.57456000000000007</v>
      </c>
      <c r="G261" s="45"/>
      <c r="H261" s="46"/>
      <c r="I261" s="156">
        <v>0</v>
      </c>
    </row>
    <row r="262" spans="1:9" ht="51.75" hidden="1" thickBot="1" x14ac:dyDescent="0.3">
      <c r="A262" s="188"/>
      <c r="B262" s="36" t="s">
        <v>3611</v>
      </c>
      <c r="C262" s="36" t="s">
        <v>123</v>
      </c>
      <c r="D262" s="37">
        <f>ROUND(1*(D255+D258),4)</f>
        <v>1.05</v>
      </c>
      <c r="E262" s="31">
        <v>5.6237587000000007</v>
      </c>
      <c r="F262" s="34">
        <f>IF(ISNUMBER(E262),E262*$D262,"")</f>
        <v>5.9049466350000008</v>
      </c>
      <c r="G262" s="45"/>
      <c r="H262" s="46"/>
      <c r="I262" s="156">
        <v>0</v>
      </c>
    </row>
    <row r="263" spans="1:9" ht="39" hidden="1" thickBot="1" x14ac:dyDescent="0.3">
      <c r="A263" s="188"/>
      <c r="B263" s="36" t="s">
        <v>3610</v>
      </c>
      <c r="C263" s="47" t="s">
        <v>125</v>
      </c>
      <c r="D263" s="37">
        <f>ROUND((D255+D258)*20,4)</f>
        <v>21</v>
      </c>
      <c r="E263" s="31">
        <v>1.8443850999999998</v>
      </c>
      <c r="F263" s="34">
        <f>IF(ISNUMBER(E263),E263*$D263,"")</f>
        <v>38.732087099999994</v>
      </c>
      <c r="G263" s="45"/>
      <c r="H263" s="46"/>
      <c r="I263" s="156">
        <v>0</v>
      </c>
    </row>
    <row r="264" spans="1:9" ht="15.75" hidden="1" thickBot="1" x14ac:dyDescent="0.3">
      <c r="A264" s="188"/>
      <c r="B264" s="51"/>
      <c r="C264" s="47"/>
      <c r="D264" s="37"/>
      <c r="E264" s="31" t="s">
        <v>568</v>
      </c>
      <c r="F264" s="34" t="str">
        <f>IF(ISNUMBER(E264),E264*$D264,"")</f>
        <v/>
      </c>
      <c r="G264" s="45"/>
      <c r="H264" s="46"/>
      <c r="I264" s="156">
        <v>0</v>
      </c>
    </row>
    <row r="265" spans="1:9" ht="15.75" hidden="1" customHeight="1" x14ac:dyDescent="0.3">
      <c r="A265" s="188"/>
      <c r="B265" s="48" t="s">
        <v>126</v>
      </c>
      <c r="C265" s="47"/>
      <c r="D265" s="37"/>
      <c r="E265" s="31" t="s">
        <v>568</v>
      </c>
      <c r="F265" s="34" t="str">
        <f>IF(ISNUMBER(E265),E265*$D265,"")</f>
        <v/>
      </c>
      <c r="G265" s="45"/>
      <c r="H265" s="46"/>
      <c r="I265" s="156">
        <v>0</v>
      </c>
    </row>
    <row r="266" spans="1:9" ht="15.75" hidden="1" thickBot="1" x14ac:dyDescent="0.3">
      <c r="A266" s="188"/>
      <c r="B266" s="36"/>
      <c r="C266" s="36"/>
      <c r="D266" s="93"/>
      <c r="E266" s="31" t="s">
        <v>568</v>
      </c>
      <c r="F266" s="31" t="str">
        <f>IF(ISNUMBER(E266),E266*$D266,"")</f>
        <v/>
      </c>
      <c r="G266" s="35"/>
      <c r="H266" s="31"/>
      <c r="I266" s="156">
        <v>0</v>
      </c>
    </row>
    <row r="267" spans="1:9" ht="15.75" hidden="1" thickBot="1" x14ac:dyDescent="0.3">
      <c r="A267" s="188" t="s">
        <v>1074</v>
      </c>
      <c r="B267" s="41" t="s">
        <v>568</v>
      </c>
      <c r="C267" s="26" t="s">
        <v>123</v>
      </c>
      <c r="D267" s="94"/>
      <c r="E267" s="28" t="s">
        <v>568</v>
      </c>
      <c r="F267" s="26" t="str">
        <f>IF(ISNUMBER(E267),E267*$D267,"")</f>
        <v/>
      </c>
      <c r="G267" s="29"/>
      <c r="H267" s="30"/>
      <c r="I267" s="156">
        <v>0</v>
      </c>
    </row>
    <row r="268" spans="1:9" ht="15.75" hidden="1" thickBot="1" x14ac:dyDescent="0.3">
      <c r="A268" s="188"/>
      <c r="B268" s="32" t="s">
        <v>568</v>
      </c>
      <c r="C268" s="32"/>
      <c r="D268" s="92"/>
      <c r="E268" s="31" t="s">
        <v>568</v>
      </c>
      <c r="F268" s="31" t="str">
        <f>IF(ISNUMBER(E268),E268*$D268,"")</f>
        <v/>
      </c>
      <c r="G268" s="35"/>
      <c r="H268" s="31"/>
      <c r="I268" s="156">
        <v>0</v>
      </c>
    </row>
    <row r="269" spans="1:9" ht="15.75" hidden="1" thickBot="1" x14ac:dyDescent="0.3">
      <c r="A269" s="188"/>
      <c r="B269" s="36" t="s">
        <v>116</v>
      </c>
      <c r="C269" s="36" t="s">
        <v>123</v>
      </c>
      <c r="D269" s="37">
        <v>1.25</v>
      </c>
      <c r="E269" s="31">
        <v>90.25</v>
      </c>
      <c r="F269" s="34">
        <f>IF(ISNUMBER(E269),E269*$D269,"")</f>
        <v>112.8125</v>
      </c>
      <c r="G269" s="45">
        <f>SUM(F269:F273)</f>
        <v>623.68605087499998</v>
      </c>
      <c r="H269" s="46"/>
      <c r="I269" s="156">
        <v>0</v>
      </c>
    </row>
    <row r="270" spans="1:9" ht="15.75" hidden="1" thickBot="1" x14ac:dyDescent="0.3">
      <c r="A270" s="188"/>
      <c r="B270" s="36" t="s">
        <v>117</v>
      </c>
      <c r="C270" s="36" t="s">
        <v>953</v>
      </c>
      <c r="D270" s="37">
        <v>563.59</v>
      </c>
      <c r="E270" s="34">
        <v>0.47499999999999998</v>
      </c>
      <c r="F270" s="34">
        <f>IF(ISNUMBER(E270),E270*$D270,"")</f>
        <v>267.70524999999998</v>
      </c>
      <c r="G270" s="45"/>
      <c r="H270" s="46"/>
      <c r="I270" s="156">
        <v>0</v>
      </c>
    </row>
    <row r="271" spans="1:9" ht="15.75" hidden="1" thickBot="1" x14ac:dyDescent="0.3">
      <c r="A271" s="188"/>
      <c r="B271" s="36" t="s">
        <v>1507</v>
      </c>
      <c r="C271" s="36" t="s">
        <v>755</v>
      </c>
      <c r="D271" s="37">
        <v>11.65</v>
      </c>
      <c r="E271" s="31">
        <v>16.311500000000002</v>
      </c>
      <c r="F271" s="34">
        <f>IF(ISNUMBER(E271),E271*$D271,"")</f>
        <v>190.02897500000003</v>
      </c>
      <c r="G271" s="45"/>
      <c r="H271" s="46"/>
      <c r="I271" s="156">
        <v>0</v>
      </c>
    </row>
    <row r="272" spans="1:9" ht="51.75" hidden="1" thickBot="1" x14ac:dyDescent="0.3">
      <c r="A272" s="188"/>
      <c r="B272" s="36" t="s">
        <v>3611</v>
      </c>
      <c r="C272" s="36" t="s">
        <v>123</v>
      </c>
      <c r="D272" s="37">
        <f>ROUND(1*(D269),4)</f>
        <v>1.25</v>
      </c>
      <c r="E272" s="31">
        <v>5.6237587000000007</v>
      </c>
      <c r="F272" s="34">
        <f>IF(ISNUMBER(E272),E272*$D272,"")</f>
        <v>7.0296983750000006</v>
      </c>
      <c r="G272" s="45"/>
      <c r="H272" s="46"/>
      <c r="I272" s="156">
        <v>0</v>
      </c>
    </row>
    <row r="273" spans="1:9" ht="39" hidden="1" thickBot="1" x14ac:dyDescent="0.3">
      <c r="A273" s="188"/>
      <c r="B273" s="36" t="s">
        <v>3610</v>
      </c>
      <c r="C273" s="47" t="s">
        <v>125</v>
      </c>
      <c r="D273" s="37">
        <f>ROUND(D269*20,4)</f>
        <v>25</v>
      </c>
      <c r="E273" s="31">
        <v>1.8443850999999998</v>
      </c>
      <c r="F273" s="34">
        <f>IF(ISNUMBER(E273),E273*$D273,"")</f>
        <v>46.109627499999995</v>
      </c>
      <c r="G273" s="45"/>
      <c r="H273" s="46"/>
      <c r="I273" s="156">
        <v>0</v>
      </c>
    </row>
    <row r="274" spans="1:9" ht="15.75" hidden="1" thickBot="1" x14ac:dyDescent="0.3">
      <c r="A274" s="188"/>
      <c r="B274" s="51"/>
      <c r="C274" s="47"/>
      <c r="D274" s="37"/>
      <c r="E274" s="31" t="s">
        <v>568</v>
      </c>
      <c r="F274" s="34" t="str">
        <f>IF(ISNUMBER(E274),E274*$D274,"")</f>
        <v/>
      </c>
      <c r="G274" s="45"/>
      <c r="H274" s="46"/>
      <c r="I274" s="156">
        <v>0</v>
      </c>
    </row>
    <row r="275" spans="1:9" ht="15.75" hidden="1" thickBot="1" x14ac:dyDescent="0.3">
      <c r="A275" s="188"/>
      <c r="B275" s="48" t="s">
        <v>808</v>
      </c>
      <c r="C275" s="47"/>
      <c r="D275" s="37"/>
      <c r="E275" s="31" t="s">
        <v>568</v>
      </c>
      <c r="F275" s="34" t="str">
        <f>IF(ISNUMBER(E275),E275*$D275,"")</f>
        <v/>
      </c>
      <c r="G275" s="45"/>
      <c r="H275" s="46"/>
      <c r="I275" s="156">
        <v>0</v>
      </c>
    </row>
    <row r="276" spans="1:9" ht="15.75" hidden="1" thickBot="1" x14ac:dyDescent="0.3">
      <c r="A276" s="192"/>
      <c r="B276" s="36" t="s">
        <v>568</v>
      </c>
      <c r="C276" s="36"/>
      <c r="D276" s="93"/>
      <c r="E276" s="31" t="s">
        <v>568</v>
      </c>
      <c r="F276" s="34" t="str">
        <f>IF(ISNUMBER(E276),E276*$D276,"")</f>
        <v/>
      </c>
      <c r="G276" s="35"/>
      <c r="H276" s="31"/>
      <c r="I276" s="156">
        <v>0</v>
      </c>
    </row>
    <row r="277" spans="1:9" ht="15.75" hidden="1" thickBot="1" x14ac:dyDescent="0.3">
      <c r="A277" s="188" t="s">
        <v>748</v>
      </c>
      <c r="B277" s="41" t="s">
        <v>568</v>
      </c>
      <c r="C277" s="26" t="s">
        <v>20</v>
      </c>
      <c r="D277" s="94"/>
      <c r="E277" s="28" t="s">
        <v>568</v>
      </c>
      <c r="F277" s="26" t="str">
        <f>IF(ISNUMBER(E277),E277*$D277,"")</f>
        <v/>
      </c>
      <c r="G277" s="29"/>
      <c r="H277" s="30"/>
      <c r="I277" s="156">
        <v>0</v>
      </c>
    </row>
    <row r="278" spans="1:9" ht="15.75" hidden="1" thickBot="1" x14ac:dyDescent="0.3">
      <c r="A278" s="188"/>
      <c r="B278" s="32" t="s">
        <v>568</v>
      </c>
      <c r="C278" s="32"/>
      <c r="D278" s="92"/>
      <c r="E278" s="31" t="s">
        <v>568</v>
      </c>
      <c r="F278" s="31" t="str">
        <f>IF(ISNUMBER(E278),E278*$D278,"")</f>
        <v/>
      </c>
      <c r="G278" s="35"/>
      <c r="H278" s="31"/>
      <c r="I278" s="156">
        <v>0</v>
      </c>
    </row>
    <row r="279" spans="1:9" ht="15.75" hidden="1" customHeight="1" x14ac:dyDescent="0.3">
      <c r="A279" s="188"/>
      <c r="B279" s="36" t="s">
        <v>1536</v>
      </c>
      <c r="C279" s="36" t="s">
        <v>1537</v>
      </c>
      <c r="D279" s="37">
        <v>1</v>
      </c>
      <c r="E279" s="31">
        <v>199.6045</v>
      </c>
      <c r="F279" s="34">
        <f>IF(ISNUMBER(E279),E279*$D279,"")</f>
        <v>199.6045</v>
      </c>
      <c r="G279" s="45">
        <f>SUM(F279:F283)</f>
        <v>282.481854</v>
      </c>
      <c r="H279" s="46"/>
      <c r="I279" s="156">
        <v>0</v>
      </c>
    </row>
    <row r="280" spans="1:9" ht="15.75" hidden="1" thickBot="1" x14ac:dyDescent="0.3">
      <c r="A280" s="188"/>
      <c r="B280" s="36" t="s">
        <v>1538</v>
      </c>
      <c r="C280" s="36" t="s">
        <v>953</v>
      </c>
      <c r="D280" s="37">
        <v>1.0999999999999999E-2</v>
      </c>
      <c r="E280" s="34">
        <v>22.914000000000001</v>
      </c>
      <c r="F280" s="34">
        <f>IF(ISNUMBER(E280),E280*$D280,"")</f>
        <v>0.252054</v>
      </c>
      <c r="G280" s="45"/>
      <c r="H280" s="46"/>
      <c r="I280" s="156">
        <v>0</v>
      </c>
    </row>
    <row r="281" spans="1:9" ht="15.75" hidden="1" thickBot="1" x14ac:dyDescent="0.3">
      <c r="A281" s="188"/>
      <c r="B281" s="36" t="s">
        <v>100</v>
      </c>
      <c r="C281" s="36" t="s">
        <v>953</v>
      </c>
      <c r="D281" s="37">
        <v>2.4E-2</v>
      </c>
      <c r="E281" s="31">
        <v>17.394499999999997</v>
      </c>
      <c r="F281" s="34">
        <f>IF(ISNUMBER(E281),E281*$D281,"")</f>
        <v>0.41746799999999995</v>
      </c>
      <c r="G281" s="45"/>
      <c r="H281" s="46"/>
      <c r="I281" s="156">
        <v>0</v>
      </c>
    </row>
    <row r="282" spans="1:9" ht="15.75" hidden="1" thickBot="1" x14ac:dyDescent="0.3">
      <c r="A282" s="188"/>
      <c r="B282" s="36" t="s">
        <v>754</v>
      </c>
      <c r="C282" s="36" t="s">
        <v>755</v>
      </c>
      <c r="D282" s="37">
        <v>2.7410000000000001</v>
      </c>
      <c r="E282" s="31">
        <v>21.916499999999999</v>
      </c>
      <c r="F282" s="34">
        <f>IF(ISNUMBER(E282),E282*$D282,"")</f>
        <v>60.073126500000001</v>
      </c>
      <c r="G282" s="45"/>
      <c r="H282" s="46"/>
      <c r="I282" s="156">
        <v>0</v>
      </c>
    </row>
    <row r="283" spans="1:9" ht="15.75" hidden="1" thickBot="1" x14ac:dyDescent="0.3">
      <c r="A283" s="188"/>
      <c r="B283" s="36" t="s">
        <v>756</v>
      </c>
      <c r="C283" s="47" t="s">
        <v>755</v>
      </c>
      <c r="D283" s="37">
        <v>1.357</v>
      </c>
      <c r="E283" s="31">
        <v>16.311500000000002</v>
      </c>
      <c r="F283" s="34">
        <f>IF(ISNUMBER(E283),E283*$D283,"")</f>
        <v>22.134705500000003</v>
      </c>
      <c r="G283" s="45"/>
      <c r="H283" s="46"/>
      <c r="I283" s="156">
        <v>0</v>
      </c>
    </row>
    <row r="284" spans="1:9" ht="15.75" hidden="1" thickBot="1" x14ac:dyDescent="0.3">
      <c r="A284" s="188"/>
      <c r="B284" s="51"/>
      <c r="C284" s="47"/>
      <c r="D284" s="37"/>
      <c r="E284" s="31" t="s">
        <v>568</v>
      </c>
      <c r="F284" s="34" t="str">
        <f>IF(ISNUMBER(E284),E284*$D284,"")</f>
        <v/>
      </c>
      <c r="G284" s="45"/>
      <c r="H284" s="46"/>
      <c r="I284" s="156">
        <v>0</v>
      </c>
    </row>
    <row r="285" spans="1:9" ht="15.75" hidden="1" thickBot="1" x14ac:dyDescent="0.3">
      <c r="A285" s="191" t="s">
        <v>1544</v>
      </c>
      <c r="B285" s="41" t="s">
        <v>568</v>
      </c>
      <c r="C285" s="26" t="s">
        <v>123</v>
      </c>
      <c r="D285" s="94"/>
      <c r="E285" s="28" t="s">
        <v>568</v>
      </c>
      <c r="F285" s="28" t="str">
        <f>IF(ISNUMBER(E285),E285*$D285,"")</f>
        <v/>
      </c>
      <c r="G285" s="29"/>
      <c r="H285" s="30"/>
      <c r="I285" s="156">
        <v>0</v>
      </c>
    </row>
    <row r="286" spans="1:9" ht="15.75" hidden="1" thickBot="1" x14ac:dyDescent="0.3">
      <c r="A286" s="188"/>
      <c r="B286" s="32" t="s">
        <v>568</v>
      </c>
      <c r="C286" s="32"/>
      <c r="D286" s="92"/>
      <c r="E286" s="31" t="s">
        <v>568</v>
      </c>
      <c r="F286" s="99" t="str">
        <f>IF(ISNUMBER(E286),E286*$D286,"")</f>
        <v/>
      </c>
      <c r="G286" s="101"/>
      <c r="H286" s="99"/>
      <c r="I286" s="156">
        <v>0</v>
      </c>
    </row>
    <row r="287" spans="1:9" ht="15.75" hidden="1" thickBot="1" x14ac:dyDescent="0.3">
      <c r="A287" s="188"/>
      <c r="B287" s="36" t="s">
        <v>116</v>
      </c>
      <c r="C287" s="36" t="s">
        <v>123</v>
      </c>
      <c r="D287" s="37">
        <v>1.07</v>
      </c>
      <c r="E287" s="31">
        <v>90.25</v>
      </c>
      <c r="F287" s="34">
        <f>IF(ISNUMBER(E287),E287*$D287,"")</f>
        <v>96.56750000000001</v>
      </c>
      <c r="G287" s="45">
        <f>SUM(F287:F292)</f>
        <v>575.77716794900005</v>
      </c>
      <c r="H287" s="46"/>
      <c r="I287" s="156">
        <v>0</v>
      </c>
    </row>
    <row r="288" spans="1:9" ht="15.75" hidden="1" thickBot="1" x14ac:dyDescent="0.3">
      <c r="A288" s="188"/>
      <c r="B288" s="36" t="s">
        <v>1535</v>
      </c>
      <c r="C288" s="36" t="s">
        <v>953</v>
      </c>
      <c r="D288" s="37">
        <v>75.47</v>
      </c>
      <c r="E288" s="31">
        <v>0.85499999999999998</v>
      </c>
      <c r="F288" s="34">
        <f>IF(ISNUMBER(E288),E288*$D288,"")</f>
        <v>64.526849999999996</v>
      </c>
      <c r="G288" s="45"/>
      <c r="H288" s="46"/>
      <c r="I288" s="156">
        <v>0</v>
      </c>
    </row>
    <row r="289" spans="1:9" ht="15.75" hidden="1" customHeight="1" x14ac:dyDescent="0.3">
      <c r="A289" s="188"/>
      <c r="B289" s="36" t="s">
        <v>117</v>
      </c>
      <c r="C289" s="36" t="s">
        <v>953</v>
      </c>
      <c r="D289" s="37">
        <v>482.96</v>
      </c>
      <c r="E289" s="34">
        <v>0.47499999999999998</v>
      </c>
      <c r="F289" s="34">
        <f>IF(ISNUMBER(E289),E289*$D289,"")</f>
        <v>229.40599999999998</v>
      </c>
      <c r="G289" s="45"/>
      <c r="H289" s="46"/>
      <c r="I289" s="156">
        <v>0</v>
      </c>
    </row>
    <row r="290" spans="1:9" ht="15.75" hidden="1" thickBot="1" x14ac:dyDescent="0.3">
      <c r="A290" s="188"/>
      <c r="B290" s="36" t="s">
        <v>1507</v>
      </c>
      <c r="C290" s="36" t="s">
        <v>755</v>
      </c>
      <c r="D290" s="37">
        <v>8.57</v>
      </c>
      <c r="E290" s="31">
        <v>16.311500000000002</v>
      </c>
      <c r="F290" s="34">
        <f>IF(ISNUMBER(E290),E290*$D290,"")</f>
        <v>139.78955500000004</v>
      </c>
      <c r="G290" s="45"/>
      <c r="H290" s="46"/>
      <c r="I290" s="156">
        <v>0</v>
      </c>
    </row>
    <row r="291" spans="1:9" ht="51.75" hidden="1" thickBot="1" x14ac:dyDescent="0.3">
      <c r="A291" s="188"/>
      <c r="B291" s="36" t="s">
        <v>3611</v>
      </c>
      <c r="C291" s="36" t="s">
        <v>123</v>
      </c>
      <c r="D291" s="37">
        <f>ROUND(1*D287,4)</f>
        <v>1.07</v>
      </c>
      <c r="E291" s="31">
        <v>5.6237587000000007</v>
      </c>
      <c r="F291" s="34">
        <f>IF(ISNUMBER(E291),E291*$D291,"")</f>
        <v>6.0174218090000009</v>
      </c>
      <c r="G291" s="45"/>
      <c r="H291" s="46"/>
      <c r="I291" s="156">
        <v>0</v>
      </c>
    </row>
    <row r="292" spans="1:9" ht="39" hidden="1" thickBot="1" x14ac:dyDescent="0.3">
      <c r="A292" s="188"/>
      <c r="B292" s="36" t="s">
        <v>3610</v>
      </c>
      <c r="C292" s="47" t="s">
        <v>125</v>
      </c>
      <c r="D292" s="37">
        <f>ROUND(D287*20,4)</f>
        <v>21.4</v>
      </c>
      <c r="E292" s="31">
        <v>1.8443850999999998</v>
      </c>
      <c r="F292" s="34">
        <f>IF(ISNUMBER(E292),E292*$D292,"")</f>
        <v>39.469841139999993</v>
      </c>
      <c r="G292" s="45"/>
      <c r="H292" s="46"/>
      <c r="I292" s="156">
        <v>0</v>
      </c>
    </row>
    <row r="293" spans="1:9" ht="15.75" hidden="1" thickBot="1" x14ac:dyDescent="0.3">
      <c r="A293" s="188"/>
      <c r="B293" s="51"/>
      <c r="C293" s="47"/>
      <c r="D293" s="37"/>
      <c r="E293" s="31" t="s">
        <v>568</v>
      </c>
      <c r="F293" s="34" t="str">
        <f>IF(ISNUMBER(E293),E293*$D293,"")</f>
        <v/>
      </c>
      <c r="G293" s="45"/>
      <c r="H293" s="46"/>
      <c r="I293" s="156">
        <v>0</v>
      </c>
    </row>
    <row r="294" spans="1:9" ht="15.75" hidden="1" thickBot="1" x14ac:dyDescent="0.3">
      <c r="A294" s="188"/>
      <c r="B294" s="48" t="s">
        <v>808</v>
      </c>
      <c r="C294" s="47"/>
      <c r="D294" s="37"/>
      <c r="E294" s="31" t="s">
        <v>568</v>
      </c>
      <c r="F294" s="34" t="str">
        <f>IF(ISNUMBER(E294),E294*$D294,"")</f>
        <v/>
      </c>
      <c r="G294" s="45"/>
      <c r="H294" s="46"/>
      <c r="I294" s="156">
        <v>0</v>
      </c>
    </row>
    <row r="295" spans="1:9" ht="15.75" hidden="1" thickBot="1" x14ac:dyDescent="0.3">
      <c r="A295" s="192"/>
      <c r="B295" s="55" t="s">
        <v>568</v>
      </c>
      <c r="C295" s="55"/>
      <c r="D295" s="96"/>
      <c r="E295" s="67" t="s">
        <v>568</v>
      </c>
      <c r="F295" s="67" t="str">
        <f>IF(ISNUMBER(E295),E295*$D295,"")</f>
        <v/>
      </c>
      <c r="G295" s="69"/>
      <c r="H295" s="31"/>
      <c r="I295" s="156">
        <v>0</v>
      </c>
    </row>
    <row r="296" spans="1:9" ht="15.75" hidden="1" thickBot="1" x14ac:dyDescent="0.3">
      <c r="A296" s="188" t="s">
        <v>1224</v>
      </c>
      <c r="B296" s="166" t="s">
        <v>568</v>
      </c>
      <c r="C296" s="90" t="s">
        <v>953</v>
      </c>
      <c r="D296" s="91"/>
      <c r="E296" s="71" t="s">
        <v>568</v>
      </c>
      <c r="F296" s="71" t="str">
        <f>IF(ISNUMBER(E296),E296*$D296,"")</f>
        <v/>
      </c>
      <c r="G296" s="72"/>
      <c r="H296" s="30"/>
      <c r="I296" s="156">
        <v>0</v>
      </c>
    </row>
    <row r="297" spans="1:9" ht="15.75" hidden="1" thickBot="1" x14ac:dyDescent="0.3">
      <c r="A297" s="188"/>
      <c r="B297" s="32" t="s">
        <v>568</v>
      </c>
      <c r="C297" s="32"/>
      <c r="D297" s="92"/>
      <c r="E297" s="31" t="s">
        <v>568</v>
      </c>
      <c r="F297" s="31" t="str">
        <f>IF(ISNUMBER(E297),E297*$D297,"")</f>
        <v/>
      </c>
      <c r="G297" s="35"/>
      <c r="H297" s="31"/>
      <c r="I297" s="156">
        <v>0</v>
      </c>
    </row>
    <row r="298" spans="1:9" ht="39" hidden="1" thickBot="1" x14ac:dyDescent="0.3">
      <c r="A298" s="188"/>
      <c r="B298" s="36" t="s">
        <v>954</v>
      </c>
      <c r="C298" s="36" t="s">
        <v>297</v>
      </c>
      <c r="D298" s="37">
        <v>2.8159999999999998</v>
      </c>
      <c r="E298" s="31">
        <v>0.17099999999999999</v>
      </c>
      <c r="F298" s="34">
        <f>IF(ISNUMBER(E298),E298*$D298,"")</f>
        <v>0.48153599999999991</v>
      </c>
      <c r="G298" s="45">
        <f>SUM(F298:F302)</f>
        <v>17.080738749999998</v>
      </c>
      <c r="H298" s="46"/>
      <c r="I298" s="156">
        <v>0</v>
      </c>
    </row>
    <row r="299" spans="1:9" ht="26.25" hidden="1" thickBot="1" x14ac:dyDescent="0.3">
      <c r="A299" s="188"/>
      <c r="B299" s="36" t="s">
        <v>3599</v>
      </c>
      <c r="C299" s="36" t="s">
        <v>953</v>
      </c>
      <c r="D299" s="37">
        <v>2.5000000000000001E-2</v>
      </c>
      <c r="E299" s="31">
        <v>18.838499999999996</v>
      </c>
      <c r="F299" s="34">
        <f>IF(ISNUMBER(E299),E299*$D299,"")</f>
        <v>0.47096249999999995</v>
      </c>
      <c r="G299" s="45"/>
      <c r="H299" s="46"/>
      <c r="I299" s="156">
        <v>0</v>
      </c>
    </row>
    <row r="300" spans="1:9" ht="15.75" hidden="1" thickBot="1" x14ac:dyDescent="0.3">
      <c r="A300" s="188"/>
      <c r="B300" s="36" t="s">
        <v>955</v>
      </c>
      <c r="C300" s="36" t="s">
        <v>755</v>
      </c>
      <c r="D300" s="37">
        <v>3.1E-2</v>
      </c>
      <c r="E300" s="34">
        <v>17.081</v>
      </c>
      <c r="F300" s="34">
        <f>IF(ISNUMBER(E300),E300*$D300,"")</f>
        <v>0.52951099999999995</v>
      </c>
      <c r="G300" s="45"/>
      <c r="H300" s="46"/>
      <c r="I300" s="156">
        <v>0</v>
      </c>
    </row>
    <row r="301" spans="1:9" ht="15.75" hidden="1" customHeight="1" x14ac:dyDescent="0.3">
      <c r="A301" s="188"/>
      <c r="B301" s="36" t="s">
        <v>956</v>
      </c>
      <c r="C301" s="36" t="s">
        <v>755</v>
      </c>
      <c r="D301" s="37">
        <v>0.18959999999999999</v>
      </c>
      <c r="E301" s="31">
        <v>21.973499999999998</v>
      </c>
      <c r="F301" s="34">
        <f>IF(ISNUMBER(E301),E301*$D301,"")</f>
        <v>4.166175599999999</v>
      </c>
      <c r="G301" s="45"/>
      <c r="H301" s="46"/>
      <c r="I301" s="156">
        <v>0</v>
      </c>
    </row>
    <row r="302" spans="1:9" ht="26.25" hidden="1" thickBot="1" x14ac:dyDescent="0.3">
      <c r="A302" s="188"/>
      <c r="B302" s="36" t="s">
        <v>1539</v>
      </c>
      <c r="C302" s="47" t="s">
        <v>953</v>
      </c>
      <c r="D302" s="37">
        <v>1</v>
      </c>
      <c r="E302" s="31">
        <v>11.432553649999999</v>
      </c>
      <c r="F302" s="34">
        <f>IF(ISNUMBER(E302),E302*$D302,"")</f>
        <v>11.432553649999999</v>
      </c>
      <c r="G302" s="45"/>
      <c r="H302" s="46"/>
      <c r="I302" s="156">
        <v>0</v>
      </c>
    </row>
    <row r="303" spans="1:9" ht="15.75" hidden="1" thickBot="1" x14ac:dyDescent="0.3">
      <c r="A303" s="188"/>
      <c r="B303" s="51"/>
      <c r="C303" s="47"/>
      <c r="D303" s="37"/>
      <c r="E303" s="31" t="s">
        <v>568</v>
      </c>
      <c r="F303" s="34" t="str">
        <f>IF(ISNUMBER(E303),E303*$D303,"")</f>
        <v/>
      </c>
      <c r="G303" s="45"/>
      <c r="H303" s="46"/>
      <c r="I303" s="156">
        <v>0</v>
      </c>
    </row>
    <row r="304" spans="1:9" ht="15.75" hidden="1" thickBot="1" x14ac:dyDescent="0.3">
      <c r="A304" s="191" t="s">
        <v>1539</v>
      </c>
      <c r="B304" s="41" t="s">
        <v>568</v>
      </c>
      <c r="C304" s="26" t="s">
        <v>953</v>
      </c>
      <c r="D304" s="94"/>
      <c r="E304" s="28" t="s">
        <v>568</v>
      </c>
      <c r="F304" s="26" t="str">
        <f>IF(ISNUMBER(E304),E304*$D304,"")</f>
        <v/>
      </c>
      <c r="G304" s="29"/>
      <c r="H304" s="30"/>
      <c r="I304" s="156">
        <v>0</v>
      </c>
    </row>
    <row r="305" spans="1:9" ht="15.75" hidden="1" customHeight="1" x14ac:dyDescent="0.3">
      <c r="A305" s="188"/>
      <c r="B305" s="32" t="s">
        <v>568</v>
      </c>
      <c r="C305" s="32"/>
      <c r="D305" s="92"/>
      <c r="E305" s="31" t="s">
        <v>568</v>
      </c>
      <c r="F305" s="99" t="str">
        <f>IF(ISNUMBER(E305),E305*$D305,"")</f>
        <v/>
      </c>
      <c r="G305" s="101"/>
      <c r="H305" s="99"/>
      <c r="I305" s="156">
        <v>0</v>
      </c>
    </row>
    <row r="306" spans="1:9" ht="15.75" hidden="1" thickBot="1" x14ac:dyDescent="0.3">
      <c r="A306" s="188"/>
      <c r="B306" s="36" t="s">
        <v>1545</v>
      </c>
      <c r="C306" s="36" t="s">
        <v>953</v>
      </c>
      <c r="D306" s="37">
        <v>1.07</v>
      </c>
      <c r="E306" s="34">
        <v>8.5594999999999999</v>
      </c>
      <c r="F306" s="34">
        <f>IF(ISNUMBER(E306),E306*$D306,"")</f>
        <v>9.1586650000000009</v>
      </c>
      <c r="G306" s="45">
        <f>SUM(F306:F308)</f>
        <v>11.432553650000001</v>
      </c>
      <c r="H306" s="46"/>
      <c r="I306" s="156">
        <v>0</v>
      </c>
    </row>
    <row r="307" spans="1:9" ht="15.75" hidden="1" thickBot="1" x14ac:dyDescent="0.3">
      <c r="A307" s="188"/>
      <c r="B307" s="36" t="s">
        <v>955</v>
      </c>
      <c r="C307" s="36" t="s">
        <v>755</v>
      </c>
      <c r="D307" s="37">
        <v>1.3100000000000001E-2</v>
      </c>
      <c r="E307" s="34">
        <v>17.081</v>
      </c>
      <c r="F307" s="34">
        <f>IF(ISNUMBER(E307),E307*$D307,"")</f>
        <v>0.22376109999999999</v>
      </c>
      <c r="G307" s="45"/>
      <c r="H307" s="46"/>
      <c r="I307" s="156">
        <v>0</v>
      </c>
    </row>
    <row r="308" spans="1:9" ht="15.75" hidden="1" thickBot="1" x14ac:dyDescent="0.3">
      <c r="A308" s="188"/>
      <c r="B308" s="36" t="s">
        <v>956</v>
      </c>
      <c r="C308" s="36" t="s">
        <v>755</v>
      </c>
      <c r="D308" s="37">
        <v>9.3299999999999994E-2</v>
      </c>
      <c r="E308" s="31">
        <v>21.973499999999998</v>
      </c>
      <c r="F308" s="34">
        <f>IF(ISNUMBER(E308),E308*$D308,"")</f>
        <v>2.0501275499999996</v>
      </c>
      <c r="G308" s="45"/>
      <c r="H308" s="46"/>
      <c r="I308" s="156">
        <v>0</v>
      </c>
    </row>
    <row r="309" spans="1:9" ht="15.75" hidden="1" thickBot="1" x14ac:dyDescent="0.3">
      <c r="A309" s="192"/>
      <c r="B309" s="55" t="s">
        <v>568</v>
      </c>
      <c r="C309" s="55"/>
      <c r="D309" s="96"/>
      <c r="E309" s="67" t="s">
        <v>568</v>
      </c>
      <c r="F309" s="68" t="str">
        <f>IF(ISNUMBER(E309),E309*$D309,"")</f>
        <v/>
      </c>
      <c r="G309" s="69"/>
      <c r="H309" s="31"/>
      <c r="I309" s="156">
        <v>0</v>
      </c>
    </row>
    <row r="310" spans="1:9" ht="15.75" hidden="1" thickBot="1" x14ac:dyDescent="0.3">
      <c r="A310" s="191" t="s">
        <v>1225</v>
      </c>
      <c r="B310" s="41" t="s">
        <v>568</v>
      </c>
      <c r="C310" s="26" t="s">
        <v>123</v>
      </c>
      <c r="D310" s="94"/>
      <c r="E310" s="42" t="s">
        <v>568</v>
      </c>
      <c r="F310" s="42" t="str">
        <f>IF(ISNUMBER(E310),E310*$D310,"")</f>
        <v/>
      </c>
      <c r="G310" s="29"/>
      <c r="H310" s="30"/>
      <c r="I310" s="156">
        <v>0</v>
      </c>
    </row>
    <row r="311" spans="1:9" ht="15.75" hidden="1" thickBot="1" x14ac:dyDescent="0.3">
      <c r="A311" s="188"/>
      <c r="B311" s="32" t="s">
        <v>568</v>
      </c>
      <c r="C311" s="32"/>
      <c r="D311" s="92"/>
      <c r="E311" s="43" t="s">
        <v>568</v>
      </c>
      <c r="F311" s="31" t="str">
        <f>IF(ISNUMBER(E311),E311*$D311,"")</f>
        <v/>
      </c>
      <c r="G311" s="35"/>
      <c r="H311" s="31"/>
      <c r="I311" s="156">
        <v>0</v>
      </c>
    </row>
    <row r="312" spans="1:9" ht="26.25" hidden="1" thickBot="1" x14ac:dyDescent="0.3">
      <c r="A312" s="188"/>
      <c r="B312" s="36" t="s">
        <v>805</v>
      </c>
      <c r="C312" s="36" t="s">
        <v>123</v>
      </c>
      <c r="D312" s="37">
        <v>0.80800000000000005</v>
      </c>
      <c r="E312" s="34">
        <v>90.25</v>
      </c>
      <c r="F312" s="34">
        <f>IF(ISNUMBER(E312),E312*$D312,"")</f>
        <v>72.922000000000011</v>
      </c>
      <c r="G312" s="45">
        <f>SUM(F312:F320)</f>
        <v>387.69040241229999</v>
      </c>
      <c r="H312" s="46"/>
      <c r="I312" s="156">
        <v>0</v>
      </c>
    </row>
    <row r="313" spans="1:9" ht="15.75" hidden="1" thickBot="1" x14ac:dyDescent="0.3">
      <c r="A313" s="188"/>
      <c r="B313" s="36" t="s">
        <v>801</v>
      </c>
      <c r="C313" s="36" t="s">
        <v>953</v>
      </c>
      <c r="D313" s="37">
        <v>274.06</v>
      </c>
      <c r="E313" s="34">
        <v>0.47499999999999998</v>
      </c>
      <c r="F313" s="34">
        <f>IF(ISNUMBER(E313),E313*$D313,"")</f>
        <v>130.17849999999999</v>
      </c>
      <c r="G313" s="45"/>
      <c r="H313" s="46"/>
      <c r="I313" s="156">
        <v>0</v>
      </c>
    </row>
    <row r="314" spans="1:9" ht="26.25" hidden="1" thickBot="1" x14ac:dyDescent="0.3">
      <c r="A314" s="188"/>
      <c r="B314" s="36" t="s">
        <v>813</v>
      </c>
      <c r="C314" s="36" t="s">
        <v>123</v>
      </c>
      <c r="D314" s="37">
        <v>0.58099999999999996</v>
      </c>
      <c r="E314" s="34">
        <v>117.63849999999999</v>
      </c>
      <c r="F314" s="34">
        <f>IF(ISNUMBER(E314),E314*$D314,"")</f>
        <v>68.347968499999993</v>
      </c>
      <c r="G314" s="45"/>
      <c r="H314" s="46"/>
      <c r="I314" s="156">
        <v>0</v>
      </c>
    </row>
    <row r="315" spans="1:9" ht="15.75" hidden="1" thickBot="1" x14ac:dyDescent="0.3">
      <c r="A315" s="188"/>
      <c r="B315" s="36" t="s">
        <v>756</v>
      </c>
      <c r="C315" s="36" t="s">
        <v>755</v>
      </c>
      <c r="D315" s="37">
        <v>2.0299999999999998</v>
      </c>
      <c r="E315" s="31">
        <v>16.311500000000002</v>
      </c>
      <c r="F315" s="34">
        <f>IF(ISNUMBER(E315),E315*$D315,"")</f>
        <v>33.112345000000005</v>
      </c>
      <c r="G315" s="45"/>
      <c r="H315" s="46"/>
      <c r="I315" s="156">
        <v>0</v>
      </c>
    </row>
    <row r="316" spans="1:9" ht="26.25" hidden="1" thickBot="1" x14ac:dyDescent="0.3">
      <c r="A316" s="188"/>
      <c r="B316" s="36" t="s">
        <v>1533</v>
      </c>
      <c r="C316" s="36" t="s">
        <v>755</v>
      </c>
      <c r="D316" s="37">
        <v>1.28</v>
      </c>
      <c r="E316" s="31">
        <v>16.5015</v>
      </c>
      <c r="F316" s="95">
        <f>IF(ISNUMBER(E316),E316*$D316,"")</f>
        <v>21.121919999999999</v>
      </c>
      <c r="G316" s="45"/>
      <c r="H316" s="46"/>
      <c r="I316" s="156">
        <v>0</v>
      </c>
    </row>
    <row r="317" spans="1:9" ht="39" hidden="1" thickBot="1" x14ac:dyDescent="0.3">
      <c r="A317" s="188"/>
      <c r="B317" s="36" t="s">
        <v>1454</v>
      </c>
      <c r="C317" s="36" t="s">
        <v>997</v>
      </c>
      <c r="D317" s="37">
        <v>0.66</v>
      </c>
      <c r="E317" s="31">
        <v>3.4484999999999997</v>
      </c>
      <c r="F317" s="95">
        <f>IF(ISNUMBER(E317),E317*$D317,"")</f>
        <v>2.2760099999999999</v>
      </c>
      <c r="G317" s="45"/>
      <c r="H317" s="46"/>
      <c r="I317" s="156">
        <v>0</v>
      </c>
    </row>
    <row r="318" spans="1:9" ht="39" hidden="1" thickBot="1" x14ac:dyDescent="0.3">
      <c r="A318" s="188"/>
      <c r="B318" s="36" t="s">
        <v>1534</v>
      </c>
      <c r="C318" s="47" t="s">
        <v>999</v>
      </c>
      <c r="D318" s="37">
        <v>0.62</v>
      </c>
      <c r="E318" s="31">
        <v>1.1019999999999999</v>
      </c>
      <c r="F318" s="34">
        <f>IF(ISNUMBER(E318),E318*$D318,"")</f>
        <v>0.68323999999999996</v>
      </c>
      <c r="G318" s="45"/>
      <c r="H318" s="46"/>
      <c r="I318" s="156">
        <v>0</v>
      </c>
    </row>
    <row r="319" spans="1:9" ht="51.75" hidden="1" thickBot="1" x14ac:dyDescent="0.3">
      <c r="A319" s="188"/>
      <c r="B319" s="36" t="s">
        <v>3611</v>
      </c>
      <c r="C319" s="36" t="s">
        <v>123</v>
      </c>
      <c r="D319" s="37">
        <f>ROUND(1*(D312+D314),4)</f>
        <v>1.389</v>
      </c>
      <c r="E319" s="31">
        <v>5.6237587000000007</v>
      </c>
      <c r="F319" s="34">
        <f>IF(ISNUMBER(E319),E319*$D319,"")</f>
        <v>7.8114008343000014</v>
      </c>
      <c r="G319" s="45"/>
      <c r="H319" s="46"/>
      <c r="I319" s="156">
        <v>0</v>
      </c>
    </row>
    <row r="320" spans="1:9" ht="39" hidden="1" thickBot="1" x14ac:dyDescent="0.3">
      <c r="A320" s="188"/>
      <c r="B320" s="36" t="s">
        <v>3610</v>
      </c>
      <c r="C320" s="47" t="s">
        <v>125</v>
      </c>
      <c r="D320" s="37">
        <f>ROUND((D312+D314)*20,4)</f>
        <v>27.78</v>
      </c>
      <c r="E320" s="31">
        <v>1.8443850999999998</v>
      </c>
      <c r="F320" s="34">
        <f>IF(ISNUMBER(E320),E320*$D320,"")</f>
        <v>51.237018077999998</v>
      </c>
      <c r="G320" s="45"/>
      <c r="H320" s="46"/>
      <c r="I320" s="156">
        <v>0</v>
      </c>
    </row>
    <row r="321" spans="1:9" ht="15.75" hidden="1" thickBot="1" x14ac:dyDescent="0.3">
      <c r="A321" s="188"/>
      <c r="B321" s="51"/>
      <c r="C321" s="47"/>
      <c r="D321" s="37"/>
      <c r="E321" s="31" t="s">
        <v>568</v>
      </c>
      <c r="F321" s="34" t="str">
        <f>IF(ISNUMBER(E321),E321*$D321,"")</f>
        <v/>
      </c>
      <c r="G321" s="45"/>
      <c r="H321" s="46"/>
      <c r="I321" s="156">
        <v>0</v>
      </c>
    </row>
    <row r="322" spans="1:9" ht="26.25" hidden="1" thickBot="1" x14ac:dyDescent="0.3">
      <c r="A322" s="188"/>
      <c r="B322" s="48" t="s">
        <v>126</v>
      </c>
      <c r="C322" s="47"/>
      <c r="D322" s="37"/>
      <c r="E322" s="31" t="s">
        <v>568</v>
      </c>
      <c r="F322" s="34" t="str">
        <f>IF(ISNUMBER(E322),E322*$D322,"")</f>
        <v/>
      </c>
      <c r="G322" s="45"/>
      <c r="H322" s="46"/>
      <c r="I322" s="156">
        <v>0</v>
      </c>
    </row>
    <row r="323" spans="1:9" ht="15.75" hidden="1" thickBot="1" x14ac:dyDescent="0.3">
      <c r="A323" s="188"/>
      <c r="B323" s="36" t="s">
        <v>568</v>
      </c>
      <c r="C323" s="36"/>
      <c r="D323" s="93"/>
      <c r="E323" s="31" t="s">
        <v>568</v>
      </c>
      <c r="F323" s="31" t="str">
        <f>IF(ISNUMBER(E323),E323*$D323,"")</f>
        <v/>
      </c>
      <c r="G323" s="35"/>
      <c r="H323" s="31"/>
      <c r="I323" s="156">
        <v>0</v>
      </c>
    </row>
    <row r="324" spans="1:9" ht="15.75" hidden="1" thickBot="1" x14ac:dyDescent="0.3">
      <c r="A324" s="191" t="s">
        <v>1127</v>
      </c>
      <c r="B324" s="41" t="s">
        <v>568</v>
      </c>
      <c r="C324" s="26" t="s">
        <v>123</v>
      </c>
      <c r="D324" s="94"/>
      <c r="E324" s="42" t="s">
        <v>568</v>
      </c>
      <c r="F324" s="42" t="str">
        <f>IF(ISNUMBER(E324),E324*$D324,"")</f>
        <v/>
      </c>
      <c r="G324" s="29"/>
      <c r="H324" s="30"/>
      <c r="I324" s="156">
        <v>0</v>
      </c>
    </row>
    <row r="325" spans="1:9" ht="15.75" hidden="1" thickBot="1" x14ac:dyDescent="0.3">
      <c r="A325" s="188"/>
      <c r="B325" s="32" t="s">
        <v>568</v>
      </c>
      <c r="C325" s="32"/>
      <c r="D325" s="92"/>
      <c r="E325" s="43" t="s">
        <v>568</v>
      </c>
      <c r="F325" s="31" t="str">
        <f>IF(ISNUMBER(E325),E325*$D325,"")</f>
        <v/>
      </c>
      <c r="G325" s="35"/>
      <c r="H325" s="31"/>
      <c r="I325" s="156">
        <v>0</v>
      </c>
    </row>
    <row r="326" spans="1:9" ht="26.25" hidden="1" thickBot="1" x14ac:dyDescent="0.3">
      <c r="A326" s="188"/>
      <c r="B326" s="36" t="s">
        <v>805</v>
      </c>
      <c r="C326" s="36" t="s">
        <v>123</v>
      </c>
      <c r="D326" s="37">
        <v>0.83199999999999996</v>
      </c>
      <c r="E326" s="34">
        <v>90.25</v>
      </c>
      <c r="F326" s="34">
        <f>IF(ISNUMBER(E326),E326*$D326,"")</f>
        <v>75.087999999999994</v>
      </c>
      <c r="G326" s="45">
        <f>SUM(F326:F334)</f>
        <v>364.51358742979994</v>
      </c>
      <c r="H326" s="46"/>
      <c r="I326" s="156">
        <v>0</v>
      </c>
    </row>
    <row r="327" spans="1:9" ht="15.75" hidden="1" thickBot="1" x14ac:dyDescent="0.3">
      <c r="A327" s="188"/>
      <c r="B327" s="36" t="s">
        <v>801</v>
      </c>
      <c r="C327" s="36" t="s">
        <v>953</v>
      </c>
      <c r="D327" s="37">
        <v>213.45</v>
      </c>
      <c r="E327" s="34">
        <v>0.47499999999999998</v>
      </c>
      <c r="F327" s="34">
        <f>IF(ISNUMBER(E327),E327*$D327,"")</f>
        <v>101.38874999999999</v>
      </c>
      <c r="G327" s="45"/>
      <c r="H327" s="46"/>
      <c r="I327" s="156">
        <v>0</v>
      </c>
    </row>
    <row r="328" spans="1:9" ht="26.25" hidden="1" thickBot="1" x14ac:dyDescent="0.3">
      <c r="A328" s="188"/>
      <c r="B328" s="36" t="s">
        <v>813</v>
      </c>
      <c r="C328" s="36" t="s">
        <v>123</v>
      </c>
      <c r="D328" s="37">
        <v>0.58199999999999996</v>
      </c>
      <c r="E328" s="34">
        <v>117.63849999999999</v>
      </c>
      <c r="F328" s="34">
        <f>IF(ISNUMBER(E328),E328*$D328,"")</f>
        <v>68.465606999999991</v>
      </c>
      <c r="G328" s="45"/>
      <c r="H328" s="46"/>
      <c r="I328" s="156">
        <v>0</v>
      </c>
    </row>
    <row r="329" spans="1:9" ht="15.75" hidden="1" thickBot="1" x14ac:dyDescent="0.3">
      <c r="A329" s="188"/>
      <c r="B329" s="36" t="s">
        <v>756</v>
      </c>
      <c r="C329" s="36" t="s">
        <v>755</v>
      </c>
      <c r="D329" s="37">
        <v>2.11</v>
      </c>
      <c r="E329" s="31">
        <v>16.311500000000002</v>
      </c>
      <c r="F329" s="34">
        <f>IF(ISNUMBER(E329),E329*$D329,"")</f>
        <v>34.417265</v>
      </c>
      <c r="G329" s="45"/>
      <c r="H329" s="46"/>
      <c r="I329" s="156">
        <v>0</v>
      </c>
    </row>
    <row r="330" spans="1:9" ht="26.25" hidden="1" thickBot="1" x14ac:dyDescent="0.3">
      <c r="A330" s="188"/>
      <c r="B330" s="36" t="s">
        <v>1533</v>
      </c>
      <c r="C330" s="36" t="s">
        <v>755</v>
      </c>
      <c r="D330" s="37">
        <v>1.33</v>
      </c>
      <c r="E330" s="31">
        <v>16.5015</v>
      </c>
      <c r="F330" s="95">
        <f>IF(ISNUMBER(E330),E330*$D330,"")</f>
        <v>21.946995000000001</v>
      </c>
      <c r="G330" s="45"/>
      <c r="H330" s="46"/>
      <c r="I330" s="156">
        <v>0</v>
      </c>
    </row>
    <row r="331" spans="1:9" ht="39" hidden="1" thickBot="1" x14ac:dyDescent="0.3">
      <c r="A331" s="188"/>
      <c r="B331" s="36" t="s">
        <v>1454</v>
      </c>
      <c r="C331" s="36" t="s">
        <v>997</v>
      </c>
      <c r="D331" s="34">
        <v>0.69</v>
      </c>
      <c r="E331" s="31">
        <v>3.4484999999999997</v>
      </c>
      <c r="F331" s="95">
        <f>IF(ISNUMBER(E331),E331*$D331,"")</f>
        <v>2.3794649999999997</v>
      </c>
      <c r="G331" s="45"/>
      <c r="H331" s="46"/>
      <c r="I331" s="156">
        <v>0</v>
      </c>
    </row>
    <row r="332" spans="1:9" ht="39" hidden="1" thickBot="1" x14ac:dyDescent="0.3">
      <c r="A332" s="188"/>
      <c r="B332" s="36" t="s">
        <v>1534</v>
      </c>
      <c r="C332" s="47" t="s">
        <v>999</v>
      </c>
      <c r="D332" s="37">
        <v>0.65</v>
      </c>
      <c r="E332" s="31">
        <v>1.1019999999999999</v>
      </c>
      <c r="F332" s="34">
        <f>IF(ISNUMBER(E332),E332*$D332,"")</f>
        <v>0.71629999999999994</v>
      </c>
      <c r="G332" s="45"/>
      <c r="H332" s="46"/>
      <c r="I332" s="156">
        <v>0</v>
      </c>
    </row>
    <row r="333" spans="1:9" ht="51.75" hidden="1" thickBot="1" x14ac:dyDescent="0.3">
      <c r="A333" s="188"/>
      <c r="B333" s="36" t="s">
        <v>3611</v>
      </c>
      <c r="C333" s="36" t="s">
        <v>123</v>
      </c>
      <c r="D333" s="37">
        <f>ROUND(1*(D326+D328),4)</f>
        <v>1.4139999999999999</v>
      </c>
      <c r="E333" s="31">
        <v>5.6237587000000007</v>
      </c>
      <c r="F333" s="34">
        <f>IF(ISNUMBER(E333),E333*$D333,"")</f>
        <v>7.9519948018000006</v>
      </c>
      <c r="G333" s="45"/>
      <c r="H333" s="46"/>
      <c r="I333" s="156">
        <v>0</v>
      </c>
    </row>
    <row r="334" spans="1:9" ht="39" hidden="1" thickBot="1" x14ac:dyDescent="0.3">
      <c r="A334" s="188"/>
      <c r="B334" s="36" t="s">
        <v>3610</v>
      </c>
      <c r="C334" s="47" t="s">
        <v>125</v>
      </c>
      <c r="D334" s="37">
        <f>ROUND((D326+D328)*20,4)</f>
        <v>28.28</v>
      </c>
      <c r="E334" s="31">
        <v>1.8443850999999998</v>
      </c>
      <c r="F334" s="34">
        <f>IF(ISNUMBER(E334),E334*$D334,"")</f>
        <v>52.159210627999997</v>
      </c>
      <c r="G334" s="45"/>
      <c r="H334" s="46"/>
      <c r="I334" s="156">
        <v>0</v>
      </c>
    </row>
    <row r="335" spans="1:9" ht="15.75" hidden="1" thickBot="1" x14ac:dyDescent="0.3">
      <c r="A335" s="188"/>
      <c r="B335" s="51"/>
      <c r="C335" s="47"/>
      <c r="D335" s="37"/>
      <c r="E335" s="31" t="s">
        <v>568</v>
      </c>
      <c r="F335" s="34" t="str">
        <f>IF(ISNUMBER(E335),E335*$D335,"")</f>
        <v/>
      </c>
      <c r="G335" s="45"/>
      <c r="H335" s="46"/>
      <c r="I335" s="156">
        <v>0</v>
      </c>
    </row>
    <row r="336" spans="1:9" ht="26.25" hidden="1" thickBot="1" x14ac:dyDescent="0.3">
      <c r="A336" s="188"/>
      <c r="B336" s="48" t="s">
        <v>126</v>
      </c>
      <c r="C336" s="47"/>
      <c r="D336" s="37"/>
      <c r="E336" s="31" t="s">
        <v>568</v>
      </c>
      <c r="F336" s="34" t="str">
        <f>IF(ISNUMBER(E336),E336*$D336,"")</f>
        <v/>
      </c>
      <c r="G336" s="45"/>
      <c r="H336" s="46"/>
      <c r="I336" s="156">
        <v>0</v>
      </c>
    </row>
    <row r="337" spans="1:9" ht="15.75" hidden="1" thickBot="1" x14ac:dyDescent="0.3">
      <c r="A337" s="188"/>
      <c r="B337" s="36" t="s">
        <v>568</v>
      </c>
      <c r="C337" s="36"/>
      <c r="D337" s="93"/>
      <c r="E337" s="31" t="s">
        <v>568</v>
      </c>
      <c r="F337" s="31" t="str">
        <f>IF(ISNUMBER(E337),E337*$D337,"")</f>
        <v/>
      </c>
      <c r="G337" s="35"/>
      <c r="H337" s="31"/>
      <c r="I337" s="156">
        <v>0</v>
      </c>
    </row>
    <row r="338" spans="1:9" ht="15.75" hidden="1" thickBot="1" x14ac:dyDescent="0.3">
      <c r="A338" s="191" t="s">
        <v>1059</v>
      </c>
      <c r="B338" s="41" t="s">
        <v>568</v>
      </c>
      <c r="C338" s="26" t="s">
        <v>123</v>
      </c>
      <c r="D338" s="94"/>
      <c r="E338" s="28" t="s">
        <v>568</v>
      </c>
      <c r="F338" s="28" t="str">
        <f>IF(ISNUMBER(E338),E338*$D338,"")</f>
        <v/>
      </c>
      <c r="G338" s="29"/>
      <c r="H338" s="30"/>
      <c r="I338" s="156">
        <v>0</v>
      </c>
    </row>
    <row r="339" spans="1:9" ht="15.75" hidden="1" thickBot="1" x14ac:dyDescent="0.3">
      <c r="A339" s="188"/>
      <c r="B339" s="32" t="s">
        <v>568</v>
      </c>
      <c r="C339" s="32"/>
      <c r="D339" s="92"/>
      <c r="E339" s="31" t="s">
        <v>568</v>
      </c>
      <c r="F339" s="31" t="str">
        <f>IF(ISNUMBER(E339),E339*$D339,"")</f>
        <v/>
      </c>
      <c r="G339" s="35"/>
      <c r="H339" s="31"/>
      <c r="I339" s="156">
        <v>0</v>
      </c>
    </row>
    <row r="340" spans="1:9" ht="26.25" hidden="1" thickBot="1" x14ac:dyDescent="0.3">
      <c r="A340" s="188"/>
      <c r="B340" s="36" t="s">
        <v>1368</v>
      </c>
      <c r="C340" s="36" t="s">
        <v>123</v>
      </c>
      <c r="D340" s="37">
        <v>1.02</v>
      </c>
      <c r="E340" s="31">
        <v>112.63199999999999</v>
      </c>
      <c r="F340" s="34">
        <f>IF(ISNUMBER(E340),E340*$D340,"")</f>
        <v>114.88463999999999</v>
      </c>
      <c r="G340" s="45">
        <f>SUM(F340:F346)</f>
        <v>400.23526991400001</v>
      </c>
      <c r="H340" s="46"/>
      <c r="I340" s="156">
        <v>0</v>
      </c>
    </row>
    <row r="341" spans="1:9" ht="15.75" hidden="1" thickBot="1" x14ac:dyDescent="0.3">
      <c r="A341" s="188"/>
      <c r="B341" s="36" t="s">
        <v>801</v>
      </c>
      <c r="C341" s="36" t="s">
        <v>953</v>
      </c>
      <c r="D341" s="37">
        <v>343.52</v>
      </c>
      <c r="E341" s="34">
        <v>0.47499999999999998</v>
      </c>
      <c r="F341" s="34">
        <f>IF(ISNUMBER(E341),E341*$D341,"")</f>
        <v>163.172</v>
      </c>
      <c r="G341" s="45"/>
      <c r="H341" s="46"/>
      <c r="I341" s="156">
        <v>0</v>
      </c>
    </row>
    <row r="342" spans="1:9" ht="26.25" hidden="1" thickBot="1" x14ac:dyDescent="0.3">
      <c r="A342" s="188"/>
      <c r="B342" s="36" t="s">
        <v>1533</v>
      </c>
      <c r="C342" s="36" t="s">
        <v>755</v>
      </c>
      <c r="D342" s="37">
        <v>4.6399999999999997</v>
      </c>
      <c r="E342" s="31">
        <v>16.5015</v>
      </c>
      <c r="F342" s="34">
        <f>IF(ISNUMBER(E342),E342*$D342,"")</f>
        <v>76.566959999999995</v>
      </c>
      <c r="G342" s="45"/>
      <c r="H342" s="46"/>
      <c r="I342" s="156">
        <v>0</v>
      </c>
    </row>
    <row r="343" spans="1:9" ht="39" hidden="1" thickBot="1" x14ac:dyDescent="0.3">
      <c r="A343" s="188"/>
      <c r="B343" s="36" t="s">
        <v>120</v>
      </c>
      <c r="C343" s="36" t="s">
        <v>997</v>
      </c>
      <c r="D343" s="37">
        <v>1.08</v>
      </c>
      <c r="E343" s="31">
        <v>1.2064999999999999</v>
      </c>
      <c r="F343" s="34">
        <f>IF(ISNUMBER(E343),E343*$D343,"")</f>
        <v>1.3030200000000001</v>
      </c>
      <c r="G343" s="45"/>
      <c r="H343" s="46"/>
      <c r="I343" s="156">
        <v>0</v>
      </c>
    </row>
    <row r="344" spans="1:9" ht="39" hidden="1" thickBot="1" x14ac:dyDescent="0.3">
      <c r="A344" s="188"/>
      <c r="B344" s="36" t="s">
        <v>121</v>
      </c>
      <c r="C344" s="36" t="s">
        <v>999</v>
      </c>
      <c r="D344" s="37">
        <v>3.56</v>
      </c>
      <c r="E344" s="31">
        <v>0.26600000000000001</v>
      </c>
      <c r="F344" s="34">
        <f>IF(ISNUMBER(E344),E344*$D344,"")</f>
        <v>0.94696000000000002</v>
      </c>
      <c r="G344" s="45"/>
      <c r="H344" s="46"/>
      <c r="I344" s="156">
        <v>0</v>
      </c>
    </row>
    <row r="345" spans="1:9" ht="51.75" hidden="1" thickBot="1" x14ac:dyDescent="0.3">
      <c r="A345" s="188"/>
      <c r="B345" s="36" t="s">
        <v>3611</v>
      </c>
      <c r="C345" s="36" t="s">
        <v>123</v>
      </c>
      <c r="D345" s="37">
        <f>ROUND(1*(D340),4)</f>
        <v>1.02</v>
      </c>
      <c r="E345" s="31">
        <v>5.6237587000000007</v>
      </c>
      <c r="F345" s="34">
        <f>IF(ISNUMBER(E345),E345*$D345,"")</f>
        <v>5.7362338740000007</v>
      </c>
      <c r="G345" s="45"/>
      <c r="H345" s="46"/>
      <c r="I345" s="156">
        <v>0</v>
      </c>
    </row>
    <row r="346" spans="1:9" ht="39" hidden="1" thickBot="1" x14ac:dyDescent="0.3">
      <c r="A346" s="188"/>
      <c r="B346" s="36" t="s">
        <v>3610</v>
      </c>
      <c r="C346" s="47" t="s">
        <v>125</v>
      </c>
      <c r="D346" s="37">
        <f>ROUND(D340*20,4)</f>
        <v>20.399999999999999</v>
      </c>
      <c r="E346" s="31">
        <v>1.8443850999999998</v>
      </c>
      <c r="F346" s="34">
        <f>IF(ISNUMBER(E346),E346*$D346,"")</f>
        <v>37.625456039999996</v>
      </c>
      <c r="G346" s="45"/>
      <c r="H346" s="46"/>
      <c r="I346" s="156">
        <v>0</v>
      </c>
    </row>
    <row r="347" spans="1:9" ht="15.75" hidden="1" thickBot="1" x14ac:dyDescent="0.3">
      <c r="A347" s="188"/>
      <c r="B347" s="36"/>
      <c r="C347" s="36"/>
      <c r="D347" s="37"/>
      <c r="E347" s="31" t="s">
        <v>568</v>
      </c>
      <c r="F347" s="34" t="str">
        <f>IF(ISNUMBER(E347),E347*$D347,"")</f>
        <v/>
      </c>
      <c r="G347" s="45"/>
      <c r="H347" s="46"/>
      <c r="I347" s="156">
        <v>0</v>
      </c>
    </row>
    <row r="348" spans="1:9" ht="24.95" hidden="1" customHeight="1" x14ac:dyDescent="0.3">
      <c r="A348" s="188"/>
      <c r="B348" s="48" t="s">
        <v>808</v>
      </c>
      <c r="C348" s="47"/>
      <c r="D348" s="37"/>
      <c r="E348" s="31" t="s">
        <v>568</v>
      </c>
      <c r="F348" s="34" t="str">
        <f>IF(ISNUMBER(E348),E348*$D348,"")</f>
        <v/>
      </c>
      <c r="G348" s="45"/>
      <c r="H348" s="46"/>
      <c r="I348" s="156">
        <v>0</v>
      </c>
    </row>
    <row r="349" spans="1:9" ht="15.75" hidden="1" thickBot="1" x14ac:dyDescent="0.3">
      <c r="A349" s="192"/>
      <c r="B349" s="55" t="s">
        <v>568</v>
      </c>
      <c r="C349" s="55"/>
      <c r="D349" s="96"/>
      <c r="E349" s="67" t="s">
        <v>568</v>
      </c>
      <c r="F349" s="68" t="str">
        <f>IF(ISNUMBER(E349),E349*$D349,"")</f>
        <v/>
      </c>
      <c r="G349" s="69"/>
      <c r="H349" s="31"/>
      <c r="I349" s="156">
        <v>0</v>
      </c>
    </row>
    <row r="350" spans="1:9" ht="15.75" thickBot="1" x14ac:dyDescent="0.3">
      <c r="A350" s="191" t="s">
        <v>3611</v>
      </c>
      <c r="B350" s="41" t="s">
        <v>568</v>
      </c>
      <c r="C350" s="26" t="s">
        <v>123</v>
      </c>
      <c r="D350" s="94"/>
      <c r="E350" s="28" t="s">
        <v>568</v>
      </c>
      <c r="F350" s="26" t="str">
        <f>IF(ISNUMBER(E350),E350*$D350,"")</f>
        <v/>
      </c>
      <c r="G350" s="29"/>
      <c r="H350" s="30"/>
      <c r="I350" s="156">
        <v>2.2968000000000002</v>
      </c>
    </row>
    <row r="351" spans="1:9" x14ac:dyDescent="0.25">
      <c r="A351" s="188"/>
      <c r="B351" s="32" t="s">
        <v>568</v>
      </c>
      <c r="C351" s="32"/>
      <c r="D351" s="92"/>
      <c r="E351" s="31" t="s">
        <v>568</v>
      </c>
      <c r="F351" s="31" t="str">
        <f>IF(ISNUMBER(E351),E351*$D351,"")</f>
        <v/>
      </c>
      <c r="G351" s="35"/>
      <c r="H351" s="31"/>
      <c r="I351" s="156">
        <v>2.2968000000000002</v>
      </c>
    </row>
    <row r="352" spans="1:9" ht="38.25" x14ac:dyDescent="0.25">
      <c r="A352" s="188"/>
      <c r="B352" s="36" t="s">
        <v>3414</v>
      </c>
      <c r="C352" s="36" t="s">
        <v>997</v>
      </c>
      <c r="D352" s="37">
        <v>8.3000000000000001E-3</v>
      </c>
      <c r="E352" s="31">
        <v>126.34050000000001</v>
      </c>
      <c r="F352" s="34">
        <f>IF(ISNUMBER(E352),E352*$D352,"")</f>
        <v>1.04862615</v>
      </c>
      <c r="G352" s="45">
        <f>SUM(F352:F355)</f>
        <v>5.568642549999999</v>
      </c>
      <c r="H352" s="46"/>
      <c r="I352" s="156">
        <v>2.2968000000000002</v>
      </c>
    </row>
    <row r="353" spans="1:9" ht="38.25" x14ac:dyDescent="0.25">
      <c r="A353" s="188"/>
      <c r="B353" s="36" t="s">
        <v>3418</v>
      </c>
      <c r="C353" s="47" t="s">
        <v>999</v>
      </c>
      <c r="D353" s="37">
        <v>1.5100000000000001E-2</v>
      </c>
      <c r="E353" s="31">
        <v>44.184499999999993</v>
      </c>
      <c r="F353" s="34">
        <f>IF(ISNUMBER(E353),E353*$D353,"")</f>
        <v>0.66718594999999992</v>
      </c>
      <c r="G353" s="45"/>
      <c r="H353" s="46"/>
      <c r="I353" s="156">
        <v>2.2968000000000002</v>
      </c>
    </row>
    <row r="354" spans="1:9" ht="51" x14ac:dyDescent="0.25">
      <c r="A354" s="188"/>
      <c r="B354" s="36" t="s">
        <v>1134</v>
      </c>
      <c r="C354" s="47" t="s">
        <v>997</v>
      </c>
      <c r="D354" s="37">
        <v>2.6700000000000002E-2</v>
      </c>
      <c r="E354" s="31">
        <v>117.43899999999999</v>
      </c>
      <c r="F354" s="34">
        <f>IF(ISNUMBER(E354),E354*$D354,"")</f>
        <v>3.1356212999999999</v>
      </c>
      <c r="G354" s="45"/>
      <c r="H354" s="46"/>
      <c r="I354" s="156">
        <v>2.2968000000000002</v>
      </c>
    </row>
    <row r="355" spans="1:9" ht="51" x14ac:dyDescent="0.25">
      <c r="A355" s="188"/>
      <c r="B355" s="36" t="s">
        <v>1135</v>
      </c>
      <c r="C355" s="47" t="s">
        <v>999</v>
      </c>
      <c r="D355" s="37">
        <v>2.0299999999999999E-2</v>
      </c>
      <c r="E355" s="31">
        <v>35.330499999999994</v>
      </c>
      <c r="F355" s="34">
        <f>IF(ISNUMBER(E355),E355*$D355,"")</f>
        <v>0.71720914999999985</v>
      </c>
      <c r="G355" s="45"/>
      <c r="H355" s="46"/>
      <c r="I355" s="156">
        <v>2.2968000000000002</v>
      </c>
    </row>
    <row r="356" spans="1:9" ht="15.75" thickBot="1" x14ac:dyDescent="0.3">
      <c r="A356" s="192"/>
      <c r="B356" s="55" t="s">
        <v>568</v>
      </c>
      <c r="C356" s="55"/>
      <c r="D356" s="96"/>
      <c r="E356" s="67" t="s">
        <v>568</v>
      </c>
      <c r="F356" s="68" t="str">
        <f>IF(ISNUMBER(E356),E356*$D356,"")</f>
        <v/>
      </c>
      <c r="G356" s="69"/>
      <c r="H356" s="31"/>
      <c r="I356" s="156">
        <v>2.2968000000000002</v>
      </c>
    </row>
    <row r="357" spans="1:9" ht="15.75" hidden="1" thickBot="1" x14ac:dyDescent="0.3">
      <c r="A357" s="191" t="s">
        <v>122</v>
      </c>
      <c r="B357" s="41" t="s">
        <v>568</v>
      </c>
      <c r="C357" s="26" t="s">
        <v>1370</v>
      </c>
      <c r="D357" s="94"/>
      <c r="E357" s="28" t="s">
        <v>568</v>
      </c>
      <c r="F357" s="26" t="str">
        <f>IF(ISNUMBER(E357),E357*$D357,"")</f>
        <v/>
      </c>
      <c r="G357" s="29"/>
      <c r="H357" s="30"/>
      <c r="I357" s="156">
        <v>0</v>
      </c>
    </row>
    <row r="358" spans="1:9" ht="15.75" hidden="1" thickBot="1" x14ac:dyDescent="0.3">
      <c r="A358" s="188"/>
      <c r="B358" s="32" t="s">
        <v>568</v>
      </c>
      <c r="C358" s="32"/>
      <c r="D358" s="92"/>
      <c r="E358" s="31" t="s">
        <v>568</v>
      </c>
      <c r="F358" s="31" t="str">
        <f>IF(ISNUMBER(E358),E358*$D358,"")</f>
        <v/>
      </c>
      <c r="G358" s="35"/>
      <c r="H358" s="31"/>
      <c r="I358" s="156">
        <v>0</v>
      </c>
    </row>
    <row r="359" spans="1:9" ht="39" hidden="1" thickBot="1" x14ac:dyDescent="0.3">
      <c r="A359" s="188"/>
      <c r="B359" s="36" t="s">
        <v>3414</v>
      </c>
      <c r="C359" s="36" t="s">
        <v>997</v>
      </c>
      <c r="D359" s="37">
        <v>5.5599999999999998E-3</v>
      </c>
      <c r="E359" s="31">
        <v>126.34050000000001</v>
      </c>
      <c r="F359" s="34">
        <f>IF(ISNUMBER(E359),E359*$D359,"")</f>
        <v>0.70245318000000001</v>
      </c>
      <c r="G359" s="45">
        <f>SUM(F359:F362)</f>
        <v>3.7160925799999998</v>
      </c>
      <c r="H359" s="46"/>
      <c r="I359" s="156">
        <v>0</v>
      </c>
    </row>
    <row r="360" spans="1:9" ht="39" hidden="1" thickBot="1" x14ac:dyDescent="0.3">
      <c r="A360" s="188"/>
      <c r="B360" s="36" t="s">
        <v>3418</v>
      </c>
      <c r="C360" s="47" t="s">
        <v>999</v>
      </c>
      <c r="D360" s="37">
        <v>1.01E-2</v>
      </c>
      <c r="E360" s="31">
        <v>44.184499999999993</v>
      </c>
      <c r="F360" s="34">
        <f>IF(ISNUMBER(E360),E360*$D360,"")</f>
        <v>0.44626344999999989</v>
      </c>
      <c r="G360" s="45"/>
      <c r="H360" s="46"/>
      <c r="I360" s="156">
        <v>0</v>
      </c>
    </row>
    <row r="361" spans="1:9" ht="51.75" hidden="1" thickBot="1" x14ac:dyDescent="0.3">
      <c r="A361" s="188"/>
      <c r="B361" s="36" t="s">
        <v>1134</v>
      </c>
      <c r="C361" s="47" t="s">
        <v>997</v>
      </c>
      <c r="D361" s="37">
        <v>1.78E-2</v>
      </c>
      <c r="E361" s="31">
        <v>117.43899999999999</v>
      </c>
      <c r="F361" s="34">
        <f>IF(ISNUMBER(E361),E361*$D361,"")</f>
        <v>2.0904141999999997</v>
      </c>
      <c r="G361" s="45"/>
      <c r="H361" s="46"/>
      <c r="I361" s="156">
        <v>0</v>
      </c>
    </row>
    <row r="362" spans="1:9" ht="51.75" hidden="1" thickBot="1" x14ac:dyDescent="0.3">
      <c r="A362" s="188"/>
      <c r="B362" s="36" t="s">
        <v>1135</v>
      </c>
      <c r="C362" s="47" t="s">
        <v>999</v>
      </c>
      <c r="D362" s="37">
        <v>1.35E-2</v>
      </c>
      <c r="E362" s="31">
        <v>35.330499999999994</v>
      </c>
      <c r="F362" s="34">
        <f>IF(ISNUMBER(E362),E362*$D362,"")</f>
        <v>0.47696174999999991</v>
      </c>
      <c r="G362" s="45"/>
      <c r="H362" s="46"/>
      <c r="I362" s="156">
        <v>0</v>
      </c>
    </row>
    <row r="363" spans="1:9" ht="15.75" hidden="1" thickBot="1" x14ac:dyDescent="0.3">
      <c r="A363" s="192"/>
      <c r="B363" s="55" t="s">
        <v>568</v>
      </c>
      <c r="C363" s="55"/>
      <c r="D363" s="96"/>
      <c r="E363" s="67" t="s">
        <v>568</v>
      </c>
      <c r="F363" s="68" t="str">
        <f>IF(ISNUMBER(E363),E363*$D363,"")</f>
        <v/>
      </c>
      <c r="G363" s="69"/>
      <c r="H363" s="31"/>
      <c r="I363" s="156">
        <v>0</v>
      </c>
    </row>
    <row r="364" spans="1:9" ht="15.75" hidden="1" thickBot="1" x14ac:dyDescent="0.3">
      <c r="A364" s="191" t="s">
        <v>3420</v>
      </c>
      <c r="B364" s="41" t="s">
        <v>568</v>
      </c>
      <c r="C364" s="26" t="s">
        <v>1049</v>
      </c>
      <c r="D364" s="94"/>
      <c r="E364" s="28" t="s">
        <v>568</v>
      </c>
      <c r="F364" s="28" t="str">
        <f>IF(ISNUMBER(E364),E364*$D364,"")</f>
        <v/>
      </c>
      <c r="G364" s="29"/>
      <c r="H364" s="30"/>
      <c r="I364" s="156">
        <v>0</v>
      </c>
    </row>
    <row r="365" spans="1:9" ht="15.75" hidden="1" thickBot="1" x14ac:dyDescent="0.3">
      <c r="A365" s="188"/>
      <c r="B365" s="32" t="s">
        <v>568</v>
      </c>
      <c r="C365" s="32"/>
      <c r="D365" s="92"/>
      <c r="E365" s="31" t="s">
        <v>568</v>
      </c>
      <c r="F365" s="31" t="str">
        <f>IF(ISNUMBER(E365),E365*$D365,"")</f>
        <v/>
      </c>
      <c r="G365" s="35"/>
      <c r="H365" s="31"/>
      <c r="I365" s="156">
        <v>0</v>
      </c>
    </row>
    <row r="366" spans="1:9" ht="26.25" hidden="1" thickBot="1" x14ac:dyDescent="0.3">
      <c r="A366" s="188"/>
      <c r="B366" s="36" t="s">
        <v>1218</v>
      </c>
      <c r="C366" s="36" t="s">
        <v>104</v>
      </c>
      <c r="D366" s="37">
        <v>1.7000000000000001E-2</v>
      </c>
      <c r="E366" s="31">
        <v>5.6144999999999996</v>
      </c>
      <c r="F366" s="34">
        <f>IF(ISNUMBER(E366),E366*$D366,"")</f>
        <v>9.5446500000000004E-2</v>
      </c>
      <c r="G366" s="45">
        <f>SUM(F366:F370)</f>
        <v>158.49843595499999</v>
      </c>
      <c r="H366" s="46"/>
      <c r="I366" s="156">
        <v>0</v>
      </c>
    </row>
    <row r="367" spans="1:9" ht="15.75" hidden="1" thickBot="1" x14ac:dyDescent="0.3">
      <c r="A367" s="188"/>
      <c r="B367" s="36" t="s">
        <v>3462</v>
      </c>
      <c r="C367" s="36" t="s">
        <v>953</v>
      </c>
      <c r="D367" s="37">
        <v>2.7E-2</v>
      </c>
      <c r="E367" s="34">
        <v>21.47</v>
      </c>
      <c r="F367" s="34">
        <f>IF(ISNUMBER(E367),E367*$D367,"")</f>
        <v>0.57968999999999993</v>
      </c>
      <c r="G367" s="45"/>
      <c r="H367" s="46"/>
      <c r="I367" s="156">
        <v>0</v>
      </c>
    </row>
    <row r="368" spans="1:9" ht="15.75" hidden="1" thickBot="1" x14ac:dyDescent="0.3">
      <c r="A368" s="188"/>
      <c r="B368" s="36" t="s">
        <v>839</v>
      </c>
      <c r="C368" s="36" t="s">
        <v>755</v>
      </c>
      <c r="D368" s="37">
        <v>0.48899999999999999</v>
      </c>
      <c r="E368" s="31">
        <v>18.468</v>
      </c>
      <c r="F368" s="34">
        <f>IF(ISNUMBER(E368),E368*$D368,"")</f>
        <v>9.0308519999999994</v>
      </c>
      <c r="G368" s="45"/>
      <c r="H368" s="46"/>
      <c r="I368" s="156">
        <v>0</v>
      </c>
    </row>
    <row r="369" spans="1:9" ht="15.75" hidden="1" thickBot="1" x14ac:dyDescent="0.3">
      <c r="A369" s="188"/>
      <c r="B369" s="36" t="s">
        <v>1050</v>
      </c>
      <c r="C369" s="36" t="s">
        <v>755</v>
      </c>
      <c r="D369" s="37">
        <v>2.6680000000000001</v>
      </c>
      <c r="E369" s="31">
        <v>21.878499999999999</v>
      </c>
      <c r="F369" s="34">
        <f>IF(ISNUMBER(E369),E369*$D369,"")</f>
        <v>58.371838000000004</v>
      </c>
      <c r="G369" s="45"/>
      <c r="H369" s="46"/>
      <c r="I369" s="156">
        <v>0</v>
      </c>
    </row>
    <row r="370" spans="1:9" ht="26.25" hidden="1" thickBot="1" x14ac:dyDescent="0.3">
      <c r="A370" s="188"/>
      <c r="B370" s="36" t="s">
        <v>3419</v>
      </c>
      <c r="C370" s="36" t="s">
        <v>1049</v>
      </c>
      <c r="D370" s="37">
        <v>0.53</v>
      </c>
      <c r="E370" s="31">
        <v>170.60492349999998</v>
      </c>
      <c r="F370" s="34">
        <f>IF(ISNUMBER(E370),E370*$D370,"")</f>
        <v>90.42060945499999</v>
      </c>
      <c r="G370" s="45"/>
      <c r="H370" s="46"/>
      <c r="I370" s="156">
        <v>0</v>
      </c>
    </row>
    <row r="371" spans="1:9" ht="15.75" hidden="1" thickBot="1" x14ac:dyDescent="0.3">
      <c r="A371" s="192"/>
      <c r="B371" s="55" t="s">
        <v>568</v>
      </c>
      <c r="C371" s="55"/>
      <c r="D371" s="96"/>
      <c r="E371" s="67" t="s">
        <v>568</v>
      </c>
      <c r="F371" s="68" t="str">
        <f>IF(ISNUMBER(E371),E371*$D371,"")</f>
        <v/>
      </c>
      <c r="G371" s="69"/>
      <c r="H371" s="31"/>
      <c r="I371" s="156">
        <v>0</v>
      </c>
    </row>
    <row r="372" spans="1:9" ht="15.75" hidden="1" thickBot="1" x14ac:dyDescent="0.3">
      <c r="A372" s="191" t="s">
        <v>3422</v>
      </c>
      <c r="B372" s="41" t="s">
        <v>568</v>
      </c>
      <c r="C372" s="26" t="s">
        <v>1049</v>
      </c>
      <c r="D372" s="94"/>
      <c r="E372" s="28" t="s">
        <v>568</v>
      </c>
      <c r="F372" s="28" t="str">
        <f>IF(ISNUMBER(E372),E372*$D372,"")</f>
        <v/>
      </c>
      <c r="G372" s="29"/>
      <c r="H372" s="30"/>
      <c r="I372" s="156">
        <v>0</v>
      </c>
    </row>
    <row r="373" spans="1:9" ht="15.75" hidden="1" thickBot="1" x14ac:dyDescent="0.3">
      <c r="A373" s="188"/>
      <c r="B373" s="32" t="s">
        <v>568</v>
      </c>
      <c r="C373" s="32"/>
      <c r="D373" s="92"/>
      <c r="E373" s="31" t="s">
        <v>568</v>
      </c>
      <c r="F373" s="31" t="str">
        <f>IF(ISNUMBER(E373),E373*$D373,"")</f>
        <v/>
      </c>
      <c r="G373" s="35"/>
      <c r="H373" s="31"/>
      <c r="I373" s="156">
        <v>0</v>
      </c>
    </row>
    <row r="374" spans="1:9" ht="39" hidden="1" thickBot="1" x14ac:dyDescent="0.3">
      <c r="A374" s="188"/>
      <c r="B374" s="36" t="s">
        <v>3425</v>
      </c>
      <c r="C374" s="36" t="s">
        <v>123</v>
      </c>
      <c r="D374" s="37">
        <v>4.1999999999999997E-3</v>
      </c>
      <c r="E374" s="31">
        <v>423.30672944999998</v>
      </c>
      <c r="F374" s="34">
        <f>IF(ISNUMBER(E374),E374*$D374,"")</f>
        <v>1.7778882636899997</v>
      </c>
      <c r="G374" s="45">
        <f>SUM(F374:F376)</f>
        <v>3.4381937636899993</v>
      </c>
      <c r="H374" s="46"/>
      <c r="I374" s="156">
        <v>0</v>
      </c>
    </row>
    <row r="375" spans="1:9" ht="15.75" hidden="1" thickBot="1" x14ac:dyDescent="0.3">
      <c r="A375" s="188"/>
      <c r="B375" s="36" t="s">
        <v>764</v>
      </c>
      <c r="C375" s="36" t="s">
        <v>755</v>
      </c>
      <c r="D375" s="37">
        <v>7.0000000000000007E-2</v>
      </c>
      <c r="E375" s="34">
        <v>22.087499999999999</v>
      </c>
      <c r="F375" s="34">
        <f>IF(ISNUMBER(E375),E375*$D375,"")</f>
        <v>1.546125</v>
      </c>
      <c r="G375" s="45"/>
      <c r="H375" s="46"/>
      <c r="I375" s="156">
        <v>0</v>
      </c>
    </row>
    <row r="376" spans="1:9" ht="15.75" hidden="1" thickBot="1" x14ac:dyDescent="0.3">
      <c r="A376" s="188"/>
      <c r="B376" s="36" t="s">
        <v>756</v>
      </c>
      <c r="C376" s="36" t="s">
        <v>755</v>
      </c>
      <c r="D376" s="37">
        <v>7.0000000000000001E-3</v>
      </c>
      <c r="E376" s="31">
        <v>16.311500000000002</v>
      </c>
      <c r="F376" s="34">
        <f>IF(ISNUMBER(E376),E376*$D376,"")</f>
        <v>0.11418050000000002</v>
      </c>
      <c r="G376" s="45"/>
      <c r="H376" s="46"/>
      <c r="I376" s="156">
        <v>0</v>
      </c>
    </row>
    <row r="377" spans="1:9" ht="15.75" hidden="1" thickBot="1" x14ac:dyDescent="0.3">
      <c r="A377" s="188"/>
      <c r="B377" s="36"/>
      <c r="C377" s="36"/>
      <c r="D377" s="37"/>
      <c r="E377" s="31"/>
      <c r="F377" s="34"/>
      <c r="G377" s="45"/>
      <c r="H377" s="46"/>
      <c r="I377" s="156">
        <v>0</v>
      </c>
    </row>
    <row r="378" spans="1:9" ht="15.75" hidden="1" thickBot="1" x14ac:dyDescent="0.3">
      <c r="A378" s="191" t="s">
        <v>3423</v>
      </c>
      <c r="B378" s="41" t="s">
        <v>568</v>
      </c>
      <c r="C378" s="26" t="s">
        <v>1049</v>
      </c>
      <c r="D378" s="94"/>
      <c r="E378" s="28" t="s">
        <v>568</v>
      </c>
      <c r="F378" s="28" t="str">
        <f>IF(ISNUMBER(E378),E378*$D378,"")</f>
        <v/>
      </c>
      <c r="G378" s="29"/>
      <c r="H378" s="30"/>
      <c r="I378" s="156">
        <v>0</v>
      </c>
    </row>
    <row r="379" spans="1:9" ht="15.75" hidden="1" thickBot="1" x14ac:dyDescent="0.3">
      <c r="A379" s="188"/>
      <c r="B379" s="32" t="s">
        <v>568</v>
      </c>
      <c r="C379" s="32"/>
      <c r="D379" s="92"/>
      <c r="E379" s="31" t="s">
        <v>568</v>
      </c>
      <c r="F379" s="31" t="str">
        <f>IF(ISNUMBER(E379),E379*$D379,"")</f>
        <v/>
      </c>
      <c r="G379" s="35"/>
      <c r="H379" s="31"/>
      <c r="I379" s="156">
        <v>0</v>
      </c>
    </row>
    <row r="380" spans="1:9" ht="51.75" hidden="1" thickBot="1" x14ac:dyDescent="0.3">
      <c r="A380" s="188"/>
      <c r="B380" s="36" t="s">
        <v>159</v>
      </c>
      <c r="C380" s="36" t="s">
        <v>123</v>
      </c>
      <c r="D380" s="37">
        <v>2.1299999999999999E-2</v>
      </c>
      <c r="E380" s="31">
        <v>471.35163140000003</v>
      </c>
      <c r="F380" s="34">
        <f>IF(ISNUMBER(E380),E380*$D380,"")</f>
        <v>10.039789748820001</v>
      </c>
      <c r="G380" s="45">
        <f>SUM(F380:F382)</f>
        <v>22.924060248820002</v>
      </c>
      <c r="H380" s="46"/>
      <c r="I380" s="156">
        <v>0</v>
      </c>
    </row>
    <row r="381" spans="1:9" ht="15.75" hidden="1" thickBot="1" x14ac:dyDescent="0.3">
      <c r="A381" s="188"/>
      <c r="B381" s="36" t="s">
        <v>764</v>
      </c>
      <c r="C381" s="36" t="s">
        <v>755</v>
      </c>
      <c r="D381" s="37">
        <v>0.46</v>
      </c>
      <c r="E381" s="34">
        <v>22.087499999999999</v>
      </c>
      <c r="F381" s="34">
        <f>IF(ISNUMBER(E381),E381*$D381,"")</f>
        <v>10.16025</v>
      </c>
      <c r="G381" s="45"/>
      <c r="H381" s="46"/>
      <c r="I381" s="156">
        <v>0</v>
      </c>
    </row>
    <row r="382" spans="1:9" ht="15.75" hidden="1" thickBot="1" x14ac:dyDescent="0.3">
      <c r="A382" s="188"/>
      <c r="B382" s="36" t="s">
        <v>756</v>
      </c>
      <c r="C382" s="36" t="s">
        <v>755</v>
      </c>
      <c r="D382" s="37">
        <v>0.16700000000000001</v>
      </c>
      <c r="E382" s="31">
        <v>16.311500000000002</v>
      </c>
      <c r="F382" s="34">
        <f>IF(ISNUMBER(E382),E382*$D382,"")</f>
        <v>2.7240205000000004</v>
      </c>
      <c r="G382" s="45"/>
      <c r="H382" s="46"/>
      <c r="I382" s="156">
        <v>0</v>
      </c>
    </row>
    <row r="383" spans="1:9" ht="15.75" hidden="1" thickBot="1" x14ac:dyDescent="0.3">
      <c r="A383" s="188"/>
      <c r="B383" s="36"/>
      <c r="C383" s="36"/>
      <c r="D383" s="37"/>
      <c r="E383" s="31"/>
      <c r="F383" s="34"/>
      <c r="G383" s="45"/>
      <c r="H383" s="46"/>
      <c r="I383" s="156">
        <v>0</v>
      </c>
    </row>
    <row r="384" spans="1:9" ht="15.75" hidden="1" thickBot="1" x14ac:dyDescent="0.3">
      <c r="A384" s="191" t="s">
        <v>3421</v>
      </c>
      <c r="B384" s="41" t="s">
        <v>568</v>
      </c>
      <c r="C384" s="26" t="s">
        <v>1049</v>
      </c>
      <c r="D384" s="94"/>
      <c r="E384" s="28" t="s">
        <v>568</v>
      </c>
      <c r="F384" s="28" t="str">
        <f>IF(ISNUMBER(E384),E384*$D384,"")</f>
        <v/>
      </c>
      <c r="G384" s="29"/>
      <c r="H384" s="30"/>
      <c r="I384" s="156">
        <v>0</v>
      </c>
    </row>
    <row r="385" spans="1:9" ht="15.75" hidden="1" thickBot="1" x14ac:dyDescent="0.3">
      <c r="A385" s="188"/>
      <c r="B385" s="32" t="s">
        <v>568</v>
      </c>
      <c r="C385" s="32"/>
      <c r="D385" s="92"/>
      <c r="E385" s="31" t="s">
        <v>568</v>
      </c>
      <c r="F385" s="31" t="str">
        <f>IF(ISNUMBER(E385),E385*$D385,"")</f>
        <v/>
      </c>
      <c r="G385" s="35"/>
      <c r="H385" s="31"/>
      <c r="I385" s="156">
        <v>0</v>
      </c>
    </row>
    <row r="386" spans="1:9" ht="26.25" hidden="1" thickBot="1" x14ac:dyDescent="0.3">
      <c r="A386" s="188"/>
      <c r="B386" s="36" t="s">
        <v>3603</v>
      </c>
      <c r="C386" s="36" t="s">
        <v>297</v>
      </c>
      <c r="D386" s="37">
        <v>13.5</v>
      </c>
      <c r="E386" s="31">
        <v>2.09</v>
      </c>
      <c r="F386" s="34">
        <f>IF(ISNUMBER(E386),E386*$D386,"")</f>
        <v>28.214999999999996</v>
      </c>
      <c r="G386" s="45">
        <f>SUM(F386:F391)</f>
        <v>57.345162156319994</v>
      </c>
      <c r="H386" s="46"/>
      <c r="I386" s="156">
        <v>0</v>
      </c>
    </row>
    <row r="387" spans="1:9" ht="26.25" hidden="1" thickBot="1" x14ac:dyDescent="0.3">
      <c r="A387" s="188"/>
      <c r="B387" s="36" t="s">
        <v>3470</v>
      </c>
      <c r="C387" s="36" t="s">
        <v>523</v>
      </c>
      <c r="D387" s="37">
        <v>0.78500000000000003</v>
      </c>
      <c r="E387" s="34">
        <v>3.6479999999999997</v>
      </c>
      <c r="F387" s="34">
        <f>IF(ISNUMBER(E387),E387*$D387,"")</f>
        <v>2.86368</v>
      </c>
      <c r="G387" s="45"/>
      <c r="H387" s="46"/>
      <c r="I387" s="156">
        <v>0</v>
      </c>
    </row>
    <row r="388" spans="1:9" ht="15.75" hidden="1" thickBot="1" x14ac:dyDescent="0.3">
      <c r="A388" s="188"/>
      <c r="B388" s="36" t="s">
        <v>3460</v>
      </c>
      <c r="C388" s="36" t="s">
        <v>1320</v>
      </c>
      <c r="D388" s="37">
        <v>9.4000000000000004E-3</v>
      </c>
      <c r="E388" s="31">
        <v>36.536999999999999</v>
      </c>
      <c r="F388" s="34">
        <f>IF(ISNUMBER(E388),E388*$D388,"")</f>
        <v>0.34344780000000003</v>
      </c>
      <c r="G388" s="45"/>
      <c r="H388" s="46"/>
      <c r="I388" s="156">
        <v>0</v>
      </c>
    </row>
    <row r="389" spans="1:9" ht="51.75" hidden="1" thickBot="1" x14ac:dyDescent="0.3">
      <c r="A389" s="188"/>
      <c r="B389" s="36" t="s">
        <v>159</v>
      </c>
      <c r="C389" s="36" t="s">
        <v>123</v>
      </c>
      <c r="D389" s="37">
        <v>8.8000000000000005E-3</v>
      </c>
      <c r="E389" s="31">
        <v>471.35163140000003</v>
      </c>
      <c r="F389" s="34">
        <f>IF(ISNUMBER(E389),E389*$D389,"")</f>
        <v>4.1478943563200001</v>
      </c>
      <c r="G389" s="45"/>
      <c r="H389" s="46"/>
      <c r="I389" s="156">
        <v>0</v>
      </c>
    </row>
    <row r="390" spans="1:9" ht="15.75" hidden="1" thickBot="1" x14ac:dyDescent="0.3">
      <c r="A390" s="188"/>
      <c r="B390" s="36" t="s">
        <v>764</v>
      </c>
      <c r="C390" s="36" t="s">
        <v>755</v>
      </c>
      <c r="D390" s="37">
        <v>0.72</v>
      </c>
      <c r="E390" s="31">
        <v>22.087499999999999</v>
      </c>
      <c r="F390" s="34">
        <f>IF(ISNUMBER(E390),E390*$D390,"")</f>
        <v>15.902999999999999</v>
      </c>
      <c r="G390" s="45"/>
      <c r="H390" s="46"/>
      <c r="I390" s="156">
        <v>0</v>
      </c>
    </row>
    <row r="391" spans="1:9" ht="15.75" hidden="1" thickBot="1" x14ac:dyDescent="0.3">
      <c r="A391" s="188"/>
      <c r="B391" s="36" t="s">
        <v>756</v>
      </c>
      <c r="C391" s="36" t="s">
        <v>755</v>
      </c>
      <c r="D391" s="37">
        <v>0.36</v>
      </c>
      <c r="E391" s="31">
        <v>16.311500000000002</v>
      </c>
      <c r="F391" s="34">
        <f>IF(ISNUMBER(E391),E391*$D391,"")</f>
        <v>5.8721400000000008</v>
      </c>
      <c r="G391" s="45"/>
      <c r="H391" s="46"/>
      <c r="I391" s="156">
        <v>0</v>
      </c>
    </row>
    <row r="392" spans="1:9" ht="15.75" hidden="1" thickBot="1" x14ac:dyDescent="0.3">
      <c r="A392" s="192"/>
      <c r="B392" s="55" t="s">
        <v>568</v>
      </c>
      <c r="C392" s="55"/>
      <c r="D392" s="96"/>
      <c r="E392" s="67" t="s">
        <v>568</v>
      </c>
      <c r="F392" s="68" t="str">
        <f>IF(ISNUMBER(E392),E392*$D392,"")</f>
        <v/>
      </c>
      <c r="G392" s="69"/>
      <c r="H392" s="31"/>
      <c r="I392" s="156">
        <v>0</v>
      </c>
    </row>
    <row r="393" spans="1:9" ht="26.25" hidden="1" customHeight="1" thickBot="1" x14ac:dyDescent="0.3">
      <c r="A393" s="191" t="s">
        <v>3769</v>
      </c>
      <c r="B393" s="41" t="s">
        <v>568</v>
      </c>
      <c r="C393" s="78" t="s">
        <v>1049</v>
      </c>
      <c r="D393" s="94"/>
      <c r="E393" s="42" t="s">
        <v>568</v>
      </c>
      <c r="F393" s="42" t="str">
        <f t="shared" ref="F393:F399" si="0">IF(ISNUMBER(E393),ROUND(E393*$D393,2),"")</f>
        <v/>
      </c>
      <c r="G393" s="29"/>
      <c r="H393" s="30"/>
      <c r="I393" s="156">
        <v>0</v>
      </c>
    </row>
    <row r="394" spans="1:9" ht="15.75" hidden="1" thickBot="1" x14ac:dyDescent="0.3">
      <c r="A394" s="188"/>
      <c r="B394" s="32" t="s">
        <v>568</v>
      </c>
      <c r="C394" s="79"/>
      <c r="D394" s="92"/>
      <c r="E394" s="98" t="s">
        <v>568</v>
      </c>
      <c r="F394" s="99" t="str">
        <f t="shared" si="0"/>
        <v/>
      </c>
      <c r="G394" s="35"/>
      <c r="H394" s="31"/>
      <c r="I394" s="156">
        <v>0</v>
      </c>
    </row>
    <row r="395" spans="1:9" ht="26.25" hidden="1" thickBot="1" x14ac:dyDescent="0.3">
      <c r="A395" s="188"/>
      <c r="B395" s="36" t="s">
        <v>3782</v>
      </c>
      <c r="C395" s="50" t="s">
        <v>523</v>
      </c>
      <c r="D395" s="37">
        <v>4.4320000000000004</v>
      </c>
      <c r="E395" s="34">
        <v>1.9854999999999998</v>
      </c>
      <c r="F395" s="34">
        <f t="shared" si="0"/>
        <v>8.8000000000000007</v>
      </c>
      <c r="G395" s="45">
        <f>SUM(F395:F401)</f>
        <v>170.6</v>
      </c>
      <c r="H395" s="46"/>
      <c r="I395" s="156">
        <v>0</v>
      </c>
    </row>
    <row r="396" spans="1:9" ht="15.75" hidden="1" thickBot="1" x14ac:dyDescent="0.3">
      <c r="A396" s="188"/>
      <c r="B396" s="36" t="s">
        <v>1455</v>
      </c>
      <c r="C396" s="50" t="s">
        <v>953</v>
      </c>
      <c r="D396" s="37">
        <v>8.5999999999999993E-2</v>
      </c>
      <c r="E396" s="34">
        <v>17.394499999999997</v>
      </c>
      <c r="F396" s="34">
        <f t="shared" si="0"/>
        <v>1.5</v>
      </c>
      <c r="G396" s="45"/>
      <c r="H396" s="46"/>
      <c r="I396" s="156">
        <v>0</v>
      </c>
    </row>
    <row r="397" spans="1:9" ht="26.25" hidden="1" thickBot="1" x14ac:dyDescent="0.3">
      <c r="A397" s="188"/>
      <c r="B397" s="36" t="s">
        <v>99</v>
      </c>
      <c r="C397" s="50" t="s">
        <v>523</v>
      </c>
      <c r="D397" s="37">
        <v>6.53</v>
      </c>
      <c r="E397" s="31">
        <v>21.355999999999998</v>
      </c>
      <c r="F397" s="34">
        <f t="shared" si="0"/>
        <v>139.44999999999999</v>
      </c>
      <c r="G397" s="45"/>
      <c r="H397" s="46"/>
      <c r="I397" s="156">
        <v>0</v>
      </c>
    </row>
    <row r="398" spans="1:9" ht="15.75" hidden="1" thickBot="1" x14ac:dyDescent="0.3">
      <c r="A398" s="188"/>
      <c r="B398" s="36" t="s">
        <v>839</v>
      </c>
      <c r="C398" s="50" t="s">
        <v>755</v>
      </c>
      <c r="D398" s="37">
        <v>0.14299999999999999</v>
      </c>
      <c r="E398" s="31">
        <v>18.468</v>
      </c>
      <c r="F398" s="34">
        <f t="shared" si="0"/>
        <v>2.64</v>
      </c>
      <c r="G398" s="45"/>
      <c r="H398" s="46"/>
      <c r="I398" s="156">
        <v>0</v>
      </c>
    </row>
    <row r="399" spans="1:9" ht="15.75" hidden="1" thickBot="1" x14ac:dyDescent="0.3">
      <c r="A399" s="188"/>
      <c r="B399" s="36" t="s">
        <v>1050</v>
      </c>
      <c r="C399" s="50" t="s">
        <v>755</v>
      </c>
      <c r="D399" s="37">
        <v>0.71499999999999997</v>
      </c>
      <c r="E399" s="31">
        <v>21.878499999999999</v>
      </c>
      <c r="F399" s="34">
        <f t="shared" si="0"/>
        <v>15.64</v>
      </c>
      <c r="G399" s="45"/>
      <c r="H399" s="46"/>
      <c r="I399" s="156">
        <v>0</v>
      </c>
    </row>
    <row r="400" spans="1:9" ht="26.25" hidden="1" thickBot="1" x14ac:dyDescent="0.3">
      <c r="A400" s="188"/>
      <c r="B400" s="36" t="s">
        <v>1222</v>
      </c>
      <c r="C400" s="50" t="s">
        <v>997</v>
      </c>
      <c r="D400" s="37">
        <v>0.05</v>
      </c>
      <c r="E400" s="31">
        <v>19.180499999999999</v>
      </c>
      <c r="F400" s="34">
        <f>IF(ISNUMBER(E400),ROUND(E400*$D400,2),"")</f>
        <v>0.96</v>
      </c>
      <c r="G400" s="45"/>
      <c r="H400" s="46"/>
      <c r="I400" s="156">
        <v>0</v>
      </c>
    </row>
    <row r="401" spans="1:9" ht="26.25" hidden="1" thickBot="1" x14ac:dyDescent="0.3">
      <c r="A401" s="188"/>
      <c r="B401" s="36" t="s">
        <v>1223</v>
      </c>
      <c r="C401" s="50" t="s">
        <v>999</v>
      </c>
      <c r="D401" s="37">
        <v>9.2999999999999999E-2</v>
      </c>
      <c r="E401" s="34">
        <v>17.327999999999999</v>
      </c>
      <c r="F401" s="34">
        <f>IF(ISNUMBER(E401),ROUND(E401*$D401,2),"")</f>
        <v>1.61</v>
      </c>
      <c r="G401" s="45"/>
      <c r="H401" s="46"/>
      <c r="I401" s="156">
        <v>0</v>
      </c>
    </row>
    <row r="402" spans="1:9" ht="15.75" hidden="1" thickBot="1" x14ac:dyDescent="0.3">
      <c r="A402" s="192"/>
      <c r="B402" s="104"/>
      <c r="C402" s="80"/>
      <c r="D402" s="96"/>
      <c r="E402" s="67" t="s">
        <v>568</v>
      </c>
      <c r="F402" s="67" t="str">
        <f t="shared" ref="F402:F409" si="1">IF(ISNUMBER(E402),ROUND(E402*$D402,2),"")</f>
        <v/>
      </c>
      <c r="G402" s="69"/>
      <c r="H402" s="31"/>
      <c r="I402" s="156">
        <v>0</v>
      </c>
    </row>
    <row r="403" spans="1:9" ht="26.25" hidden="1" customHeight="1" thickBot="1" x14ac:dyDescent="0.3">
      <c r="A403" s="191" t="s">
        <v>3425</v>
      </c>
      <c r="B403" s="41" t="s">
        <v>568</v>
      </c>
      <c r="C403" s="78" t="s">
        <v>123</v>
      </c>
      <c r="D403" s="94"/>
      <c r="E403" s="42" t="s">
        <v>568</v>
      </c>
      <c r="F403" s="42" t="str">
        <f t="shared" si="1"/>
        <v/>
      </c>
      <c r="G403" s="29"/>
      <c r="H403" s="30"/>
      <c r="I403" s="156">
        <v>0</v>
      </c>
    </row>
    <row r="404" spans="1:9" ht="15.75" hidden="1" thickBot="1" x14ac:dyDescent="0.3">
      <c r="A404" s="188"/>
      <c r="B404" s="32" t="s">
        <v>568</v>
      </c>
      <c r="C404" s="79"/>
      <c r="D404" s="92"/>
      <c r="E404" s="98" t="s">
        <v>568</v>
      </c>
      <c r="F404" s="99" t="str">
        <f t="shared" si="1"/>
        <v/>
      </c>
      <c r="G404" s="35"/>
      <c r="H404" s="31"/>
      <c r="I404" s="156">
        <v>0</v>
      </c>
    </row>
    <row r="405" spans="1:9" ht="26.25" hidden="1" thickBot="1" x14ac:dyDescent="0.3">
      <c r="A405" s="188"/>
      <c r="B405" s="36" t="s">
        <v>1368</v>
      </c>
      <c r="C405" s="50" t="s">
        <v>123</v>
      </c>
      <c r="D405" s="37">
        <v>0.95</v>
      </c>
      <c r="E405" s="34">
        <v>112.63199999999999</v>
      </c>
      <c r="F405" s="34">
        <f t="shared" si="1"/>
        <v>107</v>
      </c>
      <c r="G405" s="45">
        <f>SUM(F405:F413)</f>
        <v>423.35588766500007</v>
      </c>
      <c r="H405" s="46"/>
      <c r="I405" s="156">
        <v>0</v>
      </c>
    </row>
    <row r="406" spans="1:9" ht="15.75" hidden="1" thickBot="1" x14ac:dyDescent="0.3">
      <c r="A406" s="188"/>
      <c r="B406" s="36" t="s">
        <v>801</v>
      </c>
      <c r="C406" s="50" t="s">
        <v>953</v>
      </c>
      <c r="D406" s="37">
        <v>426.49</v>
      </c>
      <c r="E406" s="34">
        <v>0.47499999999999998</v>
      </c>
      <c r="F406" s="34">
        <f t="shared" si="1"/>
        <v>202.58</v>
      </c>
      <c r="G406" s="45"/>
      <c r="H406" s="46"/>
      <c r="I406" s="156">
        <v>0</v>
      </c>
    </row>
    <row r="407" spans="1:9" ht="26.25" hidden="1" thickBot="1" x14ac:dyDescent="0.3">
      <c r="A407" s="188"/>
      <c r="B407" s="36" t="s">
        <v>1533</v>
      </c>
      <c r="C407" s="50" t="s">
        <v>755</v>
      </c>
      <c r="D407" s="37">
        <v>4.32</v>
      </c>
      <c r="E407" s="31">
        <v>16.5015</v>
      </c>
      <c r="F407" s="34">
        <f t="shared" si="1"/>
        <v>71.290000000000006</v>
      </c>
      <c r="G407" s="45"/>
      <c r="H407" s="46"/>
      <c r="I407" s="156">
        <v>0</v>
      </c>
    </row>
    <row r="408" spans="1:9" ht="39" hidden="1" thickBot="1" x14ac:dyDescent="0.3">
      <c r="A408" s="188"/>
      <c r="B408" s="36" t="s">
        <v>120</v>
      </c>
      <c r="C408" s="50" t="s">
        <v>997</v>
      </c>
      <c r="D408" s="37">
        <v>1.01</v>
      </c>
      <c r="E408" s="31">
        <v>1.2064999999999999</v>
      </c>
      <c r="F408" s="34">
        <f t="shared" si="1"/>
        <v>1.22</v>
      </c>
      <c r="G408" s="45"/>
      <c r="H408" s="46"/>
      <c r="I408" s="156">
        <v>0</v>
      </c>
    </row>
    <row r="409" spans="1:9" ht="39" hidden="1" thickBot="1" x14ac:dyDescent="0.3">
      <c r="A409" s="188"/>
      <c r="B409" s="36" t="s">
        <v>121</v>
      </c>
      <c r="C409" s="50" t="s">
        <v>999</v>
      </c>
      <c r="D409" s="37">
        <v>3.31</v>
      </c>
      <c r="E409" s="31">
        <v>0.26600000000000001</v>
      </c>
      <c r="F409" s="34">
        <f t="shared" si="1"/>
        <v>0.88</v>
      </c>
      <c r="G409" s="45"/>
      <c r="H409" s="46"/>
      <c r="I409" s="156">
        <v>0</v>
      </c>
    </row>
    <row r="410" spans="1:9" ht="51.75" hidden="1" thickBot="1" x14ac:dyDescent="0.3">
      <c r="A410" s="188"/>
      <c r="B410" s="36" t="s">
        <v>3611</v>
      </c>
      <c r="C410" s="36" t="s">
        <v>123</v>
      </c>
      <c r="D410" s="37">
        <f>ROUND(1*(D405),4)</f>
        <v>0.95</v>
      </c>
      <c r="E410" s="31">
        <v>5.6237587000000007</v>
      </c>
      <c r="F410" s="34">
        <f t="shared" ref="F410:F411" si="2">IF(ISNUMBER(E410),E410*$D410,"")</f>
        <v>5.3425707650000005</v>
      </c>
      <c r="G410" s="45"/>
      <c r="H410" s="46"/>
      <c r="I410" s="156">
        <v>0</v>
      </c>
    </row>
    <row r="411" spans="1:9" ht="39" hidden="1" thickBot="1" x14ac:dyDescent="0.3">
      <c r="A411" s="188"/>
      <c r="B411" s="36" t="s">
        <v>3610</v>
      </c>
      <c r="C411" s="47" t="s">
        <v>125</v>
      </c>
      <c r="D411" s="37">
        <f>ROUND(D405*20,4)</f>
        <v>19</v>
      </c>
      <c r="E411" s="31">
        <v>1.8443850999999998</v>
      </c>
      <c r="F411" s="34">
        <f t="shared" si="2"/>
        <v>35.043316899999994</v>
      </c>
      <c r="G411" s="45"/>
      <c r="H411" s="46"/>
      <c r="I411" s="156">
        <v>0</v>
      </c>
    </row>
    <row r="412" spans="1:9" ht="15.75" hidden="1" thickBot="1" x14ac:dyDescent="0.3">
      <c r="A412" s="188"/>
      <c r="B412" s="51"/>
      <c r="C412" s="130"/>
      <c r="D412" s="37"/>
      <c r="E412" s="31" t="s">
        <v>568</v>
      </c>
      <c r="F412" s="34" t="str">
        <f t="shared" ref="F412:F421" si="3">IF(ISNUMBER(E412),ROUND(E412*$D412,2),"")</f>
        <v/>
      </c>
      <c r="G412" s="45"/>
      <c r="H412" s="46"/>
      <c r="I412" s="156">
        <v>0</v>
      </c>
    </row>
    <row r="413" spans="1:9" ht="15.75" hidden="1" thickBot="1" x14ac:dyDescent="0.3">
      <c r="A413" s="188"/>
      <c r="B413" s="48" t="s">
        <v>808</v>
      </c>
      <c r="C413" s="130"/>
      <c r="D413" s="37"/>
      <c r="E413" s="31" t="s">
        <v>568</v>
      </c>
      <c r="F413" s="34" t="str">
        <f t="shared" si="3"/>
        <v/>
      </c>
      <c r="G413" s="45"/>
      <c r="H413" s="46"/>
      <c r="I413" s="156">
        <v>0</v>
      </c>
    </row>
    <row r="414" spans="1:9" ht="15.75" hidden="1" thickBot="1" x14ac:dyDescent="0.3">
      <c r="A414" s="192"/>
      <c r="B414" s="104"/>
      <c r="C414" s="80"/>
      <c r="D414" s="96"/>
      <c r="E414" s="67" t="s">
        <v>568</v>
      </c>
      <c r="F414" s="67" t="str">
        <f t="shared" si="3"/>
        <v/>
      </c>
      <c r="G414" s="69"/>
      <c r="H414" s="31"/>
      <c r="I414" s="156">
        <v>0</v>
      </c>
    </row>
    <row r="415" spans="1:9" ht="26.25" hidden="1" customHeight="1" thickBot="1" x14ac:dyDescent="0.3">
      <c r="A415" s="191" t="s">
        <v>3424</v>
      </c>
      <c r="B415" s="41" t="s">
        <v>568</v>
      </c>
      <c r="C415" s="78" t="s">
        <v>123</v>
      </c>
      <c r="D415" s="94"/>
      <c r="E415" s="42" t="s">
        <v>568</v>
      </c>
      <c r="F415" s="42" t="str">
        <f t="shared" si="3"/>
        <v/>
      </c>
      <c r="G415" s="29"/>
      <c r="H415" s="30"/>
      <c r="I415" s="156">
        <v>0</v>
      </c>
    </row>
    <row r="416" spans="1:9" ht="15.75" hidden="1" thickBot="1" x14ac:dyDescent="0.3">
      <c r="A416" s="188"/>
      <c r="B416" s="32" t="s">
        <v>568</v>
      </c>
      <c r="C416" s="79"/>
      <c r="D416" s="92"/>
      <c r="E416" s="98" t="s">
        <v>568</v>
      </c>
      <c r="F416" s="99" t="str">
        <f t="shared" si="3"/>
        <v/>
      </c>
      <c r="G416" s="35"/>
      <c r="H416" s="31"/>
      <c r="I416" s="156">
        <v>0</v>
      </c>
    </row>
    <row r="417" spans="1:9" ht="26.25" hidden="1" thickBot="1" x14ac:dyDescent="0.3">
      <c r="A417" s="188"/>
      <c r="B417" s="36" t="s">
        <v>1368</v>
      </c>
      <c r="C417" s="50" t="s">
        <v>123</v>
      </c>
      <c r="D417" s="37">
        <v>1.27</v>
      </c>
      <c r="E417" s="34">
        <v>112.63199999999999</v>
      </c>
      <c r="F417" s="34">
        <f t="shared" si="3"/>
        <v>143.04</v>
      </c>
      <c r="G417" s="45">
        <f>SUM(F417:F425)</f>
        <v>544.569555089</v>
      </c>
      <c r="H417" s="46"/>
      <c r="I417" s="156">
        <v>0</v>
      </c>
    </row>
    <row r="418" spans="1:9" ht="15.75" hidden="1" thickBot="1" x14ac:dyDescent="0.3">
      <c r="A418" s="188"/>
      <c r="B418" s="36" t="s">
        <v>801</v>
      </c>
      <c r="C418" s="50" t="s">
        <v>953</v>
      </c>
      <c r="D418" s="37">
        <v>573.61</v>
      </c>
      <c r="E418" s="34">
        <v>0.47499999999999998</v>
      </c>
      <c r="F418" s="34">
        <f t="shared" si="3"/>
        <v>272.45999999999998</v>
      </c>
      <c r="G418" s="45"/>
      <c r="H418" s="46"/>
      <c r="I418" s="156">
        <v>0</v>
      </c>
    </row>
    <row r="419" spans="1:9" ht="26.25" hidden="1" thickBot="1" x14ac:dyDescent="0.3">
      <c r="A419" s="188"/>
      <c r="B419" s="36" t="s">
        <v>1533</v>
      </c>
      <c r="C419" s="50" t="s">
        <v>755</v>
      </c>
      <c r="D419" s="37">
        <v>4.42</v>
      </c>
      <c r="E419" s="31">
        <v>16.5015</v>
      </c>
      <c r="F419" s="34">
        <f t="shared" si="3"/>
        <v>72.94</v>
      </c>
      <c r="G419" s="45"/>
      <c r="H419" s="46"/>
      <c r="I419" s="156">
        <v>0</v>
      </c>
    </row>
    <row r="420" spans="1:9" ht="39" hidden="1" thickBot="1" x14ac:dyDescent="0.3">
      <c r="A420" s="188"/>
      <c r="B420" s="36" t="s">
        <v>120</v>
      </c>
      <c r="C420" s="50" t="s">
        <v>997</v>
      </c>
      <c r="D420" s="37">
        <v>1.03</v>
      </c>
      <c r="E420" s="31">
        <v>1.2064999999999999</v>
      </c>
      <c r="F420" s="34">
        <f t="shared" si="3"/>
        <v>1.24</v>
      </c>
      <c r="G420" s="45"/>
      <c r="H420" s="46"/>
      <c r="I420" s="156">
        <v>0</v>
      </c>
    </row>
    <row r="421" spans="1:9" ht="39" hidden="1" thickBot="1" x14ac:dyDescent="0.3">
      <c r="A421" s="188"/>
      <c r="B421" s="36" t="s">
        <v>121</v>
      </c>
      <c r="C421" s="50" t="s">
        <v>999</v>
      </c>
      <c r="D421" s="37">
        <v>3.39</v>
      </c>
      <c r="E421" s="31">
        <v>0.26600000000000001</v>
      </c>
      <c r="F421" s="34">
        <f t="shared" si="3"/>
        <v>0.9</v>
      </c>
      <c r="G421" s="45"/>
      <c r="H421" s="46"/>
      <c r="I421" s="156">
        <v>0</v>
      </c>
    </row>
    <row r="422" spans="1:9" ht="51.75" hidden="1" thickBot="1" x14ac:dyDescent="0.3">
      <c r="A422" s="188"/>
      <c r="B422" s="36" t="s">
        <v>3611</v>
      </c>
      <c r="C422" s="36" t="s">
        <v>123</v>
      </c>
      <c r="D422" s="37">
        <f>ROUND(1*(D417),4)</f>
        <v>1.27</v>
      </c>
      <c r="E422" s="31">
        <v>5.6237587000000007</v>
      </c>
      <c r="F422" s="34">
        <f t="shared" ref="F422:F423" si="4">IF(ISNUMBER(E422),E422*$D422,"")</f>
        <v>7.1421735490000007</v>
      </c>
      <c r="G422" s="45"/>
      <c r="H422" s="46"/>
      <c r="I422" s="156">
        <v>0</v>
      </c>
    </row>
    <row r="423" spans="1:9" ht="39" hidden="1" thickBot="1" x14ac:dyDescent="0.3">
      <c r="A423" s="188"/>
      <c r="B423" s="36" t="s">
        <v>3610</v>
      </c>
      <c r="C423" s="47" t="s">
        <v>125</v>
      </c>
      <c r="D423" s="37">
        <f>ROUND(D417*20,4)</f>
        <v>25.4</v>
      </c>
      <c r="E423" s="31">
        <v>1.8443850999999998</v>
      </c>
      <c r="F423" s="34">
        <f t="shared" si="4"/>
        <v>46.847381539999994</v>
      </c>
      <c r="G423" s="45"/>
      <c r="H423" s="46"/>
      <c r="I423" s="156">
        <v>0</v>
      </c>
    </row>
    <row r="424" spans="1:9" ht="15.75" hidden="1" thickBot="1" x14ac:dyDescent="0.3">
      <c r="A424" s="188"/>
      <c r="B424" s="51"/>
      <c r="C424" s="130"/>
      <c r="D424" s="37"/>
      <c r="E424" s="31" t="s">
        <v>568</v>
      </c>
      <c r="F424" s="34" t="str">
        <f t="shared" ref="F424:F432" si="5">IF(ISNUMBER(E424),ROUND(E424*$D424,2),"")</f>
        <v/>
      </c>
      <c r="G424" s="45"/>
      <c r="H424" s="46"/>
      <c r="I424" s="156">
        <v>0</v>
      </c>
    </row>
    <row r="425" spans="1:9" ht="24.95" hidden="1" customHeight="1" x14ac:dyDescent="0.3">
      <c r="A425" s="188"/>
      <c r="B425" s="48" t="s">
        <v>808</v>
      </c>
      <c r="C425" s="130"/>
      <c r="D425" s="37"/>
      <c r="E425" s="31" t="s">
        <v>568</v>
      </c>
      <c r="F425" s="34" t="str">
        <f t="shared" si="5"/>
        <v/>
      </c>
      <c r="G425" s="45"/>
      <c r="H425" s="46"/>
      <c r="I425" s="156">
        <v>0</v>
      </c>
    </row>
    <row r="426" spans="1:9" ht="15.75" hidden="1" thickBot="1" x14ac:dyDescent="0.3">
      <c r="A426" s="192"/>
      <c r="B426" s="104"/>
      <c r="C426" s="80"/>
      <c r="D426" s="96"/>
      <c r="E426" s="67" t="s">
        <v>568</v>
      </c>
      <c r="F426" s="67" t="str">
        <f t="shared" si="5"/>
        <v/>
      </c>
      <c r="G426" s="69"/>
      <c r="H426" s="31"/>
      <c r="I426" s="156">
        <v>0</v>
      </c>
    </row>
    <row r="427" spans="1:9" ht="26.25" customHeight="1" thickBot="1" x14ac:dyDescent="0.3">
      <c r="A427" s="191" t="s">
        <v>3426</v>
      </c>
      <c r="B427" s="41" t="s">
        <v>568</v>
      </c>
      <c r="C427" s="78" t="s">
        <v>123</v>
      </c>
      <c r="D427" s="94"/>
      <c r="E427" s="42" t="s">
        <v>568</v>
      </c>
      <c r="F427" s="42" t="str">
        <f t="shared" si="5"/>
        <v/>
      </c>
      <c r="G427" s="29"/>
      <c r="H427" s="30"/>
      <c r="I427" s="156">
        <v>1.9199999999999998E-2</v>
      </c>
    </row>
    <row r="428" spans="1:9" x14ac:dyDescent="0.25">
      <c r="A428" s="188"/>
      <c r="B428" s="32" t="s">
        <v>568</v>
      </c>
      <c r="C428" s="79"/>
      <c r="D428" s="92"/>
      <c r="E428" s="98" t="s">
        <v>568</v>
      </c>
      <c r="F428" s="99" t="str">
        <f t="shared" si="5"/>
        <v/>
      </c>
      <c r="G428" s="35"/>
      <c r="H428" s="31"/>
      <c r="I428" s="156">
        <v>1.9199999999999998E-2</v>
      </c>
    </row>
    <row r="429" spans="1:9" ht="25.5" x14ac:dyDescent="0.25">
      <c r="A429" s="188"/>
      <c r="B429" s="36" t="s">
        <v>805</v>
      </c>
      <c r="C429" s="50" t="s">
        <v>123</v>
      </c>
      <c r="D429" s="37">
        <v>1.1599999999999999</v>
      </c>
      <c r="E429" s="34">
        <v>90.25</v>
      </c>
      <c r="F429" s="34">
        <f t="shared" si="5"/>
        <v>104.69</v>
      </c>
      <c r="G429" s="45">
        <f>SUM(F429:F436)</f>
        <v>561.10329441199997</v>
      </c>
      <c r="H429" s="46"/>
      <c r="I429" s="156">
        <v>1.9199999999999998E-2</v>
      </c>
    </row>
    <row r="430" spans="1:9" x14ac:dyDescent="0.25">
      <c r="A430" s="188"/>
      <c r="B430" s="36" t="s">
        <v>1535</v>
      </c>
      <c r="C430" s="50" t="s">
        <v>953</v>
      </c>
      <c r="D430" s="37">
        <v>116.4</v>
      </c>
      <c r="E430" s="34">
        <v>0.85499999999999998</v>
      </c>
      <c r="F430" s="34">
        <f t="shared" si="5"/>
        <v>99.52</v>
      </c>
      <c r="G430" s="45"/>
      <c r="H430" s="46"/>
      <c r="I430" s="156">
        <v>1.9199999999999998E-2</v>
      </c>
    </row>
    <row r="431" spans="1:9" x14ac:dyDescent="0.25">
      <c r="A431" s="188"/>
      <c r="B431" s="36" t="s">
        <v>801</v>
      </c>
      <c r="C431" s="50" t="s">
        <v>953</v>
      </c>
      <c r="D431" s="37">
        <v>261.89</v>
      </c>
      <c r="E431" s="31">
        <v>0.47499999999999998</v>
      </c>
      <c r="F431" s="34">
        <f t="shared" si="5"/>
        <v>124.4</v>
      </c>
      <c r="G431" s="45"/>
      <c r="H431" s="46"/>
      <c r="I431" s="156">
        <v>1.9199999999999998E-2</v>
      </c>
    </row>
    <row r="432" spans="1:9" x14ac:dyDescent="0.25">
      <c r="A432" s="188"/>
      <c r="B432" s="36" t="s">
        <v>756</v>
      </c>
      <c r="C432" s="50" t="s">
        <v>755</v>
      </c>
      <c r="D432" s="37">
        <v>11.23</v>
      </c>
      <c r="E432" s="31">
        <v>16.311500000000002</v>
      </c>
      <c r="F432" s="34">
        <f t="shared" si="5"/>
        <v>183.18</v>
      </c>
      <c r="G432" s="45"/>
      <c r="H432" s="46"/>
      <c r="I432" s="156">
        <v>1.9199999999999998E-2</v>
      </c>
    </row>
    <row r="433" spans="1:9" ht="51" x14ac:dyDescent="0.25">
      <c r="A433" s="188"/>
      <c r="B433" s="36" t="s">
        <v>3611</v>
      </c>
      <c r="C433" s="36" t="s">
        <v>123</v>
      </c>
      <c r="D433" s="37">
        <f>ROUND(1*(D429),4)</f>
        <v>1.1599999999999999</v>
      </c>
      <c r="E433" s="31">
        <v>5.6237587000000007</v>
      </c>
      <c r="F433" s="34">
        <f t="shared" ref="F433:F434" si="6">IF(ISNUMBER(E433),E433*$D433,"")</f>
        <v>6.5235600920000003</v>
      </c>
      <c r="G433" s="45"/>
      <c r="H433" s="46"/>
      <c r="I433" s="156">
        <v>1.9199999999999998E-2</v>
      </c>
    </row>
    <row r="434" spans="1:9" ht="38.25" x14ac:dyDescent="0.25">
      <c r="A434" s="188"/>
      <c r="B434" s="36" t="s">
        <v>3610</v>
      </c>
      <c r="C434" s="47" t="s">
        <v>125</v>
      </c>
      <c r="D434" s="37">
        <f>ROUND(D429*20,4)</f>
        <v>23.2</v>
      </c>
      <c r="E434" s="31">
        <v>1.8443850999999998</v>
      </c>
      <c r="F434" s="34">
        <f t="shared" si="6"/>
        <v>42.789734319999994</v>
      </c>
      <c r="G434" s="45"/>
      <c r="H434" s="46"/>
      <c r="I434" s="156">
        <v>1.9199999999999998E-2</v>
      </c>
    </row>
    <row r="435" spans="1:9" x14ac:dyDescent="0.25">
      <c r="A435" s="188"/>
      <c r="B435" s="51"/>
      <c r="C435" s="130"/>
      <c r="D435" s="37"/>
      <c r="E435" s="31" t="s">
        <v>568</v>
      </c>
      <c r="F435" s="34" t="str">
        <f t="shared" ref="F435:F437" si="7">IF(ISNUMBER(E435),ROUND(E435*$D435,2),"")</f>
        <v/>
      </c>
      <c r="G435" s="45"/>
      <c r="H435" s="46"/>
      <c r="I435" s="156">
        <v>1.9199999999999998E-2</v>
      </c>
    </row>
    <row r="436" spans="1:9" ht="24.95" customHeight="1" x14ac:dyDescent="0.25">
      <c r="A436" s="188"/>
      <c r="B436" s="48" t="s">
        <v>808</v>
      </c>
      <c r="C436" s="130"/>
      <c r="D436" s="37"/>
      <c r="E436" s="31" t="s">
        <v>568</v>
      </c>
      <c r="F436" s="34" t="str">
        <f t="shared" si="7"/>
        <v/>
      </c>
      <c r="G436" s="45"/>
      <c r="H436" s="46"/>
      <c r="I436" s="156">
        <v>1.9199999999999998E-2</v>
      </c>
    </row>
    <row r="437" spans="1:9" ht="15.75" thickBot="1" x14ac:dyDescent="0.3">
      <c r="A437" s="192"/>
      <c r="B437" s="104"/>
      <c r="C437" s="80"/>
      <c r="D437" s="96"/>
      <c r="E437" s="67" t="s">
        <v>568</v>
      </c>
      <c r="F437" s="67" t="str">
        <f t="shared" si="7"/>
        <v/>
      </c>
      <c r="G437" s="69"/>
      <c r="H437" s="31"/>
      <c r="I437" s="156">
        <v>1.9199999999999998E-2</v>
      </c>
    </row>
  </sheetData>
  <autoFilter ref="A5:I437">
    <filterColumn colId="8">
      <filters>
        <filter val="0,0192"/>
        <filter val="0,2000"/>
        <filter val="0,4732"/>
        <filter val="0,8136"/>
        <filter val="1,0009"/>
        <filter val="1,0779"/>
        <filter val="107,7226"/>
        <filter val="11,7022"/>
        <filter val="14,8985"/>
        <filter val="19,6647"/>
        <filter val="2,2968"/>
        <filter val="2,6664"/>
        <filter val="3,9200"/>
        <filter val="45,9360"/>
        <filter val="869,8000"/>
      </filters>
    </filterColumn>
  </autoFilter>
  <mergeCells count="50">
    <mergeCell ref="A310:A323"/>
    <mergeCell ref="A324:A337"/>
    <mergeCell ref="A338:A349"/>
    <mergeCell ref="A350:A356"/>
    <mergeCell ref="A357:A363"/>
    <mergeCell ref="A215:A219"/>
    <mergeCell ref="A220:A224"/>
    <mergeCell ref="A239:A252"/>
    <mergeCell ref="A253:A266"/>
    <mergeCell ref="A267:A276"/>
    <mergeCell ref="A198:A202"/>
    <mergeCell ref="A203:A206"/>
    <mergeCell ref="A207:A214"/>
    <mergeCell ref="A154:A167"/>
    <mergeCell ref="A168:A179"/>
    <mergeCell ref="A106:A111"/>
    <mergeCell ref="A112:A117"/>
    <mergeCell ref="A118:A123"/>
    <mergeCell ref="A124:A129"/>
    <mergeCell ref="A192:A197"/>
    <mergeCell ref="A180:A185"/>
    <mergeCell ref="A186:A191"/>
    <mergeCell ref="A130:A135"/>
    <mergeCell ref="A136:A141"/>
    <mergeCell ref="A142:A147"/>
    <mergeCell ref="A148:A153"/>
    <mergeCell ref="A61:A68"/>
    <mergeCell ref="A69:A78"/>
    <mergeCell ref="A79:A85"/>
    <mergeCell ref="A86:A95"/>
    <mergeCell ref="A96:A105"/>
    <mergeCell ref="A285:A295"/>
    <mergeCell ref="A296:A303"/>
    <mergeCell ref="A304:A309"/>
    <mergeCell ref="A225:A238"/>
    <mergeCell ref="A277:A284"/>
    <mergeCell ref="A48:A60"/>
    <mergeCell ref="A6:A15"/>
    <mergeCell ref="A16:A20"/>
    <mergeCell ref="A21:A26"/>
    <mergeCell ref="A27:A37"/>
    <mergeCell ref="A38:A47"/>
    <mergeCell ref="A427:A437"/>
    <mergeCell ref="A415:A426"/>
    <mergeCell ref="A403:A414"/>
    <mergeCell ref="A364:A371"/>
    <mergeCell ref="A372:A377"/>
    <mergeCell ref="A378:A383"/>
    <mergeCell ref="A384:A392"/>
    <mergeCell ref="A393:A402"/>
  </mergeCells>
  <conditionalFormatting sqref="F4">
    <cfRule type="containsText" dxfId="32" priority="167" operator="containsText" text="Pesquisa">
      <formula>NOT(ISERROR(SEARCH("Pesquisa",F4)))</formula>
    </cfRule>
  </conditionalFormatting>
  <conditionalFormatting sqref="C15:D15">
    <cfRule type="containsText" dxfId="31" priority="201" operator="containsText" text="Pesquisa de Preços">
      <formula>NOT(ISERROR(SEARCH("Pesquisa de Preços",C15)))</formula>
    </cfRule>
  </conditionalFormatting>
  <conditionalFormatting sqref="C7:D7">
    <cfRule type="containsText" dxfId="30" priority="200" operator="containsText" text="Pesquisa de Preços">
      <formula>NOT(ISERROR(SEARCH("Pesquisa de Preços",C7)))</formula>
    </cfRule>
  </conditionalFormatting>
  <conditionalFormatting sqref="C6:D6">
    <cfRule type="containsText" dxfId="29" priority="199" operator="containsText" text="Pesquisa de Preços">
      <formula>NOT(ISERROR(SEARCH("Pesquisa de Preços",C6)))</formula>
    </cfRule>
  </conditionalFormatting>
  <conditionalFormatting sqref="C8:D10">
    <cfRule type="containsText" dxfId="28" priority="198" operator="containsText" text="Pesquisa de Preços">
      <formula>NOT(ISERROR(SEARCH("Pesquisa de Preços",C8)))</formula>
    </cfRule>
  </conditionalFormatting>
  <conditionalFormatting sqref="C29:D36">
    <cfRule type="containsText" dxfId="27" priority="197" operator="containsText" text="Pesquisa de Preços">
      <formula>NOT(ISERROR(SEARCH("Pesquisa de Preços",C29)))</formula>
    </cfRule>
  </conditionalFormatting>
  <conditionalFormatting sqref="D27">
    <cfRule type="containsText" dxfId="26" priority="194" operator="containsText" text="Pesquisa de Preços">
      <formula>NOT(ISERROR(SEARCH("Pesquisa de Preços",D27)))</formula>
    </cfRule>
  </conditionalFormatting>
  <conditionalFormatting sqref="C37:D37">
    <cfRule type="containsText" dxfId="25" priority="196" operator="containsText" text="Pesquisa de Preços">
      <formula>NOT(ISERROR(SEARCH("Pesquisa de Preços",C37)))</formula>
    </cfRule>
  </conditionalFormatting>
  <conditionalFormatting sqref="C28:D28">
    <cfRule type="containsText" dxfId="24" priority="195" operator="containsText" text="Pesquisa de Preços">
      <formula>NOT(ISERROR(SEARCH("Pesquisa de Preços",C28)))</formula>
    </cfRule>
  </conditionalFormatting>
  <conditionalFormatting sqref="C27">
    <cfRule type="containsText" dxfId="23" priority="193" operator="containsText" text="Pesquisa de Preços">
      <formula>NOT(ISERROR(SEARCH("Pesquisa de Preços",C27)))</formula>
    </cfRule>
  </conditionalFormatting>
  <printOptions horizontalCentered="1"/>
  <pageMargins left="0.19685039370078741" right="0.19685039370078741" top="0.98425196850393704" bottom="0.59055118110236227" header="0.19685039370078741" footer="0.19685039370078741"/>
  <pageSetup paperSize="9" scale="45" fitToHeight="0" orientation="landscape" horizontalDpi="4294967295" verticalDpi="4294967295" r:id="rId1"/>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3" manualBreakCount="3">
    <brk id="85" max="11" man="1"/>
    <brk id="151" max="11" man="1"/>
    <brk id="219" max="11"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6" filterMode="1">
    <pageSetUpPr fitToPage="1"/>
  </sheetPr>
  <dimension ref="A1:I83"/>
  <sheetViews>
    <sheetView zoomScale="90" zoomScaleNormal="90" workbookViewId="0">
      <pane ySplit="5" topLeftCell="A6" activePane="bottomLeft" state="frozen"/>
      <selection pane="bottomLeft" activeCell="M7" sqref="M7"/>
    </sheetView>
  </sheetViews>
  <sheetFormatPr defaultRowHeight="15" x14ac:dyDescent="0.25"/>
  <cols>
    <col min="1" max="1" width="46.85546875" customWidth="1"/>
    <col min="2" max="2" width="65.7109375" style="5" customWidth="1"/>
    <col min="3" max="3" width="15.7109375" style="4"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81" t="str">
        <f>Composições!A1</f>
        <v>Reforma do Centro de Treinamento da SPOL</v>
      </c>
      <c r="B1" s="105"/>
      <c r="C1" s="81"/>
      <c r="D1" s="81"/>
      <c r="E1" s="81"/>
      <c r="F1" s="81"/>
      <c r="G1" s="81"/>
      <c r="H1" s="82"/>
      <c r="I1" s="84"/>
    </row>
    <row r="2" spans="1:9" ht="24.95" customHeight="1" x14ac:dyDescent="0.25">
      <c r="A2" s="10" t="s">
        <v>1546</v>
      </c>
      <c r="B2" s="11"/>
      <c r="C2" s="131"/>
      <c r="D2" s="11"/>
      <c r="E2" s="11"/>
      <c r="F2" s="11"/>
      <c r="G2" s="11"/>
      <c r="H2" s="13"/>
      <c r="I2" s="84"/>
    </row>
    <row r="3" spans="1:9" ht="20.100000000000001" customHeight="1" x14ac:dyDescent="0.25">
      <c r="A3" s="14" t="str">
        <f>Composições!A3</f>
        <v>Data: Maio de 2021</v>
      </c>
      <c r="B3" s="14"/>
      <c r="C3" s="132"/>
      <c r="D3" s="14"/>
      <c r="E3" s="14"/>
      <c r="F3" s="14"/>
      <c r="G3" s="14"/>
      <c r="H3" s="14"/>
      <c r="I3" s="84"/>
    </row>
    <row r="4" spans="1:9" ht="20.100000000000001" customHeight="1" thickBot="1" x14ac:dyDescent="0.3">
      <c r="A4" s="85"/>
      <c r="B4" s="86"/>
      <c r="C4" s="128"/>
      <c r="D4" s="86"/>
      <c r="E4" s="86"/>
      <c r="F4" s="86"/>
      <c r="G4" s="86"/>
      <c r="H4" s="87"/>
      <c r="I4" s="88"/>
    </row>
    <row r="5" spans="1:9" ht="65.099999999999994" customHeight="1" thickBot="1" x14ac:dyDescent="0.3">
      <c r="A5" s="102" t="s">
        <v>2</v>
      </c>
      <c r="B5" s="103" t="s">
        <v>3</v>
      </c>
      <c r="C5" s="129" t="s">
        <v>4</v>
      </c>
      <c r="D5" s="103" t="s">
        <v>5</v>
      </c>
      <c r="E5" s="103" t="s">
        <v>6</v>
      </c>
      <c r="F5" s="21" t="s">
        <v>7</v>
      </c>
      <c r="G5" s="21" t="s">
        <v>1506</v>
      </c>
      <c r="H5" s="24"/>
      <c r="I5" s="89" t="s">
        <v>9</v>
      </c>
    </row>
    <row r="6" spans="1:9" ht="15.75" thickBot="1" x14ac:dyDescent="0.3">
      <c r="A6" s="191" t="s">
        <v>3610</v>
      </c>
      <c r="B6" s="41" t="s">
        <v>568</v>
      </c>
      <c r="C6" s="78" t="s">
        <v>125</v>
      </c>
      <c r="D6" s="94"/>
      <c r="E6" s="42" t="s">
        <v>568</v>
      </c>
      <c r="F6" s="42" t="str">
        <f>IF(ISNUMBER(E6),ROUND(E6*$D6,2),"")</f>
        <v/>
      </c>
      <c r="G6" s="29"/>
      <c r="H6" s="30"/>
      <c r="I6" s="156">
        <v>388.46849080000004</v>
      </c>
    </row>
    <row r="7" spans="1:9" x14ac:dyDescent="0.25">
      <c r="A7" s="188"/>
      <c r="B7" s="32" t="s">
        <v>568</v>
      </c>
      <c r="C7" s="79"/>
      <c r="D7" s="92"/>
      <c r="E7" s="43" t="s">
        <v>568</v>
      </c>
      <c r="F7" s="31" t="str">
        <f>IF(ISNUMBER(E7),ROUND(E7*$D7,2),"")</f>
        <v/>
      </c>
      <c r="G7" s="35"/>
      <c r="H7" s="31"/>
      <c r="I7" s="156">
        <v>388.46849080000004</v>
      </c>
    </row>
    <row r="8" spans="1:9" ht="51" x14ac:dyDescent="0.25">
      <c r="A8" s="188"/>
      <c r="B8" s="36" t="s">
        <v>1134</v>
      </c>
      <c r="C8" s="50" t="s">
        <v>997</v>
      </c>
      <c r="D8" s="37">
        <v>1.3899999999999999E-2</v>
      </c>
      <c r="E8" s="34">
        <v>117.43899999999999</v>
      </c>
      <c r="F8" s="34">
        <f>IF(ISNUMBER(E8),ROUND(E8*$D8,2),"")</f>
        <v>1.63</v>
      </c>
      <c r="G8" s="45">
        <f>SUM(F8:F9)</f>
        <v>1.8399999999999999</v>
      </c>
      <c r="H8" s="46"/>
      <c r="I8" s="156">
        <v>388.46849080000004</v>
      </c>
    </row>
    <row r="9" spans="1:9" ht="51" x14ac:dyDescent="0.25">
      <c r="A9" s="188"/>
      <c r="B9" s="36" t="s">
        <v>1135</v>
      </c>
      <c r="C9" s="50" t="s">
        <v>999</v>
      </c>
      <c r="D9" s="37">
        <v>6.0000000000000001E-3</v>
      </c>
      <c r="E9" s="34">
        <v>35.330499999999994</v>
      </c>
      <c r="F9" s="34">
        <f>IF(ISNUMBER(E9),ROUND(E9*$D9,2),"")</f>
        <v>0.21</v>
      </c>
      <c r="G9" s="45"/>
      <c r="H9" s="46"/>
      <c r="I9" s="156">
        <v>388.46849080000004</v>
      </c>
    </row>
    <row r="10" spans="1:9" ht="15.75" thickBot="1" x14ac:dyDescent="0.3">
      <c r="A10" s="192"/>
      <c r="B10" s="55" t="s">
        <v>568</v>
      </c>
      <c r="C10" s="80"/>
      <c r="D10" s="96"/>
      <c r="E10" s="67" t="s">
        <v>568</v>
      </c>
      <c r="F10" s="67" t="str">
        <f>IF(ISNUMBER(E10),ROUND(E10*$D10,2),"")</f>
        <v/>
      </c>
      <c r="G10" s="69"/>
      <c r="H10" s="31"/>
      <c r="I10" s="156">
        <v>388.46849080000004</v>
      </c>
    </row>
    <row r="11" spans="1:9" ht="15.75" hidden="1" thickBot="1" x14ac:dyDescent="0.3">
      <c r="A11" s="191" t="s">
        <v>1539</v>
      </c>
      <c r="B11" s="41" t="s">
        <v>568</v>
      </c>
      <c r="C11" s="78" t="s">
        <v>953</v>
      </c>
      <c r="D11" s="94"/>
      <c r="E11" s="28" t="s">
        <v>568</v>
      </c>
      <c r="F11" s="26" t="str">
        <f>IF(ISNUMBER(E11),ROUND(E11*$D11,2),"")</f>
        <v/>
      </c>
      <c r="G11" s="29"/>
      <c r="H11" s="30"/>
      <c r="I11" s="156">
        <v>0</v>
      </c>
    </row>
    <row r="12" spans="1:9" ht="15.75" hidden="1" thickBot="1" x14ac:dyDescent="0.3">
      <c r="A12" s="188"/>
      <c r="B12" s="32" t="s">
        <v>568</v>
      </c>
      <c r="C12" s="79"/>
      <c r="D12" s="92"/>
      <c r="E12" s="31" t="s">
        <v>568</v>
      </c>
      <c r="F12" s="31" t="str">
        <f>IF(ISNUMBER(E12),ROUND(E12*$D12,2),"")</f>
        <v/>
      </c>
      <c r="G12" s="35"/>
      <c r="H12" s="31"/>
      <c r="I12" s="156">
        <v>0</v>
      </c>
    </row>
    <row r="13" spans="1:9" ht="15.75" hidden="1" thickBot="1" x14ac:dyDescent="0.3">
      <c r="A13" s="188"/>
      <c r="B13" s="36" t="s">
        <v>1545</v>
      </c>
      <c r="C13" s="50" t="s">
        <v>953</v>
      </c>
      <c r="D13" s="37">
        <v>1.07</v>
      </c>
      <c r="E13" s="31">
        <v>8.5594999999999999</v>
      </c>
      <c r="F13" s="34">
        <f>IF(ISNUMBER(E13),ROUND(E13*$D13,2),"")</f>
        <v>9.16</v>
      </c>
      <c r="G13" s="45">
        <f>SUM(F13:F15)</f>
        <v>11.43</v>
      </c>
      <c r="H13" s="46"/>
      <c r="I13" s="156">
        <v>0</v>
      </c>
    </row>
    <row r="14" spans="1:9" ht="15.75" hidden="1" thickBot="1" x14ac:dyDescent="0.3">
      <c r="A14" s="188"/>
      <c r="B14" s="36" t="s">
        <v>955</v>
      </c>
      <c r="C14" s="50" t="s">
        <v>755</v>
      </c>
      <c r="D14" s="37">
        <v>1.3100000000000001E-2</v>
      </c>
      <c r="E14" s="34">
        <v>17.081</v>
      </c>
      <c r="F14" s="34">
        <f>IF(ISNUMBER(E14),ROUND(E14*$D14,2),"")</f>
        <v>0.22</v>
      </c>
      <c r="G14" s="45"/>
      <c r="H14" s="46"/>
      <c r="I14" s="156">
        <v>0</v>
      </c>
    </row>
    <row r="15" spans="1:9" ht="15.75" hidden="1" thickBot="1" x14ac:dyDescent="0.3">
      <c r="A15" s="188"/>
      <c r="B15" s="36" t="s">
        <v>956</v>
      </c>
      <c r="C15" s="50" t="s">
        <v>755</v>
      </c>
      <c r="D15" s="37">
        <v>9.3299999999999994E-2</v>
      </c>
      <c r="E15" s="31">
        <v>21.973499999999998</v>
      </c>
      <c r="F15" s="34">
        <f>IF(ISNUMBER(E15),ROUND(E15*$D15,2),"")</f>
        <v>2.0499999999999998</v>
      </c>
      <c r="G15" s="45"/>
      <c r="H15" s="46"/>
      <c r="I15" s="156">
        <v>0</v>
      </c>
    </row>
    <row r="16" spans="1:9" ht="15.75" hidden="1" thickBot="1" x14ac:dyDescent="0.3">
      <c r="A16" s="192"/>
      <c r="B16" s="55" t="s">
        <v>568</v>
      </c>
      <c r="C16" s="80"/>
      <c r="D16" s="96"/>
      <c r="E16" s="67" t="s">
        <v>568</v>
      </c>
      <c r="F16" s="68" t="str">
        <f>IF(ISNUMBER(E16),ROUND(E16*$D16,2),"")</f>
        <v/>
      </c>
      <c r="G16" s="69"/>
      <c r="H16" s="31"/>
      <c r="I16" s="156">
        <v>0</v>
      </c>
    </row>
    <row r="17" spans="1:9" ht="15.75" customHeight="1" thickBot="1" x14ac:dyDescent="0.3">
      <c r="A17" s="191" t="s">
        <v>3611</v>
      </c>
      <c r="B17" s="41" t="s">
        <v>568</v>
      </c>
      <c r="C17" s="78" t="s">
        <v>123</v>
      </c>
      <c r="D17" s="94"/>
      <c r="E17" s="28" t="s">
        <v>568</v>
      </c>
      <c r="F17" s="26" t="str">
        <f>IF(ISNUMBER(E17),ROUND(E17*$D17,2),"")</f>
        <v/>
      </c>
      <c r="G17" s="29"/>
      <c r="H17" s="30"/>
      <c r="I17" s="156">
        <v>19.423424540000003</v>
      </c>
    </row>
    <row r="18" spans="1:9" x14ac:dyDescent="0.25">
      <c r="A18" s="188"/>
      <c r="B18" s="32" t="s">
        <v>568</v>
      </c>
      <c r="C18" s="79"/>
      <c r="D18" s="92"/>
      <c r="E18" s="31" t="s">
        <v>568</v>
      </c>
      <c r="F18" s="31" t="str">
        <f>IF(ISNUMBER(E18),ROUND(E18*$D18,2),"")</f>
        <v/>
      </c>
      <c r="G18" s="35"/>
      <c r="H18" s="31"/>
      <c r="I18" s="156">
        <v>19.423424540000003</v>
      </c>
    </row>
    <row r="19" spans="1:9" ht="51" x14ac:dyDescent="0.25">
      <c r="A19" s="188"/>
      <c r="B19" s="36" t="s">
        <v>1158</v>
      </c>
      <c r="C19" s="50" t="s">
        <v>997</v>
      </c>
      <c r="D19" s="37">
        <v>8.3000000000000001E-3</v>
      </c>
      <c r="E19" s="31">
        <v>132.98099999999999</v>
      </c>
      <c r="F19" s="34">
        <f>IF(ISNUMBER(E19),ROUND(E19*$D19,2),"")</f>
        <v>1.1000000000000001</v>
      </c>
      <c r="G19" s="45">
        <f>SUM(F19:F22)</f>
        <v>5.6200163999999999</v>
      </c>
      <c r="H19" s="46"/>
      <c r="I19" s="156">
        <v>19.423424540000003</v>
      </c>
    </row>
    <row r="20" spans="1:9" ht="38.25" x14ac:dyDescent="0.25">
      <c r="A20" s="188"/>
      <c r="B20" s="36" t="s">
        <v>3418</v>
      </c>
      <c r="C20" s="47" t="s">
        <v>999</v>
      </c>
      <c r="D20" s="37">
        <v>1.5100000000000001E-2</v>
      </c>
      <c r="E20" s="31">
        <v>44.184499999999993</v>
      </c>
      <c r="F20" s="34">
        <f>IF(ISNUMBER(E20),E20*$D20,"")</f>
        <v>0.66718594999999992</v>
      </c>
      <c r="G20" s="45"/>
      <c r="H20" s="46"/>
      <c r="I20" s="156">
        <v>19.423424540000003</v>
      </c>
    </row>
    <row r="21" spans="1:9" ht="51" x14ac:dyDescent="0.25">
      <c r="A21" s="188"/>
      <c r="B21" s="36" t="s">
        <v>1134</v>
      </c>
      <c r="C21" s="47" t="s">
        <v>997</v>
      </c>
      <c r="D21" s="37">
        <v>2.6700000000000002E-2</v>
      </c>
      <c r="E21" s="31">
        <v>117.43899999999999</v>
      </c>
      <c r="F21" s="34">
        <f>IF(ISNUMBER(E21),E21*$D21,"")</f>
        <v>3.1356212999999999</v>
      </c>
      <c r="G21" s="45"/>
      <c r="H21" s="46"/>
      <c r="I21" s="156">
        <v>19.423424540000003</v>
      </c>
    </row>
    <row r="22" spans="1:9" ht="51" x14ac:dyDescent="0.25">
      <c r="A22" s="188"/>
      <c r="B22" s="36" t="s">
        <v>1135</v>
      </c>
      <c r="C22" s="47" t="s">
        <v>999</v>
      </c>
      <c r="D22" s="37">
        <v>2.0299999999999999E-2</v>
      </c>
      <c r="E22" s="31">
        <v>35.330499999999994</v>
      </c>
      <c r="F22" s="34">
        <f>IF(ISNUMBER(E22),E22*$D22,"")</f>
        <v>0.71720914999999985</v>
      </c>
      <c r="G22" s="45"/>
      <c r="H22" s="46"/>
      <c r="I22" s="156">
        <v>19.423424540000003</v>
      </c>
    </row>
    <row r="23" spans="1:9" ht="15.75" thickBot="1" x14ac:dyDescent="0.3">
      <c r="A23" s="192"/>
      <c r="B23" s="55" t="s">
        <v>568</v>
      </c>
      <c r="C23" s="80"/>
      <c r="D23" s="96"/>
      <c r="E23" s="67" t="s">
        <v>568</v>
      </c>
      <c r="F23" s="68" t="str">
        <f>IF(ISNUMBER(E23),ROUND(E23*$D23,2),"")</f>
        <v/>
      </c>
      <c r="G23" s="69"/>
      <c r="H23" s="31"/>
      <c r="I23" s="156">
        <v>19.423424540000003</v>
      </c>
    </row>
    <row r="24" spans="1:9" ht="15.75" hidden="1" thickBot="1" x14ac:dyDescent="0.3">
      <c r="A24" s="191" t="s">
        <v>1432</v>
      </c>
      <c r="B24" s="41" t="s">
        <v>568</v>
      </c>
      <c r="C24" s="78" t="s">
        <v>123</v>
      </c>
      <c r="D24" s="94"/>
      <c r="E24" s="42" t="s">
        <v>568</v>
      </c>
      <c r="F24" s="42" t="str">
        <f>IF(ISNUMBER(E24),ROUND(E24*$D24,2),"")</f>
        <v/>
      </c>
      <c r="G24" s="29"/>
      <c r="H24" s="30"/>
      <c r="I24" s="156">
        <v>0</v>
      </c>
    </row>
    <row r="25" spans="1:9" hidden="1" x14ac:dyDescent="0.25">
      <c r="A25" s="188"/>
      <c r="B25" s="32" t="s">
        <v>568</v>
      </c>
      <c r="C25" s="79"/>
      <c r="D25" s="92"/>
      <c r="E25" s="98" t="s">
        <v>568</v>
      </c>
      <c r="F25" s="99" t="str">
        <f>IF(ISNUMBER(E25),ROUND(E25*$D25,2),"")</f>
        <v/>
      </c>
      <c r="G25" s="35"/>
      <c r="H25" s="31"/>
      <c r="I25" s="156">
        <v>0</v>
      </c>
    </row>
    <row r="26" spans="1:9" hidden="1" x14ac:dyDescent="0.25">
      <c r="A26" s="188"/>
      <c r="B26" s="36" t="s">
        <v>116</v>
      </c>
      <c r="C26" s="50" t="s">
        <v>123</v>
      </c>
      <c r="D26" s="37">
        <v>1.36</v>
      </c>
      <c r="E26" s="34">
        <v>90.25</v>
      </c>
      <c r="F26" s="34">
        <f>IF(ISNUMBER(E26),ROUND(E26*$D26,2),"")</f>
        <v>122.74</v>
      </c>
      <c r="G26" s="45">
        <f>SUM(F26:F36)</f>
        <v>481.29158740000003</v>
      </c>
      <c r="H26" s="46"/>
      <c r="I26" s="156">
        <v>0</v>
      </c>
    </row>
    <row r="27" spans="1:9" hidden="1" x14ac:dyDescent="0.25">
      <c r="A27" s="188"/>
      <c r="B27" s="36" t="s">
        <v>117</v>
      </c>
      <c r="C27" s="50" t="s">
        <v>953</v>
      </c>
      <c r="D27" s="37">
        <v>459.85</v>
      </c>
      <c r="E27" s="34">
        <v>0.47499999999999998</v>
      </c>
      <c r="F27" s="34">
        <f>IF(ISNUMBER(E27),ROUND(E27*$D27,2),"")</f>
        <v>218.43</v>
      </c>
      <c r="G27" s="45"/>
      <c r="H27" s="46"/>
      <c r="I27" s="156">
        <v>0</v>
      </c>
    </row>
    <row r="28" spans="1:9" ht="25.5" hidden="1" x14ac:dyDescent="0.25">
      <c r="A28" s="188"/>
      <c r="B28" s="36" t="s">
        <v>119</v>
      </c>
      <c r="C28" s="50" t="s">
        <v>755</v>
      </c>
      <c r="D28" s="37">
        <v>4.8499999999999996</v>
      </c>
      <c r="E28" s="31">
        <v>16.5015</v>
      </c>
      <c r="F28" s="34">
        <f>IF(ISNUMBER(E28),ROUND(E28*$D28,2),"")</f>
        <v>80.03</v>
      </c>
      <c r="G28" s="45"/>
      <c r="H28" s="46"/>
      <c r="I28" s="156">
        <v>0</v>
      </c>
    </row>
    <row r="29" spans="1:9" ht="38.25" hidden="1" x14ac:dyDescent="0.25">
      <c r="A29" s="188"/>
      <c r="B29" s="36" t="s">
        <v>1515</v>
      </c>
      <c r="C29" s="50" t="s">
        <v>997</v>
      </c>
      <c r="D29" s="37">
        <v>1.1299999999999999</v>
      </c>
      <c r="E29" s="31">
        <v>1.2064999999999999</v>
      </c>
      <c r="F29" s="34">
        <f>IF(ISNUMBER(E29),ROUND(E29*$D29,2),"")</f>
        <v>1.36</v>
      </c>
      <c r="G29" s="45"/>
      <c r="H29" s="46"/>
      <c r="I29" s="156">
        <v>0</v>
      </c>
    </row>
    <row r="30" spans="1:9" ht="38.25" hidden="1" x14ac:dyDescent="0.25">
      <c r="A30" s="188"/>
      <c r="B30" s="36" t="s">
        <v>1516</v>
      </c>
      <c r="C30" s="50" t="s">
        <v>999</v>
      </c>
      <c r="D30" s="37">
        <v>3.72</v>
      </c>
      <c r="E30" s="31">
        <v>0.26600000000000001</v>
      </c>
      <c r="F30" s="34">
        <f>IF(ISNUMBER(E30),ROUND(E30*$D30,2),"")</f>
        <v>0.99</v>
      </c>
      <c r="G30" s="45"/>
      <c r="H30" s="46"/>
      <c r="I30" s="156">
        <v>0</v>
      </c>
    </row>
    <row r="31" spans="1:9" ht="38.25" hidden="1" x14ac:dyDescent="0.25">
      <c r="A31" s="188"/>
      <c r="B31" s="36" t="s">
        <v>3414</v>
      </c>
      <c r="C31" s="36" t="s">
        <v>997</v>
      </c>
      <c r="D31" s="37">
        <f>ROUND(0.0083*D26,4)</f>
        <v>1.1299999999999999E-2</v>
      </c>
      <c r="E31" s="31">
        <v>126.34050000000001</v>
      </c>
      <c r="F31" s="34">
        <f>IF(ISNUMBER(E31),E31*$D31,"")</f>
        <v>1.4276476499999999</v>
      </c>
      <c r="G31" s="45"/>
      <c r="H31" s="46"/>
      <c r="I31" s="156">
        <v>0</v>
      </c>
    </row>
    <row r="32" spans="1:9" ht="38.25" hidden="1" x14ac:dyDescent="0.25">
      <c r="A32" s="188"/>
      <c r="B32" s="36" t="s">
        <v>3418</v>
      </c>
      <c r="C32" s="47" t="s">
        <v>999</v>
      </c>
      <c r="D32" s="37">
        <f>ROUND(0.0151*D26,4)</f>
        <v>2.0500000000000001E-2</v>
      </c>
      <c r="E32" s="31">
        <v>44.184499999999993</v>
      </c>
      <c r="F32" s="34">
        <f>IF(ISNUMBER(E32),E32*$D32,"")</f>
        <v>0.9057822499999999</v>
      </c>
      <c r="G32" s="45"/>
      <c r="H32" s="46"/>
      <c r="I32" s="156">
        <v>0</v>
      </c>
    </row>
    <row r="33" spans="1:9" ht="51" hidden="1" x14ac:dyDescent="0.25">
      <c r="A33" s="188"/>
      <c r="B33" s="36" t="s">
        <v>1134</v>
      </c>
      <c r="C33" s="47" t="s">
        <v>997</v>
      </c>
      <c r="D33" s="37">
        <f>ROUND(0.0267*D26,4)</f>
        <v>3.6299999999999999E-2</v>
      </c>
      <c r="E33" s="31">
        <v>117.43899999999999</v>
      </c>
      <c r="F33" s="34">
        <f>IF(ISNUMBER(E33),E33*$D33,"")</f>
        <v>4.2630356999999997</v>
      </c>
      <c r="G33" s="45"/>
      <c r="H33" s="46"/>
      <c r="I33" s="156">
        <v>0</v>
      </c>
    </row>
    <row r="34" spans="1:9" ht="51" hidden="1" x14ac:dyDescent="0.25">
      <c r="A34" s="188"/>
      <c r="B34" s="36" t="s">
        <v>1135</v>
      </c>
      <c r="C34" s="47" t="s">
        <v>999</v>
      </c>
      <c r="D34" s="37">
        <f>ROUND(0.0203*D26,4)</f>
        <v>2.76E-2</v>
      </c>
      <c r="E34" s="31">
        <v>35.330499999999994</v>
      </c>
      <c r="F34" s="34">
        <f>IF(ISNUMBER(E34),E34*$D34,"")</f>
        <v>0.97512179999999982</v>
      </c>
      <c r="G34" s="45"/>
      <c r="H34" s="46"/>
      <c r="I34" s="156">
        <v>0</v>
      </c>
    </row>
    <row r="35" spans="1:9" ht="51" hidden="1" x14ac:dyDescent="0.25">
      <c r="A35" s="188"/>
      <c r="B35" s="36" t="s">
        <v>1134</v>
      </c>
      <c r="C35" s="50" t="s">
        <v>997</v>
      </c>
      <c r="D35" s="37">
        <f>ROUND(0.0139*20*D26,4)</f>
        <v>0.37809999999999999</v>
      </c>
      <c r="E35" s="34">
        <v>117.43899999999999</v>
      </c>
      <c r="F35" s="34">
        <f>IF(ISNUMBER(E35),ROUND(E35*$D35,2),"")</f>
        <v>44.4</v>
      </c>
      <c r="G35" s="45"/>
      <c r="H35" s="46"/>
      <c r="I35" s="156">
        <v>0</v>
      </c>
    </row>
    <row r="36" spans="1:9" ht="51" hidden="1" x14ac:dyDescent="0.25">
      <c r="A36" s="188"/>
      <c r="B36" s="36" t="s">
        <v>1135</v>
      </c>
      <c r="C36" s="50" t="s">
        <v>999</v>
      </c>
      <c r="D36" s="37">
        <f>ROUND(0.006*20*D26,4)</f>
        <v>0.16320000000000001</v>
      </c>
      <c r="E36" s="34">
        <v>35.330499999999994</v>
      </c>
      <c r="F36" s="34">
        <f>IF(ISNUMBER(E36),ROUND(E36*$D36,2),"")</f>
        <v>5.77</v>
      </c>
      <c r="G36" s="45"/>
      <c r="H36" s="46"/>
      <c r="I36" s="156">
        <v>0</v>
      </c>
    </row>
    <row r="37" spans="1:9" hidden="1" x14ac:dyDescent="0.25">
      <c r="A37" s="188"/>
      <c r="B37" s="51"/>
      <c r="C37" s="130"/>
      <c r="D37" s="37"/>
      <c r="E37" s="31" t="s">
        <v>568</v>
      </c>
      <c r="F37" s="34" t="str">
        <f>IF(ISNUMBER(E37),ROUND(E37*$D37,2),"")</f>
        <v/>
      </c>
      <c r="G37" s="45"/>
      <c r="H37" s="46"/>
      <c r="I37" s="156">
        <v>0</v>
      </c>
    </row>
    <row r="38" spans="1:9" hidden="1" x14ac:dyDescent="0.25">
      <c r="A38" s="188"/>
      <c r="B38" s="48" t="s">
        <v>808</v>
      </c>
      <c r="C38" s="130"/>
      <c r="D38" s="37"/>
      <c r="E38" s="31" t="s">
        <v>568</v>
      </c>
      <c r="F38" s="34" t="str">
        <f>IF(ISNUMBER(E38),ROUND(E38*$D38,2),"")</f>
        <v/>
      </c>
      <c r="G38" s="45"/>
      <c r="H38" s="46"/>
      <c r="I38" s="156">
        <v>0</v>
      </c>
    </row>
    <row r="39" spans="1:9" ht="15.75" hidden="1" thickBot="1" x14ac:dyDescent="0.3">
      <c r="A39" s="192"/>
      <c r="B39" s="104" t="s">
        <v>3771</v>
      </c>
      <c r="C39" s="80"/>
      <c r="D39" s="96"/>
      <c r="E39" s="67" t="s">
        <v>568</v>
      </c>
      <c r="F39" s="67" t="str">
        <f>IF(ISNUMBER(E39),ROUND(E39*$D39,2),"")</f>
        <v/>
      </c>
      <c r="G39" s="69"/>
      <c r="H39" s="31"/>
      <c r="I39" s="156">
        <v>0</v>
      </c>
    </row>
    <row r="40" spans="1:9" ht="15.75" hidden="1" thickBot="1" x14ac:dyDescent="0.3">
      <c r="A40" s="191" t="s">
        <v>3769</v>
      </c>
      <c r="B40" s="41" t="s">
        <v>568</v>
      </c>
      <c r="C40" s="78" t="s">
        <v>1049</v>
      </c>
      <c r="D40" s="94"/>
      <c r="E40" s="42" t="s">
        <v>568</v>
      </c>
      <c r="F40" s="42" t="str">
        <f>IF(ISNUMBER(E40),ROUND(E40*$D40,2),"")</f>
        <v/>
      </c>
      <c r="G40" s="29"/>
      <c r="H40" s="30"/>
      <c r="I40" s="156">
        <v>0</v>
      </c>
    </row>
    <row r="41" spans="1:9" hidden="1" x14ac:dyDescent="0.25">
      <c r="A41" s="188"/>
      <c r="B41" s="32" t="s">
        <v>568</v>
      </c>
      <c r="C41" s="79"/>
      <c r="D41" s="92"/>
      <c r="E41" s="98" t="s">
        <v>568</v>
      </c>
      <c r="F41" s="99" t="str">
        <f>IF(ISNUMBER(E41),ROUND(E41*$D41,2),"")</f>
        <v/>
      </c>
      <c r="G41" s="35"/>
      <c r="H41" s="31"/>
      <c r="I41" s="156">
        <v>0</v>
      </c>
    </row>
    <row r="42" spans="1:9" ht="25.5" hidden="1" x14ac:dyDescent="0.25">
      <c r="A42" s="188"/>
      <c r="B42" s="36" t="s">
        <v>3782</v>
      </c>
      <c r="C42" s="50" t="s">
        <v>523</v>
      </c>
      <c r="D42" s="37">
        <v>4.4320000000000004</v>
      </c>
      <c r="E42" s="34">
        <v>1.9854999999999998</v>
      </c>
      <c r="F42" s="34">
        <f>IF(ISNUMBER(E42),ROUND(E42*$D42,2),"")</f>
        <v>8.8000000000000007</v>
      </c>
      <c r="G42" s="45">
        <f>SUM(F42:F48)</f>
        <v>170.6</v>
      </c>
      <c r="H42" s="46"/>
      <c r="I42" s="156">
        <v>0</v>
      </c>
    </row>
    <row r="43" spans="1:9" hidden="1" x14ac:dyDescent="0.25">
      <c r="A43" s="188"/>
      <c r="B43" s="36" t="s">
        <v>1455</v>
      </c>
      <c r="C43" s="50" t="s">
        <v>953</v>
      </c>
      <c r="D43" s="37">
        <v>8.5999999999999993E-2</v>
      </c>
      <c r="E43" s="34">
        <v>17.394499999999997</v>
      </c>
      <c r="F43" s="34">
        <f>IF(ISNUMBER(E43),ROUND(E43*$D43,2),"")</f>
        <v>1.5</v>
      </c>
      <c r="G43" s="45"/>
      <c r="H43" s="46"/>
      <c r="I43" s="156">
        <v>0</v>
      </c>
    </row>
    <row r="44" spans="1:9" ht="25.5" hidden="1" x14ac:dyDescent="0.25">
      <c r="A44" s="188"/>
      <c r="B44" s="36" t="s">
        <v>99</v>
      </c>
      <c r="C44" s="50" t="s">
        <v>523</v>
      </c>
      <c r="D44" s="37">
        <v>6.53</v>
      </c>
      <c r="E44" s="31">
        <v>21.355999999999998</v>
      </c>
      <c r="F44" s="34">
        <f>IF(ISNUMBER(E44),ROUND(E44*$D44,2),"")</f>
        <v>139.44999999999999</v>
      </c>
      <c r="G44" s="45"/>
      <c r="H44" s="46"/>
      <c r="I44" s="156">
        <v>0</v>
      </c>
    </row>
    <row r="45" spans="1:9" hidden="1" x14ac:dyDescent="0.25">
      <c r="A45" s="188"/>
      <c r="B45" s="36" t="s">
        <v>839</v>
      </c>
      <c r="C45" s="50" t="s">
        <v>755</v>
      </c>
      <c r="D45" s="37">
        <v>0.14299999999999999</v>
      </c>
      <c r="E45" s="31">
        <v>18.468</v>
      </c>
      <c r="F45" s="34">
        <f>IF(ISNUMBER(E45),ROUND(E45*$D45,2),"")</f>
        <v>2.64</v>
      </c>
      <c r="G45" s="45"/>
      <c r="H45" s="46"/>
      <c r="I45" s="156">
        <v>0</v>
      </c>
    </row>
    <row r="46" spans="1:9" hidden="1" x14ac:dyDescent="0.25">
      <c r="A46" s="188"/>
      <c r="B46" s="36" t="s">
        <v>1050</v>
      </c>
      <c r="C46" s="50" t="s">
        <v>755</v>
      </c>
      <c r="D46" s="37">
        <v>0.71499999999999997</v>
      </c>
      <c r="E46" s="31">
        <v>21.878499999999999</v>
      </c>
      <c r="F46" s="34">
        <f>IF(ISNUMBER(E46),ROUND(E46*$D46,2),"")</f>
        <v>15.64</v>
      </c>
      <c r="G46" s="45"/>
      <c r="H46" s="46"/>
      <c r="I46" s="156">
        <v>0</v>
      </c>
    </row>
    <row r="47" spans="1:9" ht="25.5" hidden="1" x14ac:dyDescent="0.25">
      <c r="A47" s="188"/>
      <c r="B47" s="36" t="s">
        <v>1222</v>
      </c>
      <c r="C47" s="50" t="s">
        <v>997</v>
      </c>
      <c r="D47" s="37">
        <v>0.05</v>
      </c>
      <c r="E47" s="31">
        <v>19.180499999999999</v>
      </c>
      <c r="F47" s="34">
        <f>IF(ISNUMBER(E47),ROUND(E47*$D47,2),"")</f>
        <v>0.96</v>
      </c>
      <c r="G47" s="45"/>
      <c r="H47" s="46"/>
      <c r="I47" s="156">
        <v>0</v>
      </c>
    </row>
    <row r="48" spans="1:9" ht="25.5" hidden="1" x14ac:dyDescent="0.25">
      <c r="A48" s="188"/>
      <c r="B48" s="36" t="s">
        <v>1223</v>
      </c>
      <c r="C48" s="50" t="s">
        <v>999</v>
      </c>
      <c r="D48" s="37">
        <v>9.2999999999999999E-2</v>
      </c>
      <c r="E48" s="34">
        <v>17.327999999999999</v>
      </c>
      <c r="F48" s="34">
        <f>IF(ISNUMBER(E48),ROUND(E48*$D48,2),"")</f>
        <v>1.61</v>
      </c>
      <c r="G48" s="45"/>
      <c r="H48" s="46"/>
      <c r="I48" s="156">
        <v>0</v>
      </c>
    </row>
    <row r="49" spans="1:9" ht="15.75" hidden="1" thickBot="1" x14ac:dyDescent="0.3">
      <c r="A49" s="192"/>
      <c r="B49" s="104"/>
      <c r="C49" s="80"/>
      <c r="D49" s="96"/>
      <c r="E49" s="67" t="s">
        <v>568</v>
      </c>
      <c r="F49" s="67" t="str">
        <f>IF(ISNUMBER(E49),ROUND(E49*$D49,2),"")</f>
        <v/>
      </c>
      <c r="G49" s="69"/>
      <c r="H49" s="31"/>
      <c r="I49" s="156">
        <v>0</v>
      </c>
    </row>
    <row r="50" spans="1:9" ht="15.75" hidden="1" thickBot="1" x14ac:dyDescent="0.3">
      <c r="A50" s="191" t="s">
        <v>3425</v>
      </c>
      <c r="B50" s="41" t="s">
        <v>568</v>
      </c>
      <c r="C50" s="78" t="s">
        <v>123</v>
      </c>
      <c r="D50" s="94"/>
      <c r="E50" s="42" t="s">
        <v>568</v>
      </c>
      <c r="F50" s="42" t="str">
        <f>IF(ISNUMBER(E50),ROUND(E50*$D50,2),"")</f>
        <v/>
      </c>
      <c r="G50" s="29"/>
      <c r="H50" s="30"/>
      <c r="I50" s="156">
        <v>0</v>
      </c>
    </row>
    <row r="51" spans="1:9" hidden="1" x14ac:dyDescent="0.25">
      <c r="A51" s="188"/>
      <c r="B51" s="32" t="s">
        <v>568</v>
      </c>
      <c r="C51" s="79"/>
      <c r="D51" s="92"/>
      <c r="E51" s="98" t="s">
        <v>568</v>
      </c>
      <c r="F51" s="99" t="str">
        <f>IF(ISNUMBER(E51),ROUND(E51*$D51,2),"")</f>
        <v/>
      </c>
      <c r="G51" s="35"/>
      <c r="H51" s="31"/>
      <c r="I51" s="156">
        <v>0</v>
      </c>
    </row>
    <row r="52" spans="1:9" ht="25.5" hidden="1" x14ac:dyDescent="0.25">
      <c r="A52" s="188"/>
      <c r="B52" s="36" t="s">
        <v>1368</v>
      </c>
      <c r="C52" s="50" t="s">
        <v>123</v>
      </c>
      <c r="D52" s="37">
        <v>0.95</v>
      </c>
      <c r="E52" s="34">
        <v>112.63199999999999</v>
      </c>
      <c r="F52" s="34">
        <f>IF(ISNUMBER(E52),ROUND(E52*$D52,2),"")</f>
        <v>107</v>
      </c>
      <c r="G52" s="45">
        <f>SUM(F52:F65)</f>
        <v>423.31475755000002</v>
      </c>
      <c r="H52" s="46"/>
      <c r="I52" s="156">
        <v>0</v>
      </c>
    </row>
    <row r="53" spans="1:9" hidden="1" x14ac:dyDescent="0.25">
      <c r="A53" s="188"/>
      <c r="B53" s="36" t="s">
        <v>801</v>
      </c>
      <c r="C53" s="50" t="s">
        <v>953</v>
      </c>
      <c r="D53" s="37">
        <v>426.49</v>
      </c>
      <c r="E53" s="34">
        <v>0.47499999999999998</v>
      </c>
      <c r="F53" s="34">
        <f>IF(ISNUMBER(E53),ROUND(E53*$D53,2),"")</f>
        <v>202.58</v>
      </c>
      <c r="G53" s="45"/>
      <c r="H53" s="46"/>
      <c r="I53" s="156">
        <v>0</v>
      </c>
    </row>
    <row r="54" spans="1:9" ht="25.5" hidden="1" x14ac:dyDescent="0.25">
      <c r="A54" s="188"/>
      <c r="B54" s="36" t="s">
        <v>1533</v>
      </c>
      <c r="C54" s="50" t="s">
        <v>755</v>
      </c>
      <c r="D54" s="37">
        <v>4.32</v>
      </c>
      <c r="E54" s="31">
        <v>16.5015</v>
      </c>
      <c r="F54" s="34">
        <f>IF(ISNUMBER(E54),ROUND(E54*$D54,2),"")</f>
        <v>71.290000000000006</v>
      </c>
      <c r="G54" s="45"/>
      <c r="H54" s="46"/>
      <c r="I54" s="156">
        <v>0</v>
      </c>
    </row>
    <row r="55" spans="1:9" ht="38.25" hidden="1" x14ac:dyDescent="0.25">
      <c r="A55" s="188"/>
      <c r="B55" s="36" t="s">
        <v>120</v>
      </c>
      <c r="C55" s="50" t="s">
        <v>997</v>
      </c>
      <c r="D55" s="37">
        <v>1.01</v>
      </c>
      <c r="E55" s="31">
        <v>1.2064999999999999</v>
      </c>
      <c r="F55" s="34">
        <f>IF(ISNUMBER(E55),ROUND(E55*$D55,2),"")</f>
        <v>1.22</v>
      </c>
      <c r="G55" s="45"/>
      <c r="H55" s="46"/>
      <c r="I55" s="156">
        <v>0</v>
      </c>
    </row>
    <row r="56" spans="1:9" ht="38.25" hidden="1" x14ac:dyDescent="0.25">
      <c r="A56" s="188"/>
      <c r="B56" s="36" t="s">
        <v>121</v>
      </c>
      <c r="C56" s="50" t="s">
        <v>999</v>
      </c>
      <c r="D56" s="37">
        <v>3.31</v>
      </c>
      <c r="E56" s="31">
        <v>0.26600000000000001</v>
      </c>
      <c r="F56" s="34">
        <f>IF(ISNUMBER(E56),ROUND(E56*$D56,2),"")</f>
        <v>0.88</v>
      </c>
      <c r="G56" s="45"/>
      <c r="H56" s="46"/>
      <c r="I56" s="156">
        <v>0</v>
      </c>
    </row>
    <row r="57" spans="1:9" ht="38.25" hidden="1" x14ac:dyDescent="0.25">
      <c r="A57" s="188"/>
      <c r="B57" s="36" t="s">
        <v>3414</v>
      </c>
      <c r="C57" s="36" t="s">
        <v>997</v>
      </c>
      <c r="D57" s="37">
        <f>ROUND(0.0083*D52,4)</f>
        <v>7.9000000000000008E-3</v>
      </c>
      <c r="E57" s="31">
        <v>126.34050000000001</v>
      </c>
      <c r="F57" s="34">
        <f>IF(ISNUMBER(E57),E57*$D57,"")</f>
        <v>0.99808995000000011</v>
      </c>
      <c r="G57" s="45"/>
      <c r="H57" s="46"/>
      <c r="I57" s="156">
        <v>0</v>
      </c>
    </row>
    <row r="58" spans="1:9" ht="38.25" hidden="1" x14ac:dyDescent="0.25">
      <c r="A58" s="188"/>
      <c r="B58" s="36" t="s">
        <v>3418</v>
      </c>
      <c r="C58" s="47" t="s">
        <v>999</v>
      </c>
      <c r="D58" s="37">
        <f>ROUND(0.0151*D52,4)</f>
        <v>1.43E-2</v>
      </c>
      <c r="E58" s="31">
        <v>44.184499999999993</v>
      </c>
      <c r="F58" s="34">
        <f>IF(ISNUMBER(E58),E58*$D58,"")</f>
        <v>0.63183834999999988</v>
      </c>
      <c r="G58" s="45"/>
      <c r="H58" s="46"/>
      <c r="I58" s="156">
        <v>0</v>
      </c>
    </row>
    <row r="59" spans="1:9" ht="51" hidden="1" x14ac:dyDescent="0.25">
      <c r="A59" s="188"/>
      <c r="B59" s="36" t="s">
        <v>1134</v>
      </c>
      <c r="C59" s="47" t="s">
        <v>997</v>
      </c>
      <c r="D59" s="37">
        <f>ROUND(0.0267*D52,4)</f>
        <v>2.5399999999999999E-2</v>
      </c>
      <c r="E59" s="31">
        <v>117.43899999999999</v>
      </c>
      <c r="F59" s="34">
        <f>IF(ISNUMBER(E59),E59*$D59,"")</f>
        <v>2.9829505999999997</v>
      </c>
      <c r="G59" s="45"/>
      <c r="H59" s="46"/>
      <c r="I59" s="156">
        <v>0</v>
      </c>
    </row>
    <row r="60" spans="1:9" ht="51" hidden="1" x14ac:dyDescent="0.25">
      <c r="A60" s="188"/>
      <c r="B60" s="36" t="s">
        <v>1135</v>
      </c>
      <c r="C60" s="47" t="s">
        <v>999</v>
      </c>
      <c r="D60" s="37">
        <f>ROUND(0.0203*D52,4)</f>
        <v>1.9300000000000001E-2</v>
      </c>
      <c r="E60" s="31">
        <v>35.330499999999994</v>
      </c>
      <c r="F60" s="34">
        <f>IF(ISNUMBER(E60),E60*$D60,"")</f>
        <v>0.68187864999999992</v>
      </c>
      <c r="G60" s="45"/>
      <c r="H60" s="46"/>
      <c r="I60" s="156">
        <v>0</v>
      </c>
    </row>
    <row r="61" spans="1:9" ht="51" hidden="1" x14ac:dyDescent="0.25">
      <c r="A61" s="188"/>
      <c r="B61" s="36" t="s">
        <v>1134</v>
      </c>
      <c r="C61" s="50" t="s">
        <v>997</v>
      </c>
      <c r="D61" s="37">
        <f>ROUND(0.0139*20*D52,4)</f>
        <v>0.2641</v>
      </c>
      <c r="E61" s="34">
        <v>117.43899999999999</v>
      </c>
      <c r="F61" s="34">
        <f>IF(ISNUMBER(E61),ROUND(E61*$D61,2),"")</f>
        <v>31.02</v>
      </c>
      <c r="G61" s="45"/>
      <c r="H61" s="46"/>
      <c r="I61" s="156">
        <v>0</v>
      </c>
    </row>
    <row r="62" spans="1:9" ht="51" hidden="1" x14ac:dyDescent="0.25">
      <c r="A62" s="188"/>
      <c r="B62" s="36" t="s">
        <v>1135</v>
      </c>
      <c r="C62" s="50" t="s">
        <v>999</v>
      </c>
      <c r="D62" s="37">
        <f>ROUND(0.006*20*D52,4)</f>
        <v>0.114</v>
      </c>
      <c r="E62" s="34">
        <v>35.330499999999994</v>
      </c>
      <c r="F62" s="34">
        <f>IF(ISNUMBER(E62),ROUND(E62*$D62,2),"")</f>
        <v>4.03</v>
      </c>
      <c r="G62" s="45"/>
      <c r="H62" s="46"/>
      <c r="I62" s="156">
        <v>0</v>
      </c>
    </row>
    <row r="63" spans="1:9" hidden="1" x14ac:dyDescent="0.25">
      <c r="A63" s="188"/>
      <c r="B63" s="51"/>
      <c r="C63" s="130"/>
      <c r="D63" s="37"/>
      <c r="E63" s="31" t="s">
        <v>568</v>
      </c>
      <c r="F63" s="34" t="str">
        <f t="shared" ref="F63:F65" si="0">IF(ISNUMBER(E63),ROUND(E63*$D63,2),"")</f>
        <v/>
      </c>
      <c r="G63" s="45"/>
      <c r="H63" s="46"/>
      <c r="I63" s="156">
        <v>0</v>
      </c>
    </row>
    <row r="64" spans="1:9" hidden="1" x14ac:dyDescent="0.25">
      <c r="A64" s="188"/>
      <c r="B64" s="48" t="s">
        <v>808</v>
      </c>
      <c r="C64" s="130"/>
      <c r="D64" s="37"/>
      <c r="E64" s="31" t="s">
        <v>568</v>
      </c>
      <c r="F64" s="34" t="str">
        <f t="shared" si="0"/>
        <v/>
      </c>
      <c r="G64" s="45"/>
      <c r="H64" s="46"/>
      <c r="I64" s="156">
        <v>0</v>
      </c>
    </row>
    <row r="65" spans="1:9" hidden="1" x14ac:dyDescent="0.25">
      <c r="A65" s="188"/>
      <c r="B65" s="157" t="s">
        <v>3771</v>
      </c>
      <c r="C65" s="158"/>
      <c r="D65" s="159"/>
      <c r="E65" s="31" t="s">
        <v>568</v>
      </c>
      <c r="F65" s="31" t="str">
        <f t="shared" si="0"/>
        <v/>
      </c>
      <c r="G65" s="45"/>
      <c r="H65" s="46"/>
      <c r="I65" s="156">
        <v>0</v>
      </c>
    </row>
    <row r="66" spans="1:9" ht="15.75" hidden="1" thickBot="1" x14ac:dyDescent="0.3">
      <c r="A66" s="192"/>
      <c r="B66" s="104"/>
      <c r="C66" s="80"/>
      <c r="D66" s="96"/>
      <c r="E66" s="67" t="s">
        <v>568</v>
      </c>
      <c r="F66" s="67" t="str">
        <f t="shared" ref="F66:F73" si="1">IF(ISNUMBER(E66),ROUND(E66*$D66,2),"")</f>
        <v/>
      </c>
      <c r="G66" s="69"/>
      <c r="H66" s="31"/>
      <c r="I66" s="156">
        <v>0</v>
      </c>
    </row>
    <row r="67" spans="1:9" ht="15.75" hidden="1" thickBot="1" x14ac:dyDescent="0.3">
      <c r="A67" s="191" t="s">
        <v>3425</v>
      </c>
      <c r="B67" s="41" t="s">
        <v>568</v>
      </c>
      <c r="C67" s="78" t="s">
        <v>123</v>
      </c>
      <c r="D67" s="94"/>
      <c r="E67" s="42" t="s">
        <v>568</v>
      </c>
      <c r="F67" s="42" t="str">
        <f t="shared" si="1"/>
        <v/>
      </c>
      <c r="G67" s="29"/>
      <c r="H67" s="30"/>
      <c r="I67" s="156">
        <v>0</v>
      </c>
    </row>
    <row r="68" spans="1:9" hidden="1" x14ac:dyDescent="0.25">
      <c r="A68" s="188"/>
      <c r="B68" s="32" t="s">
        <v>568</v>
      </c>
      <c r="C68" s="79"/>
      <c r="D68" s="92"/>
      <c r="E68" s="98" t="s">
        <v>568</v>
      </c>
      <c r="F68" s="99" t="str">
        <f t="shared" si="1"/>
        <v/>
      </c>
      <c r="G68" s="35"/>
      <c r="H68" s="31"/>
      <c r="I68" s="156">
        <v>0</v>
      </c>
    </row>
    <row r="69" spans="1:9" ht="25.5" hidden="1" x14ac:dyDescent="0.25">
      <c r="A69" s="188"/>
      <c r="B69" s="36" t="s">
        <v>805</v>
      </c>
      <c r="C69" s="50" t="s">
        <v>123</v>
      </c>
      <c r="D69" s="37">
        <v>1.1599999999999999</v>
      </c>
      <c r="E69" s="34">
        <v>90.25</v>
      </c>
      <c r="F69" s="34">
        <f t="shared" si="1"/>
        <v>104.69</v>
      </c>
      <c r="G69" s="45">
        <f>SUM(F69:F82)</f>
        <v>471.35697330000005</v>
      </c>
      <c r="H69" s="46"/>
      <c r="I69" s="156">
        <v>0</v>
      </c>
    </row>
    <row r="70" spans="1:9" hidden="1" x14ac:dyDescent="0.25">
      <c r="A70" s="188"/>
      <c r="B70" s="36" t="s">
        <v>1535</v>
      </c>
      <c r="C70" s="50" t="s">
        <v>953</v>
      </c>
      <c r="D70" s="37">
        <v>174.1</v>
      </c>
      <c r="E70" s="34">
        <v>0.85499999999999998</v>
      </c>
      <c r="F70" s="34">
        <f t="shared" si="1"/>
        <v>148.86000000000001</v>
      </c>
      <c r="G70" s="45"/>
      <c r="H70" s="46"/>
      <c r="I70" s="156">
        <v>0</v>
      </c>
    </row>
    <row r="71" spans="1:9" hidden="1" x14ac:dyDescent="0.25">
      <c r="A71" s="188"/>
      <c r="B71" s="36" t="s">
        <v>801</v>
      </c>
      <c r="C71" s="50" t="s">
        <v>953</v>
      </c>
      <c r="D71" s="37">
        <v>195.86</v>
      </c>
      <c r="E71" s="31">
        <v>0.47499999999999998</v>
      </c>
      <c r="F71" s="34">
        <f t="shared" si="1"/>
        <v>93.03</v>
      </c>
      <c r="G71" s="45"/>
      <c r="H71" s="46"/>
      <c r="I71" s="156">
        <v>0</v>
      </c>
    </row>
    <row r="72" spans="1:9" ht="25.5" hidden="1" x14ac:dyDescent="0.25">
      <c r="A72" s="188"/>
      <c r="B72" s="36" t="s">
        <v>1533</v>
      </c>
      <c r="C72" s="50" t="s">
        <v>755</v>
      </c>
      <c r="D72" s="37">
        <v>4.5</v>
      </c>
      <c r="E72" s="31">
        <v>16.5015</v>
      </c>
      <c r="F72" s="34">
        <f t="shared" si="1"/>
        <v>74.260000000000005</v>
      </c>
      <c r="G72" s="45"/>
      <c r="H72" s="46"/>
      <c r="I72" s="156">
        <v>0</v>
      </c>
    </row>
    <row r="73" spans="1:9" ht="38.25" hidden="1" x14ac:dyDescent="0.25">
      <c r="A73" s="188"/>
      <c r="B73" s="36" t="s">
        <v>120</v>
      </c>
      <c r="C73" s="50" t="s">
        <v>997</v>
      </c>
      <c r="D73" s="37">
        <v>1.05</v>
      </c>
      <c r="E73" s="31">
        <v>1.2064999999999999</v>
      </c>
      <c r="F73" s="34">
        <f t="shared" si="1"/>
        <v>1.27</v>
      </c>
      <c r="G73" s="45"/>
      <c r="H73" s="46"/>
      <c r="I73" s="156">
        <v>0</v>
      </c>
    </row>
    <row r="74" spans="1:9" ht="38.25" hidden="1" x14ac:dyDescent="0.25">
      <c r="A74" s="188"/>
      <c r="B74" s="36" t="s">
        <v>3414</v>
      </c>
      <c r="C74" s="36" t="s">
        <v>997</v>
      </c>
      <c r="D74" s="37">
        <f>ROUND(0.0083*D69,4)</f>
        <v>9.5999999999999992E-3</v>
      </c>
      <c r="E74" s="31">
        <v>126.34050000000001</v>
      </c>
      <c r="F74" s="34">
        <f>IF(ISNUMBER(E74),E74*$D74,"")</f>
        <v>1.2128687999999999</v>
      </c>
      <c r="G74" s="45"/>
      <c r="H74" s="46"/>
      <c r="I74" s="156">
        <v>0</v>
      </c>
    </row>
    <row r="75" spans="1:9" ht="38.25" hidden="1" x14ac:dyDescent="0.25">
      <c r="A75" s="188"/>
      <c r="B75" s="36" t="s">
        <v>3418</v>
      </c>
      <c r="C75" s="47" t="s">
        <v>999</v>
      </c>
      <c r="D75" s="37">
        <f>ROUND(0.0151*D69,4)</f>
        <v>1.7500000000000002E-2</v>
      </c>
      <c r="E75" s="31">
        <v>44.184499999999993</v>
      </c>
      <c r="F75" s="34">
        <f>IF(ISNUMBER(E75),E75*$D75,"")</f>
        <v>0.77322874999999991</v>
      </c>
      <c r="G75" s="45"/>
      <c r="H75" s="46"/>
      <c r="I75" s="156">
        <v>0</v>
      </c>
    </row>
    <row r="76" spans="1:9" ht="51" hidden="1" x14ac:dyDescent="0.25">
      <c r="A76" s="188"/>
      <c r="B76" s="36" t="s">
        <v>1134</v>
      </c>
      <c r="C76" s="47" t="s">
        <v>997</v>
      </c>
      <c r="D76" s="37">
        <f>ROUND(0.0267*D69,4)</f>
        <v>3.1E-2</v>
      </c>
      <c r="E76" s="31">
        <v>117.43899999999999</v>
      </c>
      <c r="F76" s="34">
        <f>IF(ISNUMBER(E76),E76*$D76,"")</f>
        <v>3.6406089999999995</v>
      </c>
      <c r="G76" s="45"/>
      <c r="H76" s="46"/>
      <c r="I76" s="156">
        <v>0</v>
      </c>
    </row>
    <row r="77" spans="1:9" ht="51" hidden="1" x14ac:dyDescent="0.25">
      <c r="A77" s="188"/>
      <c r="B77" s="36" t="s">
        <v>1135</v>
      </c>
      <c r="C77" s="47" t="s">
        <v>999</v>
      </c>
      <c r="D77" s="37">
        <f>ROUND(0.0203*D69,4)</f>
        <v>2.35E-2</v>
      </c>
      <c r="E77" s="31">
        <v>35.330499999999994</v>
      </c>
      <c r="F77" s="34">
        <f>IF(ISNUMBER(E77),E77*$D77,"")</f>
        <v>0.83026674999999983</v>
      </c>
      <c r="G77" s="45"/>
      <c r="H77" s="46"/>
      <c r="I77" s="156">
        <v>0</v>
      </c>
    </row>
    <row r="78" spans="1:9" ht="51" hidden="1" x14ac:dyDescent="0.25">
      <c r="A78" s="188"/>
      <c r="B78" s="36" t="s">
        <v>1134</v>
      </c>
      <c r="C78" s="50" t="s">
        <v>997</v>
      </c>
      <c r="D78" s="37">
        <f>ROUND(0.0139*20*D69,4)</f>
        <v>0.32250000000000001</v>
      </c>
      <c r="E78" s="34">
        <v>117.43899999999999</v>
      </c>
      <c r="F78" s="34">
        <f>IF(ISNUMBER(E78),ROUND(E78*$D78,2),"")</f>
        <v>37.869999999999997</v>
      </c>
      <c r="G78" s="45"/>
      <c r="H78" s="46"/>
      <c r="I78" s="156">
        <v>0</v>
      </c>
    </row>
    <row r="79" spans="1:9" ht="51" hidden="1" x14ac:dyDescent="0.25">
      <c r="A79" s="188"/>
      <c r="B79" s="36" t="s">
        <v>1135</v>
      </c>
      <c r="C79" s="50" t="s">
        <v>999</v>
      </c>
      <c r="D79" s="37">
        <f>ROUND(0.006*20*D69,4)</f>
        <v>0.13919999999999999</v>
      </c>
      <c r="E79" s="34">
        <v>35.330499999999994</v>
      </c>
      <c r="F79" s="34">
        <f>IF(ISNUMBER(E79),ROUND(E79*$D79,2),"")</f>
        <v>4.92</v>
      </c>
      <c r="G79" s="45"/>
      <c r="H79" s="46"/>
      <c r="I79" s="156">
        <v>0</v>
      </c>
    </row>
    <row r="80" spans="1:9" hidden="1" x14ac:dyDescent="0.25">
      <c r="A80" s="188"/>
      <c r="B80" s="51"/>
      <c r="C80" s="130"/>
      <c r="D80" s="37"/>
      <c r="E80" s="31" t="s">
        <v>568</v>
      </c>
      <c r="F80" s="34" t="str">
        <f t="shared" ref="F80:F83" si="2">IF(ISNUMBER(E80),ROUND(E80*$D80,2),"")</f>
        <v/>
      </c>
      <c r="G80" s="45"/>
      <c r="H80" s="46"/>
      <c r="I80" s="156">
        <v>0</v>
      </c>
    </row>
    <row r="81" spans="1:9" hidden="1" x14ac:dyDescent="0.25">
      <c r="A81" s="188"/>
      <c r="B81" s="48" t="s">
        <v>808</v>
      </c>
      <c r="C81" s="130"/>
      <c r="D81" s="37"/>
      <c r="E81" s="31" t="s">
        <v>568</v>
      </c>
      <c r="F81" s="34" t="str">
        <f t="shared" si="2"/>
        <v/>
      </c>
      <c r="G81" s="45"/>
      <c r="H81" s="46"/>
      <c r="I81" s="156">
        <v>0</v>
      </c>
    </row>
    <row r="82" spans="1:9" hidden="1" x14ac:dyDescent="0.25">
      <c r="A82" s="188"/>
      <c r="B82" s="157" t="s">
        <v>3771</v>
      </c>
      <c r="C82" s="158"/>
      <c r="D82" s="159"/>
      <c r="E82" s="31" t="s">
        <v>568</v>
      </c>
      <c r="F82" s="31" t="str">
        <f t="shared" si="2"/>
        <v/>
      </c>
      <c r="G82" s="45"/>
      <c r="H82" s="46"/>
      <c r="I82" s="156">
        <v>0</v>
      </c>
    </row>
    <row r="83" spans="1:9" ht="15.75" hidden="1" thickBot="1" x14ac:dyDescent="0.3">
      <c r="A83" s="192"/>
      <c r="B83" s="104"/>
      <c r="C83" s="80"/>
      <c r="D83" s="96"/>
      <c r="E83" s="67" t="s">
        <v>568</v>
      </c>
      <c r="F83" s="67" t="str">
        <f t="shared" si="2"/>
        <v/>
      </c>
      <c r="G83" s="69"/>
      <c r="H83" s="31"/>
      <c r="I83" s="156">
        <v>0</v>
      </c>
    </row>
  </sheetData>
  <autoFilter ref="A5:I83">
    <filterColumn colId="8">
      <filters>
        <filter val="19,4234"/>
        <filter val="388,4685"/>
      </filters>
    </filterColumn>
  </autoFilter>
  <mergeCells count="7">
    <mergeCell ref="A50:A66"/>
    <mergeCell ref="A67:A83"/>
    <mergeCell ref="A6:A10"/>
    <mergeCell ref="A11:A16"/>
    <mergeCell ref="A17:A23"/>
    <mergeCell ref="A24:A39"/>
    <mergeCell ref="A40:A49"/>
  </mergeCells>
  <conditionalFormatting sqref="F4">
    <cfRule type="containsText" dxfId="22" priority="94"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45" fitToHeight="0" orientation="landscape" horizontalDpi="4294967295" verticalDpi="4294967295" r:id="rId1"/>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filterMode="1">
    <pageSetUpPr fitToPage="1"/>
  </sheetPr>
  <dimension ref="A1:I1361"/>
  <sheetViews>
    <sheetView tabSelected="1" zoomScale="90" zoomScaleNormal="90" workbookViewId="0">
      <pane ySplit="5" topLeftCell="A6" activePane="bottomLeft" state="frozen"/>
      <selection pane="bottomLeft" activeCell="N1025" sqref="N1025"/>
    </sheetView>
  </sheetViews>
  <sheetFormatPr defaultRowHeight="15" x14ac:dyDescent="0.25"/>
  <cols>
    <col min="1" max="1" width="14.7109375" customWidth="1"/>
    <col min="2" max="2" width="80.7109375" style="5" customWidth="1"/>
    <col min="3" max="4" width="15.7109375" customWidth="1"/>
    <col min="5" max="6" width="20.7109375" customWidth="1"/>
    <col min="7" max="7" width="15.7109375" customWidth="1"/>
    <col min="8" max="9" width="20.7109375" customWidth="1"/>
  </cols>
  <sheetData>
    <row r="1" spans="1:9" ht="24.95" customHeight="1" x14ac:dyDescent="0.25">
      <c r="A1" s="171" t="s">
        <v>3828</v>
      </c>
      <c r="B1" s="123"/>
      <c r="C1" s="106"/>
      <c r="D1" s="106"/>
      <c r="E1" s="106"/>
      <c r="F1" s="106"/>
      <c r="G1" s="106"/>
      <c r="H1" s="106"/>
      <c r="I1" s="106"/>
    </row>
    <row r="2" spans="1:9" ht="24.95" customHeight="1" x14ac:dyDescent="0.25">
      <c r="A2" s="107" t="s">
        <v>1547</v>
      </c>
      <c r="B2" s="124"/>
      <c r="C2" s="107"/>
      <c r="D2" s="107"/>
      <c r="E2" s="107"/>
      <c r="F2" s="107"/>
      <c r="G2" s="107"/>
      <c r="H2" s="107"/>
      <c r="I2" s="107"/>
    </row>
    <row r="3" spans="1:9" ht="20.100000000000001" customHeight="1" x14ac:dyDescent="0.25">
      <c r="A3" s="108" t="s">
        <v>3829</v>
      </c>
      <c r="B3" s="108"/>
      <c r="C3" s="108"/>
      <c r="D3" s="108"/>
      <c r="E3" s="108"/>
      <c r="F3" s="108"/>
      <c r="G3" s="108"/>
      <c r="H3" s="108"/>
      <c r="I3" s="108"/>
    </row>
    <row r="4" spans="1:9" ht="18" customHeight="1" thickBot="1" x14ac:dyDescent="0.3">
      <c r="A4" s="109"/>
      <c r="B4" s="110"/>
      <c r="C4" s="111"/>
      <c r="D4" s="111"/>
      <c r="E4" s="112"/>
      <c r="F4" s="112"/>
      <c r="G4" s="110"/>
      <c r="H4" s="110"/>
      <c r="I4" s="110"/>
    </row>
    <row r="5" spans="1:9" ht="45" customHeight="1" x14ac:dyDescent="0.25">
      <c r="A5" s="193" t="s">
        <v>1</v>
      </c>
      <c r="B5" s="194" t="s">
        <v>2</v>
      </c>
      <c r="C5" s="194" t="s">
        <v>4</v>
      </c>
      <c r="D5" s="195" t="s">
        <v>1548</v>
      </c>
      <c r="E5" s="196" t="s">
        <v>6</v>
      </c>
      <c r="F5" s="196" t="s">
        <v>3411</v>
      </c>
      <c r="G5" s="196" t="s">
        <v>1550</v>
      </c>
      <c r="H5" s="196" t="s">
        <v>1551</v>
      </c>
      <c r="I5" s="196" t="s">
        <v>3798</v>
      </c>
    </row>
    <row r="6" spans="1:9" x14ac:dyDescent="0.25">
      <c r="A6" s="197" t="s">
        <v>10</v>
      </c>
      <c r="B6" s="198" t="s">
        <v>1552</v>
      </c>
      <c r="C6" s="199" t="s">
        <v>1553</v>
      </c>
      <c r="D6" s="199">
        <v>246</v>
      </c>
      <c r="E6" s="135">
        <f ca="1">OFFSET(INDEX(Composições!A:J,MATCH(Orçamentária!A6,Composições!A:A,0),8),2,0)</f>
        <v>88.283500000000004</v>
      </c>
      <c r="F6" s="136">
        <f ca="1">IF(ISNUMBER(E6),D6*E6,"")</f>
        <v>21717.741000000002</v>
      </c>
      <c r="G6" s="137">
        <f>BDI!$B$17</f>
        <v>0.191</v>
      </c>
      <c r="H6" s="138">
        <f ca="1">IF(ISNUMBER(E6),ROUND(E6*(1+G6),2),"")</f>
        <v>105.15</v>
      </c>
      <c r="I6" s="136">
        <f ca="1">IF(ISNUMBER(E6),ROUND(H6*D6,2),"")</f>
        <v>25866.9</v>
      </c>
    </row>
    <row r="7" spans="1:9" x14ac:dyDescent="0.25">
      <c r="A7" s="197" t="s">
        <v>13</v>
      </c>
      <c r="B7" s="198" t="s">
        <v>1554</v>
      </c>
      <c r="C7" s="199" t="s">
        <v>1553</v>
      </c>
      <c r="D7" s="199">
        <v>492</v>
      </c>
      <c r="E7" s="135">
        <f ca="1">OFFSET(INDEX(Composições!A:J,MATCH(Orçamentária!A7,Composições!A:A,0),8),2,0)</f>
        <v>26.248499999999996</v>
      </c>
      <c r="F7" s="136">
        <f t="shared" ref="F7:F70" ca="1" si="0">IF(ISNUMBER(E7),D7*E7,"")</f>
        <v>12914.261999999999</v>
      </c>
      <c r="G7" s="137">
        <f>BDI!$B$17</f>
        <v>0.191</v>
      </c>
      <c r="H7" s="138">
        <f t="shared" ref="H7:H70" ca="1" si="1">IF(ISNUMBER(E7),ROUND(E7*(1+G7),2),"")</f>
        <v>31.26</v>
      </c>
      <c r="I7" s="136">
        <f t="shared" ref="I7:I70" ca="1" si="2">IF(ISNUMBER(E7),ROUND(H7*D7,2),"")</f>
        <v>15379.92</v>
      </c>
    </row>
    <row r="8" spans="1:9" hidden="1" x14ac:dyDescent="0.25">
      <c r="A8" s="113" t="s">
        <v>15</v>
      </c>
      <c r="B8" s="114" t="s">
        <v>1555</v>
      </c>
      <c r="C8" s="115" t="s">
        <v>20</v>
      </c>
      <c r="D8" s="115">
        <v>0</v>
      </c>
      <c r="E8" s="135">
        <f ca="1">OFFSET(INDEX(Composições!A:J,MATCH(Orçamentária!A8,Composições!A:A,0),8),2,0)</f>
        <v>1605.2719999999999</v>
      </c>
      <c r="F8" s="136">
        <f t="shared" ca="1" si="0"/>
        <v>0</v>
      </c>
      <c r="G8" s="137" t="e">
        <f>IF(A8&lt;&gt;"",IF(AND(#REF!="Padrão",$H$4=#REF!),BDI!$B$17,IF(AND(#REF!="Padrão",$H$4=#REF!),BDI!#REF!,IF(AND(#REF!="Diferenciado",$H$4=#REF!),BDI!$E$17,IF(AND(#REF!="Diferenciado",$H$4=#REF!),BDI!#REF!,IF(#REF!="ZERO",0))))),"")</f>
        <v>#REF!</v>
      </c>
      <c r="H8" s="138" t="e">
        <f t="shared" ca="1" si="1"/>
        <v>#REF!</v>
      </c>
      <c r="I8" s="136" t="e">
        <f t="shared" ca="1" si="2"/>
        <v>#REF!</v>
      </c>
    </row>
    <row r="9" spans="1:9" x14ac:dyDescent="0.25">
      <c r="A9" s="197" t="s">
        <v>17</v>
      </c>
      <c r="B9" s="198" t="s">
        <v>1556</v>
      </c>
      <c r="C9" s="199" t="s">
        <v>20</v>
      </c>
      <c r="D9" s="199">
        <v>1</v>
      </c>
      <c r="E9" s="135">
        <f ca="1">OFFSET(INDEX(Composições!A:J,MATCH(Orçamentária!A9,Composições!A:A,0),8),2,0)</f>
        <v>2246.9900000000002</v>
      </c>
      <c r="F9" s="136">
        <f t="shared" ca="1" si="0"/>
        <v>2246.9900000000002</v>
      </c>
      <c r="G9" s="137">
        <f>BDI!$B$17</f>
        <v>0.191</v>
      </c>
      <c r="H9" s="138">
        <f t="shared" ca="1" si="1"/>
        <v>2676.17</v>
      </c>
      <c r="I9" s="136">
        <f t="shared" ca="1" si="2"/>
        <v>2676.17</v>
      </c>
    </row>
    <row r="10" spans="1:9" x14ac:dyDescent="0.25">
      <c r="A10" s="197" t="s">
        <v>21</v>
      </c>
      <c r="B10" s="198" t="s">
        <v>1557</v>
      </c>
      <c r="C10" s="199" t="s">
        <v>111</v>
      </c>
      <c r="D10" s="199">
        <v>22.73</v>
      </c>
      <c r="E10" s="135">
        <f ca="1">OFFSET(INDEX(Composições!A:J,MATCH(Orçamentária!A10,Composições!A:A,0),8),2,0)</f>
        <v>42.890662700000007</v>
      </c>
      <c r="F10" s="136">
        <f t="shared" ca="1" si="0"/>
        <v>974.90476317100013</v>
      </c>
      <c r="G10" s="137">
        <f>BDI!$B$17</f>
        <v>0.191</v>
      </c>
      <c r="H10" s="138">
        <f t="shared" ca="1" si="1"/>
        <v>51.08</v>
      </c>
      <c r="I10" s="136">
        <f t="shared" ca="1" si="2"/>
        <v>1161.05</v>
      </c>
    </row>
    <row r="11" spans="1:9" hidden="1" x14ac:dyDescent="0.25">
      <c r="A11" s="113" t="s">
        <v>24</v>
      </c>
      <c r="B11" s="114" t="s">
        <v>1558</v>
      </c>
      <c r="C11" s="115" t="s">
        <v>111</v>
      </c>
      <c r="D11" s="115">
        <v>0</v>
      </c>
      <c r="E11" s="135">
        <f ca="1">OFFSET(INDEX(Composições!A:J,MATCH(Orçamentária!A11,Composições!A:A,0),8),2,0)</f>
        <v>240.76325000000003</v>
      </c>
      <c r="F11" s="136">
        <f t="shared" ca="1" si="0"/>
        <v>0</v>
      </c>
      <c r="G11" s="137" t="e">
        <f>IF(A11&lt;&gt;"",IF(AND(#REF!="Padrão",$H$4=#REF!),BDI!$B$17,IF(AND(#REF!="Padrão",$H$4=#REF!),BDI!#REF!,IF(AND(#REF!="Diferenciado",$H$4=#REF!),BDI!$E$17,IF(AND(#REF!="Diferenciado",$H$4=#REF!),BDI!#REF!,IF(#REF!="ZERO",0))))),"")</f>
        <v>#REF!</v>
      </c>
      <c r="H11" s="138" t="e">
        <f t="shared" ca="1" si="1"/>
        <v>#REF!</v>
      </c>
      <c r="I11" s="136" t="e">
        <f t="shared" ca="1" si="2"/>
        <v>#REF!</v>
      </c>
    </row>
    <row r="12" spans="1:9" x14ac:dyDescent="0.25">
      <c r="A12" s="197" t="s">
        <v>25</v>
      </c>
      <c r="B12" s="198" t="s">
        <v>1559</v>
      </c>
      <c r="C12" s="199" t="s">
        <v>95</v>
      </c>
      <c r="D12" s="199">
        <v>6.1</v>
      </c>
      <c r="E12" s="135">
        <f ca="1">OFFSET(INDEX(Composições!A:J,MATCH(Orçamentária!A12,Composições!A:A,0),8),2,0)</f>
        <v>11.418050000000001</v>
      </c>
      <c r="F12" s="136">
        <f t="shared" ca="1" si="0"/>
        <v>69.650104999999996</v>
      </c>
      <c r="G12" s="137">
        <f>BDI!$B$17</f>
        <v>0.191</v>
      </c>
      <c r="H12" s="138">
        <f t="shared" ca="1" si="1"/>
        <v>13.6</v>
      </c>
      <c r="I12" s="136">
        <f t="shared" ca="1" si="2"/>
        <v>82.96</v>
      </c>
    </row>
    <row r="13" spans="1:9" hidden="1" x14ac:dyDescent="0.25">
      <c r="A13" s="113" t="s">
        <v>26</v>
      </c>
      <c r="B13" s="114" t="s">
        <v>1560</v>
      </c>
      <c r="C13" s="115" t="s">
        <v>95</v>
      </c>
      <c r="D13" s="115">
        <v>0</v>
      </c>
      <c r="E13" s="135">
        <f ca="1">OFFSET(INDEX(Composições!A:J,MATCH(Orçamentária!A13,Composições!A:A,0),8),2,0)</f>
        <v>5.79771415</v>
      </c>
      <c r="F13" s="136">
        <f t="shared" ca="1" si="0"/>
        <v>0</v>
      </c>
      <c r="G13" s="137" t="e">
        <f>IF(A13&lt;&gt;"",IF(AND(#REF!="Padrão",$H$4=#REF!),BDI!$B$17,IF(AND(#REF!="Padrão",$H$4=#REF!),BDI!#REF!,IF(AND(#REF!="Diferenciado",$H$4=#REF!),BDI!$E$17,IF(AND(#REF!="Diferenciado",$H$4=#REF!),BDI!#REF!,IF(#REF!="ZERO",0))))),"")</f>
        <v>#REF!</v>
      </c>
      <c r="H13" s="138" t="e">
        <f t="shared" ca="1" si="1"/>
        <v>#REF!</v>
      </c>
      <c r="I13" s="136" t="e">
        <f t="shared" ca="1" si="2"/>
        <v>#REF!</v>
      </c>
    </row>
    <row r="14" spans="1:9" x14ac:dyDescent="0.25">
      <c r="A14" s="197" t="s">
        <v>28</v>
      </c>
      <c r="B14" s="198" t="s">
        <v>1561</v>
      </c>
      <c r="C14" s="199" t="s">
        <v>95</v>
      </c>
      <c r="D14" s="199">
        <v>196.2</v>
      </c>
      <c r="E14" s="135">
        <f ca="1">OFFSET(INDEX(Composições!A:J,MATCH(Orçamentária!A14,Composições!A:A,0),8),2,0)</f>
        <v>1.26180045</v>
      </c>
      <c r="F14" s="136">
        <f t="shared" ca="1" si="0"/>
        <v>247.56524828999997</v>
      </c>
      <c r="G14" s="137">
        <f>BDI!$B$17</f>
        <v>0.191</v>
      </c>
      <c r="H14" s="138">
        <f t="shared" ca="1" si="1"/>
        <v>1.5</v>
      </c>
      <c r="I14" s="136">
        <f t="shared" ca="1" si="2"/>
        <v>294.3</v>
      </c>
    </row>
    <row r="15" spans="1:9" x14ac:dyDescent="0.25">
      <c r="A15" s="197" t="s">
        <v>29</v>
      </c>
      <c r="B15" s="198" t="s">
        <v>1562</v>
      </c>
      <c r="C15" s="199" t="s">
        <v>93</v>
      </c>
      <c r="D15" s="199">
        <v>110</v>
      </c>
      <c r="E15" s="135">
        <f ca="1">OFFSET(INDEX(Composições!A:J,MATCH(Orçamentária!A15,Composições!A:A,0),8),2,0)</f>
        <v>2.6021450000000002</v>
      </c>
      <c r="F15" s="136">
        <f t="shared" ca="1" si="0"/>
        <v>286.23595</v>
      </c>
      <c r="G15" s="137">
        <f>BDI!$B$17</f>
        <v>0.191</v>
      </c>
      <c r="H15" s="138">
        <f t="shared" ca="1" si="1"/>
        <v>3.1</v>
      </c>
      <c r="I15" s="136">
        <f t="shared" ca="1" si="2"/>
        <v>341</v>
      </c>
    </row>
    <row r="16" spans="1:9" x14ac:dyDescent="0.25">
      <c r="A16" s="197" t="s">
        <v>31</v>
      </c>
      <c r="B16" s="198" t="s">
        <v>1563</v>
      </c>
      <c r="C16" s="199" t="s">
        <v>95</v>
      </c>
      <c r="D16" s="199">
        <v>155.5</v>
      </c>
      <c r="E16" s="135">
        <f ca="1">OFFSET(INDEX(Composições!A:J,MATCH(Orçamentária!A16,Composições!A:A,0),8),2,0)</f>
        <v>9.4933034500000009</v>
      </c>
      <c r="F16" s="136">
        <f t="shared" ca="1" si="0"/>
        <v>1476.2086864750001</v>
      </c>
      <c r="G16" s="137">
        <f>BDI!$B$17</f>
        <v>0.191</v>
      </c>
      <c r="H16" s="138">
        <f t="shared" ca="1" si="1"/>
        <v>11.31</v>
      </c>
      <c r="I16" s="136">
        <f t="shared" ca="1" si="2"/>
        <v>1758.71</v>
      </c>
    </row>
    <row r="17" spans="1:9" hidden="1" x14ac:dyDescent="0.25">
      <c r="A17" s="113" t="s">
        <v>37</v>
      </c>
      <c r="B17" s="114" t="s">
        <v>1564</v>
      </c>
      <c r="C17" s="115" t="s">
        <v>95</v>
      </c>
      <c r="D17" s="115">
        <v>0</v>
      </c>
      <c r="E17" s="135">
        <f ca="1">OFFSET(INDEX(Composições!A:J,MATCH(Orçamentária!A17,Composições!A:A,0),8),2,0)</f>
        <v>2.54367345</v>
      </c>
      <c r="F17" s="136">
        <f t="shared" ca="1" si="0"/>
        <v>0</v>
      </c>
      <c r="G17" s="137" t="e">
        <f>IF(A17&lt;&gt;"",IF(AND(#REF!="Padrão",$H$4=#REF!),BDI!$B$17,IF(AND(#REF!="Padrão",$H$4=#REF!),BDI!#REF!,IF(AND(#REF!="Diferenciado",$H$4=#REF!),BDI!$E$17,IF(AND(#REF!="Diferenciado",$H$4=#REF!),BDI!#REF!,IF(#REF!="ZERO",0))))),"")</f>
        <v>#REF!</v>
      </c>
      <c r="H17" s="138" t="e">
        <f t="shared" ca="1" si="1"/>
        <v>#REF!</v>
      </c>
      <c r="I17" s="136" t="e">
        <f t="shared" ca="1" si="2"/>
        <v>#REF!</v>
      </c>
    </row>
    <row r="18" spans="1:9" hidden="1" x14ac:dyDescent="0.25">
      <c r="A18" s="113" t="s">
        <v>38</v>
      </c>
      <c r="B18" s="114" t="s">
        <v>1565</v>
      </c>
      <c r="C18" s="115" t="s">
        <v>93</v>
      </c>
      <c r="D18" s="115">
        <v>0</v>
      </c>
      <c r="E18" s="135">
        <f ca="1">OFFSET(INDEX(Composições!A:J,MATCH(Orçamentária!A18,Composições!A:A,0),8),2,0)</f>
        <v>0.38187720000000003</v>
      </c>
      <c r="F18" s="136">
        <f t="shared" ca="1" si="0"/>
        <v>0</v>
      </c>
      <c r="G18" s="137" t="e">
        <f>IF(A18&lt;&gt;"",IF(AND(#REF!="Padrão",$H$4=#REF!),BDI!$B$17,IF(AND(#REF!="Padrão",$H$4=#REF!),BDI!#REF!,IF(AND(#REF!="Diferenciado",$H$4=#REF!),BDI!$E$17,IF(AND(#REF!="Diferenciado",$H$4=#REF!),BDI!#REF!,IF(#REF!="ZERO",0))))),"")</f>
        <v>#REF!</v>
      </c>
      <c r="H18" s="138" t="e">
        <f t="shared" ca="1" si="1"/>
        <v>#REF!</v>
      </c>
      <c r="I18" s="136" t="e">
        <f t="shared" ca="1" si="2"/>
        <v>#REF!</v>
      </c>
    </row>
    <row r="19" spans="1:9" hidden="1" x14ac:dyDescent="0.25">
      <c r="A19" s="113" t="s">
        <v>40</v>
      </c>
      <c r="B19" s="114" t="s">
        <v>1566</v>
      </c>
      <c r="C19" s="115" t="s">
        <v>111</v>
      </c>
      <c r="D19" s="115">
        <v>0</v>
      </c>
      <c r="E19" s="135">
        <f ca="1">OFFSET(INDEX(Composições!A:J,MATCH(Orçamentária!A19,Composições!A:A,0),8),2,0)</f>
        <v>221.34799550000002</v>
      </c>
      <c r="F19" s="136">
        <f t="shared" ca="1" si="0"/>
        <v>0</v>
      </c>
      <c r="G19" s="137" t="e">
        <f>IF(A19&lt;&gt;"",IF(AND(#REF!="Padrão",$H$4=#REF!),BDI!$B$17,IF(AND(#REF!="Padrão",$H$4=#REF!),BDI!#REF!,IF(AND(#REF!="Diferenciado",$H$4=#REF!),BDI!$E$17,IF(AND(#REF!="Diferenciado",$H$4=#REF!),BDI!#REF!,IF(#REF!="ZERO",0))))),"")</f>
        <v>#REF!</v>
      </c>
      <c r="H19" s="138" t="e">
        <f t="shared" ca="1" si="1"/>
        <v>#REF!</v>
      </c>
      <c r="I19" s="136" t="e">
        <f t="shared" ca="1" si="2"/>
        <v>#REF!</v>
      </c>
    </row>
    <row r="20" spans="1:9" hidden="1" x14ac:dyDescent="0.25">
      <c r="A20" s="113" t="s">
        <v>1567</v>
      </c>
      <c r="B20" s="114" t="s">
        <v>1568</v>
      </c>
      <c r="C20" s="115" t="s">
        <v>20</v>
      </c>
      <c r="D20" s="115">
        <v>0</v>
      </c>
      <c r="E20" s="135" t="s">
        <v>568</v>
      </c>
      <c r="F20" s="136" t="str">
        <f t="shared" si="0"/>
        <v/>
      </c>
      <c r="G20" s="137" t="e">
        <f>IF(A20&lt;&gt;"",IF(AND(#REF!="Padrão",$H$4=#REF!),BDI!$B$17,IF(AND(#REF!="Padrão",$H$4=#REF!),BDI!#REF!,IF(AND(#REF!="Diferenciado",$H$4=#REF!),BDI!$E$17,IF(AND(#REF!="Diferenciado",$H$4=#REF!),BDI!#REF!,IF(#REF!="ZERO",0))))),"")</f>
        <v>#REF!</v>
      </c>
      <c r="H20" s="138" t="str">
        <f t="shared" si="1"/>
        <v/>
      </c>
      <c r="I20" s="136" t="str">
        <f t="shared" si="2"/>
        <v/>
      </c>
    </row>
    <row r="21" spans="1:9" x14ac:dyDescent="0.25">
      <c r="A21" s="197" t="s">
        <v>43</v>
      </c>
      <c r="B21" s="198" t="s">
        <v>1569</v>
      </c>
      <c r="C21" s="199" t="s">
        <v>95</v>
      </c>
      <c r="D21" s="199">
        <v>3.09</v>
      </c>
      <c r="E21" s="135">
        <f ca="1">OFFSET(INDEX(Composições!A:J,MATCH(Orçamentária!A21,Composições!A:A,0),8),2,0)</f>
        <v>13.379799999999999</v>
      </c>
      <c r="F21" s="136">
        <f t="shared" ca="1" si="0"/>
        <v>41.343581999999998</v>
      </c>
      <c r="G21" s="137">
        <f>BDI!$B$17</f>
        <v>0.191</v>
      </c>
      <c r="H21" s="138">
        <f t="shared" ca="1" si="1"/>
        <v>15.94</v>
      </c>
      <c r="I21" s="136">
        <f t="shared" ca="1" si="2"/>
        <v>49.25</v>
      </c>
    </row>
    <row r="22" spans="1:9" x14ac:dyDescent="0.25">
      <c r="A22" s="197" t="s">
        <v>45</v>
      </c>
      <c r="B22" s="198" t="s">
        <v>1570</v>
      </c>
      <c r="C22" s="199" t="s">
        <v>95</v>
      </c>
      <c r="D22" s="199">
        <v>5.5</v>
      </c>
      <c r="E22" s="135">
        <f ca="1">OFFSET(INDEX(Composições!A:J,MATCH(Orçamentária!A22,Composições!A:A,0),8),2,0)</f>
        <v>19.624625000000002</v>
      </c>
      <c r="F22" s="136">
        <f t="shared" ca="1" si="0"/>
        <v>107.93543750000001</v>
      </c>
      <c r="G22" s="137">
        <f>BDI!$B$17</f>
        <v>0.191</v>
      </c>
      <c r="H22" s="138">
        <f t="shared" ca="1" si="1"/>
        <v>23.37</v>
      </c>
      <c r="I22" s="136">
        <f t="shared" ca="1" si="2"/>
        <v>128.54</v>
      </c>
    </row>
    <row r="23" spans="1:9" x14ac:dyDescent="0.25">
      <c r="A23" s="197" t="s">
        <v>46</v>
      </c>
      <c r="B23" s="198" t="s">
        <v>1571</v>
      </c>
      <c r="C23" s="199" t="s">
        <v>20</v>
      </c>
      <c r="D23" s="199">
        <v>4</v>
      </c>
      <c r="E23" s="135">
        <f ca="1">OFFSET(INDEX(Composições!A:J,MATCH(Orçamentária!A23,Composições!A:A,0),8),2,0)</f>
        <v>7.408100000000001</v>
      </c>
      <c r="F23" s="136">
        <f t="shared" ca="1" si="0"/>
        <v>29.632400000000004</v>
      </c>
      <c r="G23" s="137">
        <f>BDI!$B$17</f>
        <v>0.191</v>
      </c>
      <c r="H23" s="138">
        <f t="shared" ca="1" si="1"/>
        <v>8.82</v>
      </c>
      <c r="I23" s="136">
        <f t="shared" ca="1" si="2"/>
        <v>35.28</v>
      </c>
    </row>
    <row r="24" spans="1:9" hidden="1" x14ac:dyDescent="0.25">
      <c r="A24" s="113" t="s">
        <v>47</v>
      </c>
      <c r="B24" s="114" t="s">
        <v>1572</v>
      </c>
      <c r="C24" s="115" t="s">
        <v>93</v>
      </c>
      <c r="D24" s="115">
        <v>0</v>
      </c>
      <c r="E24" s="135">
        <f ca="1">OFFSET(INDEX(Composições!A:J,MATCH(Orçamentária!A24,Composições!A:A,0),8),2,0)</f>
        <v>4.1168250000000013</v>
      </c>
      <c r="F24" s="136">
        <f t="shared" ca="1" si="0"/>
        <v>0</v>
      </c>
      <c r="G24" s="137" t="e">
        <f>IF(A24&lt;&gt;"",IF(AND(#REF!="Padrão",$H$4=#REF!),BDI!$B$17,IF(AND(#REF!="Padrão",$H$4=#REF!),BDI!#REF!,IF(AND(#REF!="Diferenciado",$H$4=#REF!),BDI!$E$17,IF(AND(#REF!="Diferenciado",$H$4=#REF!),BDI!#REF!,IF(#REF!="ZERO",0))))),"")</f>
        <v>#REF!</v>
      </c>
      <c r="H24" s="138" t="e">
        <f t="shared" ca="1" si="1"/>
        <v>#REF!</v>
      </c>
      <c r="I24" s="136" t="e">
        <f t="shared" ca="1" si="2"/>
        <v>#REF!</v>
      </c>
    </row>
    <row r="25" spans="1:9" hidden="1" x14ac:dyDescent="0.25">
      <c r="A25" s="113" t="s">
        <v>48</v>
      </c>
      <c r="B25" s="114" t="s">
        <v>1573</v>
      </c>
      <c r="C25" s="115" t="s">
        <v>95</v>
      </c>
      <c r="D25" s="115">
        <v>0</v>
      </c>
      <c r="E25" s="135">
        <f ca="1">OFFSET(INDEX(Composições!A:J,MATCH(Orçamentária!A25,Composições!A:A,0),8),2,0)</f>
        <v>1.8520250000000003</v>
      </c>
      <c r="F25" s="136">
        <f t="shared" ca="1" si="0"/>
        <v>0</v>
      </c>
      <c r="G25" s="137" t="e">
        <f>IF(A25&lt;&gt;"",IF(AND(#REF!="Padrão",$H$4=#REF!),BDI!$B$17,IF(AND(#REF!="Padrão",$H$4=#REF!),BDI!#REF!,IF(AND(#REF!="Diferenciado",$H$4=#REF!),BDI!$E$17,IF(AND(#REF!="Diferenciado",$H$4=#REF!),BDI!#REF!,IF(#REF!="ZERO",0))))),"")</f>
        <v>#REF!</v>
      </c>
      <c r="H25" s="138" t="e">
        <f t="shared" ca="1" si="1"/>
        <v>#REF!</v>
      </c>
      <c r="I25" s="136" t="e">
        <f t="shared" ca="1" si="2"/>
        <v>#REF!</v>
      </c>
    </row>
    <row r="26" spans="1:9" hidden="1" x14ac:dyDescent="0.25">
      <c r="A26" s="113" t="s">
        <v>49</v>
      </c>
      <c r="B26" s="114" t="s">
        <v>1574</v>
      </c>
      <c r="C26" s="115" t="s">
        <v>93</v>
      </c>
      <c r="D26" s="115">
        <v>0</v>
      </c>
      <c r="E26" s="135">
        <f ca="1">OFFSET(INDEX(Composições!A:J,MATCH(Orçamentária!A26,Composições!A:A,0),8),2,0)</f>
        <v>3.2290623499999995</v>
      </c>
      <c r="F26" s="136">
        <f t="shared" ca="1" si="0"/>
        <v>0</v>
      </c>
      <c r="G26" s="137" t="e">
        <f>IF(A26&lt;&gt;"",IF(AND(#REF!="Padrão",$H$4=#REF!),BDI!$B$17,IF(AND(#REF!="Padrão",$H$4=#REF!),BDI!#REF!,IF(AND(#REF!="Diferenciado",$H$4=#REF!),BDI!$E$17,IF(AND(#REF!="Diferenciado",$H$4=#REF!),BDI!#REF!,IF(#REF!="ZERO",0))))),"")</f>
        <v>#REF!</v>
      </c>
      <c r="H26" s="138" t="e">
        <f t="shared" ca="1" si="1"/>
        <v>#REF!</v>
      </c>
      <c r="I26" s="136" t="e">
        <f t="shared" ca="1" si="2"/>
        <v>#REF!</v>
      </c>
    </row>
    <row r="27" spans="1:9" hidden="1" x14ac:dyDescent="0.25">
      <c r="A27" s="113" t="s">
        <v>51</v>
      </c>
      <c r="B27" s="114" t="s">
        <v>1575</v>
      </c>
      <c r="C27" s="115" t="s">
        <v>20</v>
      </c>
      <c r="D27" s="115">
        <v>0</v>
      </c>
      <c r="E27" s="135">
        <f ca="1">OFFSET(INDEX(Composições!A:J,MATCH(Orçamentária!A27,Composições!A:A,0),8),2,0)</f>
        <v>20.269200000000001</v>
      </c>
      <c r="F27" s="136">
        <f t="shared" ca="1" si="0"/>
        <v>0</v>
      </c>
      <c r="G27" s="137" t="e">
        <f>IF(A27&lt;&gt;"",IF(AND(#REF!="Padrão",$H$4=#REF!),BDI!$B$17,IF(AND(#REF!="Padrão",$H$4=#REF!),BDI!#REF!,IF(AND(#REF!="Diferenciado",$H$4=#REF!),BDI!$E$17,IF(AND(#REF!="Diferenciado",$H$4=#REF!),BDI!#REF!,IF(#REF!="ZERO",0))))),"")</f>
        <v>#REF!</v>
      </c>
      <c r="H27" s="138" t="e">
        <f t="shared" ca="1" si="1"/>
        <v>#REF!</v>
      </c>
      <c r="I27" s="136" t="e">
        <f t="shared" ca="1" si="2"/>
        <v>#REF!</v>
      </c>
    </row>
    <row r="28" spans="1:9" x14ac:dyDescent="0.25">
      <c r="A28" s="197" t="s">
        <v>53</v>
      </c>
      <c r="B28" s="198" t="s">
        <v>1576</v>
      </c>
      <c r="C28" s="199" t="s">
        <v>95</v>
      </c>
      <c r="D28" s="199">
        <v>6.46</v>
      </c>
      <c r="E28" s="135">
        <f ca="1">OFFSET(INDEX(Composições!A:J,MATCH(Orçamentária!A28,Composições!A:A,0),8),2,0)</f>
        <v>30.626100000000001</v>
      </c>
      <c r="F28" s="136">
        <f t="shared" ca="1" si="0"/>
        <v>197.844606</v>
      </c>
      <c r="G28" s="137">
        <f>BDI!$B$17</f>
        <v>0.191</v>
      </c>
      <c r="H28" s="138">
        <f t="shared" ca="1" si="1"/>
        <v>36.479999999999997</v>
      </c>
      <c r="I28" s="136">
        <f t="shared" ca="1" si="2"/>
        <v>235.66</v>
      </c>
    </row>
    <row r="29" spans="1:9" hidden="1" x14ac:dyDescent="0.25">
      <c r="A29" s="113" t="s">
        <v>55</v>
      </c>
      <c r="B29" s="114" t="s">
        <v>1577</v>
      </c>
      <c r="C29" s="115" t="s">
        <v>95</v>
      </c>
      <c r="D29" s="115">
        <v>0</v>
      </c>
      <c r="E29" s="135">
        <f ca="1">OFFSET(INDEX(Composições!A:J,MATCH(Orçamentária!A29,Composições!A:A,0),8),2,0)</f>
        <v>26.299799999999998</v>
      </c>
      <c r="F29" s="136">
        <f t="shared" ca="1" si="0"/>
        <v>0</v>
      </c>
      <c r="G29" s="137" t="e">
        <f>IF(A29&lt;&gt;"",IF(AND(#REF!="Padrão",$H$4=#REF!),BDI!$B$17,IF(AND(#REF!="Padrão",$H$4=#REF!),BDI!#REF!,IF(AND(#REF!="Diferenciado",$H$4=#REF!),BDI!$E$17,IF(AND(#REF!="Diferenciado",$H$4=#REF!),BDI!#REF!,IF(#REF!="ZERO",0))))),"")</f>
        <v>#REF!</v>
      </c>
      <c r="H29" s="138" t="e">
        <f t="shared" ca="1" si="1"/>
        <v>#REF!</v>
      </c>
      <c r="I29" s="136" t="e">
        <f t="shared" ca="1" si="2"/>
        <v>#REF!</v>
      </c>
    </row>
    <row r="30" spans="1:9" x14ac:dyDescent="0.25">
      <c r="A30" s="197" t="s">
        <v>56</v>
      </c>
      <c r="B30" s="198" t="s">
        <v>1578</v>
      </c>
      <c r="C30" s="199" t="s">
        <v>93</v>
      </c>
      <c r="D30" s="199">
        <v>20</v>
      </c>
      <c r="E30" s="135">
        <f ca="1">OFFSET(INDEX(Composições!A:J,MATCH(Orçamentária!A30,Composições!A:A,0),8),2,0)</f>
        <v>8.6773000000000007</v>
      </c>
      <c r="F30" s="136">
        <f t="shared" ca="1" si="0"/>
        <v>173.54600000000002</v>
      </c>
      <c r="G30" s="137">
        <f>BDI!$B$17</f>
        <v>0.191</v>
      </c>
      <c r="H30" s="138">
        <f t="shared" ca="1" si="1"/>
        <v>10.33</v>
      </c>
      <c r="I30" s="136">
        <f t="shared" ca="1" si="2"/>
        <v>206.6</v>
      </c>
    </row>
    <row r="31" spans="1:9" x14ac:dyDescent="0.25">
      <c r="A31" s="197" t="s">
        <v>57</v>
      </c>
      <c r="B31" s="198" t="s">
        <v>1579</v>
      </c>
      <c r="C31" s="199" t="s">
        <v>95</v>
      </c>
      <c r="D31" s="199">
        <v>15.23</v>
      </c>
      <c r="E31" s="135">
        <f ca="1">OFFSET(INDEX(Composições!A:J,MATCH(Orçamentária!A31,Composições!A:A,0),8),2,0)</f>
        <v>9.2601250000000004</v>
      </c>
      <c r="F31" s="136">
        <f t="shared" ca="1" si="0"/>
        <v>141.03170375000002</v>
      </c>
      <c r="G31" s="137">
        <f>BDI!$B$17</f>
        <v>0.191</v>
      </c>
      <c r="H31" s="138">
        <f t="shared" ca="1" si="1"/>
        <v>11.03</v>
      </c>
      <c r="I31" s="136">
        <f t="shared" ca="1" si="2"/>
        <v>167.99</v>
      </c>
    </row>
    <row r="32" spans="1:9" x14ac:dyDescent="0.25">
      <c r="A32" s="197" t="s">
        <v>58</v>
      </c>
      <c r="B32" s="198" t="s">
        <v>1580</v>
      </c>
      <c r="C32" s="199" t="s">
        <v>20</v>
      </c>
      <c r="D32" s="199">
        <v>1</v>
      </c>
      <c r="E32" s="135">
        <f ca="1">OFFSET(INDEX(Composições!A:J,MATCH(Orçamentária!A32,Composições!A:A,0),8),2,0)</f>
        <v>6.6803999999999997</v>
      </c>
      <c r="F32" s="136">
        <f t="shared" ca="1" si="0"/>
        <v>6.6803999999999997</v>
      </c>
      <c r="G32" s="137">
        <f>BDI!$B$17</f>
        <v>0.191</v>
      </c>
      <c r="H32" s="138">
        <f t="shared" ca="1" si="1"/>
        <v>7.96</v>
      </c>
      <c r="I32" s="136">
        <f t="shared" ca="1" si="2"/>
        <v>7.96</v>
      </c>
    </row>
    <row r="33" spans="1:9" x14ac:dyDescent="0.25">
      <c r="A33" s="197" t="s">
        <v>59</v>
      </c>
      <c r="B33" s="198" t="s">
        <v>1581</v>
      </c>
      <c r="C33" s="199" t="s">
        <v>20</v>
      </c>
      <c r="D33" s="199">
        <v>17</v>
      </c>
      <c r="E33" s="135">
        <f ca="1">OFFSET(INDEX(Composições!A:J,MATCH(Orçamentária!A33,Composições!A:A,0),8),2,0)</f>
        <v>5.4791249999999998</v>
      </c>
      <c r="F33" s="136">
        <f t="shared" ca="1" si="0"/>
        <v>93.145124999999993</v>
      </c>
      <c r="G33" s="137">
        <f>BDI!$B$17</f>
        <v>0.191</v>
      </c>
      <c r="H33" s="138">
        <f t="shared" ca="1" si="1"/>
        <v>6.53</v>
      </c>
      <c r="I33" s="136">
        <f t="shared" ca="1" si="2"/>
        <v>111.01</v>
      </c>
    </row>
    <row r="34" spans="1:9" x14ac:dyDescent="0.25">
      <c r="A34" s="197" t="s">
        <v>60</v>
      </c>
      <c r="B34" s="198" t="s">
        <v>1582</v>
      </c>
      <c r="C34" s="199" t="s">
        <v>20</v>
      </c>
      <c r="D34" s="199">
        <v>11</v>
      </c>
      <c r="E34" s="135">
        <f ca="1">OFFSET(INDEX(Composições!A:J,MATCH(Orçamentária!A34,Composições!A:A,0),8),2,0)</f>
        <v>7.1161355500000001</v>
      </c>
      <c r="F34" s="136">
        <f t="shared" ca="1" si="0"/>
        <v>78.277491049999995</v>
      </c>
      <c r="G34" s="137">
        <f>BDI!$B$17</f>
        <v>0.191</v>
      </c>
      <c r="H34" s="138">
        <f t="shared" ca="1" si="1"/>
        <v>8.48</v>
      </c>
      <c r="I34" s="136">
        <f t="shared" ca="1" si="2"/>
        <v>93.28</v>
      </c>
    </row>
    <row r="35" spans="1:9" x14ac:dyDescent="0.25">
      <c r="A35" s="197" t="s">
        <v>61</v>
      </c>
      <c r="B35" s="198" t="s">
        <v>1583</v>
      </c>
      <c r="C35" s="199" t="s">
        <v>95</v>
      </c>
      <c r="D35" s="199">
        <v>207.11</v>
      </c>
      <c r="E35" s="135">
        <f ca="1">OFFSET(INDEX(Composições!A:J,MATCH(Orçamentária!A35,Composições!A:A,0),8),2,0)</f>
        <v>16.668225000000003</v>
      </c>
      <c r="F35" s="136">
        <f t="shared" ca="1" si="0"/>
        <v>3452.156079750001</v>
      </c>
      <c r="G35" s="137">
        <f>BDI!$B$17</f>
        <v>0.191</v>
      </c>
      <c r="H35" s="138">
        <f t="shared" ca="1" si="1"/>
        <v>19.850000000000001</v>
      </c>
      <c r="I35" s="136">
        <f t="shared" ca="1" si="2"/>
        <v>4111.13</v>
      </c>
    </row>
    <row r="36" spans="1:9" hidden="1" x14ac:dyDescent="0.25">
      <c r="A36" s="113" t="s">
        <v>62</v>
      </c>
      <c r="B36" s="114" t="s">
        <v>1584</v>
      </c>
      <c r="C36" s="115" t="s">
        <v>20</v>
      </c>
      <c r="D36" s="115">
        <v>0</v>
      </c>
      <c r="E36" s="135">
        <f ca="1">OFFSET(INDEX(Composições!A:J,MATCH(Orçamentária!A36,Composições!A:A,0),8),2,0)</f>
        <v>9.4188662000000001</v>
      </c>
      <c r="F36" s="136">
        <f t="shared" ca="1" si="0"/>
        <v>0</v>
      </c>
      <c r="G36" s="137" t="e">
        <f>IF(A36&lt;&gt;"",IF(AND(#REF!="Padrão",$H$4=#REF!),BDI!$B$17,IF(AND(#REF!="Padrão",$H$4=#REF!),BDI!#REF!,IF(AND(#REF!="Diferenciado",$H$4=#REF!),BDI!$E$17,IF(AND(#REF!="Diferenciado",$H$4=#REF!),BDI!#REF!,IF(#REF!="ZERO",0))))),"")</f>
        <v>#REF!</v>
      </c>
      <c r="H36" s="138" t="e">
        <f t="shared" ca="1" si="1"/>
        <v>#REF!</v>
      </c>
      <c r="I36" s="136" t="e">
        <f t="shared" ca="1" si="2"/>
        <v>#REF!</v>
      </c>
    </row>
    <row r="37" spans="1:9" x14ac:dyDescent="0.25">
      <c r="A37" s="197" t="s">
        <v>63</v>
      </c>
      <c r="B37" s="198" t="s">
        <v>1585</v>
      </c>
      <c r="C37" s="199" t="s">
        <v>20</v>
      </c>
      <c r="D37" s="199">
        <v>83</v>
      </c>
      <c r="E37" s="135">
        <f ca="1">OFFSET(INDEX(Composições!A:J,MATCH(Orçamentária!A37,Composições!A:A,0),8),2,0)</f>
        <v>4.9654362499999998</v>
      </c>
      <c r="F37" s="136">
        <f t="shared" ca="1" si="0"/>
        <v>412.13120874999998</v>
      </c>
      <c r="G37" s="137">
        <f>BDI!$B$17</f>
        <v>0.191</v>
      </c>
      <c r="H37" s="138">
        <f t="shared" ca="1" si="1"/>
        <v>5.91</v>
      </c>
      <c r="I37" s="136">
        <f t="shared" ca="1" si="2"/>
        <v>490.53</v>
      </c>
    </row>
    <row r="38" spans="1:9" hidden="1" x14ac:dyDescent="0.25">
      <c r="A38" s="113" t="s">
        <v>65</v>
      </c>
      <c r="B38" s="114" t="s">
        <v>1586</v>
      </c>
      <c r="C38" s="115" t="s">
        <v>20</v>
      </c>
      <c r="D38" s="115">
        <v>0</v>
      </c>
      <c r="E38" s="135">
        <f ca="1">OFFSET(INDEX(Composições!A:J,MATCH(Orçamentária!A38,Composições!A:A,0),8),2,0)</f>
        <v>6.8683271000000001</v>
      </c>
      <c r="F38" s="136">
        <f t="shared" ca="1" si="0"/>
        <v>0</v>
      </c>
      <c r="G38" s="137" t="e">
        <f>IF(A38&lt;&gt;"",IF(AND(#REF!="Padrão",$H$4=#REF!),BDI!$B$17,IF(AND(#REF!="Padrão",$H$4=#REF!),BDI!#REF!,IF(AND(#REF!="Diferenciado",$H$4=#REF!),BDI!$E$17,IF(AND(#REF!="Diferenciado",$H$4=#REF!),BDI!#REF!,IF(#REF!="ZERO",0))))),"")</f>
        <v>#REF!</v>
      </c>
      <c r="H38" s="138" t="e">
        <f t="shared" ca="1" si="1"/>
        <v>#REF!</v>
      </c>
      <c r="I38" s="136" t="e">
        <f t="shared" ca="1" si="2"/>
        <v>#REF!</v>
      </c>
    </row>
    <row r="39" spans="1:9" hidden="1" x14ac:dyDescent="0.25">
      <c r="A39" s="113" t="s">
        <v>66</v>
      </c>
      <c r="B39" s="114" t="s">
        <v>1587</v>
      </c>
      <c r="C39" s="115" t="s">
        <v>95</v>
      </c>
      <c r="D39" s="115">
        <v>0</v>
      </c>
      <c r="E39" s="135">
        <f ca="1">OFFSET(INDEX(Composições!A:J,MATCH(Orçamentária!A39,Composições!A:A,0),8),2,0)</f>
        <v>12.660859000000002</v>
      </c>
      <c r="F39" s="136">
        <f t="shared" ca="1" si="0"/>
        <v>0</v>
      </c>
      <c r="G39" s="137" t="e">
        <f>IF(A39&lt;&gt;"",IF(AND(#REF!="Padrão",$H$4=#REF!),BDI!$B$17,IF(AND(#REF!="Padrão",$H$4=#REF!),BDI!#REF!,IF(AND(#REF!="Diferenciado",$H$4=#REF!),BDI!$E$17,IF(AND(#REF!="Diferenciado",$H$4=#REF!),BDI!#REF!,IF(#REF!="ZERO",0))))),"")</f>
        <v>#REF!</v>
      </c>
      <c r="H39" s="138" t="e">
        <f t="shared" ca="1" si="1"/>
        <v>#REF!</v>
      </c>
      <c r="I39" s="136" t="e">
        <f t="shared" ca="1" si="2"/>
        <v>#REF!</v>
      </c>
    </row>
    <row r="40" spans="1:9" hidden="1" x14ac:dyDescent="0.25">
      <c r="A40" s="113" t="s">
        <v>67</v>
      </c>
      <c r="B40" s="114" t="s">
        <v>1588</v>
      </c>
      <c r="C40" s="115" t="s">
        <v>95</v>
      </c>
      <c r="D40" s="115">
        <v>0</v>
      </c>
      <c r="E40" s="135">
        <f ca="1">OFFSET(INDEX(Composições!A:J,MATCH(Orçamentária!A40,Composições!A:A,0),8),2,0)</f>
        <v>8.2156000000000002</v>
      </c>
      <c r="F40" s="136">
        <f t="shared" ca="1" si="0"/>
        <v>0</v>
      </c>
      <c r="G40" s="137" t="e">
        <f>IF(A40&lt;&gt;"",IF(AND(#REF!="Padrão",$H$4=#REF!),BDI!$B$17,IF(AND(#REF!="Padrão",$H$4=#REF!),BDI!#REF!,IF(AND(#REF!="Diferenciado",$H$4=#REF!),BDI!$E$17,IF(AND(#REF!="Diferenciado",$H$4=#REF!),BDI!#REF!,IF(#REF!="ZERO",0))))),"")</f>
        <v>#REF!</v>
      </c>
      <c r="H40" s="138" t="e">
        <f t="shared" ca="1" si="1"/>
        <v>#REF!</v>
      </c>
      <c r="I40" s="136" t="e">
        <f t="shared" ca="1" si="2"/>
        <v>#REF!</v>
      </c>
    </row>
    <row r="41" spans="1:9" hidden="1" x14ac:dyDescent="0.25">
      <c r="A41" s="113" t="s">
        <v>69</v>
      </c>
      <c r="B41" s="114" t="s">
        <v>1589</v>
      </c>
      <c r="C41" s="115" t="s">
        <v>93</v>
      </c>
      <c r="D41" s="115">
        <v>0</v>
      </c>
      <c r="E41" s="135">
        <f ca="1">OFFSET(INDEX(Composições!A:J,MATCH(Orçamentária!A41,Composições!A:A,0),8),2,0)</f>
        <v>3.2290623499999995</v>
      </c>
      <c r="F41" s="136">
        <f t="shared" ca="1" si="0"/>
        <v>0</v>
      </c>
      <c r="G41" s="137" t="e">
        <f>IF(A41&lt;&gt;"",IF(AND(#REF!="Padrão",$H$4=#REF!),BDI!$B$17,IF(AND(#REF!="Padrão",$H$4=#REF!),BDI!#REF!,IF(AND(#REF!="Diferenciado",$H$4=#REF!),BDI!$E$17,IF(AND(#REF!="Diferenciado",$H$4=#REF!),BDI!#REF!,IF(#REF!="ZERO",0))))),"")</f>
        <v>#REF!</v>
      </c>
      <c r="H41" s="138" t="e">
        <f t="shared" ca="1" si="1"/>
        <v>#REF!</v>
      </c>
      <c r="I41" s="136" t="e">
        <f t="shared" ca="1" si="2"/>
        <v>#REF!</v>
      </c>
    </row>
    <row r="42" spans="1:9" x14ac:dyDescent="0.25">
      <c r="A42" s="197" t="s">
        <v>70</v>
      </c>
      <c r="B42" s="198" t="s">
        <v>1590</v>
      </c>
      <c r="C42" s="199" t="s">
        <v>95</v>
      </c>
      <c r="D42" s="199">
        <v>116.63</v>
      </c>
      <c r="E42" s="135">
        <f ca="1">OFFSET(INDEX(Composições!A:J,MATCH(Orçamentária!A42,Composições!A:A,0),8),2,0)</f>
        <v>6.5246000000000013</v>
      </c>
      <c r="F42" s="136">
        <f t="shared" ca="1" si="0"/>
        <v>760.96409800000015</v>
      </c>
      <c r="G42" s="137">
        <f>BDI!$B$17</f>
        <v>0.191</v>
      </c>
      <c r="H42" s="138">
        <f t="shared" ca="1" si="1"/>
        <v>7.77</v>
      </c>
      <c r="I42" s="136">
        <f t="shared" ca="1" si="2"/>
        <v>906.22</v>
      </c>
    </row>
    <row r="43" spans="1:9" hidden="1" x14ac:dyDescent="0.25">
      <c r="A43" s="113" t="s">
        <v>71</v>
      </c>
      <c r="B43" s="114" t="s">
        <v>1591</v>
      </c>
      <c r="C43" s="115" t="s">
        <v>95</v>
      </c>
      <c r="D43" s="115">
        <v>0</v>
      </c>
      <c r="E43" s="135">
        <f ca="1">OFFSET(INDEX(Composições!A:J,MATCH(Orçamentária!A43,Composições!A:A,0),8),2,0)</f>
        <v>3.7854013500000003</v>
      </c>
      <c r="F43" s="136">
        <f t="shared" ca="1" si="0"/>
        <v>0</v>
      </c>
      <c r="G43" s="137" t="e">
        <f>IF(A43&lt;&gt;"",IF(AND(#REF!="Padrão",$H$4=#REF!),BDI!$B$17,IF(AND(#REF!="Padrão",$H$4=#REF!),BDI!#REF!,IF(AND(#REF!="Diferenciado",$H$4=#REF!),BDI!$E$17,IF(AND(#REF!="Diferenciado",$H$4=#REF!),BDI!#REF!,IF(#REF!="ZERO",0))))),"")</f>
        <v>#REF!</v>
      </c>
      <c r="H43" s="138" t="e">
        <f t="shared" ca="1" si="1"/>
        <v>#REF!</v>
      </c>
      <c r="I43" s="136" t="e">
        <f t="shared" ca="1" si="2"/>
        <v>#REF!</v>
      </c>
    </row>
    <row r="44" spans="1:9" hidden="1" x14ac:dyDescent="0.25">
      <c r="A44" s="113" t="s">
        <v>73</v>
      </c>
      <c r="B44" s="114" t="s">
        <v>1592</v>
      </c>
      <c r="C44" s="115" t="s">
        <v>20</v>
      </c>
      <c r="D44" s="115">
        <v>0</v>
      </c>
      <c r="E44" s="135">
        <f ca="1">OFFSET(INDEX(Composições!A:J,MATCH(Orçamentária!A44,Composições!A:A,0),8),2,0)</f>
        <v>58.216000000000001</v>
      </c>
      <c r="F44" s="136">
        <f t="shared" ca="1" si="0"/>
        <v>0</v>
      </c>
      <c r="G44" s="137" t="e">
        <f>IF(A44&lt;&gt;"",IF(AND(#REF!="Padrão",$H$4=#REF!),BDI!$B$17,IF(AND(#REF!="Padrão",$H$4=#REF!),BDI!#REF!,IF(AND(#REF!="Diferenciado",$H$4=#REF!),BDI!$E$17,IF(AND(#REF!="Diferenciado",$H$4=#REF!),BDI!#REF!,IF(#REF!="ZERO",0))))),"")</f>
        <v>#REF!</v>
      </c>
      <c r="H44" s="138" t="e">
        <f t="shared" ca="1" si="1"/>
        <v>#REF!</v>
      </c>
      <c r="I44" s="136" t="e">
        <f t="shared" ca="1" si="2"/>
        <v>#REF!</v>
      </c>
    </row>
    <row r="45" spans="1:9" hidden="1" x14ac:dyDescent="0.25">
      <c r="A45" s="113" t="s">
        <v>75</v>
      </c>
      <c r="B45" s="114" t="s">
        <v>1593</v>
      </c>
      <c r="C45" s="115" t="s">
        <v>95</v>
      </c>
      <c r="D45" s="115">
        <v>0</v>
      </c>
      <c r="E45" s="135">
        <f ca="1">OFFSET(INDEX(Composições!A:J,MATCH(Orçamentária!A45,Composições!A:A,0),8),2,0)</f>
        <v>3.2623000000000006</v>
      </c>
      <c r="F45" s="136">
        <f t="shared" ca="1" si="0"/>
        <v>0</v>
      </c>
      <c r="G45" s="137" t="e">
        <f>IF(A45&lt;&gt;"",IF(AND(#REF!="Padrão",$H$4=#REF!),BDI!$B$17,IF(AND(#REF!="Padrão",$H$4=#REF!),BDI!#REF!,IF(AND(#REF!="Diferenciado",$H$4=#REF!),BDI!$E$17,IF(AND(#REF!="Diferenciado",$H$4=#REF!),BDI!#REF!,IF(#REF!="ZERO",0))))),"")</f>
        <v>#REF!</v>
      </c>
      <c r="H45" s="138" t="e">
        <f t="shared" ca="1" si="1"/>
        <v>#REF!</v>
      </c>
      <c r="I45" s="136" t="e">
        <f t="shared" ca="1" si="2"/>
        <v>#REF!</v>
      </c>
    </row>
    <row r="46" spans="1:9" hidden="1" x14ac:dyDescent="0.25">
      <c r="A46" s="113" t="s">
        <v>76</v>
      </c>
      <c r="B46" s="114" t="s">
        <v>1594</v>
      </c>
      <c r="C46" s="115" t="s">
        <v>93</v>
      </c>
      <c r="D46" s="115">
        <v>0</v>
      </c>
      <c r="E46" s="135">
        <f ca="1">OFFSET(INDEX(Composições!A:J,MATCH(Orçamentária!A46,Composições!A:A,0),8),2,0)</f>
        <v>1.4256251000000002</v>
      </c>
      <c r="F46" s="136">
        <f t="shared" ca="1" si="0"/>
        <v>0</v>
      </c>
      <c r="G46" s="137" t="e">
        <f>IF(A46&lt;&gt;"",IF(AND(#REF!="Padrão",$H$4=#REF!),BDI!$B$17,IF(AND(#REF!="Padrão",$H$4=#REF!),BDI!#REF!,IF(AND(#REF!="Diferenciado",$H$4=#REF!),BDI!$E$17,IF(AND(#REF!="Diferenciado",$H$4=#REF!),BDI!#REF!,IF(#REF!="ZERO",0))))),"")</f>
        <v>#REF!</v>
      </c>
      <c r="H46" s="138" t="e">
        <f t="shared" ca="1" si="1"/>
        <v>#REF!</v>
      </c>
      <c r="I46" s="136" t="e">
        <f t="shared" ca="1" si="2"/>
        <v>#REF!</v>
      </c>
    </row>
    <row r="47" spans="1:9" hidden="1" x14ac:dyDescent="0.25">
      <c r="A47" s="113" t="s">
        <v>77</v>
      </c>
      <c r="B47" s="114" t="s">
        <v>1595</v>
      </c>
      <c r="C47" s="115" t="s">
        <v>95</v>
      </c>
      <c r="D47" s="115">
        <v>0</v>
      </c>
      <c r="E47" s="135">
        <f ca="1">OFFSET(INDEX(Composições!A:J,MATCH(Orçamentária!A47,Composições!A:A,0),8),2,0)</f>
        <v>5.8774125000000002</v>
      </c>
      <c r="F47" s="136">
        <f t="shared" ca="1" si="0"/>
        <v>0</v>
      </c>
      <c r="G47" s="137" t="e">
        <f>IF(A47&lt;&gt;"",IF(AND(#REF!="Padrão",$H$4=#REF!),BDI!$B$17,IF(AND(#REF!="Padrão",$H$4=#REF!),BDI!#REF!,IF(AND(#REF!="Diferenciado",$H$4=#REF!),BDI!$E$17,IF(AND(#REF!="Diferenciado",$H$4=#REF!),BDI!#REF!,IF(#REF!="ZERO",0))))),"")</f>
        <v>#REF!</v>
      </c>
      <c r="H47" s="138" t="e">
        <f t="shared" ca="1" si="1"/>
        <v>#REF!</v>
      </c>
      <c r="I47" s="136" t="e">
        <f t="shared" ca="1" si="2"/>
        <v>#REF!</v>
      </c>
    </row>
    <row r="48" spans="1:9" hidden="1" x14ac:dyDescent="0.25">
      <c r="A48" s="113" t="s">
        <v>79</v>
      </c>
      <c r="B48" s="114" t="s">
        <v>1596</v>
      </c>
      <c r="C48" s="115" t="s">
        <v>93</v>
      </c>
      <c r="D48" s="115">
        <v>0</v>
      </c>
      <c r="E48" s="135">
        <f ca="1">OFFSET(INDEX(Composições!A:J,MATCH(Orçamentária!A48,Composições!A:A,0),8),2,0)</f>
        <v>8.971325000000002</v>
      </c>
      <c r="F48" s="136">
        <f t="shared" ca="1" si="0"/>
        <v>0</v>
      </c>
      <c r="G48" s="137" t="e">
        <f>IF(A48&lt;&gt;"",IF(AND(#REF!="Padrão",$H$4=#REF!),BDI!$B$17,IF(AND(#REF!="Padrão",$H$4=#REF!),BDI!#REF!,IF(AND(#REF!="Diferenciado",$H$4=#REF!),BDI!$E$17,IF(AND(#REF!="Diferenciado",$H$4=#REF!),BDI!#REF!,IF(#REF!="ZERO",0))))),"")</f>
        <v>#REF!</v>
      </c>
      <c r="H48" s="138" t="e">
        <f t="shared" ca="1" si="1"/>
        <v>#REF!</v>
      </c>
      <c r="I48" s="136" t="e">
        <f t="shared" ca="1" si="2"/>
        <v>#REF!</v>
      </c>
    </row>
    <row r="49" spans="1:9" x14ac:dyDescent="0.25">
      <c r="A49" s="197" t="s">
        <v>80</v>
      </c>
      <c r="B49" s="198" t="s">
        <v>1597</v>
      </c>
      <c r="C49" s="199" t="s">
        <v>20</v>
      </c>
      <c r="D49" s="199">
        <v>3</v>
      </c>
      <c r="E49" s="135">
        <f ca="1">OFFSET(INDEX(Composições!A:J,MATCH(Orçamentária!A49,Composições!A:A,0),8),2,0)</f>
        <v>40.536500000000004</v>
      </c>
      <c r="F49" s="136">
        <f t="shared" ca="1" si="0"/>
        <v>121.60950000000001</v>
      </c>
      <c r="G49" s="137">
        <f>BDI!$B$17</f>
        <v>0.191</v>
      </c>
      <c r="H49" s="138">
        <f t="shared" ca="1" si="1"/>
        <v>48.28</v>
      </c>
      <c r="I49" s="136">
        <f t="shared" ca="1" si="2"/>
        <v>144.84</v>
      </c>
    </row>
    <row r="50" spans="1:9" x14ac:dyDescent="0.25">
      <c r="A50" s="197" t="s">
        <v>82</v>
      </c>
      <c r="B50" s="198" t="s">
        <v>1598</v>
      </c>
      <c r="C50" s="199" t="s">
        <v>95</v>
      </c>
      <c r="D50" s="199">
        <v>4.95</v>
      </c>
      <c r="E50" s="135">
        <f ca="1">OFFSET(INDEX(Composições!A:J,MATCH(Orçamentária!A50,Composições!A:A,0),8),2,0)</f>
        <v>14.597624000000003</v>
      </c>
      <c r="F50" s="136">
        <f t="shared" ca="1" si="0"/>
        <v>72.258238800000015</v>
      </c>
      <c r="G50" s="137">
        <f>BDI!$B$17</f>
        <v>0.191</v>
      </c>
      <c r="H50" s="138">
        <f t="shared" ca="1" si="1"/>
        <v>17.39</v>
      </c>
      <c r="I50" s="136">
        <f t="shared" ca="1" si="2"/>
        <v>86.08</v>
      </c>
    </row>
    <row r="51" spans="1:9" x14ac:dyDescent="0.25">
      <c r="A51" s="197" t="s">
        <v>83</v>
      </c>
      <c r="B51" s="198" t="s">
        <v>1599</v>
      </c>
      <c r="C51" s="199" t="s">
        <v>111</v>
      </c>
      <c r="D51" s="199">
        <v>92.18</v>
      </c>
      <c r="E51" s="135">
        <f ca="1">OFFSET(INDEX(Composições!A:J,MATCH(Orçamentária!A51,Composições!A:A,0),8),2,0)</f>
        <v>16.311500000000002</v>
      </c>
      <c r="F51" s="136">
        <f t="shared" ca="1" si="0"/>
        <v>1503.5940700000003</v>
      </c>
      <c r="G51" s="137">
        <f>BDI!$B$17</f>
        <v>0.191</v>
      </c>
      <c r="H51" s="138">
        <f t="shared" ca="1" si="1"/>
        <v>19.43</v>
      </c>
      <c r="I51" s="136">
        <f t="shared" ca="1" si="2"/>
        <v>1791.06</v>
      </c>
    </row>
    <row r="52" spans="1:9" hidden="1" x14ac:dyDescent="0.25">
      <c r="A52" s="113" t="s">
        <v>1600</v>
      </c>
      <c r="B52" s="114" t="s">
        <v>1601</v>
      </c>
      <c r="C52" s="115" t="s">
        <v>20</v>
      </c>
      <c r="D52" s="115">
        <v>0</v>
      </c>
      <c r="E52" s="135" t="s">
        <v>568</v>
      </c>
      <c r="F52" s="136" t="str">
        <f t="shared" si="0"/>
        <v/>
      </c>
      <c r="G52" s="137" t="e">
        <f>IF(A52&lt;&gt;"",IF(AND(#REF!="Padrão",$H$4=#REF!),BDI!$B$17,IF(AND(#REF!="Padrão",$H$4=#REF!),BDI!#REF!,IF(AND(#REF!="Diferenciado",$H$4=#REF!),BDI!$E$17,IF(AND(#REF!="Diferenciado",$H$4=#REF!),BDI!#REF!,IF(#REF!="ZERO",0))))),"")</f>
        <v>#REF!</v>
      </c>
      <c r="H52" s="138" t="str">
        <f t="shared" si="1"/>
        <v/>
      </c>
      <c r="I52" s="136" t="str">
        <f t="shared" si="2"/>
        <v/>
      </c>
    </row>
    <row r="53" spans="1:9" hidden="1" x14ac:dyDescent="0.25">
      <c r="A53" s="113" t="s">
        <v>84</v>
      </c>
      <c r="B53" s="114" t="s">
        <v>1602</v>
      </c>
      <c r="C53" s="115" t="s">
        <v>1603</v>
      </c>
      <c r="D53" s="115">
        <v>0</v>
      </c>
      <c r="E53" s="135">
        <f ca="1">OFFSET(INDEX(Composições!A:J,MATCH(Orçamentária!A53,Composições!A:A,0),8),2,0)</f>
        <v>3.7905000000000002</v>
      </c>
      <c r="F53" s="136">
        <f t="shared" ca="1" si="0"/>
        <v>0</v>
      </c>
      <c r="G53" s="137" t="e">
        <f>IF(A53&lt;&gt;"",IF(AND(#REF!="Padrão",$H$4=#REF!),BDI!$B$17,IF(AND(#REF!="Padrão",$H$4=#REF!),BDI!#REF!,IF(AND(#REF!="Diferenciado",$H$4=#REF!),BDI!$E$17,IF(AND(#REF!="Diferenciado",$H$4=#REF!),BDI!#REF!,IF(#REF!="ZERO",0))))),"")</f>
        <v>#REF!</v>
      </c>
      <c r="H53" s="138" t="e">
        <f t="shared" ca="1" si="1"/>
        <v>#REF!</v>
      </c>
      <c r="I53" s="136" t="e">
        <f t="shared" ca="1" si="2"/>
        <v>#REF!</v>
      </c>
    </row>
    <row r="54" spans="1:9" x14ac:dyDescent="0.25">
      <c r="A54" s="197" t="s">
        <v>87</v>
      </c>
      <c r="B54" s="198" t="s">
        <v>1604</v>
      </c>
      <c r="C54" s="199" t="s">
        <v>1605</v>
      </c>
      <c r="D54" s="199">
        <v>24</v>
      </c>
      <c r="E54" s="135">
        <f ca="1">OFFSET(INDEX(Composições!A:J,MATCH(Orçamentária!A54,Composições!A:A,0),8),2,0)</f>
        <v>11.399999999999999</v>
      </c>
      <c r="F54" s="136">
        <f t="shared" ca="1" si="0"/>
        <v>273.59999999999997</v>
      </c>
      <c r="G54" s="137">
        <f>BDI!$B$17</f>
        <v>0.191</v>
      </c>
      <c r="H54" s="138">
        <f t="shared" ca="1" si="1"/>
        <v>13.58</v>
      </c>
      <c r="I54" s="136">
        <f t="shared" ca="1" si="2"/>
        <v>325.92</v>
      </c>
    </row>
    <row r="55" spans="1:9" hidden="1" x14ac:dyDescent="0.25">
      <c r="A55" s="113" t="s">
        <v>1606</v>
      </c>
      <c r="B55" s="114" t="s">
        <v>1607</v>
      </c>
      <c r="C55" s="115" t="s">
        <v>93</v>
      </c>
      <c r="D55" s="115">
        <v>0</v>
      </c>
      <c r="E55" s="135" t="s">
        <v>568</v>
      </c>
      <c r="F55" s="136" t="str">
        <f t="shared" si="0"/>
        <v/>
      </c>
      <c r="G55" s="137" t="e">
        <f>IF(A55&lt;&gt;"",IF(AND(#REF!="Padrão",$H$4=#REF!),BDI!$B$17,IF(AND(#REF!="Padrão",$H$4=#REF!),BDI!#REF!,IF(AND(#REF!="Diferenciado",$H$4=#REF!),BDI!$E$17,IF(AND(#REF!="Diferenciado",$H$4=#REF!),BDI!#REF!,IF(#REF!="ZERO",0))))),"")</f>
        <v>#REF!</v>
      </c>
      <c r="H55" s="138" t="str">
        <f t="shared" si="1"/>
        <v/>
      </c>
      <c r="I55" s="136" t="str">
        <f t="shared" si="2"/>
        <v/>
      </c>
    </row>
    <row r="56" spans="1:9" hidden="1" x14ac:dyDescent="0.25">
      <c r="A56" s="113" t="s">
        <v>89</v>
      </c>
      <c r="B56" s="114" t="s">
        <v>1608</v>
      </c>
      <c r="C56" s="115" t="s">
        <v>93</v>
      </c>
      <c r="D56" s="115">
        <v>0</v>
      </c>
      <c r="E56" s="135">
        <f ca="1">OFFSET(INDEX(Composições!A:J,MATCH(Orçamentária!A56,Composições!A:A,0),8),2,0)</f>
        <v>4.9144449999999997</v>
      </c>
      <c r="F56" s="136">
        <f t="shared" ca="1" si="0"/>
        <v>0</v>
      </c>
      <c r="G56" s="137" t="e">
        <f>IF(A56&lt;&gt;"",IF(AND(#REF!="Padrão",$H$4=#REF!),BDI!$B$17,IF(AND(#REF!="Padrão",$H$4=#REF!),BDI!#REF!,IF(AND(#REF!="Diferenciado",$H$4=#REF!),BDI!$E$17,IF(AND(#REF!="Diferenciado",$H$4=#REF!),BDI!#REF!,IF(#REF!="ZERO",0))))),"")</f>
        <v>#REF!</v>
      </c>
      <c r="H56" s="138" t="e">
        <f t="shared" ca="1" si="1"/>
        <v>#REF!</v>
      </c>
      <c r="I56" s="136" t="e">
        <f t="shared" ca="1" si="2"/>
        <v>#REF!</v>
      </c>
    </row>
    <row r="57" spans="1:9" hidden="1" x14ac:dyDescent="0.25">
      <c r="A57" s="113" t="s">
        <v>1609</v>
      </c>
      <c r="B57" s="114" t="s">
        <v>1610</v>
      </c>
      <c r="C57" s="115" t="s">
        <v>20</v>
      </c>
      <c r="D57" s="115">
        <v>0</v>
      </c>
      <c r="E57" s="135" t="s">
        <v>568</v>
      </c>
      <c r="F57" s="136" t="str">
        <f t="shared" si="0"/>
        <v/>
      </c>
      <c r="G57" s="137" t="e">
        <f>IF(A57&lt;&gt;"",IF(AND(#REF!="Padrão",$H$4=#REF!),BDI!$B$17,IF(AND(#REF!="Padrão",$H$4=#REF!),BDI!#REF!,IF(AND(#REF!="Diferenciado",$H$4=#REF!),BDI!$E$17,IF(AND(#REF!="Diferenciado",$H$4=#REF!),BDI!#REF!,IF(#REF!="ZERO",0))))),"")</f>
        <v>#REF!</v>
      </c>
      <c r="H57" s="138" t="str">
        <f t="shared" si="1"/>
        <v/>
      </c>
      <c r="I57" s="136" t="str">
        <f t="shared" si="2"/>
        <v/>
      </c>
    </row>
    <row r="58" spans="1:9" hidden="1" x14ac:dyDescent="0.25">
      <c r="A58" s="113" t="s">
        <v>1611</v>
      </c>
      <c r="B58" s="114" t="s">
        <v>1612</v>
      </c>
      <c r="C58" s="115" t="s">
        <v>1605</v>
      </c>
      <c r="D58" s="115">
        <v>0</v>
      </c>
      <c r="E58" s="135" t="s">
        <v>568</v>
      </c>
      <c r="F58" s="136" t="str">
        <f t="shared" si="0"/>
        <v/>
      </c>
      <c r="G58" s="137" t="e">
        <f>IF(A58&lt;&gt;"",IF(AND(#REF!="Padrão",$H$4=#REF!),BDI!$B$17,IF(AND(#REF!="Padrão",$H$4=#REF!),BDI!#REF!,IF(AND(#REF!="Diferenciado",$H$4=#REF!),BDI!$E$17,IF(AND(#REF!="Diferenciado",$H$4=#REF!),BDI!#REF!,IF(#REF!="ZERO",0))))),"")</f>
        <v>#REF!</v>
      </c>
      <c r="H58" s="138" t="str">
        <f t="shared" si="1"/>
        <v/>
      </c>
      <c r="I58" s="136" t="str">
        <f t="shared" si="2"/>
        <v/>
      </c>
    </row>
    <row r="59" spans="1:9" hidden="1" x14ac:dyDescent="0.25">
      <c r="A59" s="113" t="s">
        <v>1613</v>
      </c>
      <c r="B59" s="114" t="s">
        <v>1614</v>
      </c>
      <c r="C59" s="115" t="s">
        <v>20</v>
      </c>
      <c r="D59" s="115">
        <v>0</v>
      </c>
      <c r="E59" s="135" t="s">
        <v>568</v>
      </c>
      <c r="F59" s="136" t="str">
        <f t="shared" si="0"/>
        <v/>
      </c>
      <c r="G59" s="137" t="e">
        <f>IF(A59&lt;&gt;"",IF(AND(#REF!="Padrão",$H$4=#REF!),BDI!$B$17,IF(AND(#REF!="Padrão",$H$4=#REF!),BDI!#REF!,IF(AND(#REF!="Diferenciado",$H$4=#REF!),BDI!$E$17,IF(AND(#REF!="Diferenciado",$H$4=#REF!),BDI!#REF!,IF(#REF!="ZERO",0))))),"")</f>
        <v>#REF!</v>
      </c>
      <c r="H59" s="138" t="str">
        <f t="shared" si="1"/>
        <v/>
      </c>
      <c r="I59" s="136" t="str">
        <f t="shared" si="2"/>
        <v/>
      </c>
    </row>
    <row r="60" spans="1:9" hidden="1" x14ac:dyDescent="0.25">
      <c r="A60" s="113" t="s">
        <v>1615</v>
      </c>
      <c r="B60" s="114" t="s">
        <v>1616</v>
      </c>
      <c r="C60" s="115" t="s">
        <v>1605</v>
      </c>
      <c r="D60" s="115">
        <v>0</v>
      </c>
      <c r="E60" s="135" t="s">
        <v>568</v>
      </c>
      <c r="F60" s="136" t="str">
        <f t="shared" si="0"/>
        <v/>
      </c>
      <c r="G60" s="137" t="e">
        <f>IF(A60&lt;&gt;"",IF(AND(#REF!="Padrão",$H$4=#REF!),BDI!$B$17,IF(AND(#REF!="Padrão",$H$4=#REF!),BDI!#REF!,IF(AND(#REF!="Diferenciado",$H$4=#REF!),BDI!$E$17,IF(AND(#REF!="Diferenciado",$H$4=#REF!),BDI!#REF!,IF(#REF!="ZERO",0))))),"")</f>
        <v>#REF!</v>
      </c>
      <c r="H60" s="138" t="str">
        <f t="shared" si="1"/>
        <v/>
      </c>
      <c r="I60" s="136" t="str">
        <f t="shared" si="2"/>
        <v/>
      </c>
    </row>
    <row r="61" spans="1:9" hidden="1" x14ac:dyDescent="0.25">
      <c r="A61" s="113" t="s">
        <v>1617</v>
      </c>
      <c r="B61" s="114" t="s">
        <v>1618</v>
      </c>
      <c r="C61" s="115" t="s">
        <v>20</v>
      </c>
      <c r="D61" s="115">
        <v>0</v>
      </c>
      <c r="E61" s="135" t="s">
        <v>568</v>
      </c>
      <c r="F61" s="136" t="str">
        <f t="shared" si="0"/>
        <v/>
      </c>
      <c r="G61" s="137" t="e">
        <f>IF(A61&lt;&gt;"",IF(AND(#REF!="Padrão",$H$4=#REF!),BDI!$B$17,IF(AND(#REF!="Padrão",$H$4=#REF!),BDI!#REF!,IF(AND(#REF!="Diferenciado",$H$4=#REF!),BDI!$E$17,IF(AND(#REF!="Diferenciado",$H$4=#REF!),BDI!#REF!,IF(#REF!="ZERO",0))))),"")</f>
        <v>#REF!</v>
      </c>
      <c r="H61" s="138" t="str">
        <f t="shared" si="1"/>
        <v/>
      </c>
      <c r="I61" s="136" t="str">
        <f t="shared" si="2"/>
        <v/>
      </c>
    </row>
    <row r="62" spans="1:9" ht="25.5" hidden="1" x14ac:dyDescent="0.25">
      <c r="A62" s="113" t="s">
        <v>92</v>
      </c>
      <c r="B62" s="114" t="s">
        <v>1619</v>
      </c>
      <c r="C62" s="115" t="s">
        <v>95</v>
      </c>
      <c r="D62" s="115">
        <v>0</v>
      </c>
      <c r="E62" s="135">
        <f ca="1">OFFSET(INDEX(Composições!A:J,MATCH(Orçamentária!A62,Composições!A:A,0),8),2,0)</f>
        <v>21.45195</v>
      </c>
      <c r="F62" s="136">
        <f t="shared" ca="1" si="0"/>
        <v>0</v>
      </c>
      <c r="G62" s="137" t="e">
        <f>IF(A62&lt;&gt;"",IF(AND(#REF!="Padrão",$H$4=#REF!),BDI!$B$17,IF(AND(#REF!="Padrão",$H$4=#REF!),BDI!#REF!,IF(AND(#REF!="Diferenciado",$H$4=#REF!),BDI!$E$17,IF(AND(#REF!="Diferenciado",$H$4=#REF!),BDI!#REF!,IF(#REF!="ZERO",0))))),"")</f>
        <v>#REF!</v>
      </c>
      <c r="H62" s="138" t="e">
        <f t="shared" ca="1" si="1"/>
        <v>#REF!</v>
      </c>
      <c r="I62" s="136" t="e">
        <f t="shared" ca="1" si="2"/>
        <v>#REF!</v>
      </c>
    </row>
    <row r="63" spans="1:9" hidden="1" x14ac:dyDescent="0.25">
      <c r="A63" s="113" t="s">
        <v>1620</v>
      </c>
      <c r="B63" s="114" t="s">
        <v>1621</v>
      </c>
      <c r="C63" s="115" t="s">
        <v>20</v>
      </c>
      <c r="D63" s="115">
        <v>0</v>
      </c>
      <c r="E63" s="135" t="s">
        <v>568</v>
      </c>
      <c r="F63" s="136" t="str">
        <f t="shared" si="0"/>
        <v/>
      </c>
      <c r="G63" s="137" t="e">
        <f>IF(A63&lt;&gt;"",IF(AND(#REF!="Padrão",$H$4=#REF!),BDI!$B$17,IF(AND(#REF!="Padrão",$H$4=#REF!),BDI!#REF!,IF(AND(#REF!="Diferenciado",$H$4=#REF!),BDI!$E$17,IF(AND(#REF!="Diferenciado",$H$4=#REF!),BDI!#REF!,IF(#REF!="ZERO",0))))),"")</f>
        <v>#REF!</v>
      </c>
      <c r="H63" s="138" t="str">
        <f t="shared" si="1"/>
        <v/>
      </c>
      <c r="I63" s="136" t="str">
        <f t="shared" si="2"/>
        <v/>
      </c>
    </row>
    <row r="64" spans="1:9" hidden="1" x14ac:dyDescent="0.25">
      <c r="A64" s="113" t="s">
        <v>1622</v>
      </c>
      <c r="B64" s="114" t="s">
        <v>1623</v>
      </c>
      <c r="C64" s="115" t="s">
        <v>20</v>
      </c>
      <c r="D64" s="115">
        <v>0</v>
      </c>
      <c r="E64" s="135" t="s">
        <v>568</v>
      </c>
      <c r="F64" s="136" t="str">
        <f t="shared" si="0"/>
        <v/>
      </c>
      <c r="G64" s="137" t="e">
        <f>IF(A64&lt;&gt;"",IF(AND(#REF!="Padrão",$H$4=#REF!),BDI!$B$17,IF(AND(#REF!="Padrão",$H$4=#REF!),BDI!#REF!,IF(AND(#REF!="Diferenciado",$H$4=#REF!),BDI!$E$17,IF(AND(#REF!="Diferenciado",$H$4=#REF!),BDI!#REF!,IF(#REF!="ZERO",0))))),"")</f>
        <v>#REF!</v>
      </c>
      <c r="H64" s="138" t="str">
        <f t="shared" si="1"/>
        <v/>
      </c>
      <c r="I64" s="136" t="str">
        <f t="shared" si="2"/>
        <v/>
      </c>
    </row>
    <row r="65" spans="1:9" hidden="1" x14ac:dyDescent="0.25">
      <c r="A65" s="113" t="s">
        <v>1624</v>
      </c>
      <c r="B65" s="114" t="s">
        <v>1625</v>
      </c>
      <c r="C65" s="115" t="s">
        <v>20</v>
      </c>
      <c r="D65" s="115">
        <v>0</v>
      </c>
      <c r="E65" s="135" t="s">
        <v>568</v>
      </c>
      <c r="F65" s="136" t="str">
        <f t="shared" si="0"/>
        <v/>
      </c>
      <c r="G65" s="137" t="e">
        <f>IF(A65&lt;&gt;"",IF(AND(#REF!="Padrão",$H$4=#REF!),BDI!$B$17,IF(AND(#REF!="Padrão",$H$4=#REF!),BDI!#REF!,IF(AND(#REF!="Diferenciado",$H$4=#REF!),BDI!$E$17,IF(AND(#REF!="Diferenciado",$H$4=#REF!),BDI!#REF!,IF(#REF!="ZERO",0))))),"")</f>
        <v>#REF!</v>
      </c>
      <c r="H65" s="138" t="str">
        <f t="shared" si="1"/>
        <v/>
      </c>
      <c r="I65" s="136" t="str">
        <f t="shared" si="2"/>
        <v/>
      </c>
    </row>
    <row r="66" spans="1:9" hidden="1" x14ac:dyDescent="0.25">
      <c r="A66" s="113" t="s">
        <v>1626</v>
      </c>
      <c r="B66" s="114" t="s">
        <v>1627</v>
      </c>
      <c r="C66" s="115" t="s">
        <v>20</v>
      </c>
      <c r="D66" s="115">
        <v>0</v>
      </c>
      <c r="E66" s="135" t="s">
        <v>568</v>
      </c>
      <c r="F66" s="136" t="str">
        <f t="shared" si="0"/>
        <v/>
      </c>
      <c r="G66" s="137" t="e">
        <f>IF(A66&lt;&gt;"",IF(AND(#REF!="Padrão",$H$4=#REF!),BDI!$B$17,IF(AND(#REF!="Padrão",$H$4=#REF!),BDI!#REF!,IF(AND(#REF!="Diferenciado",$H$4=#REF!),BDI!$E$17,IF(AND(#REF!="Diferenciado",$H$4=#REF!),BDI!#REF!,IF(#REF!="ZERO",0))))),"")</f>
        <v>#REF!</v>
      </c>
      <c r="H66" s="138" t="str">
        <f t="shared" si="1"/>
        <v/>
      </c>
      <c r="I66" s="136" t="str">
        <f t="shared" si="2"/>
        <v/>
      </c>
    </row>
    <row r="67" spans="1:9" hidden="1" x14ac:dyDescent="0.25">
      <c r="A67" s="113" t="s">
        <v>1628</v>
      </c>
      <c r="B67" s="114" t="s">
        <v>1629</v>
      </c>
      <c r="C67" s="115" t="s">
        <v>20</v>
      </c>
      <c r="D67" s="115">
        <v>0</v>
      </c>
      <c r="E67" s="135" t="s">
        <v>568</v>
      </c>
      <c r="F67" s="136" t="str">
        <f t="shared" si="0"/>
        <v/>
      </c>
      <c r="G67" s="137" t="e">
        <f>IF(A67&lt;&gt;"",IF(AND(#REF!="Padrão",$H$4=#REF!),BDI!$B$17,IF(AND(#REF!="Padrão",$H$4=#REF!),BDI!#REF!,IF(AND(#REF!="Diferenciado",$H$4=#REF!),BDI!$E$17,IF(AND(#REF!="Diferenciado",$H$4=#REF!),BDI!#REF!,IF(#REF!="ZERO",0))))),"")</f>
        <v>#REF!</v>
      </c>
      <c r="H67" s="138" t="str">
        <f t="shared" si="1"/>
        <v/>
      </c>
      <c r="I67" s="136" t="str">
        <f t="shared" si="2"/>
        <v/>
      </c>
    </row>
    <row r="68" spans="1:9" hidden="1" x14ac:dyDescent="0.25">
      <c r="A68" s="113" t="s">
        <v>1630</v>
      </c>
      <c r="B68" s="114" t="s">
        <v>1631</v>
      </c>
      <c r="C68" s="115" t="s">
        <v>1603</v>
      </c>
      <c r="D68" s="115">
        <v>0</v>
      </c>
      <c r="E68" s="135" t="s">
        <v>568</v>
      </c>
      <c r="F68" s="136" t="str">
        <f t="shared" si="0"/>
        <v/>
      </c>
      <c r="G68" s="137" t="e">
        <f>IF(A68&lt;&gt;"",IF(AND(#REF!="Padrão",$H$4=#REF!),BDI!$B$17,IF(AND(#REF!="Padrão",$H$4=#REF!),BDI!#REF!,IF(AND(#REF!="Diferenciado",$H$4=#REF!),BDI!$E$17,IF(AND(#REF!="Diferenciado",$H$4=#REF!),BDI!#REF!,IF(#REF!="ZERO",0))))),"")</f>
        <v>#REF!</v>
      </c>
      <c r="H68" s="138" t="str">
        <f t="shared" si="1"/>
        <v/>
      </c>
      <c r="I68" s="136" t="str">
        <f t="shared" si="2"/>
        <v/>
      </c>
    </row>
    <row r="69" spans="1:9" hidden="1" x14ac:dyDescent="0.25">
      <c r="A69" s="113" t="s">
        <v>1632</v>
      </c>
      <c r="B69" s="114" t="s">
        <v>1633</v>
      </c>
      <c r="C69" s="115" t="s">
        <v>20</v>
      </c>
      <c r="D69" s="115">
        <v>0</v>
      </c>
      <c r="E69" s="135" t="s">
        <v>568</v>
      </c>
      <c r="F69" s="136" t="str">
        <f t="shared" si="0"/>
        <v/>
      </c>
      <c r="G69" s="137" t="e">
        <f>IF(A69&lt;&gt;"",IF(AND(#REF!="Padrão",$H$4=#REF!),BDI!$B$17,IF(AND(#REF!="Padrão",$H$4=#REF!),BDI!#REF!,IF(AND(#REF!="Diferenciado",$H$4=#REF!),BDI!$E$17,IF(AND(#REF!="Diferenciado",$H$4=#REF!),BDI!#REF!,IF(#REF!="ZERO",0))))),"")</f>
        <v>#REF!</v>
      </c>
      <c r="H69" s="138" t="str">
        <f t="shared" si="1"/>
        <v/>
      </c>
      <c r="I69" s="136" t="str">
        <f t="shared" si="2"/>
        <v/>
      </c>
    </row>
    <row r="70" spans="1:9" hidden="1" x14ac:dyDescent="0.25">
      <c r="A70" s="113" t="s">
        <v>1634</v>
      </c>
      <c r="B70" s="114" t="s">
        <v>1635</v>
      </c>
      <c r="C70" s="115" t="s">
        <v>20</v>
      </c>
      <c r="D70" s="115">
        <v>0</v>
      </c>
      <c r="E70" s="135" t="s">
        <v>568</v>
      </c>
      <c r="F70" s="136" t="str">
        <f t="shared" si="0"/>
        <v/>
      </c>
      <c r="G70" s="137" t="e">
        <f>IF(A70&lt;&gt;"",IF(AND(#REF!="Padrão",$H$4=#REF!),BDI!$B$17,IF(AND(#REF!="Padrão",$H$4=#REF!),BDI!#REF!,IF(AND(#REF!="Diferenciado",$H$4=#REF!),BDI!$E$17,IF(AND(#REF!="Diferenciado",$H$4=#REF!),BDI!#REF!,IF(#REF!="ZERO",0))))),"")</f>
        <v>#REF!</v>
      </c>
      <c r="H70" s="138" t="str">
        <f t="shared" si="1"/>
        <v/>
      </c>
      <c r="I70" s="136" t="str">
        <f t="shared" si="2"/>
        <v/>
      </c>
    </row>
    <row r="71" spans="1:9" hidden="1" x14ac:dyDescent="0.25">
      <c r="A71" s="113" t="s">
        <v>1636</v>
      </c>
      <c r="B71" s="114" t="s">
        <v>1637</v>
      </c>
      <c r="C71" s="115" t="s">
        <v>20</v>
      </c>
      <c r="D71" s="115">
        <v>0</v>
      </c>
      <c r="E71" s="135" t="s">
        <v>568</v>
      </c>
      <c r="F71" s="136" t="str">
        <f t="shared" ref="F71:F134" si="3">IF(ISNUMBER(E71),D71*E71,"")</f>
        <v/>
      </c>
      <c r="G71" s="137" t="e">
        <f>IF(A71&lt;&gt;"",IF(AND(#REF!="Padrão",$H$4=#REF!),BDI!$B$17,IF(AND(#REF!="Padrão",$H$4=#REF!),BDI!#REF!,IF(AND(#REF!="Diferenciado",$H$4=#REF!),BDI!$E$17,IF(AND(#REF!="Diferenciado",$H$4=#REF!),BDI!#REF!,IF(#REF!="ZERO",0))))),"")</f>
        <v>#REF!</v>
      </c>
      <c r="H71" s="138" t="str">
        <f t="shared" ref="H71:H134" si="4">IF(ISNUMBER(E71),ROUND(E71*(1+G71),2),"")</f>
        <v/>
      </c>
      <c r="I71" s="136" t="str">
        <f t="shared" ref="I71:I134" si="5">IF(ISNUMBER(E71),ROUND(H71*D71,2),"")</f>
        <v/>
      </c>
    </row>
    <row r="72" spans="1:9" hidden="1" x14ac:dyDescent="0.25">
      <c r="A72" s="113" t="s">
        <v>1638</v>
      </c>
      <c r="B72" s="114" t="s">
        <v>1639</v>
      </c>
      <c r="C72" s="115" t="s">
        <v>1640</v>
      </c>
      <c r="D72" s="115">
        <v>0</v>
      </c>
      <c r="E72" s="135" t="s">
        <v>568</v>
      </c>
      <c r="F72" s="136" t="str">
        <f t="shared" si="3"/>
        <v/>
      </c>
      <c r="G72" s="137" t="e">
        <f>IF(A72&lt;&gt;"",IF(AND(#REF!="Padrão",$H$4=#REF!),BDI!$B$17,IF(AND(#REF!="Padrão",$H$4=#REF!),BDI!#REF!,IF(AND(#REF!="Diferenciado",$H$4=#REF!),BDI!$E$17,IF(AND(#REF!="Diferenciado",$H$4=#REF!),BDI!#REF!,IF(#REF!="ZERO",0))))),"")</f>
        <v>#REF!</v>
      </c>
      <c r="H72" s="138" t="str">
        <f t="shared" si="4"/>
        <v/>
      </c>
      <c r="I72" s="136" t="str">
        <f t="shared" si="5"/>
        <v/>
      </c>
    </row>
    <row r="73" spans="1:9" hidden="1" x14ac:dyDescent="0.25">
      <c r="A73" s="113" t="s">
        <v>1641</v>
      </c>
      <c r="B73" s="114" t="s">
        <v>1642</v>
      </c>
      <c r="C73" s="115" t="s">
        <v>1605</v>
      </c>
      <c r="D73" s="115">
        <v>0</v>
      </c>
      <c r="E73" s="135" t="s">
        <v>568</v>
      </c>
      <c r="F73" s="136" t="str">
        <f t="shared" si="3"/>
        <v/>
      </c>
      <c r="G73" s="137" t="e">
        <f>IF(A73&lt;&gt;"",IF(AND(#REF!="Padrão",$H$4=#REF!),BDI!$B$17,IF(AND(#REF!="Padrão",$H$4=#REF!),BDI!#REF!,IF(AND(#REF!="Diferenciado",$H$4=#REF!),BDI!$E$17,IF(AND(#REF!="Diferenciado",$H$4=#REF!),BDI!#REF!,IF(#REF!="ZERO",0))))),"")</f>
        <v>#REF!</v>
      </c>
      <c r="H73" s="138" t="str">
        <f t="shared" si="4"/>
        <v/>
      </c>
      <c r="I73" s="136" t="str">
        <f t="shared" si="5"/>
        <v/>
      </c>
    </row>
    <row r="74" spans="1:9" hidden="1" x14ac:dyDescent="0.25">
      <c r="A74" s="113" t="s">
        <v>1643</v>
      </c>
      <c r="B74" s="114" t="s">
        <v>1644</v>
      </c>
      <c r="C74" s="115" t="s">
        <v>20</v>
      </c>
      <c r="D74" s="115">
        <v>0</v>
      </c>
      <c r="E74" s="135" t="s">
        <v>568</v>
      </c>
      <c r="F74" s="136" t="str">
        <f t="shared" si="3"/>
        <v/>
      </c>
      <c r="G74" s="137" t="e">
        <f>IF(A74&lt;&gt;"",IF(AND(#REF!="Padrão",$H$4=#REF!),BDI!$B$17,IF(AND(#REF!="Padrão",$H$4=#REF!),BDI!#REF!,IF(AND(#REF!="Diferenciado",$H$4=#REF!),BDI!$E$17,IF(AND(#REF!="Diferenciado",$H$4=#REF!),BDI!#REF!,IF(#REF!="ZERO",0))))),"")</f>
        <v>#REF!</v>
      </c>
      <c r="H74" s="138" t="str">
        <f t="shared" si="4"/>
        <v/>
      </c>
      <c r="I74" s="136" t="str">
        <f t="shared" si="5"/>
        <v/>
      </c>
    </row>
    <row r="75" spans="1:9" hidden="1" x14ac:dyDescent="0.25">
      <c r="A75" s="113" t="s">
        <v>96</v>
      </c>
      <c r="B75" s="114" t="s">
        <v>1645</v>
      </c>
      <c r="C75" s="115" t="s">
        <v>95</v>
      </c>
      <c r="D75" s="115">
        <v>0</v>
      </c>
      <c r="E75" s="135">
        <f ca="1">OFFSET(INDEX(Composições!A:J,MATCH(Orçamentária!A75,Composições!A:A,0),8),2,0)</f>
        <v>58.946298249999991</v>
      </c>
      <c r="F75" s="136">
        <f t="shared" ca="1" si="3"/>
        <v>0</v>
      </c>
      <c r="G75" s="137" t="e">
        <f>IF(A75&lt;&gt;"",IF(AND(#REF!="Padrão",$H$4=#REF!),BDI!$B$17,IF(AND(#REF!="Padrão",$H$4=#REF!),BDI!#REF!,IF(AND(#REF!="Diferenciado",$H$4=#REF!),BDI!$E$17,IF(AND(#REF!="Diferenciado",$H$4=#REF!),BDI!#REF!,IF(#REF!="ZERO",0))))),"")</f>
        <v>#REF!</v>
      </c>
      <c r="H75" s="138" t="e">
        <f t="shared" ca="1" si="4"/>
        <v>#REF!</v>
      </c>
      <c r="I75" s="136" t="e">
        <f t="shared" ca="1" si="5"/>
        <v>#REF!</v>
      </c>
    </row>
    <row r="76" spans="1:9" hidden="1" x14ac:dyDescent="0.25">
      <c r="A76" s="113" t="s">
        <v>1646</v>
      </c>
      <c r="B76" s="114" t="s">
        <v>1647</v>
      </c>
      <c r="C76" s="115" t="s">
        <v>20</v>
      </c>
      <c r="D76" s="115">
        <v>0</v>
      </c>
      <c r="E76" s="135" t="s">
        <v>568</v>
      </c>
      <c r="F76" s="136" t="str">
        <f t="shared" si="3"/>
        <v/>
      </c>
      <c r="G76" s="137" t="e">
        <f>IF(A76&lt;&gt;"",IF(AND(#REF!="Padrão",$H$4=#REF!),BDI!$B$17,IF(AND(#REF!="Padrão",$H$4=#REF!),BDI!#REF!,IF(AND(#REF!="Diferenciado",$H$4=#REF!),BDI!$E$17,IF(AND(#REF!="Diferenciado",$H$4=#REF!),BDI!#REF!,IF(#REF!="ZERO",0))))),"")</f>
        <v>#REF!</v>
      </c>
      <c r="H76" s="138" t="str">
        <f t="shared" si="4"/>
        <v/>
      </c>
      <c r="I76" s="136" t="str">
        <f t="shared" si="5"/>
        <v/>
      </c>
    </row>
    <row r="77" spans="1:9" hidden="1" x14ac:dyDescent="0.25">
      <c r="A77" s="113" t="s">
        <v>1648</v>
      </c>
      <c r="B77" s="114" t="s">
        <v>1649</v>
      </c>
      <c r="C77" s="115" t="s">
        <v>20</v>
      </c>
      <c r="D77" s="115">
        <v>0</v>
      </c>
      <c r="E77" s="135" t="s">
        <v>568</v>
      </c>
      <c r="F77" s="136" t="str">
        <f t="shared" si="3"/>
        <v/>
      </c>
      <c r="G77" s="137" t="e">
        <f>IF(A77&lt;&gt;"",IF(AND(#REF!="Padrão",$H$4=#REF!),BDI!$B$17,IF(AND(#REF!="Padrão",$H$4=#REF!),BDI!#REF!,IF(AND(#REF!="Diferenciado",$H$4=#REF!),BDI!$E$17,IF(AND(#REF!="Diferenciado",$H$4=#REF!),BDI!#REF!,IF(#REF!="ZERO",0))))),"")</f>
        <v>#REF!</v>
      </c>
      <c r="H77" s="138" t="str">
        <f t="shared" si="4"/>
        <v/>
      </c>
      <c r="I77" s="136" t="str">
        <f t="shared" si="5"/>
        <v/>
      </c>
    </row>
    <row r="78" spans="1:9" x14ac:dyDescent="0.25">
      <c r="A78" s="197" t="s">
        <v>107</v>
      </c>
      <c r="B78" s="198" t="s">
        <v>1650</v>
      </c>
      <c r="C78" s="199" t="s">
        <v>95</v>
      </c>
      <c r="D78" s="199">
        <v>382</v>
      </c>
      <c r="E78" s="135">
        <f ca="1">OFFSET(INDEX(Composições!A:J,MATCH(Orçamentária!A78,Composições!A:A,0),8),2,0)</f>
        <v>1.9900030000000002</v>
      </c>
      <c r="F78" s="136">
        <f t="shared" ca="1" si="3"/>
        <v>760.18114600000013</v>
      </c>
      <c r="G78" s="137">
        <f>BDI!$B$17</f>
        <v>0.191</v>
      </c>
      <c r="H78" s="138">
        <f t="shared" ca="1" si="4"/>
        <v>2.37</v>
      </c>
      <c r="I78" s="136">
        <f t="shared" ca="1" si="5"/>
        <v>905.34</v>
      </c>
    </row>
    <row r="79" spans="1:9" x14ac:dyDescent="0.25">
      <c r="A79" s="197" t="s">
        <v>108</v>
      </c>
      <c r="B79" s="198" t="s">
        <v>1651</v>
      </c>
      <c r="C79" s="199" t="s">
        <v>93</v>
      </c>
      <c r="D79" s="199">
        <v>238.2</v>
      </c>
      <c r="E79" s="135">
        <f ca="1">OFFSET(INDEX(Composições!A:J,MATCH(Orçamentária!A79,Composições!A:A,0),8),2,0)</f>
        <v>16.317289953847002</v>
      </c>
      <c r="F79" s="136">
        <f t="shared" ca="1" si="3"/>
        <v>3886.7784670063556</v>
      </c>
      <c r="G79" s="137">
        <f>BDI!$B$17</f>
        <v>0.191</v>
      </c>
      <c r="H79" s="138">
        <f t="shared" ca="1" si="4"/>
        <v>19.43</v>
      </c>
      <c r="I79" s="136">
        <f t="shared" ca="1" si="5"/>
        <v>4628.2299999999996</v>
      </c>
    </row>
    <row r="80" spans="1:9" x14ac:dyDescent="0.25">
      <c r="A80" s="197" t="s">
        <v>112</v>
      </c>
      <c r="B80" s="198" t="s">
        <v>1652</v>
      </c>
      <c r="C80" s="199" t="s">
        <v>20</v>
      </c>
      <c r="D80" s="199">
        <v>5</v>
      </c>
      <c r="E80" s="135">
        <f ca="1">OFFSET(INDEX(Composições!A:J,MATCH(Orçamentária!A80,Composições!A:A,0),8),2,0)</f>
        <v>81.712064999999996</v>
      </c>
      <c r="F80" s="136">
        <f t="shared" ca="1" si="3"/>
        <v>408.56032499999998</v>
      </c>
      <c r="G80" s="137">
        <f>BDI!$B$17</f>
        <v>0.191</v>
      </c>
      <c r="H80" s="138">
        <f t="shared" ca="1" si="4"/>
        <v>97.32</v>
      </c>
      <c r="I80" s="136">
        <f t="shared" ca="1" si="5"/>
        <v>486.6</v>
      </c>
    </row>
    <row r="81" spans="1:9" hidden="1" x14ac:dyDescent="0.25">
      <c r="A81" s="113" t="s">
        <v>113</v>
      </c>
      <c r="B81" s="114" t="s">
        <v>1653</v>
      </c>
      <c r="C81" s="115" t="s">
        <v>20</v>
      </c>
      <c r="D81" s="115">
        <v>0</v>
      </c>
      <c r="E81" s="135">
        <f ca="1">OFFSET(INDEX(Composições!A:J,MATCH(Orçamentária!A81,Composições!A:A,0),8),2,0)</f>
        <v>104.363922</v>
      </c>
      <c r="F81" s="136">
        <f t="shared" ca="1" si="3"/>
        <v>0</v>
      </c>
      <c r="G81" s="137" t="e">
        <f>IF(A81&lt;&gt;"",IF(AND(#REF!="Padrão",$H$4=#REF!),BDI!$B$17,IF(AND(#REF!="Padrão",$H$4=#REF!),BDI!#REF!,IF(AND(#REF!="Diferenciado",$H$4=#REF!),BDI!$E$17,IF(AND(#REF!="Diferenciado",$H$4=#REF!),BDI!#REF!,IF(#REF!="ZERO",0))))),"")</f>
        <v>#REF!</v>
      </c>
      <c r="H81" s="138" t="e">
        <f t="shared" ca="1" si="4"/>
        <v>#REF!</v>
      </c>
      <c r="I81" s="136" t="e">
        <f t="shared" ca="1" si="5"/>
        <v>#REF!</v>
      </c>
    </row>
    <row r="82" spans="1:9" x14ac:dyDescent="0.25">
      <c r="A82" s="197" t="s">
        <v>114</v>
      </c>
      <c r="B82" s="198" t="s">
        <v>1654</v>
      </c>
      <c r="C82" s="199" t="s">
        <v>111</v>
      </c>
      <c r="D82" s="199">
        <v>0.2</v>
      </c>
      <c r="E82" s="135">
        <f ca="1">OFFSET(INDEX(Composições!A:J,MATCH(Orçamentária!A82,Composições!A:A,0),8),2,0)</f>
        <v>565.53847735720001</v>
      </c>
      <c r="F82" s="136">
        <f t="shared" ca="1" si="3"/>
        <v>113.10769547144001</v>
      </c>
      <c r="G82" s="137">
        <f>BDI!$B$17</f>
        <v>0.191</v>
      </c>
      <c r="H82" s="138">
        <f t="shared" ca="1" si="4"/>
        <v>673.56</v>
      </c>
      <c r="I82" s="136">
        <f t="shared" ca="1" si="5"/>
        <v>134.71</v>
      </c>
    </row>
    <row r="83" spans="1:9" hidden="1" x14ac:dyDescent="0.25">
      <c r="A83" s="113" t="s">
        <v>127</v>
      </c>
      <c r="B83" s="114" t="s">
        <v>1655</v>
      </c>
      <c r="C83" s="115" t="s">
        <v>111</v>
      </c>
      <c r="D83" s="115">
        <v>0</v>
      </c>
      <c r="E83" s="135">
        <f ca="1">OFFSET(INDEX(Composições!A:J,MATCH(Orçamentária!A83,Composições!A:A,0),8),2,0)</f>
        <v>598.95457492779985</v>
      </c>
      <c r="F83" s="136">
        <f t="shared" ca="1" si="3"/>
        <v>0</v>
      </c>
      <c r="G83" s="137" t="e">
        <f>IF(A83&lt;&gt;"",IF(AND(#REF!="Padrão",$H$4=#REF!),BDI!$B$17,IF(AND(#REF!="Padrão",$H$4=#REF!),BDI!#REF!,IF(AND(#REF!="Diferenciado",$H$4=#REF!),BDI!$E$17,IF(AND(#REF!="Diferenciado",$H$4=#REF!),BDI!#REF!,IF(#REF!="ZERO",0))))),"")</f>
        <v>#REF!</v>
      </c>
      <c r="H83" s="138" t="e">
        <f t="shared" ca="1" si="4"/>
        <v>#REF!</v>
      </c>
      <c r="I83" s="136" t="e">
        <f t="shared" ca="1" si="5"/>
        <v>#REF!</v>
      </c>
    </row>
    <row r="84" spans="1:9" x14ac:dyDescent="0.25">
      <c r="A84" s="197" t="s">
        <v>128</v>
      </c>
      <c r="B84" s="198" t="s">
        <v>1656</v>
      </c>
      <c r="C84" s="199" t="s">
        <v>1603</v>
      </c>
      <c r="D84" s="199">
        <v>19</v>
      </c>
      <c r="E84" s="135">
        <f ca="1">OFFSET(INDEX(Composições!A:J,MATCH(Orçamentária!A84,Composições!A:A,0),8),2,0)</f>
        <v>14.386324999999999</v>
      </c>
      <c r="F84" s="136">
        <f t="shared" ca="1" si="3"/>
        <v>273.34017499999999</v>
      </c>
      <c r="G84" s="137">
        <f>BDI!$B$17</f>
        <v>0.191</v>
      </c>
      <c r="H84" s="138">
        <f t="shared" ca="1" si="4"/>
        <v>17.13</v>
      </c>
      <c r="I84" s="136">
        <f t="shared" ca="1" si="5"/>
        <v>325.47000000000003</v>
      </c>
    </row>
    <row r="85" spans="1:9" hidden="1" x14ac:dyDescent="0.25">
      <c r="A85" s="113" t="s">
        <v>132</v>
      </c>
      <c r="B85" s="114" t="s">
        <v>1657</v>
      </c>
      <c r="C85" s="115" t="s">
        <v>42</v>
      </c>
      <c r="D85" s="115">
        <v>0</v>
      </c>
      <c r="E85" s="135">
        <f ca="1">OFFSET(INDEX(Composições!A:J,MATCH(Orçamentária!A85,Composições!A:A,0),8),2,0)</f>
        <v>11.948054999999998</v>
      </c>
      <c r="F85" s="136">
        <f t="shared" ca="1" si="3"/>
        <v>0</v>
      </c>
      <c r="G85" s="137" t="e">
        <f>IF(A85&lt;&gt;"",IF(AND(#REF!="Padrão",$H$4=#REF!),BDI!$B$17,IF(AND(#REF!="Padrão",$H$4=#REF!),BDI!#REF!,IF(AND(#REF!="Diferenciado",$H$4=#REF!),BDI!$E$17,IF(AND(#REF!="Diferenciado",$H$4=#REF!),BDI!#REF!,IF(#REF!="ZERO",0))))),"")</f>
        <v>#REF!</v>
      </c>
      <c r="H85" s="138" t="e">
        <f t="shared" ca="1" si="4"/>
        <v>#REF!</v>
      </c>
      <c r="I85" s="136" t="e">
        <f t="shared" ca="1" si="5"/>
        <v>#REF!</v>
      </c>
    </row>
    <row r="86" spans="1:9" hidden="1" x14ac:dyDescent="0.25">
      <c r="A86" s="113" t="s">
        <v>143</v>
      </c>
      <c r="B86" s="114" t="s">
        <v>1658</v>
      </c>
      <c r="C86" s="115" t="s">
        <v>95</v>
      </c>
      <c r="D86" s="115">
        <v>0</v>
      </c>
      <c r="E86" s="135">
        <f ca="1">OFFSET(INDEX(Composições!A:J,MATCH(Orçamentária!A86,Composições!A:A,0),8),2,0)</f>
        <v>138.83212948650001</v>
      </c>
      <c r="F86" s="136">
        <f t="shared" ca="1" si="3"/>
        <v>0</v>
      </c>
      <c r="G86" s="137" t="e">
        <f>IF(A86&lt;&gt;"",IF(AND(#REF!="Padrão",$H$4=#REF!),BDI!$B$17,IF(AND(#REF!="Padrão",$H$4=#REF!),BDI!#REF!,IF(AND(#REF!="Diferenciado",$H$4=#REF!),BDI!$E$17,IF(AND(#REF!="Diferenciado",$H$4=#REF!),BDI!#REF!,IF(#REF!="ZERO",0))))),"")</f>
        <v>#REF!</v>
      </c>
      <c r="H86" s="138" t="e">
        <f t="shared" ca="1" si="4"/>
        <v>#REF!</v>
      </c>
      <c r="I86" s="136" t="e">
        <f t="shared" ca="1" si="5"/>
        <v>#REF!</v>
      </c>
    </row>
    <row r="87" spans="1:9" x14ac:dyDescent="0.25">
      <c r="A87" s="197" t="s">
        <v>145</v>
      </c>
      <c r="B87" s="198" t="s">
        <v>1659</v>
      </c>
      <c r="C87" s="199" t="s">
        <v>93</v>
      </c>
      <c r="D87" s="199">
        <v>1</v>
      </c>
      <c r="E87" s="135">
        <f ca="1">OFFSET(INDEX(Composições!A:J,MATCH(Orçamentária!A87,Composições!A:A,0),8),2,0)</f>
        <v>29.209286890999998</v>
      </c>
      <c r="F87" s="136">
        <f t="shared" ca="1" si="3"/>
        <v>29.209286890999998</v>
      </c>
      <c r="G87" s="137">
        <f>BDI!$B$17</f>
        <v>0.191</v>
      </c>
      <c r="H87" s="138">
        <f t="shared" ca="1" si="4"/>
        <v>34.79</v>
      </c>
      <c r="I87" s="136">
        <f t="shared" ca="1" si="5"/>
        <v>34.79</v>
      </c>
    </row>
    <row r="88" spans="1:9" x14ac:dyDescent="0.25">
      <c r="A88" s="197" t="s">
        <v>151</v>
      </c>
      <c r="B88" s="198" t="s">
        <v>1660</v>
      </c>
      <c r="C88" s="199" t="s">
        <v>95</v>
      </c>
      <c r="D88" s="199">
        <v>52.3</v>
      </c>
      <c r="E88" s="135">
        <f ca="1">OFFSET(INDEX(Composições!A:J,MATCH(Orçamentária!A88,Composições!A:A,0),8),2,0)</f>
        <v>22.415364</v>
      </c>
      <c r="F88" s="136">
        <f t="shared" ca="1" si="3"/>
        <v>1172.3235371999999</v>
      </c>
      <c r="G88" s="137">
        <f>BDI!$B$17</f>
        <v>0.191</v>
      </c>
      <c r="H88" s="138">
        <f t="shared" ca="1" si="4"/>
        <v>26.7</v>
      </c>
      <c r="I88" s="136">
        <f t="shared" ca="1" si="5"/>
        <v>1396.41</v>
      </c>
    </row>
    <row r="89" spans="1:9" x14ac:dyDescent="0.25">
      <c r="A89" s="197" t="s">
        <v>154</v>
      </c>
      <c r="B89" s="198" t="s">
        <v>1661</v>
      </c>
      <c r="C89" s="199" t="s">
        <v>95</v>
      </c>
      <c r="D89" s="199">
        <v>102.13</v>
      </c>
      <c r="E89" s="135">
        <f ca="1">OFFSET(INDEX(Composições!A:J,MATCH(Orçamentária!A89,Composições!A:A,0),8),2,0)</f>
        <v>68.71591648023761</v>
      </c>
      <c r="F89" s="136">
        <f t="shared" ca="1" si="3"/>
        <v>7017.956550126667</v>
      </c>
      <c r="G89" s="137">
        <f>BDI!$B$17</f>
        <v>0.191</v>
      </c>
      <c r="H89" s="138">
        <f t="shared" ca="1" si="4"/>
        <v>81.84</v>
      </c>
      <c r="I89" s="136">
        <f t="shared" ca="1" si="5"/>
        <v>8358.32</v>
      </c>
    </row>
    <row r="90" spans="1:9" x14ac:dyDescent="0.25">
      <c r="A90" s="197" t="s">
        <v>160</v>
      </c>
      <c r="B90" s="198" t="s">
        <v>1662</v>
      </c>
      <c r="C90" s="199" t="s">
        <v>95</v>
      </c>
      <c r="D90" s="199">
        <v>30</v>
      </c>
      <c r="E90" s="135">
        <f ca="1">OFFSET(INDEX(Composições!A:J,MATCH(Orçamentária!A90,Composições!A:A,0),8),2,0)</f>
        <v>46.912794550000001</v>
      </c>
      <c r="F90" s="136">
        <f t="shared" ca="1" si="3"/>
        <v>1407.3838365000001</v>
      </c>
      <c r="G90" s="137">
        <f>BDI!$B$17</f>
        <v>0.191</v>
      </c>
      <c r="H90" s="138">
        <f t="shared" ca="1" si="4"/>
        <v>55.87</v>
      </c>
      <c r="I90" s="136">
        <f t="shared" ca="1" si="5"/>
        <v>1676.1</v>
      </c>
    </row>
    <row r="91" spans="1:9" x14ac:dyDescent="0.25">
      <c r="A91" s="197" t="s">
        <v>168</v>
      </c>
      <c r="B91" s="198" t="s">
        <v>1663</v>
      </c>
      <c r="C91" s="199" t="s">
        <v>93</v>
      </c>
      <c r="D91" s="199">
        <v>91</v>
      </c>
      <c r="E91" s="135">
        <f ca="1">OFFSET(INDEX(Composições!A:J,MATCH(Orçamentária!A91,Composições!A:A,0),8),2,0)</f>
        <v>23.0120890648552</v>
      </c>
      <c r="F91" s="136">
        <f t="shared" ca="1" si="3"/>
        <v>2094.1001049018232</v>
      </c>
      <c r="G91" s="137">
        <f>BDI!$B$17</f>
        <v>0.191</v>
      </c>
      <c r="H91" s="138">
        <f t="shared" ca="1" si="4"/>
        <v>27.41</v>
      </c>
      <c r="I91" s="136">
        <f t="shared" ca="1" si="5"/>
        <v>2494.31</v>
      </c>
    </row>
    <row r="92" spans="1:9" hidden="1" x14ac:dyDescent="0.25">
      <c r="A92" s="113" t="s">
        <v>170</v>
      </c>
      <c r="B92" s="114" t="s">
        <v>1664</v>
      </c>
      <c r="C92" s="115" t="s">
        <v>95</v>
      </c>
      <c r="D92" s="115">
        <v>0</v>
      </c>
      <c r="E92" s="135">
        <f ca="1">OFFSET(INDEX(Composições!A:J,MATCH(Orçamentária!A92,Composições!A:A,0),8),2,0)</f>
        <v>65.05954539999999</v>
      </c>
      <c r="F92" s="136">
        <f t="shared" ca="1" si="3"/>
        <v>0</v>
      </c>
      <c r="G92" s="137" t="e">
        <f>IF(A92&lt;&gt;"",IF(AND(#REF!="Padrão",$H$4=#REF!),BDI!$B$17,IF(AND(#REF!="Padrão",$H$4=#REF!),BDI!#REF!,IF(AND(#REF!="Diferenciado",$H$4=#REF!),BDI!$E$17,IF(AND(#REF!="Diferenciado",$H$4=#REF!),BDI!#REF!,IF(#REF!="ZERO",0))))),"")</f>
        <v>#REF!</v>
      </c>
      <c r="H92" s="138" t="e">
        <f t="shared" ca="1" si="4"/>
        <v>#REF!</v>
      </c>
      <c r="I92" s="136" t="e">
        <f t="shared" ca="1" si="5"/>
        <v>#REF!</v>
      </c>
    </row>
    <row r="93" spans="1:9" hidden="1" x14ac:dyDescent="0.25">
      <c r="A93" s="113" t="s">
        <v>178</v>
      </c>
      <c r="B93" s="114" t="s">
        <v>1665</v>
      </c>
      <c r="C93" s="115" t="s">
        <v>95</v>
      </c>
      <c r="D93" s="115">
        <v>0</v>
      </c>
      <c r="E93" s="135">
        <f ca="1">OFFSET(INDEX(Composições!A:J,MATCH(Orçamentária!A93,Composições!A:A,0),8),2,0)</f>
        <v>4.4630562999999999</v>
      </c>
      <c r="F93" s="136">
        <f t="shared" ca="1" si="3"/>
        <v>0</v>
      </c>
      <c r="G93" s="137" t="e">
        <f>IF(A93&lt;&gt;"",IF(AND(#REF!="Padrão",$H$4=#REF!),BDI!$B$17,IF(AND(#REF!="Padrão",$H$4=#REF!),BDI!#REF!,IF(AND(#REF!="Diferenciado",$H$4=#REF!),BDI!$E$17,IF(AND(#REF!="Diferenciado",$H$4=#REF!),BDI!#REF!,IF(#REF!="ZERO",0))))),"")</f>
        <v>#REF!</v>
      </c>
      <c r="H93" s="138" t="e">
        <f t="shared" ca="1" si="4"/>
        <v>#REF!</v>
      </c>
      <c r="I93" s="136" t="e">
        <f t="shared" ca="1" si="5"/>
        <v>#REF!</v>
      </c>
    </row>
    <row r="94" spans="1:9" hidden="1" x14ac:dyDescent="0.25">
      <c r="A94" s="113" t="s">
        <v>179</v>
      </c>
      <c r="B94" s="114" t="s">
        <v>1666</v>
      </c>
      <c r="C94" s="115" t="s">
        <v>95</v>
      </c>
      <c r="D94" s="115">
        <v>0</v>
      </c>
      <c r="E94" s="135">
        <f ca="1">OFFSET(INDEX(Composições!A:J,MATCH(Orçamentária!A94,Composições!A:A,0),8),2,0)</f>
        <v>74.780189950360395</v>
      </c>
      <c r="F94" s="136">
        <f t="shared" ca="1" si="3"/>
        <v>0</v>
      </c>
      <c r="G94" s="137" t="e">
        <f>IF(A94&lt;&gt;"",IF(AND(#REF!="Padrão",$H$4=#REF!),BDI!$B$17,IF(AND(#REF!="Padrão",$H$4=#REF!),BDI!#REF!,IF(AND(#REF!="Diferenciado",$H$4=#REF!),BDI!$E$17,IF(AND(#REF!="Diferenciado",$H$4=#REF!),BDI!#REF!,IF(#REF!="ZERO",0))))),"")</f>
        <v>#REF!</v>
      </c>
      <c r="H94" s="138" t="e">
        <f t="shared" ca="1" si="4"/>
        <v>#REF!</v>
      </c>
      <c r="I94" s="136" t="e">
        <f t="shared" ca="1" si="5"/>
        <v>#REF!</v>
      </c>
    </row>
    <row r="95" spans="1:9" hidden="1" x14ac:dyDescent="0.25">
      <c r="A95" s="113" t="s">
        <v>181</v>
      </c>
      <c r="B95" s="114" t="s">
        <v>1667</v>
      </c>
      <c r="C95" s="115" t="s">
        <v>95</v>
      </c>
      <c r="D95" s="115">
        <v>0</v>
      </c>
      <c r="E95" s="135">
        <f ca="1">OFFSET(INDEX(Composições!A:J,MATCH(Orçamentária!A95,Composições!A:A,0),8),2,0)</f>
        <v>9.1544962099999996</v>
      </c>
      <c r="F95" s="136">
        <f t="shared" ca="1" si="3"/>
        <v>0</v>
      </c>
      <c r="G95" s="137" t="e">
        <f>IF(A95&lt;&gt;"",IF(AND(#REF!="Padrão",$H$4=#REF!),BDI!$B$17,IF(AND(#REF!="Padrão",$H$4=#REF!),BDI!#REF!,IF(AND(#REF!="Diferenciado",$H$4=#REF!),BDI!$E$17,IF(AND(#REF!="Diferenciado",$H$4=#REF!),BDI!#REF!,IF(#REF!="ZERO",0))))),"")</f>
        <v>#REF!</v>
      </c>
      <c r="H95" s="138" t="e">
        <f t="shared" ca="1" si="4"/>
        <v>#REF!</v>
      </c>
      <c r="I95" s="136" t="e">
        <f t="shared" ca="1" si="5"/>
        <v>#REF!</v>
      </c>
    </row>
    <row r="96" spans="1:9" x14ac:dyDescent="0.25">
      <c r="A96" s="197" t="s">
        <v>183</v>
      </c>
      <c r="B96" s="198" t="s">
        <v>1668</v>
      </c>
      <c r="C96" s="199" t="s">
        <v>95</v>
      </c>
      <c r="D96" s="199">
        <v>256.64999999999998</v>
      </c>
      <c r="E96" s="135">
        <f ca="1">OFFSET(INDEX(Composições!A:J,MATCH(Orçamentária!A96,Composições!A:A,0),8),2,0)</f>
        <v>3.8709201988435993</v>
      </c>
      <c r="F96" s="136">
        <f t="shared" ca="1" si="3"/>
        <v>993.47166903320965</v>
      </c>
      <c r="G96" s="137">
        <f>BDI!$B$17</f>
        <v>0.191</v>
      </c>
      <c r="H96" s="138">
        <f t="shared" ca="1" si="4"/>
        <v>4.6100000000000003</v>
      </c>
      <c r="I96" s="136">
        <f t="shared" ca="1" si="5"/>
        <v>1183.1600000000001</v>
      </c>
    </row>
    <row r="97" spans="1:9" hidden="1" x14ac:dyDescent="0.25">
      <c r="A97" s="113" t="s">
        <v>185</v>
      </c>
      <c r="B97" s="114" t="s">
        <v>187</v>
      </c>
      <c r="C97" s="115" t="s">
        <v>95</v>
      </c>
      <c r="D97" s="115">
        <v>0</v>
      </c>
      <c r="E97" s="135">
        <f ca="1">OFFSET(INDEX(Composições!A:J,MATCH(Orçamentária!A97,Composições!A:A,0),8),2,0)</f>
        <v>10.09432</v>
      </c>
      <c r="F97" s="136">
        <f t="shared" ca="1" si="3"/>
        <v>0</v>
      </c>
      <c r="G97" s="137" t="e">
        <f>IF(A97&lt;&gt;"",IF(AND(#REF!="Padrão",$H$4=#REF!),BDI!$B$17,IF(AND(#REF!="Padrão",$H$4=#REF!),BDI!#REF!,IF(AND(#REF!="Diferenciado",$H$4=#REF!),BDI!$E$17,IF(AND(#REF!="Diferenciado",$H$4=#REF!),BDI!#REF!,IF(#REF!="ZERO",0))))),"")</f>
        <v>#REF!</v>
      </c>
      <c r="H97" s="138" t="e">
        <f t="shared" ca="1" si="4"/>
        <v>#REF!</v>
      </c>
      <c r="I97" s="136" t="e">
        <f t="shared" ca="1" si="5"/>
        <v>#REF!</v>
      </c>
    </row>
    <row r="98" spans="1:9" x14ac:dyDescent="0.25">
      <c r="A98" s="197" t="s">
        <v>189</v>
      </c>
      <c r="B98" s="198" t="s">
        <v>1669</v>
      </c>
      <c r="C98" s="199" t="s">
        <v>95</v>
      </c>
      <c r="D98" s="199">
        <v>268.83</v>
      </c>
      <c r="E98" s="135">
        <f ca="1">OFFSET(INDEX(Composições!A:J,MATCH(Orçamentária!A98,Composições!A:A,0),8),2,0)</f>
        <v>33.777977700000001</v>
      </c>
      <c r="F98" s="136">
        <f t="shared" ca="1" si="3"/>
        <v>9080.5337450909992</v>
      </c>
      <c r="G98" s="137">
        <f>BDI!$B$17</f>
        <v>0.191</v>
      </c>
      <c r="H98" s="138">
        <f t="shared" ca="1" si="4"/>
        <v>40.229999999999997</v>
      </c>
      <c r="I98" s="136">
        <f t="shared" ca="1" si="5"/>
        <v>10815.03</v>
      </c>
    </row>
    <row r="99" spans="1:9" x14ac:dyDescent="0.25">
      <c r="A99" s="197" t="s">
        <v>193</v>
      </c>
      <c r="B99" s="198" t="s">
        <v>1670</v>
      </c>
      <c r="C99" s="199" t="s">
        <v>95</v>
      </c>
      <c r="D99" s="199">
        <v>156</v>
      </c>
      <c r="E99" s="135">
        <f ca="1">OFFSET(INDEX(Composições!A:J,MATCH(Orçamentária!A99,Composições!A:A,0),8),2,0)</f>
        <v>11.680281825</v>
      </c>
      <c r="F99" s="136">
        <f t="shared" ca="1" si="3"/>
        <v>1822.1239647</v>
      </c>
      <c r="G99" s="137">
        <f>BDI!$B$17</f>
        <v>0.191</v>
      </c>
      <c r="H99" s="138">
        <f t="shared" ca="1" si="4"/>
        <v>13.91</v>
      </c>
      <c r="I99" s="136">
        <f t="shared" ca="1" si="5"/>
        <v>2169.96</v>
      </c>
    </row>
    <row r="100" spans="1:9" x14ac:dyDescent="0.25">
      <c r="A100" s="197" t="s">
        <v>194</v>
      </c>
      <c r="B100" s="198" t="s">
        <v>1671</v>
      </c>
      <c r="C100" s="199" t="s">
        <v>93</v>
      </c>
      <c r="D100" s="199">
        <v>11</v>
      </c>
      <c r="E100" s="135">
        <f ca="1">OFFSET(INDEX(Composições!A:J,MATCH(Orçamentária!A100,Composições!A:A,0),8),2,0)</f>
        <v>21.686263500000003</v>
      </c>
      <c r="F100" s="136">
        <f t="shared" ca="1" si="3"/>
        <v>238.54889850000004</v>
      </c>
      <c r="G100" s="137">
        <f>BDI!$B$17</f>
        <v>0.191</v>
      </c>
      <c r="H100" s="138">
        <f t="shared" ca="1" si="4"/>
        <v>25.83</v>
      </c>
      <c r="I100" s="136">
        <f t="shared" ca="1" si="5"/>
        <v>284.13</v>
      </c>
    </row>
    <row r="101" spans="1:9" x14ac:dyDescent="0.25">
      <c r="A101" s="197" t="s">
        <v>200</v>
      </c>
      <c r="B101" s="198" t="s">
        <v>1672</v>
      </c>
      <c r="C101" s="199" t="s">
        <v>95</v>
      </c>
      <c r="D101" s="199">
        <v>926.64</v>
      </c>
      <c r="E101" s="135">
        <f ca="1">OFFSET(INDEX(Composições!A:J,MATCH(Orçamentária!A101,Composições!A:A,0),8),2,0)</f>
        <v>4.1229785000000003</v>
      </c>
      <c r="F101" s="136">
        <f t="shared" ca="1" si="3"/>
        <v>3820.5167972400004</v>
      </c>
      <c r="G101" s="137">
        <f>BDI!$B$17</f>
        <v>0.191</v>
      </c>
      <c r="H101" s="138">
        <f t="shared" ca="1" si="4"/>
        <v>4.91</v>
      </c>
      <c r="I101" s="136">
        <f t="shared" ca="1" si="5"/>
        <v>4549.8</v>
      </c>
    </row>
    <row r="102" spans="1:9" x14ac:dyDescent="0.25">
      <c r="A102" s="197" t="s">
        <v>202</v>
      </c>
      <c r="B102" s="198" t="s">
        <v>1673</v>
      </c>
      <c r="C102" s="199" t="s">
        <v>95</v>
      </c>
      <c r="D102" s="199">
        <v>25.78</v>
      </c>
      <c r="E102" s="135">
        <f ca="1">OFFSET(INDEX(Composições!A:J,MATCH(Orçamentária!A102,Composições!A:A,0),8),2,0)</f>
        <v>15.967834399999999</v>
      </c>
      <c r="F102" s="136">
        <f t="shared" ca="1" si="3"/>
        <v>411.65077083199998</v>
      </c>
      <c r="G102" s="137">
        <f>BDI!$B$17</f>
        <v>0.191</v>
      </c>
      <c r="H102" s="138">
        <f t="shared" ca="1" si="4"/>
        <v>19.02</v>
      </c>
      <c r="I102" s="136">
        <f t="shared" ca="1" si="5"/>
        <v>490.34</v>
      </c>
    </row>
    <row r="103" spans="1:9" x14ac:dyDescent="0.25">
      <c r="A103" s="197" t="s">
        <v>207</v>
      </c>
      <c r="B103" s="198" t="s">
        <v>1674</v>
      </c>
      <c r="C103" s="199" t="s">
        <v>95</v>
      </c>
      <c r="D103" s="199">
        <v>212.81</v>
      </c>
      <c r="E103" s="135">
        <f ca="1">OFFSET(INDEX(Composições!A:J,MATCH(Orçamentária!A103,Composições!A:A,0),8),2,0)</f>
        <v>16.063274499999999</v>
      </c>
      <c r="F103" s="136">
        <f t="shared" ca="1" si="3"/>
        <v>3418.4254463449997</v>
      </c>
      <c r="G103" s="137">
        <f>BDI!$B$17</f>
        <v>0.191</v>
      </c>
      <c r="H103" s="138">
        <f t="shared" ca="1" si="4"/>
        <v>19.13</v>
      </c>
      <c r="I103" s="136">
        <f t="shared" ca="1" si="5"/>
        <v>4071.06</v>
      </c>
    </row>
    <row r="104" spans="1:9" x14ac:dyDescent="0.25">
      <c r="A104" s="197" t="s">
        <v>211</v>
      </c>
      <c r="B104" s="198" t="s">
        <v>1675</v>
      </c>
      <c r="C104" s="199" t="s">
        <v>95</v>
      </c>
      <c r="D104" s="199">
        <v>310.61</v>
      </c>
      <c r="E104" s="135">
        <f ca="1">OFFSET(INDEX(Composições!A:J,MATCH(Orçamentária!A104,Composições!A:A,0),8),2,0)</f>
        <v>12.585476500000002</v>
      </c>
      <c r="F104" s="136">
        <f t="shared" ca="1" si="3"/>
        <v>3909.1748556650009</v>
      </c>
      <c r="G104" s="137">
        <f>BDI!$B$17</f>
        <v>0.191</v>
      </c>
      <c r="H104" s="138">
        <f t="shared" ca="1" si="4"/>
        <v>14.99</v>
      </c>
      <c r="I104" s="136">
        <f t="shared" ca="1" si="5"/>
        <v>4656.04</v>
      </c>
    </row>
    <row r="105" spans="1:9" x14ac:dyDescent="0.25">
      <c r="A105" s="197" t="s">
        <v>214</v>
      </c>
      <c r="B105" s="198" t="s">
        <v>1676</v>
      </c>
      <c r="C105" s="199" t="s">
        <v>95</v>
      </c>
      <c r="D105" s="199">
        <v>583.92999999999995</v>
      </c>
      <c r="E105" s="135">
        <f ca="1">OFFSET(INDEX(Composições!A:J,MATCH(Orçamentária!A105,Composições!A:A,0),8),2,0)</f>
        <v>11.7769695</v>
      </c>
      <c r="F105" s="136">
        <f t="shared" ca="1" si="3"/>
        <v>6876.925800134999</v>
      </c>
      <c r="G105" s="137">
        <f>BDI!$B$17</f>
        <v>0.191</v>
      </c>
      <c r="H105" s="138">
        <f t="shared" ca="1" si="4"/>
        <v>14.03</v>
      </c>
      <c r="I105" s="136">
        <f t="shared" ca="1" si="5"/>
        <v>8192.5400000000009</v>
      </c>
    </row>
    <row r="106" spans="1:9" x14ac:dyDescent="0.25">
      <c r="A106" s="197" t="s">
        <v>216</v>
      </c>
      <c r="B106" s="198" t="s">
        <v>1677</v>
      </c>
      <c r="C106" s="199" t="s">
        <v>95</v>
      </c>
      <c r="D106" s="199">
        <v>4.83</v>
      </c>
      <c r="E106" s="135">
        <f ca="1">OFFSET(INDEX(Composições!A:J,MATCH(Orçamentária!A106,Composições!A:A,0),8),2,0)</f>
        <v>20.831692799999999</v>
      </c>
      <c r="F106" s="136">
        <f t="shared" ca="1" si="3"/>
        <v>100.617076224</v>
      </c>
      <c r="G106" s="137">
        <f>BDI!$B$17</f>
        <v>0.191</v>
      </c>
      <c r="H106" s="138">
        <f t="shared" ca="1" si="4"/>
        <v>24.81</v>
      </c>
      <c r="I106" s="136">
        <f t="shared" ca="1" si="5"/>
        <v>119.83</v>
      </c>
    </row>
    <row r="107" spans="1:9" x14ac:dyDescent="0.25">
      <c r="A107" s="197" t="s">
        <v>218</v>
      </c>
      <c r="B107" s="198" t="s">
        <v>1678</v>
      </c>
      <c r="C107" s="199" t="s">
        <v>95</v>
      </c>
      <c r="D107" s="199">
        <v>94.23</v>
      </c>
      <c r="E107" s="135">
        <f ca="1">OFFSET(INDEX(Composições!A:J,MATCH(Orçamentária!A107,Composições!A:A,0),8),2,0)</f>
        <v>17.242622399999998</v>
      </c>
      <c r="F107" s="136">
        <f t="shared" ca="1" si="3"/>
        <v>1624.7723087519998</v>
      </c>
      <c r="G107" s="137">
        <f>BDI!$B$17</f>
        <v>0.191</v>
      </c>
      <c r="H107" s="138">
        <f t="shared" ca="1" si="4"/>
        <v>20.54</v>
      </c>
      <c r="I107" s="136">
        <f t="shared" ca="1" si="5"/>
        <v>1935.48</v>
      </c>
    </row>
    <row r="108" spans="1:9" x14ac:dyDescent="0.25">
      <c r="A108" s="197" t="s">
        <v>220</v>
      </c>
      <c r="B108" s="198" t="s">
        <v>1679</v>
      </c>
      <c r="C108" s="199" t="s">
        <v>95</v>
      </c>
      <c r="D108" s="199">
        <v>370.15</v>
      </c>
      <c r="E108" s="135">
        <f ca="1">OFFSET(INDEX(Composições!A:J,MATCH(Orçamentária!A108,Composições!A:A,0),8),2,0)</f>
        <v>13.415795499999998</v>
      </c>
      <c r="F108" s="136">
        <f t="shared" ca="1" si="3"/>
        <v>4965.8567043249986</v>
      </c>
      <c r="G108" s="137">
        <f>BDI!$B$17</f>
        <v>0.191</v>
      </c>
      <c r="H108" s="138">
        <f t="shared" ca="1" si="4"/>
        <v>15.98</v>
      </c>
      <c r="I108" s="136">
        <f t="shared" ca="1" si="5"/>
        <v>5915</v>
      </c>
    </row>
    <row r="109" spans="1:9" x14ac:dyDescent="0.25">
      <c r="A109" s="197" t="s">
        <v>221</v>
      </c>
      <c r="B109" s="198" t="s">
        <v>1680</v>
      </c>
      <c r="C109" s="199" t="s">
        <v>95</v>
      </c>
      <c r="D109" s="199">
        <v>68.05</v>
      </c>
      <c r="E109" s="135">
        <f ca="1">OFFSET(INDEX(Composições!A:J,MATCH(Orçamentária!A109,Composições!A:A,0),8),2,0)</f>
        <v>69.233720000000005</v>
      </c>
      <c r="F109" s="136">
        <f t="shared" ca="1" si="3"/>
        <v>4711.3546459999998</v>
      </c>
      <c r="G109" s="137">
        <f>BDI!$B$17</f>
        <v>0.191</v>
      </c>
      <c r="H109" s="138">
        <f t="shared" ca="1" si="4"/>
        <v>82.46</v>
      </c>
      <c r="I109" s="136">
        <f t="shared" ca="1" si="5"/>
        <v>5611.4</v>
      </c>
    </row>
    <row r="110" spans="1:9" x14ac:dyDescent="0.25">
      <c r="A110" s="197" t="s">
        <v>223</v>
      </c>
      <c r="B110" s="198" t="s">
        <v>1681</v>
      </c>
      <c r="C110" s="199" t="s">
        <v>95</v>
      </c>
      <c r="D110" s="199">
        <v>128.03</v>
      </c>
      <c r="E110" s="135">
        <f ca="1">OFFSET(INDEX(Composições!A:J,MATCH(Orçamentária!A110,Composições!A:A,0),8),2,0)</f>
        <v>46.864036203084993</v>
      </c>
      <c r="F110" s="136">
        <f t="shared" ca="1" si="3"/>
        <v>6000.0025550809714</v>
      </c>
      <c r="G110" s="137">
        <f>BDI!$B$17</f>
        <v>0.191</v>
      </c>
      <c r="H110" s="138">
        <f t="shared" ca="1" si="4"/>
        <v>55.82</v>
      </c>
      <c r="I110" s="136">
        <f t="shared" ca="1" si="5"/>
        <v>7146.63</v>
      </c>
    </row>
    <row r="111" spans="1:9" x14ac:dyDescent="0.25">
      <c r="A111" s="197" t="s">
        <v>226</v>
      </c>
      <c r="B111" s="198" t="s">
        <v>1682</v>
      </c>
      <c r="C111" s="199" t="s">
        <v>95</v>
      </c>
      <c r="D111" s="199">
        <v>158.6</v>
      </c>
      <c r="E111" s="135">
        <f ca="1">OFFSET(INDEX(Composições!A:J,MATCH(Orçamentária!A111,Composições!A:A,0),8),2,0)</f>
        <v>32.099072260294996</v>
      </c>
      <c r="F111" s="136">
        <f t="shared" ca="1" si="3"/>
        <v>5090.9128604827865</v>
      </c>
      <c r="G111" s="137">
        <f>BDI!$B$17</f>
        <v>0.191</v>
      </c>
      <c r="H111" s="138">
        <f t="shared" ca="1" si="4"/>
        <v>38.229999999999997</v>
      </c>
      <c r="I111" s="136">
        <f t="shared" ca="1" si="5"/>
        <v>6063.28</v>
      </c>
    </row>
    <row r="112" spans="1:9" x14ac:dyDescent="0.25">
      <c r="A112" s="197" t="s">
        <v>227</v>
      </c>
      <c r="B112" s="198" t="s">
        <v>1683</v>
      </c>
      <c r="C112" s="199" t="s">
        <v>95</v>
      </c>
      <c r="D112" s="199">
        <v>54.67</v>
      </c>
      <c r="E112" s="135">
        <f ca="1">OFFSET(INDEX(Composições!A:J,MATCH(Orçamentária!A112,Composições!A:A,0),8),2,0)</f>
        <v>272.32452499999999</v>
      </c>
      <c r="F112" s="136">
        <f t="shared" ca="1" si="3"/>
        <v>14887.981781750001</v>
      </c>
      <c r="G112" s="137">
        <f>BDI!$B$17</f>
        <v>0.191</v>
      </c>
      <c r="H112" s="138">
        <f t="shared" ca="1" si="4"/>
        <v>324.33999999999997</v>
      </c>
      <c r="I112" s="136">
        <f t="shared" ca="1" si="5"/>
        <v>17731.669999999998</v>
      </c>
    </row>
    <row r="113" spans="1:9" x14ac:dyDescent="0.25">
      <c r="A113" s="197" t="s">
        <v>229</v>
      </c>
      <c r="B113" s="198" t="s">
        <v>1684</v>
      </c>
      <c r="C113" s="199" t="s">
        <v>95</v>
      </c>
      <c r="D113" s="199">
        <v>2.7</v>
      </c>
      <c r="E113" s="135">
        <f ca="1">OFFSET(INDEX(Composições!A:J,MATCH(Orçamentária!A113,Composições!A:A,0),8),2,0)</f>
        <v>762.41659900000013</v>
      </c>
      <c r="F113" s="136">
        <f t="shared" ca="1" si="3"/>
        <v>2058.5248173000004</v>
      </c>
      <c r="G113" s="137">
        <f>BDI!$B$17</f>
        <v>0.191</v>
      </c>
      <c r="H113" s="138">
        <f t="shared" ca="1" si="4"/>
        <v>908.04</v>
      </c>
      <c r="I113" s="136">
        <f t="shared" ca="1" si="5"/>
        <v>2451.71</v>
      </c>
    </row>
    <row r="114" spans="1:9" x14ac:dyDescent="0.25">
      <c r="A114" s="197" t="s">
        <v>232</v>
      </c>
      <c r="B114" s="198" t="s">
        <v>1685</v>
      </c>
      <c r="C114" s="199" t="s">
        <v>95</v>
      </c>
      <c r="D114" s="199">
        <v>0.97</v>
      </c>
      <c r="E114" s="135">
        <f ca="1">OFFSET(INDEX(Composições!A:J,MATCH(Orçamentária!A114,Composições!A:A,0),8),2,0)</f>
        <v>508.13756734999998</v>
      </c>
      <c r="F114" s="136">
        <f t="shared" ca="1" si="3"/>
        <v>492.89344032949998</v>
      </c>
      <c r="G114" s="137">
        <f>BDI!$B$17</f>
        <v>0.191</v>
      </c>
      <c r="H114" s="138">
        <f t="shared" ca="1" si="4"/>
        <v>605.19000000000005</v>
      </c>
      <c r="I114" s="136">
        <f t="shared" ca="1" si="5"/>
        <v>587.03</v>
      </c>
    </row>
    <row r="115" spans="1:9" hidden="1" x14ac:dyDescent="0.25">
      <c r="A115" s="113" t="s">
        <v>235</v>
      </c>
      <c r="B115" s="114" t="s">
        <v>1686</v>
      </c>
      <c r="C115" s="115" t="s">
        <v>95</v>
      </c>
      <c r="D115" s="115">
        <v>0</v>
      </c>
      <c r="E115" s="135">
        <f ca="1">OFFSET(INDEX(Composições!A:J,MATCH(Orçamentária!A115,Composições!A:A,0),8),2,0)</f>
        <v>43.224525</v>
      </c>
      <c r="F115" s="136">
        <f t="shared" ca="1" si="3"/>
        <v>0</v>
      </c>
      <c r="G115" s="137" t="e">
        <f>IF(A115&lt;&gt;"",IF(AND(#REF!="Padrão",$H$4=#REF!),BDI!$B$17,IF(AND(#REF!="Padrão",$H$4=#REF!),BDI!#REF!,IF(AND(#REF!="Diferenciado",$H$4=#REF!),BDI!$E$17,IF(AND(#REF!="Diferenciado",$H$4=#REF!),BDI!#REF!,IF(#REF!="ZERO",0))))),"")</f>
        <v>#REF!</v>
      </c>
      <c r="H115" s="138" t="e">
        <f t="shared" ca="1" si="4"/>
        <v>#REF!</v>
      </c>
      <c r="I115" s="136" t="e">
        <f t="shared" ca="1" si="5"/>
        <v>#REF!</v>
      </c>
    </row>
    <row r="116" spans="1:9" hidden="1" x14ac:dyDescent="0.25">
      <c r="A116" s="113" t="s">
        <v>237</v>
      </c>
      <c r="B116" s="114" t="s">
        <v>1687</v>
      </c>
      <c r="C116" s="115" t="s">
        <v>95</v>
      </c>
      <c r="D116" s="115">
        <v>0</v>
      </c>
      <c r="E116" s="135">
        <f ca="1">OFFSET(INDEX(Composições!A:J,MATCH(Orçamentária!A116,Composições!A:A,0),8),2,0)</f>
        <v>93.847099000000014</v>
      </c>
      <c r="F116" s="136">
        <f t="shared" ca="1" si="3"/>
        <v>0</v>
      </c>
      <c r="G116" s="137" t="e">
        <f>IF(A116&lt;&gt;"",IF(AND(#REF!="Padrão",$H$4=#REF!),BDI!$B$17,IF(AND(#REF!="Padrão",$H$4=#REF!),BDI!#REF!,IF(AND(#REF!="Diferenciado",$H$4=#REF!),BDI!$E$17,IF(AND(#REF!="Diferenciado",$H$4=#REF!),BDI!#REF!,IF(#REF!="ZERO",0))))),"")</f>
        <v>#REF!</v>
      </c>
      <c r="H116" s="138" t="e">
        <f t="shared" ca="1" si="4"/>
        <v>#REF!</v>
      </c>
      <c r="I116" s="136" t="e">
        <f t="shared" ca="1" si="5"/>
        <v>#REF!</v>
      </c>
    </row>
    <row r="117" spans="1:9" hidden="1" x14ac:dyDescent="0.25">
      <c r="A117" s="113" t="s">
        <v>239</v>
      </c>
      <c r="B117" s="114" t="s">
        <v>1688</v>
      </c>
      <c r="C117" s="115" t="s">
        <v>95</v>
      </c>
      <c r="D117" s="115">
        <v>0</v>
      </c>
      <c r="E117" s="135">
        <f ca="1">OFFSET(INDEX(Composições!A:J,MATCH(Orçamentária!A117,Composições!A:A,0),8),2,0)</f>
        <v>108.13556735000002</v>
      </c>
      <c r="F117" s="136">
        <f t="shared" ca="1" si="3"/>
        <v>0</v>
      </c>
      <c r="G117" s="137" t="e">
        <f>IF(A117&lt;&gt;"",IF(AND(#REF!="Padrão",$H$4=#REF!),BDI!$B$17,IF(AND(#REF!="Padrão",$H$4=#REF!),BDI!#REF!,IF(AND(#REF!="Diferenciado",$H$4=#REF!),BDI!$E$17,IF(AND(#REF!="Diferenciado",$H$4=#REF!),BDI!#REF!,IF(#REF!="ZERO",0))))),"")</f>
        <v>#REF!</v>
      </c>
      <c r="H117" s="138" t="e">
        <f t="shared" ca="1" si="4"/>
        <v>#REF!</v>
      </c>
      <c r="I117" s="136" t="e">
        <f t="shared" ca="1" si="5"/>
        <v>#REF!</v>
      </c>
    </row>
    <row r="118" spans="1:9" hidden="1" x14ac:dyDescent="0.25">
      <c r="A118" s="113" t="s">
        <v>241</v>
      </c>
      <c r="B118" s="114" t="s">
        <v>1689</v>
      </c>
      <c r="C118" s="115" t="s">
        <v>93</v>
      </c>
      <c r="D118" s="115">
        <v>0</v>
      </c>
      <c r="E118" s="135">
        <f ca="1">OFFSET(INDEX(Composições!A:J,MATCH(Orçamentária!A118,Composições!A:A,0),8),2,0)</f>
        <v>12.4571068</v>
      </c>
      <c r="F118" s="136">
        <f t="shared" ca="1" si="3"/>
        <v>0</v>
      </c>
      <c r="G118" s="137" t="e">
        <f>IF(A118&lt;&gt;"",IF(AND(#REF!="Padrão",$H$4=#REF!),BDI!$B$17,IF(AND(#REF!="Padrão",$H$4=#REF!),BDI!#REF!,IF(AND(#REF!="Diferenciado",$H$4=#REF!),BDI!$E$17,IF(AND(#REF!="Diferenciado",$H$4=#REF!),BDI!#REF!,IF(#REF!="ZERO",0))))),"")</f>
        <v>#REF!</v>
      </c>
      <c r="H118" s="138" t="e">
        <f t="shared" ca="1" si="4"/>
        <v>#REF!</v>
      </c>
      <c r="I118" s="136" t="e">
        <f t="shared" ca="1" si="5"/>
        <v>#REF!</v>
      </c>
    </row>
    <row r="119" spans="1:9" hidden="1" x14ac:dyDescent="0.25">
      <c r="A119" s="113" t="s">
        <v>242</v>
      </c>
      <c r="B119" s="114" t="s">
        <v>1690</v>
      </c>
      <c r="C119" s="115" t="s">
        <v>95</v>
      </c>
      <c r="D119" s="115">
        <v>0</v>
      </c>
      <c r="E119" s="135">
        <f ca="1">OFFSET(INDEX(Composições!A:J,MATCH(Orçamentária!A119,Composições!A:A,0),8),2,0)</f>
        <v>43.224525</v>
      </c>
      <c r="F119" s="136">
        <f t="shared" ca="1" si="3"/>
        <v>0</v>
      </c>
      <c r="G119" s="137" t="e">
        <f>IF(A119&lt;&gt;"",IF(AND(#REF!="Padrão",$H$4=#REF!),BDI!$B$17,IF(AND(#REF!="Padrão",$H$4=#REF!),BDI!#REF!,IF(AND(#REF!="Diferenciado",$H$4=#REF!),BDI!$E$17,IF(AND(#REF!="Diferenciado",$H$4=#REF!),BDI!#REF!,IF(#REF!="ZERO",0))))),"")</f>
        <v>#REF!</v>
      </c>
      <c r="H119" s="138" t="e">
        <f t="shared" ca="1" si="4"/>
        <v>#REF!</v>
      </c>
      <c r="I119" s="136" t="e">
        <f t="shared" ca="1" si="5"/>
        <v>#REF!</v>
      </c>
    </row>
    <row r="120" spans="1:9" hidden="1" x14ac:dyDescent="0.25">
      <c r="A120" s="113" t="s">
        <v>244</v>
      </c>
      <c r="B120" s="114" t="s">
        <v>1691</v>
      </c>
      <c r="C120" s="115" t="s">
        <v>95</v>
      </c>
      <c r="D120" s="115">
        <v>0</v>
      </c>
      <c r="E120" s="135">
        <f ca="1">OFFSET(INDEX(Composições!A:J,MATCH(Orçamentária!A120,Composições!A:A,0),8),2,0)</f>
        <v>43.224525</v>
      </c>
      <c r="F120" s="136">
        <f t="shared" ca="1" si="3"/>
        <v>0</v>
      </c>
      <c r="G120" s="137" t="e">
        <f>IF(A120&lt;&gt;"",IF(AND(#REF!="Padrão",$H$4=#REF!),BDI!$B$17,IF(AND(#REF!="Padrão",$H$4=#REF!),BDI!#REF!,IF(AND(#REF!="Diferenciado",$H$4=#REF!),BDI!$E$17,IF(AND(#REF!="Diferenciado",$H$4=#REF!),BDI!#REF!,IF(#REF!="ZERO",0))))),"")</f>
        <v>#REF!</v>
      </c>
      <c r="H120" s="138" t="e">
        <f t="shared" ca="1" si="4"/>
        <v>#REF!</v>
      </c>
      <c r="I120" s="136" t="e">
        <f t="shared" ca="1" si="5"/>
        <v>#REF!</v>
      </c>
    </row>
    <row r="121" spans="1:9" hidden="1" x14ac:dyDescent="0.25">
      <c r="A121" s="113" t="s">
        <v>246</v>
      </c>
      <c r="B121" s="114" t="s">
        <v>1692</v>
      </c>
      <c r="C121" s="115" t="s">
        <v>93</v>
      </c>
      <c r="D121" s="115">
        <v>0</v>
      </c>
      <c r="E121" s="135">
        <f ca="1">OFFSET(INDEX(Composições!A:J,MATCH(Orçamentária!A121,Composições!A:A,0),8),2,0)</f>
        <v>24.708401799999997</v>
      </c>
      <c r="F121" s="136">
        <f t="shared" ca="1" si="3"/>
        <v>0</v>
      </c>
      <c r="G121" s="137" t="e">
        <f>IF(A121&lt;&gt;"",IF(AND(#REF!="Padrão",$H$4=#REF!),BDI!$B$17,IF(AND(#REF!="Padrão",$H$4=#REF!),BDI!#REF!,IF(AND(#REF!="Diferenciado",$H$4=#REF!),BDI!$E$17,IF(AND(#REF!="Diferenciado",$H$4=#REF!),BDI!#REF!,IF(#REF!="ZERO",0))))),"")</f>
        <v>#REF!</v>
      </c>
      <c r="H121" s="138" t="e">
        <f t="shared" ca="1" si="4"/>
        <v>#REF!</v>
      </c>
      <c r="I121" s="136" t="e">
        <f t="shared" ca="1" si="5"/>
        <v>#REF!</v>
      </c>
    </row>
    <row r="122" spans="1:9" hidden="1" x14ac:dyDescent="0.25">
      <c r="A122" s="113" t="s">
        <v>248</v>
      </c>
      <c r="B122" s="114" t="s">
        <v>1693</v>
      </c>
      <c r="C122" s="115" t="s">
        <v>93</v>
      </c>
      <c r="D122" s="115">
        <v>0</v>
      </c>
      <c r="E122" s="135">
        <f ca="1">OFFSET(INDEX(Composições!A:J,MATCH(Orçamentária!A122,Composições!A:A,0),8),2,0)</f>
        <v>36.841000000000001</v>
      </c>
      <c r="F122" s="136">
        <f t="shared" ca="1" si="3"/>
        <v>0</v>
      </c>
      <c r="G122" s="137" t="e">
        <f>IF(A122&lt;&gt;"",IF(AND(#REF!="Padrão",$H$4=#REF!),BDI!$B$17,IF(AND(#REF!="Padrão",$H$4=#REF!),BDI!#REF!,IF(AND(#REF!="Diferenciado",$H$4=#REF!),BDI!$E$17,IF(AND(#REF!="Diferenciado",$H$4=#REF!),BDI!#REF!,IF(#REF!="ZERO",0))))),"")</f>
        <v>#REF!</v>
      </c>
      <c r="H122" s="138" t="e">
        <f t="shared" ca="1" si="4"/>
        <v>#REF!</v>
      </c>
      <c r="I122" s="136" t="e">
        <f t="shared" ca="1" si="5"/>
        <v>#REF!</v>
      </c>
    </row>
    <row r="123" spans="1:9" hidden="1" x14ac:dyDescent="0.25">
      <c r="A123" s="113" t="s">
        <v>249</v>
      </c>
      <c r="B123" s="114" t="s">
        <v>1694</v>
      </c>
      <c r="C123" s="115" t="s">
        <v>93</v>
      </c>
      <c r="D123" s="115">
        <v>0</v>
      </c>
      <c r="E123" s="135">
        <f ca="1">OFFSET(INDEX(Composições!A:J,MATCH(Orçamentária!A123,Composições!A:A,0),8),2,0)</f>
        <v>32.235875</v>
      </c>
      <c r="F123" s="136">
        <f t="shared" ca="1" si="3"/>
        <v>0</v>
      </c>
      <c r="G123" s="137" t="e">
        <f>IF(A123&lt;&gt;"",IF(AND(#REF!="Padrão",$H$4=#REF!),BDI!$B$17,IF(AND(#REF!="Padrão",$H$4=#REF!),BDI!#REF!,IF(AND(#REF!="Diferenciado",$H$4=#REF!),BDI!$E$17,IF(AND(#REF!="Diferenciado",$H$4=#REF!),BDI!#REF!,IF(#REF!="ZERO",0))))),"")</f>
        <v>#REF!</v>
      </c>
      <c r="H123" s="138" t="e">
        <f t="shared" ca="1" si="4"/>
        <v>#REF!</v>
      </c>
      <c r="I123" s="136" t="e">
        <f t="shared" ca="1" si="5"/>
        <v>#REF!</v>
      </c>
    </row>
    <row r="124" spans="1:9" hidden="1" x14ac:dyDescent="0.25">
      <c r="A124" s="113" t="s">
        <v>250</v>
      </c>
      <c r="B124" s="114" t="s">
        <v>1695</v>
      </c>
      <c r="C124" s="115" t="s">
        <v>93</v>
      </c>
      <c r="D124" s="115">
        <v>0</v>
      </c>
      <c r="E124" s="135">
        <f ca="1">OFFSET(INDEX(Composições!A:J,MATCH(Orçamentária!A124,Composições!A:A,0),8),2,0)</f>
        <v>18.420500000000001</v>
      </c>
      <c r="F124" s="136">
        <f t="shared" ca="1" si="3"/>
        <v>0</v>
      </c>
      <c r="G124" s="137" t="e">
        <f>IF(A124&lt;&gt;"",IF(AND(#REF!="Padrão",$H$4=#REF!),BDI!$B$17,IF(AND(#REF!="Padrão",$H$4=#REF!),BDI!#REF!,IF(AND(#REF!="Diferenciado",$H$4=#REF!),BDI!$E$17,IF(AND(#REF!="Diferenciado",$H$4=#REF!),BDI!#REF!,IF(#REF!="ZERO",0))))),"")</f>
        <v>#REF!</v>
      </c>
      <c r="H124" s="138" t="e">
        <f t="shared" ca="1" si="4"/>
        <v>#REF!</v>
      </c>
      <c r="I124" s="136" t="e">
        <f t="shared" ca="1" si="5"/>
        <v>#REF!</v>
      </c>
    </row>
    <row r="125" spans="1:9" hidden="1" x14ac:dyDescent="0.25">
      <c r="A125" s="113" t="s">
        <v>251</v>
      </c>
      <c r="B125" s="114" t="s">
        <v>1696</v>
      </c>
      <c r="C125" s="115" t="s">
        <v>93</v>
      </c>
      <c r="D125" s="115">
        <v>0</v>
      </c>
      <c r="E125" s="135">
        <f ca="1">OFFSET(INDEX(Composições!A:J,MATCH(Orçamentária!A125,Composições!A:A,0),8),2,0)</f>
        <v>23.025625000000002</v>
      </c>
      <c r="F125" s="136">
        <f t="shared" ca="1" si="3"/>
        <v>0</v>
      </c>
      <c r="G125" s="137" t="e">
        <f>IF(A125&lt;&gt;"",IF(AND(#REF!="Padrão",$H$4=#REF!),BDI!$B$17,IF(AND(#REF!="Padrão",$H$4=#REF!),BDI!#REF!,IF(AND(#REF!="Diferenciado",$H$4=#REF!),BDI!$E$17,IF(AND(#REF!="Diferenciado",$H$4=#REF!),BDI!#REF!,IF(#REF!="ZERO",0))))),"")</f>
        <v>#REF!</v>
      </c>
      <c r="H125" s="138" t="e">
        <f t="shared" ca="1" si="4"/>
        <v>#REF!</v>
      </c>
      <c r="I125" s="136" t="e">
        <f t="shared" ca="1" si="5"/>
        <v>#REF!</v>
      </c>
    </row>
    <row r="126" spans="1:9" hidden="1" x14ac:dyDescent="0.25">
      <c r="A126" s="113" t="s">
        <v>252</v>
      </c>
      <c r="B126" s="114" t="s">
        <v>1697</v>
      </c>
      <c r="C126" s="115" t="s">
        <v>20</v>
      </c>
      <c r="D126" s="115">
        <v>0</v>
      </c>
      <c r="E126" s="135">
        <f ca="1">OFFSET(INDEX(Composições!A:J,MATCH(Orçamentária!A126,Composições!A:A,0),8),2,0)</f>
        <v>90.781999999999996</v>
      </c>
      <c r="F126" s="136">
        <f t="shared" ca="1" si="3"/>
        <v>0</v>
      </c>
      <c r="G126" s="137" t="e">
        <f>IF(A126&lt;&gt;"",IF(AND(#REF!="Padrão",$H$4=#REF!),BDI!$B$17,IF(AND(#REF!="Padrão",$H$4=#REF!),BDI!#REF!,IF(AND(#REF!="Diferenciado",$H$4=#REF!),BDI!$E$17,IF(AND(#REF!="Diferenciado",$H$4=#REF!),BDI!#REF!,IF(#REF!="ZERO",0))))),"")</f>
        <v>#REF!</v>
      </c>
      <c r="H126" s="138" t="e">
        <f t="shared" ca="1" si="4"/>
        <v>#REF!</v>
      </c>
      <c r="I126" s="136" t="e">
        <f t="shared" ca="1" si="5"/>
        <v>#REF!</v>
      </c>
    </row>
    <row r="127" spans="1:9" ht="25.5" hidden="1" x14ac:dyDescent="0.25">
      <c r="A127" s="113" t="s">
        <v>254</v>
      </c>
      <c r="B127" s="114" t="s">
        <v>1698</v>
      </c>
      <c r="C127" s="115" t="s">
        <v>20</v>
      </c>
      <c r="D127" s="115">
        <v>0</v>
      </c>
      <c r="E127" s="135">
        <f ca="1">OFFSET(INDEX(Composições!A:J,MATCH(Orçamentária!A127,Composições!A:A,0),8),2,0)</f>
        <v>13.6135</v>
      </c>
      <c r="F127" s="136">
        <f t="shared" ca="1" si="3"/>
        <v>0</v>
      </c>
      <c r="G127" s="137" t="e">
        <f>IF(A127&lt;&gt;"",IF(AND(#REF!="Padrão",$H$4=#REF!),BDI!$B$17,IF(AND(#REF!="Padrão",$H$4=#REF!),BDI!#REF!,IF(AND(#REF!="Diferenciado",$H$4=#REF!),BDI!$E$17,IF(AND(#REF!="Diferenciado",$H$4=#REF!),BDI!#REF!,IF(#REF!="ZERO",0))))),"")</f>
        <v>#REF!</v>
      </c>
      <c r="H127" s="138" t="e">
        <f t="shared" ca="1" si="4"/>
        <v>#REF!</v>
      </c>
      <c r="I127" s="136" t="e">
        <f t="shared" ca="1" si="5"/>
        <v>#REF!</v>
      </c>
    </row>
    <row r="128" spans="1:9" hidden="1" x14ac:dyDescent="0.25">
      <c r="A128" s="113" t="s">
        <v>256</v>
      </c>
      <c r="B128" s="114" t="s">
        <v>1699</v>
      </c>
      <c r="C128" s="115" t="s">
        <v>95</v>
      </c>
      <c r="D128" s="115">
        <v>0</v>
      </c>
      <c r="E128" s="135">
        <f ca="1">OFFSET(INDEX(Composições!A:J,MATCH(Orçamentária!A128,Composições!A:A,0),8),2,0)</f>
        <v>62.564162350000004</v>
      </c>
      <c r="F128" s="136">
        <f t="shared" ca="1" si="3"/>
        <v>0</v>
      </c>
      <c r="G128" s="137" t="e">
        <f>IF(A128&lt;&gt;"",IF(AND(#REF!="Padrão",$H$4=#REF!),BDI!$B$17,IF(AND(#REF!="Padrão",$H$4=#REF!),BDI!#REF!,IF(AND(#REF!="Diferenciado",$H$4=#REF!),BDI!$E$17,IF(AND(#REF!="Diferenciado",$H$4=#REF!),BDI!#REF!,IF(#REF!="ZERO",0))))),"")</f>
        <v>#REF!</v>
      </c>
      <c r="H128" s="138" t="e">
        <f t="shared" ca="1" si="4"/>
        <v>#REF!</v>
      </c>
      <c r="I128" s="136" t="e">
        <f t="shared" ca="1" si="5"/>
        <v>#REF!</v>
      </c>
    </row>
    <row r="129" spans="1:9" x14ac:dyDescent="0.25">
      <c r="A129" s="197" t="s">
        <v>258</v>
      </c>
      <c r="B129" s="198" t="s">
        <v>1700</v>
      </c>
      <c r="C129" s="199" t="s">
        <v>95</v>
      </c>
      <c r="D129" s="199">
        <v>1.74</v>
      </c>
      <c r="E129" s="135">
        <f ca="1">OFFSET(INDEX(Composições!A:J,MATCH(Orçamentária!A129,Composições!A:A,0),8),2,0)</f>
        <v>479.20585554999997</v>
      </c>
      <c r="F129" s="136">
        <f t="shared" ca="1" si="3"/>
        <v>833.81818865699995</v>
      </c>
      <c r="G129" s="137">
        <f>BDI!$B$17</f>
        <v>0.191</v>
      </c>
      <c r="H129" s="138">
        <f t="shared" ca="1" si="4"/>
        <v>570.73</v>
      </c>
      <c r="I129" s="136">
        <f t="shared" ca="1" si="5"/>
        <v>993.07</v>
      </c>
    </row>
    <row r="130" spans="1:9" x14ac:dyDescent="0.25">
      <c r="A130" s="197" t="s">
        <v>260</v>
      </c>
      <c r="B130" s="198" t="s">
        <v>1701</v>
      </c>
      <c r="C130" s="199" t="s">
        <v>95</v>
      </c>
      <c r="D130" s="199">
        <v>4.72</v>
      </c>
      <c r="E130" s="135">
        <f ca="1">OFFSET(INDEX(Composições!A:J,MATCH(Orçamentária!A130,Composições!A:A,0),8),2,0)</f>
        <v>396.61208800000003</v>
      </c>
      <c r="F130" s="136">
        <f t="shared" ca="1" si="3"/>
        <v>1872.00905536</v>
      </c>
      <c r="G130" s="137">
        <f>BDI!$B$17</f>
        <v>0.191</v>
      </c>
      <c r="H130" s="138">
        <f t="shared" ca="1" si="4"/>
        <v>472.36</v>
      </c>
      <c r="I130" s="136">
        <f t="shared" ca="1" si="5"/>
        <v>2229.54</v>
      </c>
    </row>
    <row r="131" spans="1:9" hidden="1" x14ac:dyDescent="0.25">
      <c r="A131" s="113" t="s">
        <v>264</v>
      </c>
      <c r="B131" s="114" t="s">
        <v>1702</v>
      </c>
      <c r="C131" s="115" t="s">
        <v>95</v>
      </c>
      <c r="D131" s="115">
        <v>0</v>
      </c>
      <c r="E131" s="135">
        <f ca="1">OFFSET(INDEX(Composições!A:J,MATCH(Orçamentária!A131,Composições!A:A,0),8),2,0)</f>
        <v>62.564162350000004</v>
      </c>
      <c r="F131" s="136">
        <f t="shared" ca="1" si="3"/>
        <v>0</v>
      </c>
      <c r="G131" s="137" t="e">
        <f>IF(A131&lt;&gt;"",IF(AND(#REF!="Padrão",$H$4=#REF!),BDI!$B$17,IF(AND(#REF!="Padrão",$H$4=#REF!),BDI!#REF!,IF(AND(#REF!="Diferenciado",$H$4=#REF!),BDI!$E$17,IF(AND(#REF!="Diferenciado",$H$4=#REF!),BDI!#REF!,IF(#REF!="ZERO",0))))),"")</f>
        <v>#REF!</v>
      </c>
      <c r="H131" s="138" t="e">
        <f t="shared" ca="1" si="4"/>
        <v>#REF!</v>
      </c>
      <c r="I131" s="136" t="e">
        <f t="shared" ca="1" si="5"/>
        <v>#REF!</v>
      </c>
    </row>
    <row r="132" spans="1:9" hidden="1" x14ac:dyDescent="0.25">
      <c r="A132" s="113" t="s">
        <v>266</v>
      </c>
      <c r="B132" s="114" t="s">
        <v>1703</v>
      </c>
      <c r="C132" s="115" t="s">
        <v>95</v>
      </c>
      <c r="D132" s="115">
        <v>0</v>
      </c>
      <c r="E132" s="135">
        <f ca="1">OFFSET(INDEX(Composições!A:J,MATCH(Orçamentária!A132,Composições!A:A,0),8),2,0)</f>
        <v>116.27835554999999</v>
      </c>
      <c r="F132" s="136">
        <f t="shared" ca="1" si="3"/>
        <v>0</v>
      </c>
      <c r="G132" s="137" t="e">
        <f>IF(A132&lt;&gt;"",IF(AND(#REF!="Padrão",$H$4=#REF!),BDI!$B$17,IF(AND(#REF!="Padrão",$H$4=#REF!),BDI!#REF!,IF(AND(#REF!="Diferenciado",$H$4=#REF!),BDI!$E$17,IF(AND(#REF!="Diferenciado",$H$4=#REF!),BDI!#REF!,IF(#REF!="ZERO",0))))),"")</f>
        <v>#REF!</v>
      </c>
      <c r="H132" s="138" t="e">
        <f t="shared" ca="1" si="4"/>
        <v>#REF!</v>
      </c>
      <c r="I132" s="136" t="e">
        <f t="shared" ca="1" si="5"/>
        <v>#REF!</v>
      </c>
    </row>
    <row r="133" spans="1:9" hidden="1" x14ac:dyDescent="0.25">
      <c r="A133" s="113" t="s">
        <v>268</v>
      </c>
      <c r="B133" s="114" t="s">
        <v>1704</v>
      </c>
      <c r="C133" s="115" t="s">
        <v>95</v>
      </c>
      <c r="D133" s="115">
        <v>0</v>
      </c>
      <c r="E133" s="135">
        <f ca="1">OFFSET(INDEX(Composições!A:J,MATCH(Orçamentária!A133,Composições!A:A,0),8),2,0)</f>
        <v>116.27835554999999</v>
      </c>
      <c r="F133" s="136">
        <f t="shared" ca="1" si="3"/>
        <v>0</v>
      </c>
      <c r="G133" s="137" t="e">
        <f>IF(A133&lt;&gt;"",IF(AND(#REF!="Padrão",$H$4=#REF!),BDI!$B$17,IF(AND(#REF!="Padrão",$H$4=#REF!),BDI!#REF!,IF(AND(#REF!="Diferenciado",$H$4=#REF!),BDI!$E$17,IF(AND(#REF!="Diferenciado",$H$4=#REF!),BDI!#REF!,IF(#REF!="ZERO",0))))),"")</f>
        <v>#REF!</v>
      </c>
      <c r="H133" s="138" t="e">
        <f t="shared" ca="1" si="4"/>
        <v>#REF!</v>
      </c>
      <c r="I133" s="136" t="e">
        <f t="shared" ca="1" si="5"/>
        <v>#REF!</v>
      </c>
    </row>
    <row r="134" spans="1:9" hidden="1" x14ac:dyDescent="0.25">
      <c r="A134" s="113" t="s">
        <v>269</v>
      </c>
      <c r="B134" s="114" t="s">
        <v>1705</v>
      </c>
      <c r="C134" s="115" t="s">
        <v>95</v>
      </c>
      <c r="D134" s="115">
        <v>0</v>
      </c>
      <c r="E134" s="135">
        <f ca="1">OFFSET(INDEX(Composições!A:J,MATCH(Orçamentária!A134,Composições!A:A,0),8),2,0)</f>
        <v>9.3847099000000007</v>
      </c>
      <c r="F134" s="136">
        <f t="shared" ca="1" si="3"/>
        <v>0</v>
      </c>
      <c r="G134" s="137" t="e">
        <f>IF(A134&lt;&gt;"",IF(AND(#REF!="Padrão",$H$4=#REF!),BDI!$B$17,IF(AND(#REF!="Padrão",$H$4=#REF!),BDI!#REF!,IF(AND(#REF!="Diferenciado",$H$4=#REF!),BDI!$E$17,IF(AND(#REF!="Diferenciado",$H$4=#REF!),BDI!#REF!,IF(#REF!="ZERO",0))))),"")</f>
        <v>#REF!</v>
      </c>
      <c r="H134" s="138" t="e">
        <f t="shared" ca="1" si="4"/>
        <v>#REF!</v>
      </c>
      <c r="I134" s="136" t="e">
        <f t="shared" ca="1" si="5"/>
        <v>#REF!</v>
      </c>
    </row>
    <row r="135" spans="1:9" hidden="1" x14ac:dyDescent="0.25">
      <c r="A135" s="113" t="s">
        <v>270</v>
      </c>
      <c r="B135" s="114" t="s">
        <v>1706</v>
      </c>
      <c r="C135" s="115" t="s">
        <v>95</v>
      </c>
      <c r="D135" s="115">
        <v>0</v>
      </c>
      <c r="E135" s="135">
        <f ca="1">OFFSET(INDEX(Composições!A:J,MATCH(Orçamentária!A135,Composições!A:A,0),8),2,0)</f>
        <v>42.873405000000005</v>
      </c>
      <c r="F135" s="136">
        <f t="shared" ref="F135:F198" ca="1" si="6">IF(ISNUMBER(E135),D135*E135,"")</f>
        <v>0</v>
      </c>
      <c r="G135" s="137" t="e">
        <f>IF(A135&lt;&gt;"",IF(AND(#REF!="Padrão",$H$4=#REF!),BDI!$B$17,IF(AND(#REF!="Padrão",$H$4=#REF!),BDI!#REF!,IF(AND(#REF!="Diferenciado",$H$4=#REF!),BDI!$E$17,IF(AND(#REF!="Diferenciado",$H$4=#REF!),BDI!#REF!,IF(#REF!="ZERO",0))))),"")</f>
        <v>#REF!</v>
      </c>
      <c r="H135" s="138" t="e">
        <f t="shared" ref="H135:H198" ca="1" si="7">IF(ISNUMBER(E135),ROUND(E135*(1+G135),2),"")</f>
        <v>#REF!</v>
      </c>
      <c r="I135" s="136" t="e">
        <f t="shared" ref="I135:I198" ca="1" si="8">IF(ISNUMBER(E135),ROUND(H135*D135,2),"")</f>
        <v>#REF!</v>
      </c>
    </row>
    <row r="136" spans="1:9" hidden="1" x14ac:dyDescent="0.25">
      <c r="A136" s="113" t="s">
        <v>271</v>
      </c>
      <c r="B136" s="114" t="s">
        <v>1707</v>
      </c>
      <c r="C136" s="115" t="s">
        <v>95</v>
      </c>
      <c r="D136" s="115">
        <v>0</v>
      </c>
      <c r="E136" s="135">
        <f ca="1">OFFSET(INDEX(Composições!A:J,MATCH(Orçamentária!A136,Composições!A:A,0),8),2,0)</f>
        <v>43.224525</v>
      </c>
      <c r="F136" s="136">
        <f t="shared" ca="1" si="6"/>
        <v>0</v>
      </c>
      <c r="G136" s="137" t="e">
        <f>IF(A136&lt;&gt;"",IF(AND(#REF!="Padrão",$H$4=#REF!),BDI!$B$17,IF(AND(#REF!="Padrão",$H$4=#REF!),BDI!#REF!,IF(AND(#REF!="Diferenciado",$H$4=#REF!),BDI!$E$17,IF(AND(#REF!="Diferenciado",$H$4=#REF!),BDI!#REF!,IF(#REF!="ZERO",0))))),"")</f>
        <v>#REF!</v>
      </c>
      <c r="H136" s="138" t="e">
        <f t="shared" ca="1" si="7"/>
        <v>#REF!</v>
      </c>
      <c r="I136" s="136" t="e">
        <f t="shared" ca="1" si="8"/>
        <v>#REF!</v>
      </c>
    </row>
    <row r="137" spans="1:9" hidden="1" x14ac:dyDescent="0.25">
      <c r="A137" s="113" t="s">
        <v>1708</v>
      </c>
      <c r="B137" s="114" t="s">
        <v>1709</v>
      </c>
      <c r="C137" s="115" t="s">
        <v>95</v>
      </c>
      <c r="D137" s="115">
        <v>0</v>
      </c>
      <c r="E137" s="135" t="s">
        <v>568</v>
      </c>
      <c r="F137" s="136" t="str">
        <f t="shared" si="6"/>
        <v/>
      </c>
      <c r="G137" s="137" t="e">
        <f>IF(A137&lt;&gt;"",IF(AND(#REF!="Padrão",$H$4=#REF!),BDI!$B$17,IF(AND(#REF!="Padrão",$H$4=#REF!),BDI!#REF!,IF(AND(#REF!="Diferenciado",$H$4=#REF!),BDI!$E$17,IF(AND(#REF!="Diferenciado",$H$4=#REF!),BDI!#REF!,IF(#REF!="ZERO",0))))),"")</f>
        <v>#REF!</v>
      </c>
      <c r="H137" s="138" t="str">
        <f t="shared" si="7"/>
        <v/>
      </c>
      <c r="I137" s="136" t="str">
        <f t="shared" si="8"/>
        <v/>
      </c>
    </row>
    <row r="138" spans="1:9" hidden="1" x14ac:dyDescent="0.25">
      <c r="A138" s="113" t="s">
        <v>1710</v>
      </c>
      <c r="B138" s="114" t="s">
        <v>1711</v>
      </c>
      <c r="C138" s="115" t="s">
        <v>95</v>
      </c>
      <c r="D138" s="115">
        <v>0</v>
      </c>
      <c r="E138" s="135" t="s">
        <v>568</v>
      </c>
      <c r="F138" s="136" t="str">
        <f t="shared" si="6"/>
        <v/>
      </c>
      <c r="G138" s="137" t="e">
        <f>IF(A138&lt;&gt;"",IF(AND(#REF!="Padrão",$H$4=#REF!),BDI!$B$17,IF(AND(#REF!="Padrão",$H$4=#REF!),BDI!#REF!,IF(AND(#REF!="Diferenciado",$H$4=#REF!),BDI!$E$17,IF(AND(#REF!="Diferenciado",$H$4=#REF!),BDI!#REF!,IF(#REF!="ZERO",0))))),"")</f>
        <v>#REF!</v>
      </c>
      <c r="H138" s="138" t="str">
        <f t="shared" si="7"/>
        <v/>
      </c>
      <c r="I138" s="136" t="str">
        <f t="shared" si="8"/>
        <v/>
      </c>
    </row>
    <row r="139" spans="1:9" hidden="1" x14ac:dyDescent="0.25">
      <c r="A139" s="113" t="s">
        <v>1712</v>
      </c>
      <c r="B139" s="114" t="s">
        <v>1713</v>
      </c>
      <c r="C139" s="115" t="s">
        <v>95</v>
      </c>
      <c r="D139" s="115">
        <v>0</v>
      </c>
      <c r="E139" s="135" t="s">
        <v>568</v>
      </c>
      <c r="F139" s="136" t="str">
        <f t="shared" si="6"/>
        <v/>
      </c>
      <c r="G139" s="137" t="e">
        <f>IF(A139&lt;&gt;"",IF(AND(#REF!="Padrão",$H$4=#REF!),BDI!$B$17,IF(AND(#REF!="Padrão",$H$4=#REF!),BDI!#REF!,IF(AND(#REF!="Diferenciado",$H$4=#REF!),BDI!$E$17,IF(AND(#REF!="Diferenciado",$H$4=#REF!),BDI!#REF!,IF(#REF!="ZERO",0))))),"")</f>
        <v>#REF!</v>
      </c>
      <c r="H139" s="138" t="str">
        <f t="shared" si="7"/>
        <v/>
      </c>
      <c r="I139" s="136" t="str">
        <f t="shared" si="8"/>
        <v/>
      </c>
    </row>
    <row r="140" spans="1:9" hidden="1" x14ac:dyDescent="0.25">
      <c r="A140" s="113" t="s">
        <v>1714</v>
      </c>
      <c r="B140" s="114" t="s">
        <v>1715</v>
      </c>
      <c r="C140" s="115" t="s">
        <v>95</v>
      </c>
      <c r="D140" s="115">
        <v>0</v>
      </c>
      <c r="E140" s="135" t="s">
        <v>568</v>
      </c>
      <c r="F140" s="136" t="str">
        <f t="shared" si="6"/>
        <v/>
      </c>
      <c r="G140" s="137" t="e">
        <f>IF(A140&lt;&gt;"",IF(AND(#REF!="Padrão",$H$4=#REF!),BDI!$B$17,IF(AND(#REF!="Padrão",$H$4=#REF!),BDI!#REF!,IF(AND(#REF!="Diferenciado",$H$4=#REF!),BDI!$E$17,IF(AND(#REF!="Diferenciado",$H$4=#REF!),BDI!#REF!,IF(#REF!="ZERO",0))))),"")</f>
        <v>#REF!</v>
      </c>
      <c r="H140" s="138" t="str">
        <f t="shared" si="7"/>
        <v/>
      </c>
      <c r="I140" s="136" t="str">
        <f t="shared" si="8"/>
        <v/>
      </c>
    </row>
    <row r="141" spans="1:9" hidden="1" x14ac:dyDescent="0.25">
      <c r="A141" s="113" t="s">
        <v>1716</v>
      </c>
      <c r="B141" s="114" t="s">
        <v>1717</v>
      </c>
      <c r="C141" s="115" t="s">
        <v>95</v>
      </c>
      <c r="D141" s="115">
        <v>0</v>
      </c>
      <c r="E141" s="135" t="s">
        <v>568</v>
      </c>
      <c r="F141" s="136" t="str">
        <f t="shared" si="6"/>
        <v/>
      </c>
      <c r="G141" s="137" t="e">
        <f>IF(A141&lt;&gt;"",IF(AND(#REF!="Padrão",$H$4=#REF!),BDI!$B$17,IF(AND(#REF!="Padrão",$H$4=#REF!),BDI!#REF!,IF(AND(#REF!="Diferenciado",$H$4=#REF!),BDI!$E$17,IF(AND(#REF!="Diferenciado",$H$4=#REF!),BDI!#REF!,IF(#REF!="ZERO",0))))),"")</f>
        <v>#REF!</v>
      </c>
      <c r="H141" s="138" t="str">
        <f t="shared" si="7"/>
        <v/>
      </c>
      <c r="I141" s="136" t="str">
        <f t="shared" si="8"/>
        <v/>
      </c>
    </row>
    <row r="142" spans="1:9" hidden="1" x14ac:dyDescent="0.25">
      <c r="A142" s="113" t="s">
        <v>1718</v>
      </c>
      <c r="B142" s="114" t="s">
        <v>1719</v>
      </c>
      <c r="C142" s="115" t="s">
        <v>95</v>
      </c>
      <c r="D142" s="115">
        <v>0</v>
      </c>
      <c r="E142" s="135" t="s">
        <v>568</v>
      </c>
      <c r="F142" s="136" t="str">
        <f t="shared" si="6"/>
        <v/>
      </c>
      <c r="G142" s="137" t="e">
        <f>IF(A142&lt;&gt;"",IF(AND(#REF!="Padrão",$H$4=#REF!),BDI!$B$17,IF(AND(#REF!="Padrão",$H$4=#REF!),BDI!#REF!,IF(AND(#REF!="Diferenciado",$H$4=#REF!),BDI!$E$17,IF(AND(#REF!="Diferenciado",$H$4=#REF!),BDI!#REF!,IF(#REF!="ZERO",0))))),"")</f>
        <v>#REF!</v>
      </c>
      <c r="H142" s="138" t="str">
        <f t="shared" si="7"/>
        <v/>
      </c>
      <c r="I142" s="136" t="str">
        <f t="shared" si="8"/>
        <v/>
      </c>
    </row>
    <row r="143" spans="1:9" hidden="1" x14ac:dyDescent="0.25">
      <c r="A143" s="113" t="s">
        <v>273</v>
      </c>
      <c r="B143" s="114" t="s">
        <v>1720</v>
      </c>
      <c r="C143" s="115" t="s">
        <v>95</v>
      </c>
      <c r="D143" s="115">
        <v>0</v>
      </c>
      <c r="E143" s="135">
        <f ca="1">OFFSET(INDEX(Composições!A:J,MATCH(Orçamentária!A143,Composições!A:A,0),8),2,0)</f>
        <v>0</v>
      </c>
      <c r="F143" s="136">
        <f t="shared" ca="1" si="6"/>
        <v>0</v>
      </c>
      <c r="G143" s="137" t="e">
        <f>IF(A143&lt;&gt;"",IF(AND(#REF!="Padrão",$H$4=#REF!),BDI!$B$17,IF(AND(#REF!="Padrão",$H$4=#REF!),BDI!#REF!,IF(AND(#REF!="Diferenciado",$H$4=#REF!),BDI!$E$17,IF(AND(#REF!="Diferenciado",$H$4=#REF!),BDI!#REF!,IF(#REF!="ZERO",0))))),"")</f>
        <v>#REF!</v>
      </c>
      <c r="H143" s="138" t="e">
        <f t="shared" ca="1" si="7"/>
        <v>#REF!</v>
      </c>
      <c r="I143" s="136" t="e">
        <f t="shared" ca="1" si="8"/>
        <v>#REF!</v>
      </c>
    </row>
    <row r="144" spans="1:9" hidden="1" x14ac:dyDescent="0.25">
      <c r="A144" s="113" t="s">
        <v>275</v>
      </c>
      <c r="B144" s="114" t="s">
        <v>1721</v>
      </c>
      <c r="C144" s="115" t="s">
        <v>95</v>
      </c>
      <c r="D144" s="115">
        <v>0</v>
      </c>
      <c r="E144" s="135">
        <f ca="1">OFFSET(INDEX(Composições!A:J,MATCH(Orçamentária!A144,Composições!A:A,0),8),2,0)</f>
        <v>58.281549999999996</v>
      </c>
      <c r="F144" s="136">
        <f t="shared" ca="1" si="6"/>
        <v>0</v>
      </c>
      <c r="G144" s="137" t="e">
        <f>IF(A144&lt;&gt;"",IF(AND(#REF!="Padrão",$H$4=#REF!),BDI!$B$17,IF(AND(#REF!="Padrão",$H$4=#REF!),BDI!#REF!,IF(AND(#REF!="Diferenciado",$H$4=#REF!),BDI!$E$17,IF(AND(#REF!="Diferenciado",$H$4=#REF!),BDI!#REF!,IF(#REF!="ZERO",0))))),"")</f>
        <v>#REF!</v>
      </c>
      <c r="H144" s="138" t="e">
        <f t="shared" ca="1" si="7"/>
        <v>#REF!</v>
      </c>
      <c r="I144" s="136" t="e">
        <f t="shared" ca="1" si="8"/>
        <v>#REF!</v>
      </c>
    </row>
    <row r="145" spans="1:9" hidden="1" x14ac:dyDescent="0.25">
      <c r="A145" s="113" t="s">
        <v>278</v>
      </c>
      <c r="B145" s="114" t="s">
        <v>1722</v>
      </c>
      <c r="C145" s="115" t="s">
        <v>95</v>
      </c>
      <c r="D145" s="115">
        <v>0</v>
      </c>
      <c r="E145" s="135">
        <f ca="1">OFFSET(INDEX(Composições!A:J,MATCH(Orçamentária!A145,Composições!A:A,0),8),2,0)</f>
        <v>58.347007849999997</v>
      </c>
      <c r="F145" s="136">
        <f t="shared" ca="1" si="6"/>
        <v>0</v>
      </c>
      <c r="G145" s="137" t="e">
        <f>IF(A145&lt;&gt;"",IF(AND(#REF!="Padrão",$H$4=#REF!),BDI!$B$17,IF(AND(#REF!="Padrão",$H$4=#REF!),BDI!#REF!,IF(AND(#REF!="Diferenciado",$H$4=#REF!),BDI!$E$17,IF(AND(#REF!="Diferenciado",$H$4=#REF!),BDI!#REF!,IF(#REF!="ZERO",0))))),"")</f>
        <v>#REF!</v>
      </c>
      <c r="H145" s="138" t="e">
        <f t="shared" ca="1" si="7"/>
        <v>#REF!</v>
      </c>
      <c r="I145" s="136" t="e">
        <f t="shared" ca="1" si="8"/>
        <v>#REF!</v>
      </c>
    </row>
    <row r="146" spans="1:9" hidden="1" x14ac:dyDescent="0.25">
      <c r="A146" s="113" t="s">
        <v>285</v>
      </c>
      <c r="B146" s="114" t="s">
        <v>1723</v>
      </c>
      <c r="C146" s="115" t="s">
        <v>95</v>
      </c>
      <c r="D146" s="115">
        <v>0</v>
      </c>
      <c r="E146" s="135">
        <f ca="1">OFFSET(INDEX(Composições!A:J,MATCH(Orçamentária!A146,Composições!A:A,0),8),2,0)</f>
        <v>26.713236199999994</v>
      </c>
      <c r="F146" s="136">
        <f t="shared" ca="1" si="6"/>
        <v>0</v>
      </c>
      <c r="G146" s="137" t="e">
        <f>IF(A146&lt;&gt;"",IF(AND(#REF!="Padrão",$H$4=#REF!),BDI!$B$17,IF(AND(#REF!="Padrão",$H$4=#REF!),BDI!#REF!,IF(AND(#REF!="Diferenciado",$H$4=#REF!),BDI!$E$17,IF(AND(#REF!="Diferenciado",$H$4=#REF!),BDI!#REF!,IF(#REF!="ZERO",0))))),"")</f>
        <v>#REF!</v>
      </c>
      <c r="H146" s="138" t="e">
        <f t="shared" ca="1" si="7"/>
        <v>#REF!</v>
      </c>
      <c r="I146" s="136" t="e">
        <f t="shared" ca="1" si="8"/>
        <v>#REF!</v>
      </c>
    </row>
    <row r="147" spans="1:9" hidden="1" x14ac:dyDescent="0.25">
      <c r="A147" s="113" t="s">
        <v>286</v>
      </c>
      <c r="B147" s="114" t="s">
        <v>1724</v>
      </c>
      <c r="C147" s="115" t="s">
        <v>95</v>
      </c>
      <c r="D147" s="115">
        <v>0</v>
      </c>
      <c r="E147" s="135">
        <f ca="1">OFFSET(INDEX(Composições!A:J,MATCH(Orçamentária!A147,Composições!A:A,0),8),2,0)</f>
        <v>34.408147849999992</v>
      </c>
      <c r="F147" s="136">
        <f t="shared" ca="1" si="6"/>
        <v>0</v>
      </c>
      <c r="G147" s="137" t="e">
        <f>IF(A147&lt;&gt;"",IF(AND(#REF!="Padrão",$H$4=#REF!),BDI!$B$17,IF(AND(#REF!="Padrão",$H$4=#REF!),BDI!#REF!,IF(AND(#REF!="Diferenciado",$H$4=#REF!),BDI!$E$17,IF(AND(#REF!="Diferenciado",$H$4=#REF!),BDI!#REF!,IF(#REF!="ZERO",0))))),"")</f>
        <v>#REF!</v>
      </c>
      <c r="H147" s="138" t="e">
        <f t="shared" ca="1" si="7"/>
        <v>#REF!</v>
      </c>
      <c r="I147" s="136" t="e">
        <f t="shared" ca="1" si="8"/>
        <v>#REF!</v>
      </c>
    </row>
    <row r="148" spans="1:9" hidden="1" x14ac:dyDescent="0.25">
      <c r="A148" s="113" t="s">
        <v>288</v>
      </c>
      <c r="B148" s="114" t="s">
        <v>1725</v>
      </c>
      <c r="C148" s="115" t="s">
        <v>95</v>
      </c>
      <c r="D148" s="115">
        <v>0</v>
      </c>
      <c r="E148" s="135">
        <f ca="1">OFFSET(INDEX(Composições!A:J,MATCH(Orçamentária!A148,Composições!A:A,0),8),2,0)</f>
        <v>17.161749999999998</v>
      </c>
      <c r="F148" s="136">
        <f t="shared" ca="1" si="6"/>
        <v>0</v>
      </c>
      <c r="G148" s="137" t="e">
        <f>IF(A148&lt;&gt;"",IF(AND(#REF!="Padrão",$H$4=#REF!),BDI!$B$17,IF(AND(#REF!="Padrão",$H$4=#REF!),BDI!#REF!,IF(AND(#REF!="Diferenciado",$H$4=#REF!),BDI!$E$17,IF(AND(#REF!="Diferenciado",$H$4=#REF!),BDI!#REF!,IF(#REF!="ZERO",0))))),"")</f>
        <v>#REF!</v>
      </c>
      <c r="H148" s="138" t="e">
        <f t="shared" ca="1" si="7"/>
        <v>#REF!</v>
      </c>
      <c r="I148" s="136" t="e">
        <f t="shared" ca="1" si="8"/>
        <v>#REF!</v>
      </c>
    </row>
    <row r="149" spans="1:9" x14ac:dyDescent="0.25">
      <c r="A149" s="197" t="s">
        <v>291</v>
      </c>
      <c r="B149" s="198" t="s">
        <v>1726</v>
      </c>
      <c r="C149" s="199" t="s">
        <v>95</v>
      </c>
      <c r="D149" s="199">
        <v>318.60000000000002</v>
      </c>
      <c r="E149" s="135">
        <f ca="1">OFFSET(INDEX(Composições!A:J,MATCH(Orçamentária!A149,Composições!A:A,0),8),2,0)</f>
        <v>54.415992399999993</v>
      </c>
      <c r="F149" s="136">
        <f t="shared" ca="1" si="6"/>
        <v>17336.93517864</v>
      </c>
      <c r="G149" s="137">
        <f>BDI!$B$17</f>
        <v>0.191</v>
      </c>
      <c r="H149" s="138">
        <f t="shared" ca="1" si="7"/>
        <v>64.81</v>
      </c>
      <c r="I149" s="136">
        <f t="shared" ca="1" si="8"/>
        <v>20648.47</v>
      </c>
    </row>
    <row r="150" spans="1:9" x14ac:dyDescent="0.25">
      <c r="A150" s="197" t="s">
        <v>292</v>
      </c>
      <c r="B150" s="198" t="s">
        <v>1727</v>
      </c>
      <c r="C150" s="199" t="s">
        <v>95</v>
      </c>
      <c r="D150" s="199">
        <v>5.04</v>
      </c>
      <c r="E150" s="135">
        <f ca="1">OFFSET(INDEX(Composições!A:J,MATCH(Orçamentária!A150,Composições!A:A,0),8),2,0)</f>
        <v>29.427862149999999</v>
      </c>
      <c r="F150" s="136">
        <f t="shared" ca="1" si="6"/>
        <v>148.31642523599999</v>
      </c>
      <c r="G150" s="137">
        <f>BDI!$B$17</f>
        <v>0.191</v>
      </c>
      <c r="H150" s="138">
        <f t="shared" ca="1" si="7"/>
        <v>35.049999999999997</v>
      </c>
      <c r="I150" s="136">
        <f t="shared" ca="1" si="8"/>
        <v>176.65</v>
      </c>
    </row>
    <row r="151" spans="1:9" hidden="1" x14ac:dyDescent="0.25">
      <c r="A151" s="113" t="s">
        <v>293</v>
      </c>
      <c r="B151" s="114" t="s">
        <v>1728</v>
      </c>
      <c r="C151" s="115" t="s">
        <v>95</v>
      </c>
      <c r="D151" s="115">
        <v>0</v>
      </c>
      <c r="E151" s="135">
        <f ca="1">OFFSET(INDEX(Composições!A:J,MATCH(Orçamentária!A151,Composições!A:A,0),8),2,0)</f>
        <v>114.9785</v>
      </c>
      <c r="F151" s="136">
        <f t="shared" ca="1" si="6"/>
        <v>0</v>
      </c>
      <c r="G151" s="137" t="e">
        <f>IF(A151&lt;&gt;"",IF(AND(#REF!="Padrão",$H$4=#REF!),BDI!$B$17,IF(AND(#REF!="Padrão",$H$4=#REF!),BDI!#REF!,IF(AND(#REF!="Diferenciado",$H$4=#REF!),BDI!$E$17,IF(AND(#REF!="Diferenciado",$H$4=#REF!),BDI!#REF!,IF(#REF!="ZERO",0))))),"")</f>
        <v>#REF!</v>
      </c>
      <c r="H151" s="138" t="e">
        <f t="shared" ca="1" si="7"/>
        <v>#REF!</v>
      </c>
      <c r="I151" s="136" t="e">
        <f t="shared" ca="1" si="8"/>
        <v>#REF!</v>
      </c>
    </row>
    <row r="152" spans="1:9" hidden="1" x14ac:dyDescent="0.25">
      <c r="A152" s="113" t="s">
        <v>295</v>
      </c>
      <c r="B152" s="114" t="s">
        <v>1729</v>
      </c>
      <c r="C152" s="115" t="s">
        <v>95</v>
      </c>
      <c r="D152" s="115">
        <v>0</v>
      </c>
      <c r="E152" s="135">
        <f ca="1">OFFSET(INDEX(Composições!A:J,MATCH(Orçamentária!A152,Composições!A:A,0),8),2,0)</f>
        <v>31.42315</v>
      </c>
      <c r="F152" s="136">
        <f t="shared" ca="1" si="6"/>
        <v>0</v>
      </c>
      <c r="G152" s="137" t="e">
        <f>IF(A152&lt;&gt;"",IF(AND(#REF!="Padrão",$H$4=#REF!),BDI!$B$17,IF(AND(#REF!="Padrão",$H$4=#REF!),BDI!#REF!,IF(AND(#REF!="Diferenciado",$H$4=#REF!),BDI!$E$17,IF(AND(#REF!="Diferenciado",$H$4=#REF!),BDI!#REF!,IF(#REF!="ZERO",0))))),"")</f>
        <v>#REF!</v>
      </c>
      <c r="H152" s="138" t="e">
        <f t="shared" ca="1" si="7"/>
        <v>#REF!</v>
      </c>
      <c r="I152" s="136" t="e">
        <f t="shared" ca="1" si="8"/>
        <v>#REF!</v>
      </c>
    </row>
    <row r="153" spans="1:9" hidden="1" x14ac:dyDescent="0.25">
      <c r="A153" s="113" t="s">
        <v>298</v>
      </c>
      <c r="B153" s="114" t="s">
        <v>1730</v>
      </c>
      <c r="C153" s="115" t="s">
        <v>95</v>
      </c>
      <c r="D153" s="115">
        <v>0</v>
      </c>
      <c r="E153" s="135">
        <f ca="1">OFFSET(INDEX(Composições!A:J,MATCH(Orçamentária!A153,Composições!A:A,0),8),2,0)</f>
        <v>2.5245793999999995</v>
      </c>
      <c r="F153" s="136">
        <f t="shared" ca="1" si="6"/>
        <v>0</v>
      </c>
      <c r="G153" s="137" t="e">
        <f>IF(A153&lt;&gt;"",IF(AND(#REF!="Padrão",$H$4=#REF!),BDI!$B$17,IF(AND(#REF!="Padrão",$H$4=#REF!),BDI!#REF!,IF(AND(#REF!="Diferenciado",$H$4=#REF!),BDI!$E$17,IF(AND(#REF!="Diferenciado",$H$4=#REF!),BDI!#REF!,IF(#REF!="ZERO",0))))),"")</f>
        <v>#REF!</v>
      </c>
      <c r="H153" s="138" t="e">
        <f t="shared" ca="1" si="7"/>
        <v>#REF!</v>
      </c>
      <c r="I153" s="136" t="e">
        <f t="shared" ca="1" si="8"/>
        <v>#REF!</v>
      </c>
    </row>
    <row r="154" spans="1:9" hidden="1" x14ac:dyDescent="0.25">
      <c r="A154" s="113" t="s">
        <v>299</v>
      </c>
      <c r="B154" s="114" t="s">
        <v>1731</v>
      </c>
      <c r="C154" s="115" t="s">
        <v>95</v>
      </c>
      <c r="D154" s="115">
        <v>0</v>
      </c>
      <c r="E154" s="135">
        <f ca="1">OFFSET(INDEX(Composições!A:J,MATCH(Orçamentária!A154,Composições!A:A,0),8),2,0)</f>
        <v>43.468199999999996</v>
      </c>
      <c r="F154" s="136">
        <f t="shared" ca="1" si="6"/>
        <v>0</v>
      </c>
      <c r="G154" s="137" t="e">
        <f>IF(A154&lt;&gt;"",IF(AND(#REF!="Padrão",$H$4=#REF!),BDI!$B$17,IF(AND(#REF!="Padrão",$H$4=#REF!),BDI!#REF!,IF(AND(#REF!="Diferenciado",$H$4=#REF!),BDI!$E$17,IF(AND(#REF!="Diferenciado",$H$4=#REF!),BDI!#REF!,IF(#REF!="ZERO",0))))),"")</f>
        <v>#REF!</v>
      </c>
      <c r="H154" s="138" t="e">
        <f t="shared" ca="1" si="7"/>
        <v>#REF!</v>
      </c>
      <c r="I154" s="136" t="e">
        <f t="shared" ca="1" si="8"/>
        <v>#REF!</v>
      </c>
    </row>
    <row r="155" spans="1:9" hidden="1" x14ac:dyDescent="0.25">
      <c r="A155" s="113" t="s">
        <v>300</v>
      </c>
      <c r="B155" s="114" t="s">
        <v>1732</v>
      </c>
      <c r="C155" s="115" t="s">
        <v>93</v>
      </c>
      <c r="D155" s="115">
        <v>0</v>
      </c>
      <c r="E155" s="135">
        <f ca="1">OFFSET(INDEX(Composições!A:J,MATCH(Orçamentária!A155,Composições!A:A,0),8),2,0)</f>
        <v>10.374043699999998</v>
      </c>
      <c r="F155" s="136">
        <f t="shared" ca="1" si="6"/>
        <v>0</v>
      </c>
      <c r="G155" s="137" t="e">
        <f>IF(A155&lt;&gt;"",IF(AND(#REF!="Padrão",$H$4=#REF!),BDI!$B$17,IF(AND(#REF!="Padrão",$H$4=#REF!),BDI!#REF!,IF(AND(#REF!="Diferenciado",$H$4=#REF!),BDI!$E$17,IF(AND(#REF!="Diferenciado",$H$4=#REF!),BDI!#REF!,IF(#REF!="ZERO",0))))),"")</f>
        <v>#REF!</v>
      </c>
      <c r="H155" s="138" t="e">
        <f t="shared" ca="1" si="7"/>
        <v>#REF!</v>
      </c>
      <c r="I155" s="136" t="e">
        <f t="shared" ca="1" si="8"/>
        <v>#REF!</v>
      </c>
    </row>
    <row r="156" spans="1:9" hidden="1" x14ac:dyDescent="0.25">
      <c r="A156" s="113" t="s">
        <v>302</v>
      </c>
      <c r="B156" s="114" t="s">
        <v>1733</v>
      </c>
      <c r="C156" s="115" t="s">
        <v>95</v>
      </c>
      <c r="D156" s="115">
        <v>0</v>
      </c>
      <c r="E156" s="135">
        <f ca="1">OFFSET(INDEX(Composições!A:J,MATCH(Orçamentária!A156,Composições!A:A,0),8),2,0)</f>
        <v>6.3878000000000004</v>
      </c>
      <c r="F156" s="136">
        <f t="shared" ca="1" si="6"/>
        <v>0</v>
      </c>
      <c r="G156" s="137" t="e">
        <f>IF(A156&lt;&gt;"",IF(AND(#REF!="Padrão",$H$4=#REF!),BDI!$B$17,IF(AND(#REF!="Padrão",$H$4=#REF!),BDI!#REF!,IF(AND(#REF!="Diferenciado",$H$4=#REF!),BDI!$E$17,IF(AND(#REF!="Diferenciado",$H$4=#REF!),BDI!#REF!,IF(#REF!="ZERO",0))))),"")</f>
        <v>#REF!</v>
      </c>
      <c r="H156" s="138" t="e">
        <f t="shared" ca="1" si="7"/>
        <v>#REF!</v>
      </c>
      <c r="I156" s="136" t="e">
        <f t="shared" ca="1" si="8"/>
        <v>#REF!</v>
      </c>
    </row>
    <row r="157" spans="1:9" hidden="1" x14ac:dyDescent="0.25">
      <c r="A157" s="113" t="s">
        <v>304</v>
      </c>
      <c r="B157" s="114" t="s">
        <v>305</v>
      </c>
      <c r="C157" s="115" t="s">
        <v>93</v>
      </c>
      <c r="D157" s="115">
        <v>0</v>
      </c>
      <c r="E157" s="135">
        <f ca="1">OFFSET(INDEX(Composições!A:J,MATCH(Orçamentária!A157,Composições!A:A,0),8),2,0)</f>
        <v>5.1347500000000004</v>
      </c>
      <c r="F157" s="136">
        <f t="shared" ca="1" si="6"/>
        <v>0</v>
      </c>
      <c r="G157" s="137" t="e">
        <f>IF(A157&lt;&gt;"",IF(AND(#REF!="Padrão",$H$4=#REF!),BDI!$B$17,IF(AND(#REF!="Padrão",$H$4=#REF!),BDI!#REF!,IF(AND(#REF!="Diferenciado",$H$4=#REF!),BDI!$E$17,IF(AND(#REF!="Diferenciado",$H$4=#REF!),BDI!#REF!,IF(#REF!="ZERO",0))))),"")</f>
        <v>#REF!</v>
      </c>
      <c r="H157" s="138" t="e">
        <f t="shared" ca="1" si="7"/>
        <v>#REF!</v>
      </c>
      <c r="I157" s="136" t="e">
        <f t="shared" ca="1" si="8"/>
        <v>#REF!</v>
      </c>
    </row>
    <row r="158" spans="1:9" hidden="1" x14ac:dyDescent="0.25">
      <c r="A158" s="113" t="s">
        <v>306</v>
      </c>
      <c r="B158" s="114" t="s">
        <v>1734</v>
      </c>
      <c r="C158" s="115" t="s">
        <v>93</v>
      </c>
      <c r="D158" s="115">
        <v>0</v>
      </c>
      <c r="E158" s="135">
        <f ca="1">OFFSET(INDEX(Composições!A:J,MATCH(Orçamentária!A158,Composições!A:A,0),8),2,0)</f>
        <v>18.257575000000003</v>
      </c>
      <c r="F158" s="136">
        <f t="shared" ca="1" si="6"/>
        <v>0</v>
      </c>
      <c r="G158" s="137" t="e">
        <f>IF(A158&lt;&gt;"",IF(AND(#REF!="Padrão",$H$4=#REF!),BDI!$B$17,IF(AND(#REF!="Padrão",$H$4=#REF!),BDI!#REF!,IF(AND(#REF!="Diferenciado",$H$4=#REF!),BDI!$E$17,IF(AND(#REF!="Diferenciado",$H$4=#REF!),BDI!#REF!,IF(#REF!="ZERO",0))))),"")</f>
        <v>#REF!</v>
      </c>
      <c r="H158" s="138" t="e">
        <f t="shared" ca="1" si="7"/>
        <v>#REF!</v>
      </c>
      <c r="I158" s="136" t="e">
        <f t="shared" ca="1" si="8"/>
        <v>#REF!</v>
      </c>
    </row>
    <row r="159" spans="1:9" hidden="1" x14ac:dyDescent="0.25">
      <c r="A159" s="113" t="s">
        <v>308</v>
      </c>
      <c r="B159" s="114" t="s">
        <v>1735</v>
      </c>
      <c r="C159" s="115" t="s">
        <v>95</v>
      </c>
      <c r="D159" s="115">
        <v>0</v>
      </c>
      <c r="E159" s="135">
        <f ca="1">OFFSET(INDEX(Composições!A:J,MATCH(Orçamentária!A159,Composições!A:A,0),8),2,0)</f>
        <v>64.778600000000012</v>
      </c>
      <c r="F159" s="136">
        <f t="shared" ca="1" si="6"/>
        <v>0</v>
      </c>
      <c r="G159" s="137" t="e">
        <f>IF(A159&lt;&gt;"",IF(AND(#REF!="Padrão",$H$4=#REF!),BDI!$B$17,IF(AND(#REF!="Padrão",$H$4=#REF!),BDI!#REF!,IF(AND(#REF!="Diferenciado",$H$4=#REF!),BDI!$E$17,IF(AND(#REF!="Diferenciado",$H$4=#REF!),BDI!#REF!,IF(#REF!="ZERO",0))))),"")</f>
        <v>#REF!</v>
      </c>
      <c r="H159" s="138" t="e">
        <f t="shared" ca="1" si="7"/>
        <v>#REF!</v>
      </c>
      <c r="I159" s="136" t="e">
        <f t="shared" ca="1" si="8"/>
        <v>#REF!</v>
      </c>
    </row>
    <row r="160" spans="1:9" hidden="1" x14ac:dyDescent="0.25">
      <c r="A160" s="113" t="s">
        <v>311</v>
      </c>
      <c r="B160" s="114" t="s">
        <v>1736</v>
      </c>
      <c r="C160" s="115" t="s">
        <v>95</v>
      </c>
      <c r="D160" s="115">
        <v>0</v>
      </c>
      <c r="E160" s="135">
        <f ca="1">OFFSET(INDEX(Composições!A:J,MATCH(Orçamentária!A160,Composições!A:A,0),8),2,0)</f>
        <v>27.009925000000003</v>
      </c>
      <c r="F160" s="136">
        <f t="shared" ca="1" si="6"/>
        <v>0</v>
      </c>
      <c r="G160" s="137" t="e">
        <f>IF(A160&lt;&gt;"",IF(AND(#REF!="Padrão",$H$4=#REF!),BDI!$B$17,IF(AND(#REF!="Padrão",$H$4=#REF!),BDI!#REF!,IF(AND(#REF!="Diferenciado",$H$4=#REF!),BDI!$E$17,IF(AND(#REF!="Diferenciado",$H$4=#REF!),BDI!#REF!,IF(#REF!="ZERO",0))))),"")</f>
        <v>#REF!</v>
      </c>
      <c r="H160" s="138" t="e">
        <f t="shared" ca="1" si="7"/>
        <v>#REF!</v>
      </c>
      <c r="I160" s="136" t="e">
        <f t="shared" ca="1" si="8"/>
        <v>#REF!</v>
      </c>
    </row>
    <row r="161" spans="1:9" hidden="1" x14ac:dyDescent="0.25">
      <c r="A161" s="113" t="s">
        <v>312</v>
      </c>
      <c r="B161" s="114" t="s">
        <v>1737</v>
      </c>
      <c r="C161" s="115" t="s">
        <v>93</v>
      </c>
      <c r="D161" s="115">
        <v>0</v>
      </c>
      <c r="E161" s="135">
        <f ca="1">OFFSET(INDEX(Composições!A:J,MATCH(Orçamentária!A161,Composições!A:A,0),8),2,0)</f>
        <v>20.518591149999999</v>
      </c>
      <c r="F161" s="136">
        <f t="shared" ca="1" si="6"/>
        <v>0</v>
      </c>
      <c r="G161" s="137" t="e">
        <f>IF(A161&lt;&gt;"",IF(AND(#REF!="Padrão",$H$4=#REF!),BDI!$B$17,IF(AND(#REF!="Padrão",$H$4=#REF!),BDI!#REF!,IF(AND(#REF!="Diferenciado",$H$4=#REF!),BDI!$E$17,IF(AND(#REF!="Diferenciado",$H$4=#REF!),BDI!#REF!,IF(#REF!="ZERO",0))))),"")</f>
        <v>#REF!</v>
      </c>
      <c r="H161" s="138" t="e">
        <f t="shared" ca="1" si="7"/>
        <v>#REF!</v>
      </c>
      <c r="I161" s="136" t="e">
        <f t="shared" ca="1" si="8"/>
        <v>#REF!</v>
      </c>
    </row>
    <row r="162" spans="1:9" x14ac:dyDescent="0.25">
      <c r="A162" s="197" t="s">
        <v>315</v>
      </c>
      <c r="B162" s="198" t="s">
        <v>1738</v>
      </c>
      <c r="C162" s="199" t="s">
        <v>95</v>
      </c>
      <c r="D162" s="199">
        <v>52.18</v>
      </c>
      <c r="E162" s="135">
        <f ca="1">OFFSET(INDEX(Composições!A:J,MATCH(Orçamentária!A162,Composições!A:A,0),8),2,0)</f>
        <v>137.20907</v>
      </c>
      <c r="F162" s="136">
        <f t="shared" ca="1" si="6"/>
        <v>7159.5692725999997</v>
      </c>
      <c r="G162" s="137">
        <f>BDI!$B$17</f>
        <v>0.191</v>
      </c>
      <c r="H162" s="138">
        <f t="shared" ca="1" si="7"/>
        <v>163.41999999999999</v>
      </c>
      <c r="I162" s="136">
        <f t="shared" ca="1" si="8"/>
        <v>8527.26</v>
      </c>
    </row>
    <row r="163" spans="1:9" x14ac:dyDescent="0.25">
      <c r="A163" s="197" t="s">
        <v>317</v>
      </c>
      <c r="B163" s="198" t="s">
        <v>1739</v>
      </c>
      <c r="C163" s="199" t="s">
        <v>95</v>
      </c>
      <c r="D163" s="199">
        <v>35.270000000000003</v>
      </c>
      <c r="E163" s="135">
        <f ca="1">OFFSET(INDEX(Composições!A:J,MATCH(Orçamentária!A163,Composições!A:A,0),8),2,0)</f>
        <v>166.7104745</v>
      </c>
      <c r="F163" s="136">
        <f t="shared" ca="1" si="6"/>
        <v>5879.8784356150009</v>
      </c>
      <c r="G163" s="137">
        <f>BDI!$B$17</f>
        <v>0.191</v>
      </c>
      <c r="H163" s="138">
        <f t="shared" ca="1" si="7"/>
        <v>198.55</v>
      </c>
      <c r="I163" s="136">
        <f t="shared" ca="1" si="8"/>
        <v>7002.86</v>
      </c>
    </row>
    <row r="164" spans="1:9" hidden="1" x14ac:dyDescent="0.25">
      <c r="A164" s="113" t="s">
        <v>319</v>
      </c>
      <c r="B164" s="114" t="s">
        <v>1740</v>
      </c>
      <c r="C164" s="115" t="s">
        <v>95</v>
      </c>
      <c r="D164" s="115">
        <v>0</v>
      </c>
      <c r="E164" s="135">
        <f ca="1">OFFSET(INDEX(Composições!A:J,MATCH(Orçamentária!A164,Composições!A:A,0),8),2,0)</f>
        <v>40.535550000000008</v>
      </c>
      <c r="F164" s="136">
        <f t="shared" ca="1" si="6"/>
        <v>0</v>
      </c>
      <c r="G164" s="137" t="e">
        <f>IF(A164&lt;&gt;"",IF(AND(#REF!="Padrão",$H$4=#REF!),BDI!$B$17,IF(AND(#REF!="Padrão",$H$4=#REF!),BDI!#REF!,IF(AND(#REF!="Diferenciado",$H$4=#REF!),BDI!$E$17,IF(AND(#REF!="Diferenciado",$H$4=#REF!),BDI!#REF!,IF(#REF!="ZERO",0))))),"")</f>
        <v>#REF!</v>
      </c>
      <c r="H164" s="138" t="e">
        <f t="shared" ca="1" si="7"/>
        <v>#REF!</v>
      </c>
      <c r="I164" s="136" t="e">
        <f t="shared" ca="1" si="8"/>
        <v>#REF!</v>
      </c>
    </row>
    <row r="165" spans="1:9" hidden="1" x14ac:dyDescent="0.25">
      <c r="A165" s="113" t="s">
        <v>320</v>
      </c>
      <c r="B165" s="114" t="s">
        <v>1741</v>
      </c>
      <c r="C165" s="115" t="s">
        <v>20</v>
      </c>
      <c r="D165" s="115">
        <v>0</v>
      </c>
      <c r="E165" s="135">
        <f ca="1">OFFSET(INDEX(Composições!A:J,MATCH(Orçamentária!A165,Composições!A:A,0),8),2,0)</f>
        <v>20.297700000000003</v>
      </c>
      <c r="F165" s="136">
        <f t="shared" ca="1" si="6"/>
        <v>0</v>
      </c>
      <c r="G165" s="137" t="e">
        <f>IF(A165&lt;&gt;"",IF(AND(#REF!="Padrão",$H$4=#REF!),BDI!$B$17,IF(AND(#REF!="Padrão",$H$4=#REF!),BDI!#REF!,IF(AND(#REF!="Diferenciado",$H$4=#REF!),BDI!$E$17,IF(AND(#REF!="Diferenciado",$H$4=#REF!),BDI!#REF!,IF(#REF!="ZERO",0))))),"")</f>
        <v>#REF!</v>
      </c>
      <c r="H165" s="138" t="e">
        <f t="shared" ca="1" si="7"/>
        <v>#REF!</v>
      </c>
      <c r="I165" s="136" t="e">
        <f t="shared" ca="1" si="8"/>
        <v>#REF!</v>
      </c>
    </row>
    <row r="166" spans="1:9" hidden="1" x14ac:dyDescent="0.25">
      <c r="A166" s="113" t="s">
        <v>323</v>
      </c>
      <c r="B166" s="114" t="s">
        <v>1742</v>
      </c>
      <c r="C166" s="115" t="s">
        <v>93</v>
      </c>
      <c r="D166" s="115">
        <v>0</v>
      </c>
      <c r="E166" s="135">
        <f ca="1">OFFSET(INDEX(Composições!A:J,MATCH(Orçamentária!A166,Composições!A:A,0),8),2,0)</f>
        <v>6.4561876499999995</v>
      </c>
      <c r="F166" s="136">
        <f t="shared" ca="1" si="6"/>
        <v>0</v>
      </c>
      <c r="G166" s="137" t="e">
        <f>IF(A166&lt;&gt;"",IF(AND(#REF!="Padrão",$H$4=#REF!),BDI!$B$17,IF(AND(#REF!="Padrão",$H$4=#REF!),BDI!#REF!,IF(AND(#REF!="Diferenciado",$H$4=#REF!),BDI!$E$17,IF(AND(#REF!="Diferenciado",$H$4=#REF!),BDI!#REF!,IF(#REF!="ZERO",0))))),"")</f>
        <v>#REF!</v>
      </c>
      <c r="H166" s="138" t="e">
        <f t="shared" ca="1" si="7"/>
        <v>#REF!</v>
      </c>
      <c r="I166" s="136" t="e">
        <f t="shared" ca="1" si="8"/>
        <v>#REF!</v>
      </c>
    </row>
    <row r="167" spans="1:9" hidden="1" x14ac:dyDescent="0.25">
      <c r="A167" s="113" t="s">
        <v>1743</v>
      </c>
      <c r="B167" s="114" t="s">
        <v>1744</v>
      </c>
      <c r="C167" s="115" t="s">
        <v>95</v>
      </c>
      <c r="D167" s="115">
        <v>0</v>
      </c>
      <c r="E167" s="135" t="s">
        <v>568</v>
      </c>
      <c r="F167" s="136" t="str">
        <f t="shared" si="6"/>
        <v/>
      </c>
      <c r="G167" s="137" t="e">
        <f>IF(A167&lt;&gt;"",IF(AND(#REF!="Padrão",$H$4=#REF!),BDI!$B$17,IF(AND(#REF!="Padrão",$H$4=#REF!),BDI!#REF!,IF(AND(#REF!="Diferenciado",$H$4=#REF!),BDI!$E$17,IF(AND(#REF!="Diferenciado",$H$4=#REF!),BDI!#REF!,IF(#REF!="ZERO",0))))),"")</f>
        <v>#REF!</v>
      </c>
      <c r="H167" s="138" t="str">
        <f t="shared" si="7"/>
        <v/>
      </c>
      <c r="I167" s="136" t="str">
        <f t="shared" si="8"/>
        <v/>
      </c>
    </row>
    <row r="168" spans="1:9" hidden="1" x14ac:dyDescent="0.25">
      <c r="A168" s="113" t="s">
        <v>1745</v>
      </c>
      <c r="B168" s="114" t="s">
        <v>1746</v>
      </c>
      <c r="C168" s="115" t="s">
        <v>95</v>
      </c>
      <c r="D168" s="115">
        <v>0</v>
      </c>
      <c r="E168" s="135" t="s">
        <v>568</v>
      </c>
      <c r="F168" s="136" t="str">
        <f t="shared" si="6"/>
        <v/>
      </c>
      <c r="G168" s="137" t="e">
        <f>IF(A168&lt;&gt;"",IF(AND(#REF!="Padrão",$H$4=#REF!),BDI!$B$17,IF(AND(#REF!="Padrão",$H$4=#REF!),BDI!#REF!,IF(AND(#REF!="Diferenciado",$H$4=#REF!),BDI!$E$17,IF(AND(#REF!="Diferenciado",$H$4=#REF!),BDI!#REF!,IF(#REF!="ZERO",0))))),"")</f>
        <v>#REF!</v>
      </c>
      <c r="H168" s="138" t="str">
        <f t="shared" si="7"/>
        <v/>
      </c>
      <c r="I168" s="136" t="str">
        <f t="shared" si="8"/>
        <v/>
      </c>
    </row>
    <row r="169" spans="1:9" hidden="1" x14ac:dyDescent="0.25">
      <c r="A169" s="113" t="s">
        <v>1747</v>
      </c>
      <c r="B169" s="114" t="s">
        <v>1748</v>
      </c>
      <c r="C169" s="115" t="s">
        <v>95</v>
      </c>
      <c r="D169" s="115">
        <v>0</v>
      </c>
      <c r="E169" s="135" t="s">
        <v>568</v>
      </c>
      <c r="F169" s="136" t="str">
        <f t="shared" si="6"/>
        <v/>
      </c>
      <c r="G169" s="137" t="e">
        <f>IF(A169&lt;&gt;"",IF(AND(#REF!="Padrão",$H$4=#REF!),BDI!$B$17,IF(AND(#REF!="Padrão",$H$4=#REF!),BDI!#REF!,IF(AND(#REF!="Diferenciado",$H$4=#REF!),BDI!$E$17,IF(AND(#REF!="Diferenciado",$H$4=#REF!),BDI!#REF!,IF(#REF!="ZERO",0))))),"")</f>
        <v>#REF!</v>
      </c>
      <c r="H169" s="138" t="str">
        <f t="shared" si="7"/>
        <v/>
      </c>
      <c r="I169" s="136" t="str">
        <f t="shared" si="8"/>
        <v/>
      </c>
    </row>
    <row r="170" spans="1:9" hidden="1" x14ac:dyDescent="0.25">
      <c r="A170" s="113" t="s">
        <v>1749</v>
      </c>
      <c r="B170" s="114" t="s">
        <v>1750</v>
      </c>
      <c r="C170" s="115" t="s">
        <v>95</v>
      </c>
      <c r="D170" s="115">
        <v>0</v>
      </c>
      <c r="E170" s="135" t="s">
        <v>568</v>
      </c>
      <c r="F170" s="136" t="str">
        <f t="shared" si="6"/>
        <v/>
      </c>
      <c r="G170" s="137" t="e">
        <f>IF(A170&lt;&gt;"",IF(AND(#REF!="Padrão",$H$4=#REF!),BDI!$B$17,IF(AND(#REF!="Padrão",$H$4=#REF!),BDI!#REF!,IF(AND(#REF!="Diferenciado",$H$4=#REF!),BDI!$E$17,IF(AND(#REF!="Diferenciado",$H$4=#REF!),BDI!#REF!,IF(#REF!="ZERO",0))))),"")</f>
        <v>#REF!</v>
      </c>
      <c r="H170" s="138" t="str">
        <f t="shared" si="7"/>
        <v/>
      </c>
      <c r="I170" s="136" t="str">
        <f t="shared" si="8"/>
        <v/>
      </c>
    </row>
    <row r="171" spans="1:9" hidden="1" x14ac:dyDescent="0.25">
      <c r="A171" s="113" t="s">
        <v>324</v>
      </c>
      <c r="B171" s="114" t="s">
        <v>1751</v>
      </c>
      <c r="C171" s="115" t="s">
        <v>20</v>
      </c>
      <c r="D171" s="115">
        <v>0</v>
      </c>
      <c r="E171" s="135">
        <f ca="1">OFFSET(INDEX(Composições!A:J,MATCH(Orçamentária!A171,Composições!A:A,0),8),2,0)</f>
        <v>7.0698999999999996</v>
      </c>
      <c r="F171" s="136">
        <f t="shared" ca="1" si="6"/>
        <v>0</v>
      </c>
      <c r="G171" s="137" t="e">
        <f>IF(A171&lt;&gt;"",IF(AND(#REF!="Padrão",$H$4=#REF!),BDI!$B$17,IF(AND(#REF!="Padrão",$H$4=#REF!),BDI!#REF!,IF(AND(#REF!="Diferenciado",$H$4=#REF!),BDI!$E$17,IF(AND(#REF!="Diferenciado",$H$4=#REF!),BDI!#REF!,IF(#REF!="ZERO",0))))),"")</f>
        <v>#REF!</v>
      </c>
      <c r="H171" s="138" t="e">
        <f t="shared" ca="1" si="7"/>
        <v>#REF!</v>
      </c>
      <c r="I171" s="136" t="e">
        <f t="shared" ca="1" si="8"/>
        <v>#REF!</v>
      </c>
    </row>
    <row r="172" spans="1:9" hidden="1" x14ac:dyDescent="0.25">
      <c r="A172" s="113" t="s">
        <v>327</v>
      </c>
      <c r="B172" s="114" t="s">
        <v>1752</v>
      </c>
      <c r="C172" s="115" t="s">
        <v>93</v>
      </c>
      <c r="D172" s="115">
        <v>0</v>
      </c>
      <c r="E172" s="135">
        <f ca="1">OFFSET(INDEX(Composições!A:J,MATCH(Orçamentária!A172,Composições!A:A,0),8),2,0)</f>
        <v>59.300756549999988</v>
      </c>
      <c r="F172" s="136">
        <f t="shared" ca="1" si="6"/>
        <v>0</v>
      </c>
      <c r="G172" s="137" t="e">
        <f>IF(A172&lt;&gt;"",IF(AND(#REF!="Padrão",$H$4=#REF!),BDI!$B$17,IF(AND(#REF!="Padrão",$H$4=#REF!),BDI!#REF!,IF(AND(#REF!="Diferenciado",$H$4=#REF!),BDI!$E$17,IF(AND(#REF!="Diferenciado",$H$4=#REF!),BDI!#REF!,IF(#REF!="ZERO",0))))),"")</f>
        <v>#REF!</v>
      </c>
      <c r="H172" s="138" t="e">
        <f t="shared" ca="1" si="7"/>
        <v>#REF!</v>
      </c>
      <c r="I172" s="136" t="e">
        <f t="shared" ca="1" si="8"/>
        <v>#REF!</v>
      </c>
    </row>
    <row r="173" spans="1:9" x14ac:dyDescent="0.25">
      <c r="A173" s="197" t="s">
        <v>332</v>
      </c>
      <c r="B173" s="198" t="s">
        <v>1753</v>
      </c>
      <c r="C173" s="199" t="s">
        <v>93</v>
      </c>
      <c r="D173" s="199">
        <v>9.1999999999999993</v>
      </c>
      <c r="E173" s="135">
        <f ca="1">OFFSET(INDEX(Composições!A:J,MATCH(Orçamentária!A173,Composições!A:A,0),8),2,0)</f>
        <v>18.3123425</v>
      </c>
      <c r="F173" s="136">
        <f t="shared" ca="1" si="6"/>
        <v>168.47355099999999</v>
      </c>
      <c r="G173" s="137">
        <f>BDI!$B$17</f>
        <v>0.191</v>
      </c>
      <c r="H173" s="138">
        <f t="shared" ca="1" si="7"/>
        <v>21.81</v>
      </c>
      <c r="I173" s="136">
        <f t="shared" ca="1" si="8"/>
        <v>200.65</v>
      </c>
    </row>
    <row r="174" spans="1:9" x14ac:dyDescent="0.25">
      <c r="A174" s="197" t="s">
        <v>333</v>
      </c>
      <c r="B174" s="198" t="s">
        <v>1754</v>
      </c>
      <c r="C174" s="199" t="s">
        <v>93</v>
      </c>
      <c r="D174" s="199">
        <v>22.2</v>
      </c>
      <c r="E174" s="135">
        <f ca="1">OFFSET(INDEX(Composições!A:J,MATCH(Orçamentária!A174,Composições!A:A,0),8),2,0)</f>
        <v>25.212050950000002</v>
      </c>
      <c r="F174" s="136">
        <f t="shared" ca="1" si="6"/>
        <v>559.70753108999997</v>
      </c>
      <c r="G174" s="137">
        <f>BDI!$B$17</f>
        <v>0.191</v>
      </c>
      <c r="H174" s="138">
        <f t="shared" ca="1" si="7"/>
        <v>30.03</v>
      </c>
      <c r="I174" s="136">
        <f t="shared" ca="1" si="8"/>
        <v>666.67</v>
      </c>
    </row>
    <row r="175" spans="1:9" hidden="1" x14ac:dyDescent="0.25">
      <c r="A175" s="113" t="s">
        <v>334</v>
      </c>
      <c r="B175" s="114" t="s">
        <v>1755</v>
      </c>
      <c r="C175" s="115" t="s">
        <v>93</v>
      </c>
      <c r="D175" s="115">
        <v>0</v>
      </c>
      <c r="E175" s="135">
        <f ca="1">OFFSET(INDEX(Composições!A:J,MATCH(Orçamentária!A175,Composições!A:A,0),8),2,0)</f>
        <v>37.348534650000005</v>
      </c>
      <c r="F175" s="136">
        <f t="shared" ca="1" si="6"/>
        <v>0</v>
      </c>
      <c r="G175" s="137" t="e">
        <f>IF(A175&lt;&gt;"",IF(AND(#REF!="Padrão",$H$4=#REF!),BDI!$B$17,IF(AND(#REF!="Padrão",$H$4=#REF!),BDI!#REF!,IF(AND(#REF!="Diferenciado",$H$4=#REF!),BDI!$E$17,IF(AND(#REF!="Diferenciado",$H$4=#REF!),BDI!#REF!,IF(#REF!="ZERO",0))))),"")</f>
        <v>#REF!</v>
      </c>
      <c r="H175" s="138" t="e">
        <f t="shared" ca="1" si="7"/>
        <v>#REF!</v>
      </c>
      <c r="I175" s="136" t="e">
        <f t="shared" ca="1" si="8"/>
        <v>#REF!</v>
      </c>
    </row>
    <row r="176" spans="1:9" x14ac:dyDescent="0.25">
      <c r="A176" s="197" t="s">
        <v>336</v>
      </c>
      <c r="B176" s="198" t="s">
        <v>1756</v>
      </c>
      <c r="C176" s="199" t="s">
        <v>93</v>
      </c>
      <c r="D176" s="199">
        <v>19</v>
      </c>
      <c r="E176" s="135">
        <f ca="1">OFFSET(INDEX(Composições!A:J,MATCH(Orçamentária!A176,Composições!A:A,0),8),2,0)</f>
        <v>4.6984054999999989</v>
      </c>
      <c r="F176" s="136">
        <f t="shared" ca="1" si="6"/>
        <v>89.269704499999975</v>
      </c>
      <c r="G176" s="137">
        <f>BDI!$B$17</f>
        <v>0.191</v>
      </c>
      <c r="H176" s="138">
        <f t="shared" ca="1" si="7"/>
        <v>5.6</v>
      </c>
      <c r="I176" s="136">
        <f t="shared" ca="1" si="8"/>
        <v>106.4</v>
      </c>
    </row>
    <row r="177" spans="1:9" hidden="1" x14ac:dyDescent="0.25">
      <c r="A177" s="113" t="s">
        <v>338</v>
      </c>
      <c r="B177" s="114" t="s">
        <v>1757</v>
      </c>
      <c r="C177" s="115" t="s">
        <v>93</v>
      </c>
      <c r="D177" s="115">
        <v>0</v>
      </c>
      <c r="E177" s="135">
        <f ca="1">OFFSET(INDEX(Composições!A:J,MATCH(Orçamentária!A177,Composições!A:A,0),8),2,0)</f>
        <v>9.9325254999999988</v>
      </c>
      <c r="F177" s="136">
        <f t="shared" ca="1" si="6"/>
        <v>0</v>
      </c>
      <c r="G177" s="137" t="e">
        <f>IF(A177&lt;&gt;"",IF(AND(#REF!="Padrão",$H$4=#REF!),BDI!$B$17,IF(AND(#REF!="Padrão",$H$4=#REF!),BDI!#REF!,IF(AND(#REF!="Diferenciado",$H$4=#REF!),BDI!$E$17,IF(AND(#REF!="Diferenciado",$H$4=#REF!),BDI!#REF!,IF(#REF!="ZERO",0))))),"")</f>
        <v>#REF!</v>
      </c>
      <c r="H177" s="138" t="e">
        <f t="shared" ca="1" si="7"/>
        <v>#REF!</v>
      </c>
      <c r="I177" s="136" t="e">
        <f t="shared" ca="1" si="8"/>
        <v>#REF!</v>
      </c>
    </row>
    <row r="178" spans="1:9" hidden="1" x14ac:dyDescent="0.25">
      <c r="A178" s="113" t="s">
        <v>340</v>
      </c>
      <c r="B178" s="114" t="s">
        <v>1758</v>
      </c>
      <c r="C178" s="115" t="s">
        <v>93</v>
      </c>
      <c r="D178" s="115">
        <v>0</v>
      </c>
      <c r="E178" s="135">
        <f ca="1">OFFSET(INDEX(Composições!A:J,MATCH(Orçamentária!A178,Composições!A:A,0),8),2,0)</f>
        <v>14.28515</v>
      </c>
      <c r="F178" s="136">
        <f t="shared" ca="1" si="6"/>
        <v>0</v>
      </c>
      <c r="G178" s="137" t="e">
        <f>IF(A178&lt;&gt;"",IF(AND(#REF!="Padrão",$H$4=#REF!),BDI!$B$17,IF(AND(#REF!="Padrão",$H$4=#REF!),BDI!#REF!,IF(AND(#REF!="Diferenciado",$H$4=#REF!),BDI!$E$17,IF(AND(#REF!="Diferenciado",$H$4=#REF!),BDI!#REF!,IF(#REF!="ZERO",0))))),"")</f>
        <v>#REF!</v>
      </c>
      <c r="H178" s="138" t="e">
        <f t="shared" ca="1" si="7"/>
        <v>#REF!</v>
      </c>
      <c r="I178" s="136" t="e">
        <f t="shared" ca="1" si="8"/>
        <v>#REF!</v>
      </c>
    </row>
    <row r="179" spans="1:9" hidden="1" x14ac:dyDescent="0.25">
      <c r="A179" s="113" t="s">
        <v>342</v>
      </c>
      <c r="B179" s="114" t="s">
        <v>1759</v>
      </c>
      <c r="C179" s="115" t="s">
        <v>93</v>
      </c>
      <c r="D179" s="115">
        <v>0</v>
      </c>
      <c r="E179" s="135">
        <f ca="1">OFFSET(INDEX(Composições!A:J,MATCH(Orçamentária!A179,Composições!A:A,0),8),2,0)</f>
        <v>16.426953499999996</v>
      </c>
      <c r="F179" s="136">
        <f t="shared" ca="1" si="6"/>
        <v>0</v>
      </c>
      <c r="G179" s="137" t="e">
        <f>IF(A179&lt;&gt;"",IF(AND(#REF!="Padrão",$H$4=#REF!),BDI!$B$17,IF(AND(#REF!="Padrão",$H$4=#REF!),BDI!#REF!,IF(AND(#REF!="Diferenciado",$H$4=#REF!),BDI!$E$17,IF(AND(#REF!="Diferenciado",$H$4=#REF!),BDI!#REF!,IF(#REF!="ZERO",0))))),"")</f>
        <v>#REF!</v>
      </c>
      <c r="H179" s="138" t="e">
        <f t="shared" ca="1" si="7"/>
        <v>#REF!</v>
      </c>
      <c r="I179" s="136" t="e">
        <f t="shared" ca="1" si="8"/>
        <v>#REF!</v>
      </c>
    </row>
    <row r="180" spans="1:9" hidden="1" x14ac:dyDescent="0.25">
      <c r="A180" s="113" t="s">
        <v>344</v>
      </c>
      <c r="B180" s="114" t="s">
        <v>1760</v>
      </c>
      <c r="C180" s="115" t="s">
        <v>20</v>
      </c>
      <c r="D180" s="115">
        <v>0</v>
      </c>
      <c r="E180" s="135">
        <f ca="1">OFFSET(INDEX(Composições!A:J,MATCH(Orçamentária!A180,Composições!A:A,0),8),2,0)</f>
        <v>10.549123000000002</v>
      </c>
      <c r="F180" s="136">
        <f t="shared" ca="1" si="6"/>
        <v>0</v>
      </c>
      <c r="G180" s="137" t="e">
        <f>IF(A180&lt;&gt;"",IF(AND(#REF!="Padrão",$H$4=#REF!),BDI!$B$17,IF(AND(#REF!="Padrão",$H$4=#REF!),BDI!#REF!,IF(AND(#REF!="Diferenciado",$H$4=#REF!),BDI!$E$17,IF(AND(#REF!="Diferenciado",$H$4=#REF!),BDI!#REF!,IF(#REF!="ZERO",0))))),"")</f>
        <v>#REF!</v>
      </c>
      <c r="H180" s="138" t="e">
        <f t="shared" ca="1" si="7"/>
        <v>#REF!</v>
      </c>
      <c r="I180" s="136" t="e">
        <f t="shared" ca="1" si="8"/>
        <v>#REF!</v>
      </c>
    </row>
    <row r="181" spans="1:9" x14ac:dyDescent="0.25">
      <c r="A181" s="197" t="s">
        <v>347</v>
      </c>
      <c r="B181" s="198" t="s">
        <v>1761</v>
      </c>
      <c r="C181" s="199" t="s">
        <v>20</v>
      </c>
      <c r="D181" s="199">
        <v>3</v>
      </c>
      <c r="E181" s="135">
        <f ca="1">OFFSET(INDEX(Composições!A:J,MATCH(Orçamentária!A181,Composições!A:A,0),8),2,0)</f>
        <v>75.139943149999993</v>
      </c>
      <c r="F181" s="136">
        <f t="shared" ca="1" si="6"/>
        <v>225.41982944999998</v>
      </c>
      <c r="G181" s="137">
        <f>BDI!$B$17</f>
        <v>0.191</v>
      </c>
      <c r="H181" s="138">
        <f t="shared" ca="1" si="7"/>
        <v>89.49</v>
      </c>
      <c r="I181" s="136">
        <f t="shared" ca="1" si="8"/>
        <v>268.47000000000003</v>
      </c>
    </row>
    <row r="182" spans="1:9" hidden="1" x14ac:dyDescent="0.25">
      <c r="A182" s="113" t="s">
        <v>351</v>
      </c>
      <c r="B182" s="114" t="s">
        <v>1762</v>
      </c>
      <c r="C182" s="115" t="s">
        <v>20</v>
      </c>
      <c r="D182" s="115">
        <v>0</v>
      </c>
      <c r="E182" s="135">
        <f ca="1">OFFSET(INDEX(Composições!A:J,MATCH(Orçamentária!A182,Composições!A:A,0),8),2,0)</f>
        <v>133.69794315000001</v>
      </c>
      <c r="F182" s="136">
        <f t="shared" ca="1" si="6"/>
        <v>0</v>
      </c>
      <c r="G182" s="137" t="e">
        <f>IF(A182&lt;&gt;"",IF(AND(#REF!="Padrão",$H$4=#REF!),BDI!$B$17,IF(AND(#REF!="Padrão",$H$4=#REF!),BDI!#REF!,IF(AND(#REF!="Diferenciado",$H$4=#REF!),BDI!$E$17,IF(AND(#REF!="Diferenciado",$H$4=#REF!),BDI!#REF!,IF(#REF!="ZERO",0))))),"")</f>
        <v>#REF!</v>
      </c>
      <c r="H182" s="138" t="e">
        <f t="shared" ca="1" si="7"/>
        <v>#REF!</v>
      </c>
      <c r="I182" s="136" t="e">
        <f t="shared" ca="1" si="8"/>
        <v>#REF!</v>
      </c>
    </row>
    <row r="183" spans="1:9" hidden="1" x14ac:dyDescent="0.25">
      <c r="A183" s="113" t="s">
        <v>353</v>
      </c>
      <c r="B183" s="114" t="s">
        <v>1763</v>
      </c>
      <c r="C183" s="115" t="s">
        <v>20</v>
      </c>
      <c r="D183" s="115">
        <v>0</v>
      </c>
      <c r="E183" s="135">
        <f ca="1">OFFSET(INDEX(Composições!A:J,MATCH(Orçamentária!A183,Composições!A:A,0),8),2,0)</f>
        <v>2.4467250000000003</v>
      </c>
      <c r="F183" s="136">
        <f t="shared" ca="1" si="6"/>
        <v>0</v>
      </c>
      <c r="G183" s="137" t="e">
        <f>IF(A183&lt;&gt;"",IF(AND(#REF!="Padrão",$H$4=#REF!),BDI!$B$17,IF(AND(#REF!="Padrão",$H$4=#REF!),BDI!#REF!,IF(AND(#REF!="Diferenciado",$H$4=#REF!),BDI!$E$17,IF(AND(#REF!="Diferenciado",$H$4=#REF!),BDI!#REF!,IF(#REF!="ZERO",0))))),"")</f>
        <v>#REF!</v>
      </c>
      <c r="H183" s="138" t="e">
        <f t="shared" ca="1" si="7"/>
        <v>#REF!</v>
      </c>
      <c r="I183" s="136" t="e">
        <f t="shared" ca="1" si="8"/>
        <v>#REF!</v>
      </c>
    </row>
    <row r="184" spans="1:9" x14ac:dyDescent="0.25">
      <c r="A184" s="197" t="s">
        <v>355</v>
      </c>
      <c r="B184" s="198" t="s">
        <v>1764</v>
      </c>
      <c r="C184" s="199" t="s">
        <v>20</v>
      </c>
      <c r="D184" s="199">
        <v>12</v>
      </c>
      <c r="E184" s="135">
        <f ca="1">OFFSET(INDEX(Composições!A:J,MATCH(Orçamentária!A184,Composições!A:A,0),8),2,0)</f>
        <v>67.436724999999996</v>
      </c>
      <c r="F184" s="136">
        <f t="shared" ca="1" si="6"/>
        <v>809.24069999999995</v>
      </c>
      <c r="G184" s="137">
        <f>BDI!$B$17</f>
        <v>0.191</v>
      </c>
      <c r="H184" s="138">
        <f t="shared" ca="1" si="7"/>
        <v>80.319999999999993</v>
      </c>
      <c r="I184" s="136">
        <f t="shared" ca="1" si="8"/>
        <v>963.84</v>
      </c>
    </row>
    <row r="185" spans="1:9" x14ac:dyDescent="0.25">
      <c r="A185" s="197" t="s">
        <v>357</v>
      </c>
      <c r="B185" s="198" t="s">
        <v>1765</v>
      </c>
      <c r="C185" s="199" t="s">
        <v>20</v>
      </c>
      <c r="D185" s="199">
        <v>4</v>
      </c>
      <c r="E185" s="135">
        <f ca="1">OFFSET(INDEX(Composições!A:J,MATCH(Orçamentária!A185,Composições!A:A,0),8),2,0)</f>
        <v>12.292882199999999</v>
      </c>
      <c r="F185" s="136">
        <f t="shared" ca="1" si="6"/>
        <v>49.171528799999997</v>
      </c>
      <c r="G185" s="137">
        <f>BDI!$B$17</f>
        <v>0.191</v>
      </c>
      <c r="H185" s="138">
        <f t="shared" ca="1" si="7"/>
        <v>14.64</v>
      </c>
      <c r="I185" s="136">
        <f t="shared" ca="1" si="8"/>
        <v>58.56</v>
      </c>
    </row>
    <row r="186" spans="1:9" hidden="1" x14ac:dyDescent="0.25">
      <c r="A186" s="113" t="s">
        <v>359</v>
      </c>
      <c r="B186" s="114" t="s">
        <v>1766</v>
      </c>
      <c r="C186" s="115" t="s">
        <v>20</v>
      </c>
      <c r="D186" s="115">
        <v>0</v>
      </c>
      <c r="E186" s="135">
        <f ca="1">OFFSET(INDEX(Composições!A:J,MATCH(Orçamentária!A186,Composições!A:A,0),8),2,0)</f>
        <v>1.6311500000000003</v>
      </c>
      <c r="F186" s="136">
        <f t="shared" ca="1" si="6"/>
        <v>0</v>
      </c>
      <c r="G186" s="137" t="e">
        <f>IF(A186&lt;&gt;"",IF(AND(#REF!="Padrão",$H$4=#REF!),BDI!$B$17,IF(AND(#REF!="Padrão",$H$4=#REF!),BDI!#REF!,IF(AND(#REF!="Diferenciado",$H$4=#REF!),BDI!$E$17,IF(AND(#REF!="Diferenciado",$H$4=#REF!),BDI!#REF!,IF(#REF!="ZERO",0))))),"")</f>
        <v>#REF!</v>
      </c>
      <c r="H186" s="138" t="e">
        <f t="shared" ca="1" si="7"/>
        <v>#REF!</v>
      </c>
      <c r="I186" s="136" t="e">
        <f t="shared" ca="1" si="8"/>
        <v>#REF!</v>
      </c>
    </row>
    <row r="187" spans="1:9" hidden="1" x14ac:dyDescent="0.25">
      <c r="A187" s="113" t="s">
        <v>361</v>
      </c>
      <c r="B187" s="114" t="s">
        <v>1767</v>
      </c>
      <c r="C187" s="115" t="s">
        <v>20</v>
      </c>
      <c r="D187" s="115">
        <v>0</v>
      </c>
      <c r="E187" s="135">
        <f ca="1">OFFSET(INDEX(Composições!A:J,MATCH(Orçamentária!A187,Composições!A:A,0),8),2,0)</f>
        <v>178.74422519999996</v>
      </c>
      <c r="F187" s="136">
        <f t="shared" ca="1" si="6"/>
        <v>0</v>
      </c>
      <c r="G187" s="137" t="e">
        <f>IF(A187&lt;&gt;"",IF(AND(#REF!="Padrão",$H$4=#REF!),BDI!$B$17,IF(AND(#REF!="Padrão",$H$4=#REF!),BDI!#REF!,IF(AND(#REF!="Diferenciado",$H$4=#REF!),BDI!$E$17,IF(AND(#REF!="Diferenciado",$H$4=#REF!),BDI!#REF!,IF(#REF!="ZERO",0))))),"")</f>
        <v>#REF!</v>
      </c>
      <c r="H187" s="138" t="e">
        <f t="shared" ca="1" si="7"/>
        <v>#REF!</v>
      </c>
      <c r="I187" s="136" t="e">
        <f t="shared" ca="1" si="8"/>
        <v>#REF!</v>
      </c>
    </row>
    <row r="188" spans="1:9" hidden="1" x14ac:dyDescent="0.25">
      <c r="A188" s="113" t="s">
        <v>364</v>
      </c>
      <c r="B188" s="114" t="s">
        <v>1768</v>
      </c>
      <c r="C188" s="115" t="s">
        <v>20</v>
      </c>
      <c r="D188" s="115">
        <v>0</v>
      </c>
      <c r="E188" s="135">
        <f ca="1">OFFSET(INDEX(Composições!A:J,MATCH(Orçamentária!A188,Composições!A:A,0),8),2,0)</f>
        <v>45.791725199999988</v>
      </c>
      <c r="F188" s="136">
        <f t="shared" ca="1" si="6"/>
        <v>0</v>
      </c>
      <c r="G188" s="137" t="e">
        <f>IF(A188&lt;&gt;"",IF(AND(#REF!="Padrão",$H$4=#REF!),BDI!$B$17,IF(AND(#REF!="Padrão",$H$4=#REF!),BDI!#REF!,IF(AND(#REF!="Diferenciado",$H$4=#REF!),BDI!$E$17,IF(AND(#REF!="Diferenciado",$H$4=#REF!),BDI!#REF!,IF(#REF!="ZERO",0))))),"")</f>
        <v>#REF!</v>
      </c>
      <c r="H188" s="138" t="e">
        <f t="shared" ca="1" si="7"/>
        <v>#REF!</v>
      </c>
      <c r="I188" s="136" t="e">
        <f t="shared" ca="1" si="8"/>
        <v>#REF!</v>
      </c>
    </row>
    <row r="189" spans="1:9" hidden="1" x14ac:dyDescent="0.25">
      <c r="A189" s="113" t="s">
        <v>366</v>
      </c>
      <c r="B189" s="114" t="s">
        <v>1769</v>
      </c>
      <c r="C189" s="115" t="s">
        <v>20</v>
      </c>
      <c r="D189" s="115">
        <v>0</v>
      </c>
      <c r="E189" s="135">
        <f ca="1">OFFSET(INDEX(Composições!A:J,MATCH(Orçamentária!A189,Composições!A:A,0),8),2,0)</f>
        <v>33.993000699999996</v>
      </c>
      <c r="F189" s="136">
        <f t="shared" ca="1" si="6"/>
        <v>0</v>
      </c>
      <c r="G189" s="137" t="e">
        <f>IF(A189&lt;&gt;"",IF(AND(#REF!="Padrão",$H$4=#REF!),BDI!$B$17,IF(AND(#REF!="Padrão",$H$4=#REF!),BDI!#REF!,IF(AND(#REF!="Diferenciado",$H$4=#REF!),BDI!$E$17,IF(AND(#REF!="Diferenciado",$H$4=#REF!),BDI!#REF!,IF(#REF!="ZERO",0))))),"")</f>
        <v>#REF!</v>
      </c>
      <c r="H189" s="138" t="e">
        <f t="shared" ca="1" si="7"/>
        <v>#REF!</v>
      </c>
      <c r="I189" s="136" t="e">
        <f t="shared" ca="1" si="8"/>
        <v>#REF!</v>
      </c>
    </row>
    <row r="190" spans="1:9" hidden="1" x14ac:dyDescent="0.25">
      <c r="A190" s="113" t="s">
        <v>369</v>
      </c>
      <c r="B190" s="114" t="s">
        <v>1770</v>
      </c>
      <c r="C190" s="115" t="s">
        <v>20</v>
      </c>
      <c r="D190" s="115">
        <v>0</v>
      </c>
      <c r="E190" s="135">
        <f ca="1">OFFSET(INDEX(Composições!A:J,MATCH(Orçamentária!A190,Composições!A:A,0),8),2,0)</f>
        <v>19.183463999999997</v>
      </c>
      <c r="F190" s="136">
        <f t="shared" ca="1" si="6"/>
        <v>0</v>
      </c>
      <c r="G190" s="137" t="e">
        <f>IF(A190&lt;&gt;"",IF(AND(#REF!="Padrão",$H$4=#REF!),BDI!$B$17,IF(AND(#REF!="Padrão",$H$4=#REF!),BDI!#REF!,IF(AND(#REF!="Diferenciado",$H$4=#REF!),BDI!$E$17,IF(AND(#REF!="Diferenciado",$H$4=#REF!),BDI!#REF!,IF(#REF!="ZERO",0))))),"")</f>
        <v>#REF!</v>
      </c>
      <c r="H190" s="138" t="e">
        <f t="shared" ca="1" si="7"/>
        <v>#REF!</v>
      </c>
      <c r="I190" s="136" t="e">
        <f t="shared" ca="1" si="8"/>
        <v>#REF!</v>
      </c>
    </row>
    <row r="191" spans="1:9" hidden="1" x14ac:dyDescent="0.25">
      <c r="A191" s="113" t="s">
        <v>371</v>
      </c>
      <c r="B191" s="114" t="s">
        <v>1771</v>
      </c>
      <c r="C191" s="115" t="s">
        <v>20</v>
      </c>
      <c r="D191" s="115">
        <v>0</v>
      </c>
      <c r="E191" s="135">
        <f ca="1">OFFSET(INDEX(Composições!A:J,MATCH(Orçamentária!A191,Composições!A:A,0),8),2,0)</f>
        <v>33.993000699999996</v>
      </c>
      <c r="F191" s="136">
        <f t="shared" ca="1" si="6"/>
        <v>0</v>
      </c>
      <c r="G191" s="137" t="e">
        <f>IF(A191&lt;&gt;"",IF(AND(#REF!="Padrão",$H$4=#REF!),BDI!$B$17,IF(AND(#REF!="Padrão",$H$4=#REF!),BDI!#REF!,IF(AND(#REF!="Diferenciado",$H$4=#REF!),BDI!$E$17,IF(AND(#REF!="Diferenciado",$H$4=#REF!),BDI!#REF!,IF(#REF!="ZERO",0))))),"")</f>
        <v>#REF!</v>
      </c>
      <c r="H191" s="138" t="e">
        <f t="shared" ca="1" si="7"/>
        <v>#REF!</v>
      </c>
      <c r="I191" s="136" t="e">
        <f t="shared" ca="1" si="8"/>
        <v>#REF!</v>
      </c>
    </row>
    <row r="192" spans="1:9" hidden="1" x14ac:dyDescent="0.25">
      <c r="A192" s="113" t="s">
        <v>373</v>
      </c>
      <c r="B192" s="114" t="s">
        <v>1772</v>
      </c>
      <c r="C192" s="115" t="s">
        <v>20</v>
      </c>
      <c r="D192" s="115">
        <v>0</v>
      </c>
      <c r="E192" s="135">
        <f ca="1">OFFSET(INDEX(Composições!A:J,MATCH(Orçamentária!A192,Composições!A:A,0),8),2,0)</f>
        <v>29.296234899999998</v>
      </c>
      <c r="F192" s="136">
        <f t="shared" ca="1" si="6"/>
        <v>0</v>
      </c>
      <c r="G192" s="137" t="e">
        <f>IF(A192&lt;&gt;"",IF(AND(#REF!="Padrão",$H$4=#REF!),BDI!$B$17,IF(AND(#REF!="Padrão",$H$4=#REF!),BDI!#REF!,IF(AND(#REF!="Diferenciado",$H$4=#REF!),BDI!$E$17,IF(AND(#REF!="Diferenciado",$H$4=#REF!),BDI!#REF!,IF(#REF!="ZERO",0))))),"")</f>
        <v>#REF!</v>
      </c>
      <c r="H192" s="138" t="e">
        <f t="shared" ca="1" si="7"/>
        <v>#REF!</v>
      </c>
      <c r="I192" s="136" t="e">
        <f t="shared" ca="1" si="8"/>
        <v>#REF!</v>
      </c>
    </row>
    <row r="193" spans="1:9" hidden="1" x14ac:dyDescent="0.25">
      <c r="A193" s="113" t="s">
        <v>375</v>
      </c>
      <c r="B193" s="114" t="s">
        <v>1773</v>
      </c>
      <c r="C193" s="115" t="s">
        <v>20</v>
      </c>
      <c r="D193" s="115">
        <v>0</v>
      </c>
      <c r="E193" s="135">
        <f ca="1">OFFSET(INDEX(Composições!A:J,MATCH(Orçamentária!A193,Composições!A:A,0),8),2,0)</f>
        <v>29.882060000000003</v>
      </c>
      <c r="F193" s="136">
        <f t="shared" ca="1" si="6"/>
        <v>0</v>
      </c>
      <c r="G193" s="137" t="e">
        <f>IF(A193&lt;&gt;"",IF(AND(#REF!="Padrão",$H$4=#REF!),BDI!$B$17,IF(AND(#REF!="Padrão",$H$4=#REF!),BDI!#REF!,IF(AND(#REF!="Diferenciado",$H$4=#REF!),BDI!$E$17,IF(AND(#REF!="Diferenciado",$H$4=#REF!),BDI!#REF!,IF(#REF!="ZERO",0))))),"")</f>
        <v>#REF!</v>
      </c>
      <c r="H193" s="138" t="e">
        <f t="shared" ca="1" si="7"/>
        <v>#REF!</v>
      </c>
      <c r="I193" s="136" t="e">
        <f t="shared" ca="1" si="8"/>
        <v>#REF!</v>
      </c>
    </row>
    <row r="194" spans="1:9" hidden="1" x14ac:dyDescent="0.25">
      <c r="A194" s="113" t="s">
        <v>378</v>
      </c>
      <c r="B194" s="114" t="s">
        <v>1774</v>
      </c>
      <c r="C194" s="115" t="s">
        <v>20</v>
      </c>
      <c r="D194" s="115">
        <v>0</v>
      </c>
      <c r="E194" s="135">
        <f ca="1">OFFSET(INDEX(Composições!A:J,MATCH(Orçamentária!A194,Composições!A:A,0),8),2,0)</f>
        <v>45.752805599999988</v>
      </c>
      <c r="F194" s="136">
        <f t="shared" ca="1" si="6"/>
        <v>0</v>
      </c>
      <c r="G194" s="137" t="e">
        <f>IF(A194&lt;&gt;"",IF(AND(#REF!="Padrão",$H$4=#REF!),BDI!$B$17,IF(AND(#REF!="Padrão",$H$4=#REF!),BDI!#REF!,IF(AND(#REF!="Diferenciado",$H$4=#REF!),BDI!$E$17,IF(AND(#REF!="Diferenciado",$H$4=#REF!),BDI!#REF!,IF(#REF!="ZERO",0))))),"")</f>
        <v>#REF!</v>
      </c>
      <c r="H194" s="138" t="e">
        <f t="shared" ca="1" si="7"/>
        <v>#REF!</v>
      </c>
      <c r="I194" s="136" t="e">
        <f t="shared" ca="1" si="8"/>
        <v>#REF!</v>
      </c>
    </row>
    <row r="195" spans="1:9" hidden="1" x14ac:dyDescent="0.25">
      <c r="A195" s="113" t="s">
        <v>379</v>
      </c>
      <c r="B195" s="114" t="s">
        <v>1775</v>
      </c>
      <c r="C195" s="115" t="s">
        <v>20</v>
      </c>
      <c r="D195" s="115">
        <v>0</v>
      </c>
      <c r="E195" s="135">
        <f ca="1">OFFSET(INDEX(Composições!A:J,MATCH(Orçamentária!A195,Composições!A:A,0),8),2,0)</f>
        <v>116.0597349</v>
      </c>
      <c r="F195" s="136">
        <f t="shared" ca="1" si="6"/>
        <v>0</v>
      </c>
      <c r="G195" s="137" t="e">
        <f>IF(A195&lt;&gt;"",IF(AND(#REF!="Padrão",$H$4=#REF!),BDI!$B$17,IF(AND(#REF!="Padrão",$H$4=#REF!),BDI!#REF!,IF(AND(#REF!="Diferenciado",$H$4=#REF!),BDI!$E$17,IF(AND(#REF!="Diferenciado",$H$4=#REF!),BDI!#REF!,IF(#REF!="ZERO",0))))),"")</f>
        <v>#REF!</v>
      </c>
      <c r="H195" s="138" t="e">
        <f t="shared" ca="1" si="7"/>
        <v>#REF!</v>
      </c>
      <c r="I195" s="136" t="e">
        <f t="shared" ca="1" si="8"/>
        <v>#REF!</v>
      </c>
    </row>
    <row r="196" spans="1:9" hidden="1" x14ac:dyDescent="0.25">
      <c r="A196" s="113" t="s">
        <v>381</v>
      </c>
      <c r="B196" s="114" t="s">
        <v>1776</v>
      </c>
      <c r="C196" s="115" t="s">
        <v>20</v>
      </c>
      <c r="D196" s="115">
        <v>0</v>
      </c>
      <c r="E196" s="135">
        <f ca="1">OFFSET(INDEX(Composições!A:J,MATCH(Orçamentária!A196,Composições!A:A,0),8),2,0)</f>
        <v>332.16740500000003</v>
      </c>
      <c r="F196" s="136">
        <f t="shared" ca="1" si="6"/>
        <v>0</v>
      </c>
      <c r="G196" s="137" t="e">
        <f>IF(A196&lt;&gt;"",IF(AND(#REF!="Padrão",$H$4=#REF!),BDI!$B$17,IF(AND(#REF!="Padrão",$H$4=#REF!),BDI!#REF!,IF(AND(#REF!="Diferenciado",$H$4=#REF!),BDI!$E$17,IF(AND(#REF!="Diferenciado",$H$4=#REF!),BDI!#REF!,IF(#REF!="ZERO",0))))),"")</f>
        <v>#REF!</v>
      </c>
      <c r="H196" s="138" t="e">
        <f t="shared" ca="1" si="7"/>
        <v>#REF!</v>
      </c>
      <c r="I196" s="136" t="e">
        <f t="shared" ca="1" si="8"/>
        <v>#REF!</v>
      </c>
    </row>
    <row r="197" spans="1:9" x14ac:dyDescent="0.25">
      <c r="A197" s="197" t="s">
        <v>383</v>
      </c>
      <c r="B197" s="198" t="s">
        <v>1777</v>
      </c>
      <c r="C197" s="199" t="s">
        <v>20</v>
      </c>
      <c r="D197" s="199">
        <v>1</v>
      </c>
      <c r="E197" s="135">
        <f ca="1">OFFSET(INDEX(Composições!A:J,MATCH(Orçamentária!A197,Composições!A:A,0),8),2,0)</f>
        <v>481.37903260000002</v>
      </c>
      <c r="F197" s="136">
        <f t="shared" ca="1" si="6"/>
        <v>481.37903260000002</v>
      </c>
      <c r="G197" s="137">
        <f>BDI!$B$17</f>
        <v>0.191</v>
      </c>
      <c r="H197" s="138">
        <f t="shared" ca="1" si="7"/>
        <v>573.32000000000005</v>
      </c>
      <c r="I197" s="136">
        <f t="shared" ca="1" si="8"/>
        <v>573.32000000000005</v>
      </c>
    </row>
    <row r="198" spans="1:9" hidden="1" x14ac:dyDescent="0.25">
      <c r="A198" s="113" t="s">
        <v>385</v>
      </c>
      <c r="B198" s="114" t="s">
        <v>1778</v>
      </c>
      <c r="C198" s="115" t="s">
        <v>20</v>
      </c>
      <c r="D198" s="115">
        <v>0</v>
      </c>
      <c r="E198" s="135">
        <f ca="1">OFFSET(INDEX(Composições!A:J,MATCH(Orçamentária!A198,Composições!A:A,0),8),2,0)</f>
        <v>1.72976</v>
      </c>
      <c r="F198" s="136">
        <f t="shared" ca="1" si="6"/>
        <v>0</v>
      </c>
      <c r="G198" s="137" t="e">
        <f>IF(A198&lt;&gt;"",IF(AND(#REF!="Padrão",$H$4=#REF!),BDI!$B$17,IF(AND(#REF!="Padrão",$H$4=#REF!),BDI!#REF!,IF(AND(#REF!="Diferenciado",$H$4=#REF!),BDI!$E$17,IF(AND(#REF!="Diferenciado",$H$4=#REF!),BDI!#REF!,IF(#REF!="ZERO",0))))),"")</f>
        <v>#REF!</v>
      </c>
      <c r="H198" s="138" t="e">
        <f t="shared" ca="1" si="7"/>
        <v>#REF!</v>
      </c>
      <c r="I198" s="136" t="e">
        <f t="shared" ca="1" si="8"/>
        <v>#REF!</v>
      </c>
    </row>
    <row r="199" spans="1:9" hidden="1" x14ac:dyDescent="0.25">
      <c r="A199" s="113" t="s">
        <v>387</v>
      </c>
      <c r="B199" s="114" t="s">
        <v>1779</v>
      </c>
      <c r="C199" s="115" t="s">
        <v>20</v>
      </c>
      <c r="D199" s="115">
        <v>0</v>
      </c>
      <c r="E199" s="135">
        <f ca="1">OFFSET(INDEX(Composições!A:J,MATCH(Orçamentária!A199,Composições!A:A,0),8),2,0)</f>
        <v>1.72976</v>
      </c>
      <c r="F199" s="136">
        <f t="shared" ref="F199:F262" ca="1" si="9">IF(ISNUMBER(E199),D199*E199,"")</f>
        <v>0</v>
      </c>
      <c r="G199" s="137" t="e">
        <f>IF(A199&lt;&gt;"",IF(AND(#REF!="Padrão",$H$4=#REF!),BDI!$B$17,IF(AND(#REF!="Padrão",$H$4=#REF!),BDI!#REF!,IF(AND(#REF!="Diferenciado",$H$4=#REF!),BDI!$E$17,IF(AND(#REF!="Diferenciado",$H$4=#REF!),BDI!#REF!,IF(#REF!="ZERO",0))))),"")</f>
        <v>#REF!</v>
      </c>
      <c r="H199" s="138" t="e">
        <f t="shared" ref="H199:H262" ca="1" si="10">IF(ISNUMBER(E199),ROUND(E199*(1+G199),2),"")</f>
        <v>#REF!</v>
      </c>
      <c r="I199" s="136" t="e">
        <f t="shared" ref="I199:I262" ca="1" si="11">IF(ISNUMBER(E199),ROUND(H199*D199,2),"")</f>
        <v>#REF!</v>
      </c>
    </row>
    <row r="200" spans="1:9" hidden="1" x14ac:dyDescent="0.25">
      <c r="A200" s="113" t="s">
        <v>389</v>
      </c>
      <c r="B200" s="114" t="s">
        <v>1780</v>
      </c>
      <c r="C200" s="115" t="s">
        <v>20</v>
      </c>
      <c r="D200" s="115">
        <v>0</v>
      </c>
      <c r="E200" s="135">
        <f ca="1">OFFSET(INDEX(Composições!A:J,MATCH(Orçamentária!A200,Composições!A:A,0),8),2,0)</f>
        <v>19.256500000000003</v>
      </c>
      <c r="F200" s="136">
        <f t="shared" ca="1" si="9"/>
        <v>0</v>
      </c>
      <c r="G200" s="137" t="e">
        <f>IF(A200&lt;&gt;"",IF(AND(#REF!="Padrão",$H$4=#REF!),BDI!$B$17,IF(AND(#REF!="Padrão",$H$4=#REF!),BDI!#REF!,IF(AND(#REF!="Diferenciado",$H$4=#REF!),BDI!$E$17,IF(AND(#REF!="Diferenciado",$H$4=#REF!),BDI!#REF!,IF(#REF!="ZERO",0))))),"")</f>
        <v>#REF!</v>
      </c>
      <c r="H200" s="138" t="e">
        <f t="shared" ca="1" si="10"/>
        <v>#REF!</v>
      </c>
      <c r="I200" s="136" t="e">
        <f t="shared" ca="1" si="11"/>
        <v>#REF!</v>
      </c>
    </row>
    <row r="201" spans="1:9" hidden="1" x14ac:dyDescent="0.25">
      <c r="A201" s="113" t="s">
        <v>391</v>
      </c>
      <c r="B201" s="114" t="s">
        <v>1781</v>
      </c>
      <c r="C201" s="115" t="s">
        <v>20</v>
      </c>
      <c r="D201" s="115">
        <v>0</v>
      </c>
      <c r="E201" s="135">
        <f ca="1">OFFSET(INDEX(Composições!A:J,MATCH(Orçamentária!A201,Composições!A:A,0),8),2,0)</f>
        <v>3.8883519</v>
      </c>
      <c r="F201" s="136">
        <f t="shared" ca="1" si="9"/>
        <v>0</v>
      </c>
      <c r="G201" s="137" t="e">
        <f>IF(A201&lt;&gt;"",IF(AND(#REF!="Padrão",$H$4=#REF!),BDI!$B$17,IF(AND(#REF!="Padrão",$H$4=#REF!),BDI!#REF!,IF(AND(#REF!="Diferenciado",$H$4=#REF!),BDI!$E$17,IF(AND(#REF!="Diferenciado",$H$4=#REF!),BDI!#REF!,IF(#REF!="ZERO",0))))),"")</f>
        <v>#REF!</v>
      </c>
      <c r="H201" s="138" t="e">
        <f t="shared" ca="1" si="10"/>
        <v>#REF!</v>
      </c>
      <c r="I201" s="136" t="e">
        <f t="shared" ca="1" si="11"/>
        <v>#REF!</v>
      </c>
    </row>
    <row r="202" spans="1:9" hidden="1" x14ac:dyDescent="0.25">
      <c r="A202" s="113" t="s">
        <v>392</v>
      </c>
      <c r="B202" s="114" t="s">
        <v>1782</v>
      </c>
      <c r="C202" s="115" t="s">
        <v>20</v>
      </c>
      <c r="D202" s="115">
        <v>0</v>
      </c>
      <c r="E202" s="135">
        <f ca="1">OFFSET(INDEX(Composições!A:J,MATCH(Orçamentária!A202,Composições!A:A,0),8),2,0)</f>
        <v>46.436712499999999</v>
      </c>
      <c r="F202" s="136">
        <f t="shared" ca="1" si="9"/>
        <v>0</v>
      </c>
      <c r="G202" s="137" t="e">
        <f>IF(A202&lt;&gt;"",IF(AND(#REF!="Padrão",$H$4=#REF!),BDI!$B$17,IF(AND(#REF!="Padrão",$H$4=#REF!),BDI!#REF!,IF(AND(#REF!="Diferenciado",$H$4=#REF!),BDI!$E$17,IF(AND(#REF!="Diferenciado",$H$4=#REF!),BDI!#REF!,IF(#REF!="ZERO",0))))),"")</f>
        <v>#REF!</v>
      </c>
      <c r="H202" s="138" t="e">
        <f t="shared" ca="1" si="10"/>
        <v>#REF!</v>
      </c>
      <c r="I202" s="136" t="e">
        <f t="shared" ca="1" si="11"/>
        <v>#REF!</v>
      </c>
    </row>
    <row r="203" spans="1:9" hidden="1" x14ac:dyDescent="0.25">
      <c r="A203" s="113" t="s">
        <v>394</v>
      </c>
      <c r="B203" s="114" t="s">
        <v>1783</v>
      </c>
      <c r="C203" s="115" t="s">
        <v>20</v>
      </c>
      <c r="D203" s="115">
        <v>0</v>
      </c>
      <c r="E203" s="135">
        <f ca="1">OFFSET(INDEX(Composições!A:J,MATCH(Orçamentária!A203,Composições!A:A,0),8),2,0)</f>
        <v>7.4405120999999994</v>
      </c>
      <c r="F203" s="136">
        <f t="shared" ca="1" si="9"/>
        <v>0</v>
      </c>
      <c r="G203" s="137" t="e">
        <f>IF(A203&lt;&gt;"",IF(AND(#REF!="Padrão",$H$4=#REF!),BDI!$B$17,IF(AND(#REF!="Padrão",$H$4=#REF!),BDI!#REF!,IF(AND(#REF!="Diferenciado",$H$4=#REF!),BDI!$E$17,IF(AND(#REF!="Diferenciado",$H$4=#REF!),BDI!#REF!,IF(#REF!="ZERO",0))))),"")</f>
        <v>#REF!</v>
      </c>
      <c r="H203" s="138" t="e">
        <f t="shared" ca="1" si="10"/>
        <v>#REF!</v>
      </c>
      <c r="I203" s="136" t="e">
        <f t="shared" ca="1" si="11"/>
        <v>#REF!</v>
      </c>
    </row>
    <row r="204" spans="1:9" hidden="1" x14ac:dyDescent="0.25">
      <c r="A204" s="113" t="s">
        <v>396</v>
      </c>
      <c r="B204" s="114" t="s">
        <v>1784</v>
      </c>
      <c r="C204" s="115" t="s">
        <v>20</v>
      </c>
      <c r="D204" s="115">
        <v>0</v>
      </c>
      <c r="E204" s="135">
        <f ca="1">OFFSET(INDEX(Composições!A:J,MATCH(Orçamentária!A204,Composições!A:A,0),8),2,0)</f>
        <v>176.06872499999997</v>
      </c>
      <c r="F204" s="136">
        <f t="shared" ca="1" si="9"/>
        <v>0</v>
      </c>
      <c r="G204" s="137" t="e">
        <f>IF(A204&lt;&gt;"",IF(AND(#REF!="Padrão",$H$4=#REF!),BDI!$B$17,IF(AND(#REF!="Padrão",$H$4=#REF!),BDI!#REF!,IF(AND(#REF!="Diferenciado",$H$4=#REF!),BDI!$E$17,IF(AND(#REF!="Diferenciado",$H$4=#REF!),BDI!#REF!,IF(#REF!="ZERO",0))))),"")</f>
        <v>#REF!</v>
      </c>
      <c r="H204" s="138" t="e">
        <f t="shared" ca="1" si="10"/>
        <v>#REF!</v>
      </c>
      <c r="I204" s="136" t="e">
        <f t="shared" ca="1" si="11"/>
        <v>#REF!</v>
      </c>
    </row>
    <row r="205" spans="1:9" x14ac:dyDescent="0.25">
      <c r="A205" s="197" t="s">
        <v>398</v>
      </c>
      <c r="B205" s="198" t="s">
        <v>1785</v>
      </c>
      <c r="C205" s="199" t="s">
        <v>20</v>
      </c>
      <c r="D205" s="199">
        <v>1</v>
      </c>
      <c r="E205" s="135">
        <f ca="1">OFFSET(INDEX(Composições!A:J,MATCH(Orçamentária!A205,Composições!A:A,0),8),2,0)</f>
        <v>185.97401210000001</v>
      </c>
      <c r="F205" s="136">
        <f t="shared" ca="1" si="9"/>
        <v>185.97401210000001</v>
      </c>
      <c r="G205" s="137">
        <f>BDI!$B$17</f>
        <v>0.191</v>
      </c>
      <c r="H205" s="138">
        <f t="shared" ca="1" si="10"/>
        <v>221.5</v>
      </c>
      <c r="I205" s="136">
        <f t="shared" ca="1" si="11"/>
        <v>221.5</v>
      </c>
    </row>
    <row r="206" spans="1:9" hidden="1" x14ac:dyDescent="0.25">
      <c r="A206" s="113" t="s">
        <v>400</v>
      </c>
      <c r="B206" s="114" t="s">
        <v>1786</v>
      </c>
      <c r="C206" s="115" t="s">
        <v>20</v>
      </c>
      <c r="D206" s="115">
        <v>0</v>
      </c>
      <c r="E206" s="135">
        <f ca="1">OFFSET(INDEX(Composições!A:J,MATCH(Orçamentária!A206,Composições!A:A,0),8),2,0)</f>
        <v>4.5385461500000002</v>
      </c>
      <c r="F206" s="136">
        <f t="shared" ca="1" si="9"/>
        <v>0</v>
      </c>
      <c r="G206" s="137" t="e">
        <f>IF(A206&lt;&gt;"",IF(AND(#REF!="Padrão",$H$4=#REF!),BDI!$B$17,IF(AND(#REF!="Padrão",$H$4=#REF!),BDI!#REF!,IF(AND(#REF!="Diferenciado",$H$4=#REF!),BDI!$E$17,IF(AND(#REF!="Diferenciado",$H$4=#REF!),BDI!#REF!,IF(#REF!="ZERO",0))))),"")</f>
        <v>#REF!</v>
      </c>
      <c r="H206" s="138" t="e">
        <f t="shared" ca="1" si="10"/>
        <v>#REF!</v>
      </c>
      <c r="I206" s="136" t="e">
        <f t="shared" ca="1" si="11"/>
        <v>#REF!</v>
      </c>
    </row>
    <row r="207" spans="1:9" hidden="1" x14ac:dyDescent="0.25">
      <c r="A207" s="113" t="s">
        <v>402</v>
      </c>
      <c r="B207" s="114" t="s">
        <v>1787</v>
      </c>
      <c r="C207" s="115" t="s">
        <v>20</v>
      </c>
      <c r="D207" s="115">
        <v>0</v>
      </c>
      <c r="E207" s="135">
        <f ca="1">OFFSET(INDEX(Composições!A:J,MATCH(Orçamentária!A207,Composições!A:A,0),8),2,0)</f>
        <v>4.5385461500000002</v>
      </c>
      <c r="F207" s="136">
        <f t="shared" ca="1" si="9"/>
        <v>0</v>
      </c>
      <c r="G207" s="137" t="e">
        <f>IF(A207&lt;&gt;"",IF(AND(#REF!="Padrão",$H$4=#REF!),BDI!$B$17,IF(AND(#REF!="Padrão",$H$4=#REF!),BDI!#REF!,IF(AND(#REF!="Diferenciado",$H$4=#REF!),BDI!$E$17,IF(AND(#REF!="Diferenciado",$H$4=#REF!),BDI!#REF!,IF(#REF!="ZERO",0))))),"")</f>
        <v>#REF!</v>
      </c>
      <c r="H207" s="138" t="e">
        <f t="shared" ca="1" si="10"/>
        <v>#REF!</v>
      </c>
      <c r="I207" s="136" t="e">
        <f t="shared" ca="1" si="11"/>
        <v>#REF!</v>
      </c>
    </row>
    <row r="208" spans="1:9" hidden="1" x14ac:dyDescent="0.25">
      <c r="A208" s="113" t="s">
        <v>404</v>
      </c>
      <c r="B208" s="114" t="s">
        <v>1788</v>
      </c>
      <c r="C208" s="115" t="s">
        <v>20</v>
      </c>
      <c r="D208" s="115">
        <v>0</v>
      </c>
      <c r="E208" s="135">
        <f ca="1">OFFSET(INDEX(Composições!A:J,MATCH(Orçamentária!A208,Composições!A:A,0),8),2,0)</f>
        <v>2.6477554500000005</v>
      </c>
      <c r="F208" s="136">
        <f t="shared" ca="1" si="9"/>
        <v>0</v>
      </c>
      <c r="G208" s="137" t="e">
        <f>IF(A208&lt;&gt;"",IF(AND(#REF!="Padrão",$H$4=#REF!),BDI!$B$17,IF(AND(#REF!="Padrão",$H$4=#REF!),BDI!#REF!,IF(AND(#REF!="Diferenciado",$H$4=#REF!),BDI!$E$17,IF(AND(#REF!="Diferenciado",$H$4=#REF!),BDI!#REF!,IF(#REF!="ZERO",0))))),"")</f>
        <v>#REF!</v>
      </c>
      <c r="H208" s="138" t="e">
        <f t="shared" ca="1" si="10"/>
        <v>#REF!</v>
      </c>
      <c r="I208" s="136" t="e">
        <f t="shared" ca="1" si="11"/>
        <v>#REF!</v>
      </c>
    </row>
    <row r="209" spans="1:9" hidden="1" x14ac:dyDescent="0.25">
      <c r="A209" s="113" t="s">
        <v>406</v>
      </c>
      <c r="B209" s="114" t="s">
        <v>1789</v>
      </c>
      <c r="C209" s="115" t="s">
        <v>20</v>
      </c>
      <c r="D209" s="115">
        <v>0</v>
      </c>
      <c r="E209" s="135">
        <f ca="1">OFFSET(INDEX(Composições!A:J,MATCH(Orçamentária!A209,Composições!A:A,0),8),2,0)</f>
        <v>2.6477554500000005</v>
      </c>
      <c r="F209" s="136">
        <f t="shared" ca="1" si="9"/>
        <v>0</v>
      </c>
      <c r="G209" s="137" t="e">
        <f>IF(A209&lt;&gt;"",IF(AND(#REF!="Padrão",$H$4=#REF!),BDI!$B$17,IF(AND(#REF!="Padrão",$H$4=#REF!),BDI!#REF!,IF(AND(#REF!="Diferenciado",$H$4=#REF!),BDI!$E$17,IF(AND(#REF!="Diferenciado",$H$4=#REF!),BDI!#REF!,IF(#REF!="ZERO",0))))),"")</f>
        <v>#REF!</v>
      </c>
      <c r="H209" s="138" t="e">
        <f t="shared" ca="1" si="10"/>
        <v>#REF!</v>
      </c>
      <c r="I209" s="136" t="e">
        <f t="shared" ca="1" si="11"/>
        <v>#REF!</v>
      </c>
    </row>
    <row r="210" spans="1:9" hidden="1" x14ac:dyDescent="0.25">
      <c r="A210" s="113" t="s">
        <v>408</v>
      </c>
      <c r="B210" s="114" t="s">
        <v>1790</v>
      </c>
      <c r="C210" s="115" t="s">
        <v>20</v>
      </c>
      <c r="D210" s="115">
        <v>0</v>
      </c>
      <c r="E210" s="135">
        <f ca="1">OFFSET(INDEX(Composições!A:J,MATCH(Orçamentária!A210,Composições!A:A,0),8),2,0)</f>
        <v>2.6477554500000005</v>
      </c>
      <c r="F210" s="136">
        <f t="shared" ca="1" si="9"/>
        <v>0</v>
      </c>
      <c r="G210" s="137" t="e">
        <f>IF(A210&lt;&gt;"",IF(AND(#REF!="Padrão",$H$4=#REF!),BDI!$B$17,IF(AND(#REF!="Padrão",$H$4=#REF!),BDI!#REF!,IF(AND(#REF!="Diferenciado",$H$4=#REF!),BDI!$E$17,IF(AND(#REF!="Diferenciado",$H$4=#REF!),BDI!#REF!,IF(#REF!="ZERO",0))))),"")</f>
        <v>#REF!</v>
      </c>
      <c r="H210" s="138" t="e">
        <f t="shared" ca="1" si="10"/>
        <v>#REF!</v>
      </c>
      <c r="I210" s="136" t="e">
        <f t="shared" ca="1" si="11"/>
        <v>#REF!</v>
      </c>
    </row>
    <row r="211" spans="1:9" hidden="1" x14ac:dyDescent="0.25">
      <c r="A211" s="113" t="s">
        <v>410</v>
      </c>
      <c r="B211" s="114" t="s">
        <v>1791</v>
      </c>
      <c r="C211" s="115" t="s">
        <v>20</v>
      </c>
      <c r="D211" s="115">
        <v>0</v>
      </c>
      <c r="E211" s="135">
        <f ca="1">OFFSET(INDEX(Composições!A:J,MATCH(Orçamentária!A211,Composições!A:A,0),8),2,0)</f>
        <v>161.08875545000004</v>
      </c>
      <c r="F211" s="136">
        <f t="shared" ca="1" si="9"/>
        <v>0</v>
      </c>
      <c r="G211" s="137" t="e">
        <f>IF(A211&lt;&gt;"",IF(AND(#REF!="Padrão",$H$4=#REF!),BDI!$B$17,IF(AND(#REF!="Padrão",$H$4=#REF!),BDI!#REF!,IF(AND(#REF!="Diferenciado",$H$4=#REF!),BDI!$E$17,IF(AND(#REF!="Diferenciado",$H$4=#REF!),BDI!#REF!,IF(#REF!="ZERO",0))))),"")</f>
        <v>#REF!</v>
      </c>
      <c r="H211" s="138" t="e">
        <f t="shared" ca="1" si="10"/>
        <v>#REF!</v>
      </c>
      <c r="I211" s="136" t="e">
        <f t="shared" ca="1" si="11"/>
        <v>#REF!</v>
      </c>
    </row>
    <row r="212" spans="1:9" hidden="1" x14ac:dyDescent="0.25">
      <c r="A212" s="113" t="s">
        <v>412</v>
      </c>
      <c r="B212" s="114" t="s">
        <v>1792</v>
      </c>
      <c r="C212" s="115" t="s">
        <v>20</v>
      </c>
      <c r="D212" s="115">
        <v>0</v>
      </c>
      <c r="E212" s="135">
        <f ca="1">OFFSET(INDEX(Composições!A:J,MATCH(Orçamentária!A212,Composições!A:A,0),8),2,0)</f>
        <v>3.19323785</v>
      </c>
      <c r="F212" s="136">
        <f t="shared" ca="1" si="9"/>
        <v>0</v>
      </c>
      <c r="G212" s="137" t="e">
        <f>IF(A212&lt;&gt;"",IF(AND(#REF!="Padrão",$H$4=#REF!),BDI!$B$17,IF(AND(#REF!="Padrão",$H$4=#REF!),BDI!#REF!,IF(AND(#REF!="Diferenciado",$H$4=#REF!),BDI!$E$17,IF(AND(#REF!="Diferenciado",$H$4=#REF!),BDI!#REF!,IF(#REF!="ZERO",0))))),"")</f>
        <v>#REF!</v>
      </c>
      <c r="H212" s="138" t="e">
        <f t="shared" ca="1" si="10"/>
        <v>#REF!</v>
      </c>
      <c r="I212" s="136" t="e">
        <f t="shared" ca="1" si="11"/>
        <v>#REF!</v>
      </c>
    </row>
    <row r="213" spans="1:9" x14ac:dyDescent="0.25">
      <c r="A213" s="197" t="s">
        <v>414</v>
      </c>
      <c r="B213" s="198" t="s">
        <v>1793</v>
      </c>
      <c r="C213" s="199" t="s">
        <v>20</v>
      </c>
      <c r="D213" s="199">
        <v>2</v>
      </c>
      <c r="E213" s="135">
        <f ca="1">OFFSET(INDEX(Composições!A:J,MATCH(Orçamentária!A213,Composições!A:A,0),8),2,0)</f>
        <v>60.532743150000002</v>
      </c>
      <c r="F213" s="136">
        <f t="shared" ca="1" si="9"/>
        <v>121.0654863</v>
      </c>
      <c r="G213" s="137">
        <f>BDI!$B$17</f>
        <v>0.191</v>
      </c>
      <c r="H213" s="138">
        <f t="shared" ca="1" si="10"/>
        <v>72.09</v>
      </c>
      <c r="I213" s="136">
        <f t="shared" ca="1" si="11"/>
        <v>144.18</v>
      </c>
    </row>
    <row r="214" spans="1:9" hidden="1" x14ac:dyDescent="0.25">
      <c r="A214" s="113" t="s">
        <v>416</v>
      </c>
      <c r="B214" s="114" t="s">
        <v>1794</v>
      </c>
      <c r="C214" s="115" t="s">
        <v>20</v>
      </c>
      <c r="D214" s="115">
        <v>0</v>
      </c>
      <c r="E214" s="135">
        <f ca="1">OFFSET(INDEX(Composições!A:J,MATCH(Orçamentária!A214,Composições!A:A,0),8),2,0)</f>
        <v>30.646316000000006</v>
      </c>
      <c r="F214" s="136">
        <f t="shared" ca="1" si="9"/>
        <v>0</v>
      </c>
      <c r="G214" s="137" t="e">
        <f>IF(A214&lt;&gt;"",IF(AND(#REF!="Padrão",$H$4=#REF!),BDI!$B$17,IF(AND(#REF!="Padrão",$H$4=#REF!),BDI!#REF!,IF(AND(#REF!="Diferenciado",$H$4=#REF!),BDI!$E$17,IF(AND(#REF!="Diferenciado",$H$4=#REF!),BDI!#REF!,IF(#REF!="ZERO",0))))),"")</f>
        <v>#REF!</v>
      </c>
      <c r="H214" s="138" t="e">
        <f t="shared" ca="1" si="10"/>
        <v>#REF!</v>
      </c>
      <c r="I214" s="136" t="e">
        <f t="shared" ca="1" si="11"/>
        <v>#REF!</v>
      </c>
    </row>
    <row r="215" spans="1:9" hidden="1" x14ac:dyDescent="0.25">
      <c r="A215" s="113" t="s">
        <v>419</v>
      </c>
      <c r="B215" s="114" t="s">
        <v>1795</v>
      </c>
      <c r="C215" s="115" t="s">
        <v>20</v>
      </c>
      <c r="D215" s="115">
        <v>0</v>
      </c>
      <c r="E215" s="135">
        <f ca="1">OFFSET(INDEX(Composições!A:J,MATCH(Orçamentária!A215,Composições!A:A,0),8),2,0)</f>
        <v>230.14631600000001</v>
      </c>
      <c r="F215" s="136">
        <f t="shared" ca="1" si="9"/>
        <v>0</v>
      </c>
      <c r="G215" s="137" t="e">
        <f>IF(A215&lt;&gt;"",IF(AND(#REF!="Padrão",$H$4=#REF!),BDI!$B$17,IF(AND(#REF!="Padrão",$H$4=#REF!),BDI!#REF!,IF(AND(#REF!="Diferenciado",$H$4=#REF!),BDI!$E$17,IF(AND(#REF!="Diferenciado",$H$4=#REF!),BDI!#REF!,IF(#REF!="ZERO",0))))),"")</f>
        <v>#REF!</v>
      </c>
      <c r="H215" s="138" t="e">
        <f t="shared" ca="1" si="10"/>
        <v>#REF!</v>
      </c>
      <c r="I215" s="136" t="e">
        <f t="shared" ca="1" si="11"/>
        <v>#REF!</v>
      </c>
    </row>
    <row r="216" spans="1:9" hidden="1" x14ac:dyDescent="0.25">
      <c r="A216" s="113" t="s">
        <v>421</v>
      </c>
      <c r="B216" s="114" t="s">
        <v>1796</v>
      </c>
      <c r="C216" s="115" t="s">
        <v>20</v>
      </c>
      <c r="D216" s="115">
        <v>0</v>
      </c>
      <c r="E216" s="135">
        <f ca="1">OFFSET(INDEX(Composições!A:J,MATCH(Orçamentária!A216,Composições!A:A,0),8),2,0)</f>
        <v>30.646316000000006</v>
      </c>
      <c r="F216" s="136">
        <f t="shared" ca="1" si="9"/>
        <v>0</v>
      </c>
      <c r="G216" s="137" t="e">
        <f>IF(A216&lt;&gt;"",IF(AND(#REF!="Padrão",$H$4=#REF!),BDI!$B$17,IF(AND(#REF!="Padrão",$H$4=#REF!),BDI!#REF!,IF(AND(#REF!="Diferenciado",$H$4=#REF!),BDI!$E$17,IF(AND(#REF!="Diferenciado",$H$4=#REF!),BDI!#REF!,IF(#REF!="ZERO",0))))),"")</f>
        <v>#REF!</v>
      </c>
      <c r="H216" s="138" t="e">
        <f t="shared" ca="1" si="10"/>
        <v>#REF!</v>
      </c>
      <c r="I216" s="136" t="e">
        <f t="shared" ca="1" si="11"/>
        <v>#REF!</v>
      </c>
    </row>
    <row r="217" spans="1:9" hidden="1" x14ac:dyDescent="0.25">
      <c r="A217" s="113" t="s">
        <v>423</v>
      </c>
      <c r="B217" s="114" t="s">
        <v>1797</v>
      </c>
      <c r="C217" s="115" t="s">
        <v>20</v>
      </c>
      <c r="D217" s="115">
        <v>0</v>
      </c>
      <c r="E217" s="135">
        <f ca="1">OFFSET(INDEX(Composições!A:J,MATCH(Orçamentária!A217,Composições!A:A,0),8),2,0)</f>
        <v>192.26031599999999</v>
      </c>
      <c r="F217" s="136">
        <f t="shared" ca="1" si="9"/>
        <v>0</v>
      </c>
      <c r="G217" s="137" t="e">
        <f>IF(A217&lt;&gt;"",IF(AND(#REF!="Padrão",$H$4=#REF!),BDI!$B$17,IF(AND(#REF!="Padrão",$H$4=#REF!),BDI!#REF!,IF(AND(#REF!="Diferenciado",$H$4=#REF!),BDI!$E$17,IF(AND(#REF!="Diferenciado",$H$4=#REF!),BDI!#REF!,IF(#REF!="ZERO",0))))),"")</f>
        <v>#REF!</v>
      </c>
      <c r="H217" s="138" t="e">
        <f t="shared" ca="1" si="10"/>
        <v>#REF!</v>
      </c>
      <c r="I217" s="136" t="e">
        <f t="shared" ca="1" si="11"/>
        <v>#REF!</v>
      </c>
    </row>
    <row r="218" spans="1:9" hidden="1" x14ac:dyDescent="0.25">
      <c r="A218" s="113" t="s">
        <v>425</v>
      </c>
      <c r="B218" s="114" t="s">
        <v>1798</v>
      </c>
      <c r="C218" s="115" t="s">
        <v>20</v>
      </c>
      <c r="D218" s="115">
        <v>0</v>
      </c>
      <c r="E218" s="135">
        <f ca="1">OFFSET(INDEX(Composições!A:J,MATCH(Orçamentária!A218,Composições!A:A,0),8),2,0)</f>
        <v>46.975938200000002</v>
      </c>
      <c r="F218" s="136">
        <f t="shared" ca="1" si="9"/>
        <v>0</v>
      </c>
      <c r="G218" s="137" t="e">
        <f>IF(A218&lt;&gt;"",IF(AND(#REF!="Padrão",$H$4=#REF!),BDI!$B$17,IF(AND(#REF!="Padrão",$H$4=#REF!),BDI!#REF!,IF(AND(#REF!="Diferenciado",$H$4=#REF!),BDI!$E$17,IF(AND(#REF!="Diferenciado",$H$4=#REF!),BDI!#REF!,IF(#REF!="ZERO",0))))),"")</f>
        <v>#REF!</v>
      </c>
      <c r="H218" s="138" t="e">
        <f t="shared" ca="1" si="10"/>
        <v>#REF!</v>
      </c>
      <c r="I218" s="136" t="e">
        <f t="shared" ca="1" si="11"/>
        <v>#REF!</v>
      </c>
    </row>
    <row r="219" spans="1:9" x14ac:dyDescent="0.25">
      <c r="A219" s="197" t="s">
        <v>427</v>
      </c>
      <c r="B219" s="198" t="s">
        <v>1799</v>
      </c>
      <c r="C219" s="199" t="s">
        <v>20</v>
      </c>
      <c r="D219" s="199">
        <v>1</v>
      </c>
      <c r="E219" s="135">
        <f ca="1">OFFSET(INDEX(Composições!A:J,MATCH(Orçamentária!A219,Composições!A:A,0),8),2,0)</f>
        <v>24.861222599999998</v>
      </c>
      <c r="F219" s="136">
        <f t="shared" ca="1" si="9"/>
        <v>24.861222599999998</v>
      </c>
      <c r="G219" s="137">
        <f>BDI!$B$17</f>
        <v>0.191</v>
      </c>
      <c r="H219" s="138">
        <f t="shared" ca="1" si="10"/>
        <v>29.61</v>
      </c>
      <c r="I219" s="136">
        <f t="shared" ca="1" si="11"/>
        <v>29.61</v>
      </c>
    </row>
    <row r="220" spans="1:9" hidden="1" x14ac:dyDescent="0.25">
      <c r="A220" s="113" t="s">
        <v>429</v>
      </c>
      <c r="B220" s="114" t="s">
        <v>1800</v>
      </c>
      <c r="C220" s="115" t="s">
        <v>20</v>
      </c>
      <c r="D220" s="115">
        <v>0</v>
      </c>
      <c r="E220" s="135">
        <f ca="1">OFFSET(INDEX(Composições!A:J,MATCH(Orçamentária!A220,Composições!A:A,0),8),2,0)</f>
        <v>202.377816</v>
      </c>
      <c r="F220" s="136">
        <f t="shared" ca="1" si="9"/>
        <v>0</v>
      </c>
      <c r="G220" s="137" t="e">
        <f>IF(A220&lt;&gt;"",IF(AND(#REF!="Padrão",$H$4=#REF!),BDI!$B$17,IF(AND(#REF!="Padrão",$H$4=#REF!),BDI!#REF!,IF(AND(#REF!="Diferenciado",$H$4=#REF!),BDI!$E$17,IF(AND(#REF!="Diferenciado",$H$4=#REF!),BDI!#REF!,IF(#REF!="ZERO",0))))),"")</f>
        <v>#REF!</v>
      </c>
      <c r="H220" s="138" t="e">
        <f t="shared" ca="1" si="10"/>
        <v>#REF!</v>
      </c>
      <c r="I220" s="136" t="e">
        <f t="shared" ca="1" si="11"/>
        <v>#REF!</v>
      </c>
    </row>
    <row r="221" spans="1:9" hidden="1" x14ac:dyDescent="0.25">
      <c r="A221" s="113" t="s">
        <v>431</v>
      </c>
      <c r="B221" s="114" t="s">
        <v>1801</v>
      </c>
      <c r="C221" s="115" t="s">
        <v>20</v>
      </c>
      <c r="D221" s="115">
        <v>0</v>
      </c>
      <c r="E221" s="135">
        <f ca="1">OFFSET(INDEX(Composições!A:J,MATCH(Orçamentária!A221,Composições!A:A,0),8),2,0)</f>
        <v>11.49386</v>
      </c>
      <c r="F221" s="136">
        <f t="shared" ca="1" si="9"/>
        <v>0</v>
      </c>
      <c r="G221" s="137" t="e">
        <f>IF(A221&lt;&gt;"",IF(AND(#REF!="Padrão",$H$4=#REF!),BDI!$B$17,IF(AND(#REF!="Padrão",$H$4=#REF!),BDI!#REF!,IF(AND(#REF!="Diferenciado",$H$4=#REF!),BDI!$E$17,IF(AND(#REF!="Diferenciado",$H$4=#REF!),BDI!#REF!,IF(#REF!="ZERO",0))))),"")</f>
        <v>#REF!</v>
      </c>
      <c r="H221" s="138" t="e">
        <f t="shared" ca="1" si="10"/>
        <v>#REF!</v>
      </c>
      <c r="I221" s="136" t="e">
        <f t="shared" ca="1" si="11"/>
        <v>#REF!</v>
      </c>
    </row>
    <row r="222" spans="1:9" hidden="1" x14ac:dyDescent="0.25">
      <c r="A222" s="113" t="s">
        <v>433</v>
      </c>
      <c r="B222" s="114" t="s">
        <v>1802</v>
      </c>
      <c r="C222" s="115" t="s">
        <v>20</v>
      </c>
      <c r="D222" s="115">
        <v>0</v>
      </c>
      <c r="E222" s="135">
        <f ca="1">OFFSET(INDEX(Composições!A:J,MATCH(Orçamentária!A222,Composições!A:A,0),8),2,0)</f>
        <v>40.222999999999999</v>
      </c>
      <c r="F222" s="136">
        <f t="shared" ca="1" si="9"/>
        <v>0</v>
      </c>
      <c r="G222" s="137" t="e">
        <f>IF(A222&lt;&gt;"",IF(AND(#REF!="Padrão",$H$4=#REF!),BDI!$B$17,IF(AND(#REF!="Padrão",$H$4=#REF!),BDI!#REF!,IF(AND(#REF!="Diferenciado",$H$4=#REF!),BDI!$E$17,IF(AND(#REF!="Diferenciado",$H$4=#REF!),BDI!#REF!,IF(#REF!="ZERO",0))))),"")</f>
        <v>#REF!</v>
      </c>
      <c r="H222" s="138" t="e">
        <f t="shared" ca="1" si="10"/>
        <v>#REF!</v>
      </c>
      <c r="I222" s="136" t="e">
        <f t="shared" ca="1" si="11"/>
        <v>#REF!</v>
      </c>
    </row>
    <row r="223" spans="1:9" hidden="1" x14ac:dyDescent="0.25">
      <c r="A223" s="113" t="s">
        <v>436</v>
      </c>
      <c r="B223" s="114" t="s">
        <v>1803</v>
      </c>
      <c r="C223" s="115" t="s">
        <v>20</v>
      </c>
      <c r="D223" s="115">
        <v>0</v>
      </c>
      <c r="E223" s="135">
        <f ca="1">OFFSET(INDEX(Composições!A:J,MATCH(Orçamentária!A223,Composições!A:A,0),8),2,0)</f>
        <v>40.222999999999999</v>
      </c>
      <c r="F223" s="136">
        <f t="shared" ca="1" si="9"/>
        <v>0</v>
      </c>
      <c r="G223" s="137" t="e">
        <f>IF(A223&lt;&gt;"",IF(AND(#REF!="Padrão",$H$4=#REF!),BDI!$B$17,IF(AND(#REF!="Padrão",$H$4=#REF!),BDI!#REF!,IF(AND(#REF!="Diferenciado",$H$4=#REF!),BDI!$E$17,IF(AND(#REF!="Diferenciado",$H$4=#REF!),BDI!#REF!,IF(#REF!="ZERO",0))))),"")</f>
        <v>#REF!</v>
      </c>
      <c r="H223" s="138" t="e">
        <f t="shared" ca="1" si="10"/>
        <v>#REF!</v>
      </c>
      <c r="I223" s="136" t="e">
        <f t="shared" ca="1" si="11"/>
        <v>#REF!</v>
      </c>
    </row>
    <row r="224" spans="1:9" hidden="1" x14ac:dyDescent="0.25">
      <c r="A224" s="113" t="s">
        <v>438</v>
      </c>
      <c r="B224" s="114" t="s">
        <v>1804</v>
      </c>
      <c r="C224" s="115" t="s">
        <v>20</v>
      </c>
      <c r="D224" s="115">
        <v>0</v>
      </c>
      <c r="E224" s="135">
        <f ca="1">OFFSET(INDEX(Composições!A:J,MATCH(Orçamentária!A224,Composições!A:A,0),8),2,0)</f>
        <v>40.222999999999999</v>
      </c>
      <c r="F224" s="136">
        <f t="shared" ca="1" si="9"/>
        <v>0</v>
      </c>
      <c r="G224" s="137" t="e">
        <f>IF(A224&lt;&gt;"",IF(AND(#REF!="Padrão",$H$4=#REF!),BDI!$B$17,IF(AND(#REF!="Padrão",$H$4=#REF!),BDI!#REF!,IF(AND(#REF!="Diferenciado",$H$4=#REF!),BDI!$E$17,IF(AND(#REF!="Diferenciado",$H$4=#REF!),BDI!#REF!,IF(#REF!="ZERO",0))))),"")</f>
        <v>#REF!</v>
      </c>
      <c r="H224" s="138" t="e">
        <f t="shared" ca="1" si="10"/>
        <v>#REF!</v>
      </c>
      <c r="I224" s="136" t="e">
        <f t="shared" ca="1" si="11"/>
        <v>#REF!</v>
      </c>
    </row>
    <row r="225" spans="1:9" hidden="1" x14ac:dyDescent="0.25">
      <c r="A225" s="113" t="s">
        <v>440</v>
      </c>
      <c r="B225" s="114" t="s">
        <v>1805</v>
      </c>
      <c r="C225" s="115" t="s">
        <v>20</v>
      </c>
      <c r="D225" s="115">
        <v>0</v>
      </c>
      <c r="E225" s="135">
        <f ca="1">OFFSET(INDEX(Composições!A:J,MATCH(Orçamentária!A225,Composições!A:A,0),8),2,0)</f>
        <v>40.222999999999999</v>
      </c>
      <c r="F225" s="136">
        <f t="shared" ca="1" si="9"/>
        <v>0</v>
      </c>
      <c r="G225" s="137" t="e">
        <f>IF(A225&lt;&gt;"",IF(AND(#REF!="Padrão",$H$4=#REF!),BDI!$B$17,IF(AND(#REF!="Padrão",$H$4=#REF!),BDI!#REF!,IF(AND(#REF!="Diferenciado",$H$4=#REF!),BDI!$E$17,IF(AND(#REF!="Diferenciado",$H$4=#REF!),BDI!#REF!,IF(#REF!="ZERO",0))))),"")</f>
        <v>#REF!</v>
      </c>
      <c r="H225" s="138" t="e">
        <f t="shared" ca="1" si="10"/>
        <v>#REF!</v>
      </c>
      <c r="I225" s="136" t="e">
        <f t="shared" ca="1" si="11"/>
        <v>#REF!</v>
      </c>
    </row>
    <row r="226" spans="1:9" hidden="1" x14ac:dyDescent="0.25">
      <c r="A226" s="113" t="s">
        <v>442</v>
      </c>
      <c r="B226" s="114" t="s">
        <v>1806</v>
      </c>
      <c r="C226" s="115" t="s">
        <v>20</v>
      </c>
      <c r="D226" s="115">
        <v>0</v>
      </c>
      <c r="E226" s="135">
        <f ca="1">OFFSET(INDEX(Composições!A:J,MATCH(Orçamentária!A226,Composições!A:A,0),8),2,0)</f>
        <v>29.296234899999998</v>
      </c>
      <c r="F226" s="136">
        <f t="shared" ca="1" si="9"/>
        <v>0</v>
      </c>
      <c r="G226" s="137" t="e">
        <f>IF(A226&lt;&gt;"",IF(AND(#REF!="Padrão",$H$4=#REF!),BDI!$B$17,IF(AND(#REF!="Padrão",$H$4=#REF!),BDI!#REF!,IF(AND(#REF!="Diferenciado",$H$4=#REF!),BDI!$E$17,IF(AND(#REF!="Diferenciado",$H$4=#REF!),BDI!#REF!,IF(#REF!="ZERO",0))))),"")</f>
        <v>#REF!</v>
      </c>
      <c r="H226" s="138" t="e">
        <f t="shared" ca="1" si="10"/>
        <v>#REF!</v>
      </c>
      <c r="I226" s="136" t="e">
        <f t="shared" ca="1" si="11"/>
        <v>#REF!</v>
      </c>
    </row>
    <row r="227" spans="1:9" hidden="1" x14ac:dyDescent="0.25">
      <c r="A227" s="113" t="s">
        <v>444</v>
      </c>
      <c r="B227" s="114" t="s">
        <v>1807</v>
      </c>
      <c r="C227" s="115" t="s">
        <v>20</v>
      </c>
      <c r="D227" s="115">
        <v>0</v>
      </c>
      <c r="E227" s="135">
        <f ca="1">OFFSET(INDEX(Composições!A:J,MATCH(Orçamentária!A227,Composições!A:A,0),8),2,0)</f>
        <v>95.656517449999996</v>
      </c>
      <c r="F227" s="136">
        <f t="shared" ca="1" si="9"/>
        <v>0</v>
      </c>
      <c r="G227" s="137" t="e">
        <f>IF(A227&lt;&gt;"",IF(AND(#REF!="Padrão",$H$4=#REF!),BDI!$B$17,IF(AND(#REF!="Padrão",$H$4=#REF!),BDI!#REF!,IF(AND(#REF!="Diferenciado",$H$4=#REF!),BDI!$E$17,IF(AND(#REF!="Diferenciado",$H$4=#REF!),BDI!#REF!,IF(#REF!="ZERO",0))))),"")</f>
        <v>#REF!</v>
      </c>
      <c r="H227" s="138" t="e">
        <f t="shared" ca="1" si="10"/>
        <v>#REF!</v>
      </c>
      <c r="I227" s="136" t="e">
        <f t="shared" ca="1" si="11"/>
        <v>#REF!</v>
      </c>
    </row>
    <row r="228" spans="1:9" hidden="1" x14ac:dyDescent="0.25">
      <c r="A228" s="113" t="s">
        <v>446</v>
      </c>
      <c r="B228" s="114" t="s">
        <v>1808</v>
      </c>
      <c r="C228" s="115" t="s">
        <v>20</v>
      </c>
      <c r="D228" s="115">
        <v>0</v>
      </c>
      <c r="E228" s="135">
        <f ca="1">OFFSET(INDEX(Composições!A:J,MATCH(Orçamentária!A228,Composições!A:A,0),8),2,0)</f>
        <v>3.8883519</v>
      </c>
      <c r="F228" s="136">
        <f t="shared" ca="1" si="9"/>
        <v>0</v>
      </c>
      <c r="G228" s="137" t="e">
        <f>IF(A228&lt;&gt;"",IF(AND(#REF!="Padrão",$H$4=#REF!),BDI!$B$17,IF(AND(#REF!="Padrão",$H$4=#REF!),BDI!#REF!,IF(AND(#REF!="Diferenciado",$H$4=#REF!),BDI!$E$17,IF(AND(#REF!="Diferenciado",$H$4=#REF!),BDI!#REF!,IF(#REF!="ZERO",0))))),"")</f>
        <v>#REF!</v>
      </c>
      <c r="H228" s="138" t="e">
        <f t="shared" ca="1" si="10"/>
        <v>#REF!</v>
      </c>
      <c r="I228" s="136" t="e">
        <f t="shared" ca="1" si="11"/>
        <v>#REF!</v>
      </c>
    </row>
    <row r="229" spans="1:9" hidden="1" x14ac:dyDescent="0.25">
      <c r="A229" s="113" t="s">
        <v>449</v>
      </c>
      <c r="B229" s="114" t="s">
        <v>1809</v>
      </c>
      <c r="C229" s="115" t="s">
        <v>20</v>
      </c>
      <c r="D229" s="115">
        <v>0</v>
      </c>
      <c r="E229" s="135">
        <f ca="1">OFFSET(INDEX(Composições!A:J,MATCH(Orçamentária!A229,Composições!A:A,0),8),2,0)</f>
        <v>8.4615018000000006</v>
      </c>
      <c r="F229" s="136">
        <f t="shared" ca="1" si="9"/>
        <v>0</v>
      </c>
      <c r="G229" s="137" t="e">
        <f>IF(A229&lt;&gt;"",IF(AND(#REF!="Padrão",$H$4=#REF!),BDI!$B$17,IF(AND(#REF!="Padrão",$H$4=#REF!),BDI!#REF!,IF(AND(#REF!="Diferenciado",$H$4=#REF!),BDI!$E$17,IF(AND(#REF!="Diferenciado",$H$4=#REF!),BDI!#REF!,IF(#REF!="ZERO",0))))),"")</f>
        <v>#REF!</v>
      </c>
      <c r="H229" s="138" t="e">
        <f t="shared" ca="1" si="10"/>
        <v>#REF!</v>
      </c>
      <c r="I229" s="136" t="e">
        <f t="shared" ca="1" si="11"/>
        <v>#REF!</v>
      </c>
    </row>
    <row r="230" spans="1:9" hidden="1" x14ac:dyDescent="0.25">
      <c r="A230" s="113" t="s">
        <v>451</v>
      </c>
      <c r="B230" s="114" t="s">
        <v>1810</v>
      </c>
      <c r="C230" s="115" t="s">
        <v>20</v>
      </c>
      <c r="D230" s="115">
        <v>0</v>
      </c>
      <c r="E230" s="135">
        <f ca="1">OFFSET(INDEX(Composições!A:J,MATCH(Orçamentária!A230,Composições!A:A,0),8),2,0)</f>
        <v>8.4615018000000006</v>
      </c>
      <c r="F230" s="136">
        <f t="shared" ca="1" si="9"/>
        <v>0</v>
      </c>
      <c r="G230" s="137" t="e">
        <f>IF(A230&lt;&gt;"",IF(AND(#REF!="Padrão",$H$4=#REF!),BDI!$B$17,IF(AND(#REF!="Padrão",$H$4=#REF!),BDI!#REF!,IF(AND(#REF!="Diferenciado",$H$4=#REF!),BDI!$E$17,IF(AND(#REF!="Diferenciado",$H$4=#REF!),BDI!#REF!,IF(#REF!="ZERO",0))))),"")</f>
        <v>#REF!</v>
      </c>
      <c r="H230" s="138" t="e">
        <f t="shared" ca="1" si="10"/>
        <v>#REF!</v>
      </c>
      <c r="I230" s="136" t="e">
        <f t="shared" ca="1" si="11"/>
        <v>#REF!</v>
      </c>
    </row>
    <row r="231" spans="1:9" hidden="1" x14ac:dyDescent="0.25">
      <c r="A231" s="113" t="s">
        <v>453</v>
      </c>
      <c r="B231" s="114" t="s">
        <v>1811</v>
      </c>
      <c r="C231" s="115" t="s">
        <v>20</v>
      </c>
      <c r="D231" s="115">
        <v>0</v>
      </c>
      <c r="E231" s="135">
        <f ca="1">OFFSET(INDEX(Composições!A:J,MATCH(Orçamentária!A231,Composições!A:A,0),8),2,0)</f>
        <v>16.9208414</v>
      </c>
      <c r="F231" s="136">
        <f t="shared" ca="1" si="9"/>
        <v>0</v>
      </c>
      <c r="G231" s="137" t="e">
        <f>IF(A231&lt;&gt;"",IF(AND(#REF!="Padrão",$H$4=#REF!),BDI!$B$17,IF(AND(#REF!="Padrão",$H$4=#REF!),BDI!#REF!,IF(AND(#REF!="Diferenciado",$H$4=#REF!),BDI!$E$17,IF(AND(#REF!="Diferenciado",$H$4=#REF!),BDI!#REF!,IF(#REF!="ZERO",0))))),"")</f>
        <v>#REF!</v>
      </c>
      <c r="H231" s="138" t="e">
        <f t="shared" ca="1" si="10"/>
        <v>#REF!</v>
      </c>
      <c r="I231" s="136" t="e">
        <f t="shared" ca="1" si="11"/>
        <v>#REF!</v>
      </c>
    </row>
    <row r="232" spans="1:9" x14ac:dyDescent="0.25">
      <c r="A232" s="197" t="s">
        <v>455</v>
      </c>
      <c r="B232" s="198" t="s">
        <v>1812</v>
      </c>
      <c r="C232" s="199" t="s">
        <v>20</v>
      </c>
      <c r="D232" s="199">
        <v>110</v>
      </c>
      <c r="E232" s="135">
        <f ca="1">OFFSET(INDEX(Composições!A:J,MATCH(Orçamentária!A232,Composições!A:A,0),8),2,0)</f>
        <v>8.1640552861540989</v>
      </c>
      <c r="F232" s="136">
        <f t="shared" ca="1" si="9"/>
        <v>898.04608147695092</v>
      </c>
      <c r="G232" s="137">
        <f>BDI!$B$17</f>
        <v>0.191</v>
      </c>
      <c r="H232" s="138">
        <f t="shared" ca="1" si="10"/>
        <v>9.7200000000000006</v>
      </c>
      <c r="I232" s="136">
        <f t="shared" ca="1" si="11"/>
        <v>1069.2</v>
      </c>
    </row>
    <row r="233" spans="1:9" hidden="1" x14ac:dyDescent="0.25">
      <c r="A233" s="113" t="s">
        <v>457</v>
      </c>
      <c r="B233" s="114" t="s">
        <v>458</v>
      </c>
      <c r="C233" s="115" t="s">
        <v>20</v>
      </c>
      <c r="D233" s="115">
        <v>0</v>
      </c>
      <c r="E233" s="135">
        <f ca="1">OFFSET(INDEX(Composições!A:J,MATCH(Orçamentária!A233,Composições!A:A,0),8),2,0)</f>
        <v>5.7469299999999999</v>
      </c>
      <c r="F233" s="136">
        <f t="shared" ca="1" si="9"/>
        <v>0</v>
      </c>
      <c r="G233" s="137" t="e">
        <f>IF(A233&lt;&gt;"",IF(AND(#REF!="Padrão",$H$4=#REF!),BDI!$B$17,IF(AND(#REF!="Padrão",$H$4=#REF!),BDI!#REF!,IF(AND(#REF!="Diferenciado",$H$4=#REF!),BDI!$E$17,IF(AND(#REF!="Diferenciado",$H$4=#REF!),BDI!#REF!,IF(#REF!="ZERO",0))))),"")</f>
        <v>#REF!</v>
      </c>
      <c r="H233" s="138" t="e">
        <f t="shared" ca="1" si="10"/>
        <v>#REF!</v>
      </c>
      <c r="I233" s="136" t="e">
        <f t="shared" ca="1" si="11"/>
        <v>#REF!</v>
      </c>
    </row>
    <row r="234" spans="1:9" hidden="1" x14ac:dyDescent="0.25">
      <c r="A234" s="113" t="s">
        <v>459</v>
      </c>
      <c r="B234" s="114" t="s">
        <v>1813</v>
      </c>
      <c r="C234" s="115" t="s">
        <v>20</v>
      </c>
      <c r="D234" s="115">
        <v>0</v>
      </c>
      <c r="E234" s="135">
        <f ca="1">OFFSET(INDEX(Composições!A:J,MATCH(Orçamentária!A234,Composições!A:A,0),8),2,0)</f>
        <v>11.087744381538801</v>
      </c>
      <c r="F234" s="136">
        <f t="shared" ca="1" si="9"/>
        <v>0</v>
      </c>
      <c r="G234" s="137" t="e">
        <f>IF(A234&lt;&gt;"",IF(AND(#REF!="Padrão",$H$4=#REF!),BDI!$B$17,IF(AND(#REF!="Padrão",$H$4=#REF!),BDI!#REF!,IF(AND(#REF!="Diferenciado",$H$4=#REF!),BDI!$E$17,IF(AND(#REF!="Diferenciado",$H$4=#REF!),BDI!#REF!,IF(#REF!="ZERO",0))))),"")</f>
        <v>#REF!</v>
      </c>
      <c r="H234" s="138" t="e">
        <f t="shared" ca="1" si="10"/>
        <v>#REF!</v>
      </c>
      <c r="I234" s="136" t="e">
        <f t="shared" ca="1" si="11"/>
        <v>#REF!</v>
      </c>
    </row>
    <row r="235" spans="1:9" hidden="1" x14ac:dyDescent="0.25">
      <c r="A235" s="113" t="s">
        <v>461</v>
      </c>
      <c r="B235" s="114" t="s">
        <v>462</v>
      </c>
      <c r="C235" s="115" t="s">
        <v>20</v>
      </c>
      <c r="D235" s="115">
        <v>0</v>
      </c>
      <c r="E235" s="135">
        <f ca="1">OFFSET(INDEX(Composições!A:J,MATCH(Orçamentária!A235,Composições!A:A,0),8),2,0)</f>
        <v>6.579244000000001</v>
      </c>
      <c r="F235" s="136">
        <f t="shared" ca="1" si="9"/>
        <v>0</v>
      </c>
      <c r="G235" s="137" t="e">
        <f>IF(A235&lt;&gt;"",IF(AND(#REF!="Padrão",$H$4=#REF!),BDI!$B$17,IF(AND(#REF!="Padrão",$H$4=#REF!),BDI!#REF!,IF(AND(#REF!="Diferenciado",$H$4=#REF!),BDI!$E$17,IF(AND(#REF!="Diferenciado",$H$4=#REF!),BDI!#REF!,IF(#REF!="ZERO",0))))),"")</f>
        <v>#REF!</v>
      </c>
      <c r="H235" s="138" t="e">
        <f t="shared" ca="1" si="10"/>
        <v>#REF!</v>
      </c>
      <c r="I235" s="136" t="e">
        <f t="shared" ca="1" si="11"/>
        <v>#REF!</v>
      </c>
    </row>
    <row r="236" spans="1:9" hidden="1" x14ac:dyDescent="0.25">
      <c r="A236" s="113" t="s">
        <v>463</v>
      </c>
      <c r="B236" s="114" t="s">
        <v>1814</v>
      </c>
      <c r="C236" s="115" t="s">
        <v>20</v>
      </c>
      <c r="D236" s="115">
        <v>0</v>
      </c>
      <c r="E236" s="135">
        <f ca="1">OFFSET(INDEX(Composições!A:J,MATCH(Orçamentária!A236,Composições!A:A,0),8),2,0)</f>
        <v>13.713363999999999</v>
      </c>
      <c r="F236" s="136">
        <f t="shared" ca="1" si="9"/>
        <v>0</v>
      </c>
      <c r="G236" s="137" t="e">
        <f>IF(A236&lt;&gt;"",IF(AND(#REF!="Padrão",$H$4=#REF!),BDI!$B$17,IF(AND(#REF!="Padrão",$H$4=#REF!),BDI!#REF!,IF(AND(#REF!="Diferenciado",$H$4=#REF!),BDI!$E$17,IF(AND(#REF!="Diferenciado",$H$4=#REF!),BDI!#REF!,IF(#REF!="ZERO",0))))),"")</f>
        <v>#REF!</v>
      </c>
      <c r="H236" s="138" t="e">
        <f t="shared" ca="1" si="10"/>
        <v>#REF!</v>
      </c>
      <c r="I236" s="136" t="e">
        <f t="shared" ca="1" si="11"/>
        <v>#REF!</v>
      </c>
    </row>
    <row r="237" spans="1:9" x14ac:dyDescent="0.25">
      <c r="A237" s="197" t="s">
        <v>465</v>
      </c>
      <c r="B237" s="198" t="s">
        <v>1815</v>
      </c>
      <c r="C237" s="199" t="s">
        <v>20</v>
      </c>
      <c r="D237" s="199">
        <v>34</v>
      </c>
      <c r="E237" s="135">
        <f ca="1">OFFSET(INDEX(Composições!A:J,MATCH(Orçamentária!A237,Composições!A:A,0),8),2,0)</f>
        <v>106.243364</v>
      </c>
      <c r="F237" s="136">
        <f t="shared" ca="1" si="9"/>
        <v>3612.2743759999998</v>
      </c>
      <c r="G237" s="137">
        <f>BDI!$B$17</f>
        <v>0.191</v>
      </c>
      <c r="H237" s="138">
        <f t="shared" ca="1" si="10"/>
        <v>126.54</v>
      </c>
      <c r="I237" s="136">
        <f t="shared" ca="1" si="11"/>
        <v>4302.3599999999997</v>
      </c>
    </row>
    <row r="238" spans="1:9" hidden="1" x14ac:dyDescent="0.25">
      <c r="A238" s="113" t="s">
        <v>467</v>
      </c>
      <c r="B238" s="114" t="s">
        <v>1816</v>
      </c>
      <c r="C238" s="115" t="s">
        <v>20</v>
      </c>
      <c r="D238" s="115">
        <v>0</v>
      </c>
      <c r="E238" s="135">
        <f ca="1">OFFSET(INDEX(Composições!A:J,MATCH(Orçamentária!A238,Composições!A:A,0),8),2,0)</f>
        <v>54.170006999999998</v>
      </c>
      <c r="F238" s="136">
        <f t="shared" ca="1" si="9"/>
        <v>0</v>
      </c>
      <c r="G238" s="137" t="e">
        <f>IF(A238&lt;&gt;"",IF(AND(#REF!="Padrão",$H$4=#REF!),BDI!$B$17,IF(AND(#REF!="Padrão",$H$4=#REF!),BDI!#REF!,IF(AND(#REF!="Diferenciado",$H$4=#REF!),BDI!$E$17,IF(AND(#REF!="Diferenciado",$H$4=#REF!),BDI!#REF!,IF(#REF!="ZERO",0))))),"")</f>
        <v>#REF!</v>
      </c>
      <c r="H238" s="138" t="e">
        <f t="shared" ca="1" si="10"/>
        <v>#REF!</v>
      </c>
      <c r="I238" s="136" t="e">
        <f t="shared" ca="1" si="11"/>
        <v>#REF!</v>
      </c>
    </row>
    <row r="239" spans="1:9" hidden="1" x14ac:dyDescent="0.25">
      <c r="A239" s="113" t="s">
        <v>469</v>
      </c>
      <c r="B239" s="114" t="s">
        <v>1817</v>
      </c>
      <c r="C239" s="115" t="s">
        <v>20</v>
      </c>
      <c r="D239" s="115">
        <v>0</v>
      </c>
      <c r="E239" s="135">
        <f ca="1">OFFSET(INDEX(Composições!A:J,MATCH(Orçamentária!A239,Composições!A:A,0),8),2,0)</f>
        <v>13.713363999999999</v>
      </c>
      <c r="F239" s="136">
        <f t="shared" ca="1" si="9"/>
        <v>0</v>
      </c>
      <c r="G239" s="137" t="e">
        <f>IF(A239&lt;&gt;"",IF(AND(#REF!="Padrão",$H$4=#REF!),BDI!$B$17,IF(AND(#REF!="Padrão",$H$4=#REF!),BDI!#REF!,IF(AND(#REF!="Diferenciado",$H$4=#REF!),BDI!$E$17,IF(AND(#REF!="Diferenciado",$H$4=#REF!),BDI!#REF!,IF(#REF!="ZERO",0))))),"")</f>
        <v>#REF!</v>
      </c>
      <c r="H239" s="138" t="e">
        <f t="shared" ca="1" si="10"/>
        <v>#REF!</v>
      </c>
      <c r="I239" s="136" t="e">
        <f t="shared" ca="1" si="11"/>
        <v>#REF!</v>
      </c>
    </row>
    <row r="240" spans="1:9" hidden="1" x14ac:dyDescent="0.25">
      <c r="A240" s="113" t="s">
        <v>471</v>
      </c>
      <c r="B240" s="114" t="s">
        <v>1818</v>
      </c>
      <c r="C240" s="115" t="s">
        <v>93</v>
      </c>
      <c r="D240" s="115">
        <v>0</v>
      </c>
      <c r="E240" s="135">
        <f ca="1">OFFSET(INDEX(Composições!A:J,MATCH(Orçamentária!A240,Composições!A:A,0),8),2,0)</f>
        <v>7.1341199999999994</v>
      </c>
      <c r="F240" s="136">
        <f t="shared" ca="1" si="9"/>
        <v>0</v>
      </c>
      <c r="G240" s="137" t="e">
        <f>IF(A240&lt;&gt;"",IF(AND(#REF!="Padrão",$H$4=#REF!),BDI!$B$17,IF(AND(#REF!="Padrão",$H$4=#REF!),BDI!#REF!,IF(AND(#REF!="Diferenciado",$H$4=#REF!),BDI!$E$17,IF(AND(#REF!="Diferenciado",$H$4=#REF!),BDI!#REF!,IF(#REF!="ZERO",0))))),"")</f>
        <v>#REF!</v>
      </c>
      <c r="H240" s="138" t="e">
        <f t="shared" ca="1" si="10"/>
        <v>#REF!</v>
      </c>
      <c r="I240" s="136" t="e">
        <f t="shared" ca="1" si="11"/>
        <v>#REF!</v>
      </c>
    </row>
    <row r="241" spans="1:9" x14ac:dyDescent="0.25">
      <c r="A241" s="197" t="s">
        <v>473</v>
      </c>
      <c r="B241" s="198" t="s">
        <v>1819</v>
      </c>
      <c r="C241" s="199" t="s">
        <v>20</v>
      </c>
      <c r="D241" s="199">
        <v>1</v>
      </c>
      <c r="E241" s="135">
        <f ca="1">OFFSET(INDEX(Composições!A:J,MATCH(Orçamentária!A241,Composições!A:A,0),8),2,0)</f>
        <v>32.011409</v>
      </c>
      <c r="F241" s="136">
        <f t="shared" ca="1" si="9"/>
        <v>32.011409</v>
      </c>
      <c r="G241" s="137">
        <f>BDI!$B$17</f>
        <v>0.191</v>
      </c>
      <c r="H241" s="138">
        <f t="shared" ca="1" si="10"/>
        <v>38.130000000000003</v>
      </c>
      <c r="I241" s="136">
        <f t="shared" ca="1" si="11"/>
        <v>38.130000000000003</v>
      </c>
    </row>
    <row r="242" spans="1:9" hidden="1" x14ac:dyDescent="0.25">
      <c r="A242" s="113" t="s">
        <v>476</v>
      </c>
      <c r="B242" s="114" t="s">
        <v>1820</v>
      </c>
      <c r="C242" s="115" t="s">
        <v>93</v>
      </c>
      <c r="D242" s="115">
        <v>0</v>
      </c>
      <c r="E242" s="135">
        <f ca="1">OFFSET(INDEX(Composições!A:J,MATCH(Orçamentária!A242,Composições!A:A,0),8),2,0)</f>
        <v>18.40577025</v>
      </c>
      <c r="F242" s="136">
        <f t="shared" ca="1" si="9"/>
        <v>0</v>
      </c>
      <c r="G242" s="137" t="e">
        <f>IF(A242&lt;&gt;"",IF(AND(#REF!="Padrão",$H$4=#REF!),BDI!$B$17,IF(AND(#REF!="Padrão",$H$4=#REF!),BDI!#REF!,IF(AND(#REF!="Diferenciado",$H$4=#REF!),BDI!$E$17,IF(AND(#REF!="Diferenciado",$H$4=#REF!),BDI!#REF!,IF(#REF!="ZERO",0))))),"")</f>
        <v>#REF!</v>
      </c>
      <c r="H242" s="138" t="e">
        <f t="shared" ca="1" si="10"/>
        <v>#REF!</v>
      </c>
      <c r="I242" s="136" t="e">
        <f t="shared" ca="1" si="11"/>
        <v>#REF!</v>
      </c>
    </row>
    <row r="243" spans="1:9" hidden="1" x14ac:dyDescent="0.25">
      <c r="A243" s="113" t="s">
        <v>487</v>
      </c>
      <c r="B243" s="114" t="s">
        <v>1821</v>
      </c>
      <c r="C243" s="115" t="s">
        <v>93</v>
      </c>
      <c r="D243" s="115">
        <v>0</v>
      </c>
      <c r="E243" s="135">
        <f ca="1">OFFSET(INDEX(Composições!A:J,MATCH(Orçamentária!A243,Composições!A:A,0),8),2,0)</f>
        <v>24.540879750000002</v>
      </c>
      <c r="F243" s="136">
        <f t="shared" ca="1" si="9"/>
        <v>0</v>
      </c>
      <c r="G243" s="137" t="e">
        <f>IF(A243&lt;&gt;"",IF(AND(#REF!="Padrão",$H$4=#REF!),BDI!$B$17,IF(AND(#REF!="Padrão",$H$4=#REF!),BDI!#REF!,IF(AND(#REF!="Diferenciado",$H$4=#REF!),BDI!$E$17,IF(AND(#REF!="Diferenciado",$H$4=#REF!),BDI!#REF!,IF(#REF!="ZERO",0))))),"")</f>
        <v>#REF!</v>
      </c>
      <c r="H243" s="138" t="e">
        <f t="shared" ca="1" si="10"/>
        <v>#REF!</v>
      </c>
      <c r="I243" s="136" t="e">
        <f t="shared" ca="1" si="11"/>
        <v>#REF!</v>
      </c>
    </row>
    <row r="244" spans="1:9" hidden="1" x14ac:dyDescent="0.25">
      <c r="A244" s="113" t="s">
        <v>492</v>
      </c>
      <c r="B244" s="114" t="s">
        <v>1822</v>
      </c>
      <c r="C244" s="115" t="s">
        <v>93</v>
      </c>
      <c r="D244" s="115">
        <v>0</v>
      </c>
      <c r="E244" s="135">
        <f ca="1">OFFSET(INDEX(Composições!A:J,MATCH(Orçamentária!A244,Composições!A:A,0),8),2,0)</f>
        <v>20.577479750000002</v>
      </c>
      <c r="F244" s="136">
        <f t="shared" ca="1" si="9"/>
        <v>0</v>
      </c>
      <c r="G244" s="137" t="e">
        <f>IF(A244&lt;&gt;"",IF(AND(#REF!="Padrão",$H$4=#REF!),BDI!$B$17,IF(AND(#REF!="Padrão",$H$4=#REF!),BDI!#REF!,IF(AND(#REF!="Diferenciado",$H$4=#REF!),BDI!$E$17,IF(AND(#REF!="Diferenciado",$H$4=#REF!),BDI!#REF!,IF(#REF!="ZERO",0))))),"")</f>
        <v>#REF!</v>
      </c>
      <c r="H244" s="138" t="e">
        <f t="shared" ca="1" si="10"/>
        <v>#REF!</v>
      </c>
      <c r="I244" s="136" t="e">
        <f t="shared" ca="1" si="11"/>
        <v>#REF!</v>
      </c>
    </row>
    <row r="245" spans="1:9" hidden="1" x14ac:dyDescent="0.25">
      <c r="A245" s="113" t="s">
        <v>495</v>
      </c>
      <c r="B245" s="114" t="s">
        <v>1823</v>
      </c>
      <c r="C245" s="115" t="s">
        <v>93</v>
      </c>
      <c r="D245" s="115">
        <v>0</v>
      </c>
      <c r="E245" s="135">
        <f ca="1">OFFSET(INDEX(Composições!A:J,MATCH(Orçamentária!A245,Composições!A:A,0),8),2,0)</f>
        <v>26.522579750000006</v>
      </c>
      <c r="F245" s="136">
        <f t="shared" ca="1" si="9"/>
        <v>0</v>
      </c>
      <c r="G245" s="137" t="e">
        <f>IF(A245&lt;&gt;"",IF(AND(#REF!="Padrão",$H$4=#REF!),BDI!$B$17,IF(AND(#REF!="Padrão",$H$4=#REF!),BDI!#REF!,IF(AND(#REF!="Diferenciado",$H$4=#REF!),BDI!$E$17,IF(AND(#REF!="Diferenciado",$H$4=#REF!),BDI!#REF!,IF(#REF!="ZERO",0))))),"")</f>
        <v>#REF!</v>
      </c>
      <c r="H245" s="138" t="e">
        <f t="shared" ca="1" si="10"/>
        <v>#REF!</v>
      </c>
      <c r="I245" s="136" t="e">
        <f t="shared" ca="1" si="11"/>
        <v>#REF!</v>
      </c>
    </row>
    <row r="246" spans="1:9" hidden="1" x14ac:dyDescent="0.25">
      <c r="A246" s="113" t="s">
        <v>499</v>
      </c>
      <c r="B246" s="114" t="s">
        <v>1824</v>
      </c>
      <c r="C246" s="115" t="s">
        <v>93</v>
      </c>
      <c r="D246" s="115">
        <v>0</v>
      </c>
      <c r="E246" s="135">
        <f ca="1">OFFSET(INDEX(Composições!A:J,MATCH(Orçamentária!A246,Composições!A:A,0),8),2,0)</f>
        <v>22.559179750000006</v>
      </c>
      <c r="F246" s="136">
        <f t="shared" ca="1" si="9"/>
        <v>0</v>
      </c>
      <c r="G246" s="137" t="e">
        <f>IF(A246&lt;&gt;"",IF(AND(#REF!="Padrão",$H$4=#REF!),BDI!$B$17,IF(AND(#REF!="Padrão",$H$4=#REF!),BDI!#REF!,IF(AND(#REF!="Diferenciado",$H$4=#REF!),BDI!$E$17,IF(AND(#REF!="Diferenciado",$H$4=#REF!),BDI!#REF!,IF(#REF!="ZERO",0))))),"")</f>
        <v>#REF!</v>
      </c>
      <c r="H246" s="138" t="e">
        <f t="shared" ca="1" si="10"/>
        <v>#REF!</v>
      </c>
      <c r="I246" s="136" t="e">
        <f t="shared" ca="1" si="11"/>
        <v>#REF!</v>
      </c>
    </row>
    <row r="247" spans="1:9" hidden="1" x14ac:dyDescent="0.25">
      <c r="A247" s="113" t="s">
        <v>502</v>
      </c>
      <c r="B247" s="114" t="s">
        <v>1825</v>
      </c>
      <c r="C247" s="115" t="s">
        <v>93</v>
      </c>
      <c r="D247" s="115">
        <v>0</v>
      </c>
      <c r="E247" s="135">
        <f ca="1">OFFSET(INDEX(Composições!A:J,MATCH(Orçamentária!A247,Composições!A:A,0),8),2,0)</f>
        <v>22.559179750000006</v>
      </c>
      <c r="F247" s="136">
        <f t="shared" ca="1" si="9"/>
        <v>0</v>
      </c>
      <c r="G247" s="137" t="e">
        <f>IF(A247&lt;&gt;"",IF(AND(#REF!="Padrão",$H$4=#REF!),BDI!$B$17,IF(AND(#REF!="Padrão",$H$4=#REF!),BDI!#REF!,IF(AND(#REF!="Diferenciado",$H$4=#REF!),BDI!$E$17,IF(AND(#REF!="Diferenciado",$H$4=#REF!),BDI!#REF!,IF(#REF!="ZERO",0))))),"")</f>
        <v>#REF!</v>
      </c>
      <c r="H247" s="138" t="e">
        <f t="shared" ca="1" si="10"/>
        <v>#REF!</v>
      </c>
      <c r="I247" s="136" t="e">
        <f t="shared" ca="1" si="11"/>
        <v>#REF!</v>
      </c>
    </row>
    <row r="248" spans="1:9" hidden="1" x14ac:dyDescent="0.25">
      <c r="A248" s="113" t="s">
        <v>506</v>
      </c>
      <c r="B248" s="114" t="s">
        <v>1826</v>
      </c>
      <c r="C248" s="115" t="s">
        <v>93</v>
      </c>
      <c r="D248" s="115">
        <v>0</v>
      </c>
      <c r="E248" s="135">
        <f ca="1">OFFSET(INDEX(Composições!A:J,MATCH(Orçamentária!A248,Composições!A:A,0),8),2,0)</f>
        <v>19.042270250000001</v>
      </c>
      <c r="F248" s="136">
        <f t="shared" ca="1" si="9"/>
        <v>0</v>
      </c>
      <c r="G248" s="137" t="e">
        <f>IF(A248&lt;&gt;"",IF(AND(#REF!="Padrão",$H$4=#REF!),BDI!$B$17,IF(AND(#REF!="Padrão",$H$4=#REF!),BDI!#REF!,IF(AND(#REF!="Diferenciado",$H$4=#REF!),BDI!$E$17,IF(AND(#REF!="Diferenciado",$H$4=#REF!),BDI!#REF!,IF(#REF!="ZERO",0))))),"")</f>
        <v>#REF!</v>
      </c>
      <c r="H248" s="138" t="e">
        <f t="shared" ca="1" si="10"/>
        <v>#REF!</v>
      </c>
      <c r="I248" s="136" t="e">
        <f t="shared" ca="1" si="11"/>
        <v>#REF!</v>
      </c>
    </row>
    <row r="249" spans="1:9" x14ac:dyDescent="0.25">
      <c r="A249" s="197" t="s">
        <v>510</v>
      </c>
      <c r="B249" s="198" t="s">
        <v>1827</v>
      </c>
      <c r="C249" s="199" t="s">
        <v>93</v>
      </c>
      <c r="D249" s="199">
        <v>8</v>
      </c>
      <c r="E249" s="135">
        <f ca="1">OFFSET(INDEX(Composições!A:J,MATCH(Orçamentária!A249,Composições!A:A,0),8),2,0)</f>
        <v>52.336644434219991</v>
      </c>
      <c r="F249" s="136">
        <f t="shared" ca="1" si="9"/>
        <v>418.69315547375993</v>
      </c>
      <c r="G249" s="137">
        <f>BDI!$B$17</f>
        <v>0.191</v>
      </c>
      <c r="H249" s="138">
        <f t="shared" ca="1" si="10"/>
        <v>62.33</v>
      </c>
      <c r="I249" s="136">
        <f t="shared" ca="1" si="11"/>
        <v>498.64</v>
      </c>
    </row>
    <row r="250" spans="1:9" x14ac:dyDescent="0.25">
      <c r="A250" s="197" t="s">
        <v>514</v>
      </c>
      <c r="B250" s="198" t="s">
        <v>1828</v>
      </c>
      <c r="C250" s="199" t="s">
        <v>93</v>
      </c>
      <c r="D250" s="199">
        <v>44.7</v>
      </c>
      <c r="E250" s="135">
        <f ca="1">OFFSET(INDEX(Composições!A:J,MATCH(Orçamentária!A250,Composições!A:A,0),8),2,0)</f>
        <v>46.561152132839993</v>
      </c>
      <c r="F250" s="136">
        <f t="shared" ca="1" si="9"/>
        <v>2081.2835003379478</v>
      </c>
      <c r="G250" s="137">
        <f>BDI!$B$17</f>
        <v>0.191</v>
      </c>
      <c r="H250" s="138">
        <f t="shared" ca="1" si="10"/>
        <v>55.45</v>
      </c>
      <c r="I250" s="136">
        <f t="shared" ca="1" si="11"/>
        <v>2478.62</v>
      </c>
    </row>
    <row r="251" spans="1:9" x14ac:dyDescent="0.25">
      <c r="A251" s="197" t="s">
        <v>517</v>
      </c>
      <c r="B251" s="198" t="s">
        <v>1829</v>
      </c>
      <c r="C251" s="199" t="s">
        <v>93</v>
      </c>
      <c r="D251" s="199">
        <v>59</v>
      </c>
      <c r="E251" s="135">
        <f ca="1">OFFSET(INDEX(Composições!A:J,MATCH(Orçamentária!A251,Composições!A:A,0),8),2,0)</f>
        <v>31.492621230260003</v>
      </c>
      <c r="F251" s="136">
        <f t="shared" ca="1" si="9"/>
        <v>1858.0646525853401</v>
      </c>
      <c r="G251" s="137">
        <f>BDI!$B$17</f>
        <v>0.191</v>
      </c>
      <c r="H251" s="138">
        <f t="shared" ca="1" si="10"/>
        <v>37.51</v>
      </c>
      <c r="I251" s="136">
        <f t="shared" ca="1" si="11"/>
        <v>2213.09</v>
      </c>
    </row>
    <row r="252" spans="1:9" hidden="1" x14ac:dyDescent="0.25">
      <c r="A252" s="113" t="s">
        <v>520</v>
      </c>
      <c r="B252" s="114" t="s">
        <v>1830</v>
      </c>
      <c r="C252" s="115" t="s">
        <v>93</v>
      </c>
      <c r="D252" s="115">
        <v>0</v>
      </c>
      <c r="E252" s="135">
        <f ca="1">OFFSET(INDEX(Composições!A:J,MATCH(Orçamentária!A252,Composições!A:A,0),8),2,0)</f>
        <v>21.998839034220001</v>
      </c>
      <c r="F252" s="136">
        <f t="shared" ca="1" si="9"/>
        <v>0</v>
      </c>
      <c r="G252" s="137" t="e">
        <f>IF(A252&lt;&gt;"",IF(AND(#REF!="Padrão",$H$4=#REF!),BDI!$B$17,IF(AND(#REF!="Padrão",$H$4=#REF!),BDI!#REF!,IF(AND(#REF!="Diferenciado",$H$4=#REF!),BDI!$E$17,IF(AND(#REF!="Diferenciado",$H$4=#REF!),BDI!#REF!,IF(#REF!="ZERO",0))))),"")</f>
        <v>#REF!</v>
      </c>
      <c r="H252" s="138" t="e">
        <f t="shared" ca="1" si="10"/>
        <v>#REF!</v>
      </c>
      <c r="I252" s="136" t="e">
        <f t="shared" ca="1" si="11"/>
        <v>#REF!</v>
      </c>
    </row>
    <row r="253" spans="1:9" x14ac:dyDescent="0.25">
      <c r="A253" s="197" t="s">
        <v>525</v>
      </c>
      <c r="B253" s="198" t="s">
        <v>1831</v>
      </c>
      <c r="C253" s="199" t="s">
        <v>93</v>
      </c>
      <c r="D253" s="199">
        <v>323.2</v>
      </c>
      <c r="E253" s="135">
        <f ca="1">OFFSET(INDEX(Composições!A:J,MATCH(Orçamentária!A253,Composições!A:A,0),8),2,0)</f>
        <v>27.08546987894</v>
      </c>
      <c r="F253" s="136">
        <f t="shared" ca="1" si="9"/>
        <v>8754.0238648734085</v>
      </c>
      <c r="G253" s="137">
        <f>BDI!$B$17</f>
        <v>0.191</v>
      </c>
      <c r="H253" s="138">
        <f t="shared" ca="1" si="10"/>
        <v>32.26</v>
      </c>
      <c r="I253" s="136">
        <f t="shared" ca="1" si="11"/>
        <v>10426.43</v>
      </c>
    </row>
    <row r="254" spans="1:9" hidden="1" x14ac:dyDescent="0.25">
      <c r="A254" s="113" t="s">
        <v>528</v>
      </c>
      <c r="B254" s="114" t="s">
        <v>1832</v>
      </c>
      <c r="C254" s="115" t="s">
        <v>93</v>
      </c>
      <c r="D254" s="115">
        <v>0</v>
      </c>
      <c r="E254" s="135">
        <f ca="1">OFFSET(INDEX(Composições!A:J,MATCH(Orçamentária!A254,Composições!A:A,0),8),2,0)</f>
        <v>12.126313</v>
      </c>
      <c r="F254" s="136">
        <f t="shared" ca="1" si="9"/>
        <v>0</v>
      </c>
      <c r="G254" s="137" t="e">
        <f>IF(A254&lt;&gt;"",IF(AND(#REF!="Padrão",$H$4=#REF!),BDI!$B$17,IF(AND(#REF!="Padrão",$H$4=#REF!),BDI!#REF!,IF(AND(#REF!="Diferenciado",$H$4=#REF!),BDI!$E$17,IF(AND(#REF!="Diferenciado",$H$4=#REF!),BDI!#REF!,IF(#REF!="ZERO",0))))),"")</f>
        <v>#REF!</v>
      </c>
      <c r="H254" s="138" t="e">
        <f t="shared" ca="1" si="10"/>
        <v>#REF!</v>
      </c>
      <c r="I254" s="136" t="e">
        <f t="shared" ca="1" si="11"/>
        <v>#REF!</v>
      </c>
    </row>
    <row r="255" spans="1:9" hidden="1" x14ac:dyDescent="0.25">
      <c r="A255" s="113" t="s">
        <v>531</v>
      </c>
      <c r="B255" s="114" t="s">
        <v>1833</v>
      </c>
      <c r="C255" s="115" t="s">
        <v>93</v>
      </c>
      <c r="D255" s="115">
        <v>0</v>
      </c>
      <c r="E255" s="135">
        <f ca="1">OFFSET(INDEX(Composições!A:J,MATCH(Orçamentária!A255,Composições!A:A,0),8),2,0)</f>
        <v>8.3658330000000003</v>
      </c>
      <c r="F255" s="136">
        <f t="shared" ca="1" si="9"/>
        <v>0</v>
      </c>
      <c r="G255" s="137" t="e">
        <f>IF(A255&lt;&gt;"",IF(AND(#REF!="Padrão",$H$4=#REF!),BDI!$B$17,IF(AND(#REF!="Padrão",$H$4=#REF!),BDI!#REF!,IF(AND(#REF!="Diferenciado",$H$4=#REF!),BDI!$E$17,IF(AND(#REF!="Diferenciado",$H$4=#REF!),BDI!#REF!,IF(#REF!="ZERO",0))))),"")</f>
        <v>#REF!</v>
      </c>
      <c r="H255" s="138" t="e">
        <f t="shared" ca="1" si="10"/>
        <v>#REF!</v>
      </c>
      <c r="I255" s="136" t="e">
        <f t="shared" ca="1" si="11"/>
        <v>#REF!</v>
      </c>
    </row>
    <row r="256" spans="1:9" hidden="1" x14ac:dyDescent="0.25">
      <c r="A256" s="113" t="s">
        <v>533</v>
      </c>
      <c r="B256" s="114" t="s">
        <v>1834</v>
      </c>
      <c r="C256" s="115" t="s">
        <v>93</v>
      </c>
      <c r="D256" s="115">
        <v>0</v>
      </c>
      <c r="E256" s="135">
        <f ca="1">OFFSET(INDEX(Composições!A:J,MATCH(Orçamentária!A256,Composições!A:A,0),8),2,0)</f>
        <v>19.441465000000001</v>
      </c>
      <c r="F256" s="136">
        <f t="shared" ca="1" si="9"/>
        <v>0</v>
      </c>
      <c r="G256" s="137" t="e">
        <f>IF(A256&lt;&gt;"",IF(AND(#REF!="Padrão",$H$4=#REF!),BDI!$B$17,IF(AND(#REF!="Padrão",$H$4=#REF!),BDI!#REF!,IF(AND(#REF!="Diferenciado",$H$4=#REF!),BDI!$E$17,IF(AND(#REF!="Diferenciado",$H$4=#REF!),BDI!#REF!,IF(#REF!="ZERO",0))))),"")</f>
        <v>#REF!</v>
      </c>
      <c r="H256" s="138" t="e">
        <f t="shared" ca="1" si="10"/>
        <v>#REF!</v>
      </c>
      <c r="I256" s="136" t="e">
        <f t="shared" ca="1" si="11"/>
        <v>#REF!</v>
      </c>
    </row>
    <row r="257" spans="1:9" hidden="1" x14ac:dyDescent="0.25">
      <c r="A257" s="113" t="s">
        <v>535</v>
      </c>
      <c r="B257" s="114" t="s">
        <v>1835</v>
      </c>
      <c r="C257" s="115" t="s">
        <v>93</v>
      </c>
      <c r="D257" s="115">
        <v>0</v>
      </c>
      <c r="E257" s="135">
        <f ca="1">OFFSET(INDEX(Composições!A:J,MATCH(Orçamentária!A257,Composições!A:A,0),8),2,0)</f>
        <v>15.039767299999999</v>
      </c>
      <c r="F257" s="136">
        <f t="shared" ca="1" si="9"/>
        <v>0</v>
      </c>
      <c r="G257" s="137" t="e">
        <f>IF(A257&lt;&gt;"",IF(AND(#REF!="Padrão",$H$4=#REF!),BDI!$B$17,IF(AND(#REF!="Padrão",$H$4=#REF!),BDI!#REF!,IF(AND(#REF!="Diferenciado",$H$4=#REF!),BDI!$E$17,IF(AND(#REF!="Diferenciado",$H$4=#REF!),BDI!#REF!,IF(#REF!="ZERO",0))))),"")</f>
        <v>#REF!</v>
      </c>
      <c r="H257" s="138" t="e">
        <f t="shared" ca="1" si="10"/>
        <v>#REF!</v>
      </c>
      <c r="I257" s="136" t="e">
        <f t="shared" ca="1" si="11"/>
        <v>#REF!</v>
      </c>
    </row>
    <row r="258" spans="1:9" hidden="1" x14ac:dyDescent="0.25">
      <c r="A258" s="113" t="s">
        <v>537</v>
      </c>
      <c r="B258" s="114" t="s">
        <v>1836</v>
      </c>
      <c r="C258" s="115" t="s">
        <v>93</v>
      </c>
      <c r="D258" s="115">
        <v>0</v>
      </c>
      <c r="E258" s="135">
        <f ca="1">OFFSET(INDEX(Composições!A:J,MATCH(Orçamentária!A258,Composições!A:A,0),8),2,0)</f>
        <v>19.167955250000002</v>
      </c>
      <c r="F258" s="136">
        <f t="shared" ca="1" si="9"/>
        <v>0</v>
      </c>
      <c r="G258" s="137" t="e">
        <f>IF(A258&lt;&gt;"",IF(AND(#REF!="Padrão",$H$4=#REF!),BDI!$B$17,IF(AND(#REF!="Padrão",$H$4=#REF!),BDI!#REF!,IF(AND(#REF!="Diferenciado",$H$4=#REF!),BDI!$E$17,IF(AND(#REF!="Diferenciado",$H$4=#REF!),BDI!#REF!,IF(#REF!="ZERO",0))))),"")</f>
        <v>#REF!</v>
      </c>
      <c r="H258" s="138" t="e">
        <f t="shared" ca="1" si="10"/>
        <v>#REF!</v>
      </c>
      <c r="I258" s="136" t="e">
        <f t="shared" ca="1" si="11"/>
        <v>#REF!</v>
      </c>
    </row>
    <row r="259" spans="1:9" x14ac:dyDescent="0.25">
      <c r="A259" s="197" t="s">
        <v>542</v>
      </c>
      <c r="B259" s="198" t="s">
        <v>1837</v>
      </c>
      <c r="C259" s="199" t="s">
        <v>20</v>
      </c>
      <c r="D259" s="199">
        <v>107</v>
      </c>
      <c r="E259" s="135">
        <f ca="1">OFFSET(INDEX(Composições!A:J,MATCH(Orçamentária!A259,Composições!A:A,0),8),2,0)</f>
        <v>5.6075839999999992</v>
      </c>
      <c r="F259" s="136">
        <f t="shared" ca="1" si="9"/>
        <v>600.01148799999987</v>
      </c>
      <c r="G259" s="137">
        <f>BDI!$B$17</f>
        <v>0.191</v>
      </c>
      <c r="H259" s="138">
        <f t="shared" ca="1" si="10"/>
        <v>6.68</v>
      </c>
      <c r="I259" s="136">
        <f t="shared" ca="1" si="11"/>
        <v>714.76</v>
      </c>
    </row>
    <row r="260" spans="1:9" hidden="1" x14ac:dyDescent="0.25">
      <c r="A260" s="113" t="s">
        <v>545</v>
      </c>
      <c r="B260" s="114" t="s">
        <v>1838</v>
      </c>
      <c r="C260" s="115" t="s">
        <v>20</v>
      </c>
      <c r="D260" s="115">
        <v>0</v>
      </c>
      <c r="E260" s="135">
        <f ca="1">OFFSET(INDEX(Composições!A:J,MATCH(Orçamentária!A260,Composições!A:A,0),8),2,0)</f>
        <v>9.2413720000000001</v>
      </c>
      <c r="F260" s="136">
        <f t="shared" ca="1" si="9"/>
        <v>0</v>
      </c>
      <c r="G260" s="137" t="e">
        <f>IF(A260&lt;&gt;"",IF(AND(#REF!="Padrão",$H$4=#REF!),BDI!$B$17,IF(AND(#REF!="Padrão",$H$4=#REF!),BDI!#REF!,IF(AND(#REF!="Diferenciado",$H$4=#REF!),BDI!$E$17,IF(AND(#REF!="Diferenciado",$H$4=#REF!),BDI!#REF!,IF(#REF!="ZERO",0))))),"")</f>
        <v>#REF!</v>
      </c>
      <c r="H260" s="138" t="e">
        <f t="shared" ca="1" si="10"/>
        <v>#REF!</v>
      </c>
      <c r="I260" s="136" t="e">
        <f t="shared" ca="1" si="11"/>
        <v>#REF!</v>
      </c>
    </row>
    <row r="261" spans="1:9" hidden="1" x14ac:dyDescent="0.25">
      <c r="A261" s="113" t="s">
        <v>548</v>
      </c>
      <c r="B261" s="114" t="s">
        <v>549</v>
      </c>
      <c r="C261" s="115" t="s">
        <v>20</v>
      </c>
      <c r="D261" s="115">
        <v>0</v>
      </c>
      <c r="E261" s="135">
        <f ca="1">OFFSET(INDEX(Composições!A:J,MATCH(Orçamentária!A261,Composições!A:A,0),8),2,0)</f>
        <v>4.3583720000000001</v>
      </c>
      <c r="F261" s="136">
        <f t="shared" ca="1" si="9"/>
        <v>0</v>
      </c>
      <c r="G261" s="137" t="e">
        <f>IF(A261&lt;&gt;"",IF(AND(#REF!="Padrão",$H$4=#REF!),BDI!$B$17,IF(AND(#REF!="Padrão",$H$4=#REF!),BDI!#REF!,IF(AND(#REF!="Diferenciado",$H$4=#REF!),BDI!$E$17,IF(AND(#REF!="Diferenciado",$H$4=#REF!),BDI!#REF!,IF(#REF!="ZERO",0))))),"")</f>
        <v>#REF!</v>
      </c>
      <c r="H261" s="138" t="e">
        <f t="shared" ca="1" si="10"/>
        <v>#REF!</v>
      </c>
      <c r="I261" s="136" t="e">
        <f t="shared" ca="1" si="11"/>
        <v>#REF!</v>
      </c>
    </row>
    <row r="262" spans="1:9" x14ac:dyDescent="0.25">
      <c r="A262" s="197" t="s">
        <v>550</v>
      </c>
      <c r="B262" s="198" t="s">
        <v>1839</v>
      </c>
      <c r="C262" s="199" t="s">
        <v>20</v>
      </c>
      <c r="D262" s="199">
        <v>2</v>
      </c>
      <c r="E262" s="135">
        <f ca="1">OFFSET(INDEX(Composições!A:J,MATCH(Orçamentária!A262,Composições!A:A,0),8),2,0)</f>
        <v>25.2151</v>
      </c>
      <c r="F262" s="136">
        <f t="shared" ca="1" si="9"/>
        <v>50.430199999999999</v>
      </c>
      <c r="G262" s="137">
        <f>BDI!$B$17</f>
        <v>0.191</v>
      </c>
      <c r="H262" s="138">
        <f t="shared" ca="1" si="10"/>
        <v>30.03</v>
      </c>
      <c r="I262" s="136">
        <f t="shared" ca="1" si="11"/>
        <v>60.06</v>
      </c>
    </row>
    <row r="263" spans="1:9" x14ac:dyDescent="0.25">
      <c r="A263" s="197" t="s">
        <v>553</v>
      </c>
      <c r="B263" s="198" t="s">
        <v>554</v>
      </c>
      <c r="C263" s="199" t="s">
        <v>20</v>
      </c>
      <c r="D263" s="199">
        <v>160</v>
      </c>
      <c r="E263" s="135">
        <f ca="1">OFFSET(INDEX(Composições!A:J,MATCH(Orçamentária!A263,Composições!A:A,0),8),2,0)</f>
        <v>3.8068000000000004</v>
      </c>
      <c r="F263" s="136">
        <f t="shared" ref="F263:F326" ca="1" si="12">IF(ISNUMBER(E263),D263*E263,"")</f>
        <v>609.08800000000008</v>
      </c>
      <c r="G263" s="137">
        <f>BDI!$B$17</f>
        <v>0.191</v>
      </c>
      <c r="H263" s="138">
        <f t="shared" ref="H263:H326" ca="1" si="13">IF(ISNUMBER(E263),ROUND(E263*(1+G263),2),"")</f>
        <v>4.53</v>
      </c>
      <c r="I263" s="136">
        <f t="shared" ref="I263:I326" ca="1" si="14">IF(ISNUMBER(E263),ROUND(H263*D263,2),"")</f>
        <v>724.8</v>
      </c>
    </row>
    <row r="264" spans="1:9" x14ac:dyDescent="0.25">
      <c r="A264" s="197" t="s">
        <v>555</v>
      </c>
      <c r="B264" s="198" t="s">
        <v>1840</v>
      </c>
      <c r="C264" s="199" t="s">
        <v>20</v>
      </c>
      <c r="D264" s="199">
        <v>4</v>
      </c>
      <c r="E264" s="135">
        <f ca="1">OFFSET(INDEX(Composições!A:J,MATCH(Orçamentária!A264,Composições!A:A,0),8),2,0)</f>
        <v>19.598272000000001</v>
      </c>
      <c r="F264" s="136">
        <f t="shared" ca="1" si="12"/>
        <v>78.393088000000006</v>
      </c>
      <c r="G264" s="137">
        <f>BDI!$B$17</f>
        <v>0.191</v>
      </c>
      <c r="H264" s="138">
        <f t="shared" ca="1" si="13"/>
        <v>23.34</v>
      </c>
      <c r="I264" s="136">
        <f t="shared" ca="1" si="14"/>
        <v>93.36</v>
      </c>
    </row>
    <row r="265" spans="1:9" x14ac:dyDescent="0.25">
      <c r="A265" s="197" t="s">
        <v>557</v>
      </c>
      <c r="B265" s="198" t="s">
        <v>1841</v>
      </c>
      <c r="C265" s="199" t="s">
        <v>20</v>
      </c>
      <c r="D265" s="199">
        <v>7</v>
      </c>
      <c r="E265" s="135">
        <f ca="1">OFFSET(INDEX(Composições!A:J,MATCH(Orçamentária!A265,Composições!A:A,0),8),2,0)</f>
        <v>14.58915</v>
      </c>
      <c r="F265" s="136">
        <f t="shared" ca="1" si="12"/>
        <v>102.12405</v>
      </c>
      <c r="G265" s="137">
        <f>BDI!$B$17</f>
        <v>0.191</v>
      </c>
      <c r="H265" s="138">
        <f t="shared" ca="1" si="13"/>
        <v>17.38</v>
      </c>
      <c r="I265" s="136">
        <f t="shared" ca="1" si="14"/>
        <v>121.66</v>
      </c>
    </row>
    <row r="266" spans="1:9" hidden="1" x14ac:dyDescent="0.25">
      <c r="A266" s="113" t="s">
        <v>559</v>
      </c>
      <c r="B266" s="114" t="s">
        <v>560</v>
      </c>
      <c r="C266" s="115" t="s">
        <v>20</v>
      </c>
      <c r="D266" s="115">
        <v>0</v>
      </c>
      <c r="E266" s="135">
        <f ca="1">OFFSET(INDEX(Composições!A:J,MATCH(Orçamentária!A266,Composições!A:A,0),8),2,0)</f>
        <v>2.2268000000000003</v>
      </c>
      <c r="F266" s="136">
        <f t="shared" ca="1" si="12"/>
        <v>0</v>
      </c>
      <c r="G266" s="137" t="e">
        <f>IF(A266&lt;&gt;"",IF(AND(#REF!="Padrão",$H$4=#REF!),BDI!$B$17,IF(AND(#REF!="Padrão",$H$4=#REF!),BDI!#REF!,IF(AND(#REF!="Diferenciado",$H$4=#REF!),BDI!$E$17,IF(AND(#REF!="Diferenciado",$H$4=#REF!),BDI!#REF!,IF(#REF!="ZERO",0))))),"")</f>
        <v>#REF!</v>
      </c>
      <c r="H266" s="138" t="e">
        <f t="shared" ca="1" si="13"/>
        <v>#REF!</v>
      </c>
      <c r="I266" s="136" t="e">
        <f t="shared" ca="1" si="14"/>
        <v>#REF!</v>
      </c>
    </row>
    <row r="267" spans="1:9" hidden="1" x14ac:dyDescent="0.25">
      <c r="A267" s="113" t="s">
        <v>561</v>
      </c>
      <c r="B267" s="114" t="s">
        <v>562</v>
      </c>
      <c r="C267" s="115" t="s">
        <v>20</v>
      </c>
      <c r="D267" s="115">
        <v>0</v>
      </c>
      <c r="E267" s="135">
        <f ca="1">OFFSET(INDEX(Composições!A:J,MATCH(Orçamentária!A267,Composições!A:A,0),8),2,0)</f>
        <v>12.207272</v>
      </c>
      <c r="F267" s="136">
        <f t="shared" ca="1" si="12"/>
        <v>0</v>
      </c>
      <c r="G267" s="137" t="e">
        <f>IF(A267&lt;&gt;"",IF(AND(#REF!="Padrão",$H$4=#REF!),BDI!$B$17,IF(AND(#REF!="Padrão",$H$4=#REF!),BDI!#REF!,IF(AND(#REF!="Diferenciado",$H$4=#REF!),BDI!$E$17,IF(AND(#REF!="Diferenciado",$H$4=#REF!),BDI!#REF!,IF(#REF!="ZERO",0))))),"")</f>
        <v>#REF!</v>
      </c>
      <c r="H267" s="138" t="e">
        <f t="shared" ca="1" si="13"/>
        <v>#REF!</v>
      </c>
      <c r="I267" s="136" t="e">
        <f t="shared" ca="1" si="14"/>
        <v>#REF!</v>
      </c>
    </row>
    <row r="268" spans="1:9" x14ac:dyDescent="0.25">
      <c r="A268" s="197" t="s">
        <v>563</v>
      </c>
      <c r="B268" s="198" t="s">
        <v>1842</v>
      </c>
      <c r="C268" s="199" t="s">
        <v>20</v>
      </c>
      <c r="D268" s="199">
        <v>120</v>
      </c>
      <c r="E268" s="135">
        <f ca="1">OFFSET(INDEX(Composições!A:J,MATCH(Orçamentária!A268,Composições!A:A,0),8),2,0)</f>
        <v>15.77399</v>
      </c>
      <c r="F268" s="136">
        <f t="shared" ca="1" si="12"/>
        <v>1892.8788</v>
      </c>
      <c r="G268" s="137">
        <f>BDI!$B$17</f>
        <v>0.191</v>
      </c>
      <c r="H268" s="138">
        <f t="shared" ca="1" si="13"/>
        <v>18.79</v>
      </c>
      <c r="I268" s="136">
        <f t="shared" ca="1" si="14"/>
        <v>2254.8000000000002</v>
      </c>
    </row>
    <row r="269" spans="1:9" x14ac:dyDescent="0.25">
      <c r="A269" s="197" t="s">
        <v>565</v>
      </c>
      <c r="B269" s="198" t="s">
        <v>1843</v>
      </c>
      <c r="C269" s="199" t="s">
        <v>20</v>
      </c>
      <c r="D269" s="199">
        <v>4</v>
      </c>
      <c r="E269" s="135">
        <f ca="1">OFFSET(INDEX(Composições!A:J,MATCH(Orçamentária!A269,Composições!A:A,0),8),2,0)</f>
        <v>17.578989999999997</v>
      </c>
      <c r="F269" s="136">
        <f t="shared" ca="1" si="12"/>
        <v>70.31595999999999</v>
      </c>
      <c r="G269" s="137">
        <f>BDI!$B$17</f>
        <v>0.191</v>
      </c>
      <c r="H269" s="138">
        <f t="shared" ca="1" si="13"/>
        <v>20.94</v>
      </c>
      <c r="I269" s="136">
        <f t="shared" ca="1" si="14"/>
        <v>83.76</v>
      </c>
    </row>
    <row r="270" spans="1:9" hidden="1" x14ac:dyDescent="0.25">
      <c r="A270" s="113" t="s">
        <v>567</v>
      </c>
      <c r="B270" s="114" t="s">
        <v>569</v>
      </c>
      <c r="C270" s="115" t="s">
        <v>20</v>
      </c>
      <c r="D270" s="115">
        <v>0</v>
      </c>
      <c r="E270" s="135">
        <f ca="1">OFFSET(INDEX(Composições!A:J,MATCH(Orçamentária!A270,Composições!A:A,0),8),2,0)</f>
        <v>6.9359500000000001</v>
      </c>
      <c r="F270" s="136">
        <f t="shared" ca="1" si="12"/>
        <v>0</v>
      </c>
      <c r="G270" s="137" t="e">
        <f>IF(A270&lt;&gt;"",IF(AND(#REF!="Padrão",$H$4=#REF!),BDI!$B$17,IF(AND(#REF!="Padrão",$H$4=#REF!),BDI!#REF!,IF(AND(#REF!="Diferenciado",$H$4=#REF!),BDI!$E$17,IF(AND(#REF!="Diferenciado",$H$4=#REF!),BDI!#REF!,IF(#REF!="ZERO",0))))),"")</f>
        <v>#REF!</v>
      </c>
      <c r="H270" s="138" t="e">
        <f t="shared" ca="1" si="13"/>
        <v>#REF!</v>
      </c>
      <c r="I270" s="136" t="e">
        <f t="shared" ca="1" si="14"/>
        <v>#REF!</v>
      </c>
    </row>
    <row r="271" spans="1:9" hidden="1" x14ac:dyDescent="0.25">
      <c r="A271" s="113" t="s">
        <v>570</v>
      </c>
      <c r="B271" s="114" t="s">
        <v>1844</v>
      </c>
      <c r="C271" s="115" t="s">
        <v>20</v>
      </c>
      <c r="D271" s="115">
        <v>0</v>
      </c>
      <c r="E271" s="135">
        <f ca="1">OFFSET(INDEX(Composições!A:J,MATCH(Orçamentária!A271,Composições!A:A,0),8),2,0)</f>
        <v>1.7366000000000001</v>
      </c>
      <c r="F271" s="136">
        <f t="shared" ca="1" si="12"/>
        <v>0</v>
      </c>
      <c r="G271" s="137" t="e">
        <f>IF(A271&lt;&gt;"",IF(AND(#REF!="Padrão",$H$4=#REF!),BDI!$B$17,IF(AND(#REF!="Padrão",$H$4=#REF!),BDI!#REF!,IF(AND(#REF!="Diferenciado",$H$4=#REF!),BDI!$E$17,IF(AND(#REF!="Diferenciado",$H$4=#REF!),BDI!#REF!,IF(#REF!="ZERO",0))))),"")</f>
        <v>#REF!</v>
      </c>
      <c r="H271" s="138" t="e">
        <f t="shared" ca="1" si="13"/>
        <v>#REF!</v>
      </c>
      <c r="I271" s="136" t="e">
        <f t="shared" ca="1" si="14"/>
        <v>#REF!</v>
      </c>
    </row>
    <row r="272" spans="1:9" hidden="1" x14ac:dyDescent="0.25">
      <c r="A272" s="113" t="s">
        <v>572</v>
      </c>
      <c r="B272" s="114" t="s">
        <v>1845</v>
      </c>
      <c r="C272" s="115" t="s">
        <v>20</v>
      </c>
      <c r="D272" s="115">
        <v>0</v>
      </c>
      <c r="E272" s="135">
        <f ca="1">OFFSET(INDEX(Composições!A:J,MATCH(Orçamentária!A272,Composições!A:A,0),8),2,0)</f>
        <v>1.7366000000000001</v>
      </c>
      <c r="F272" s="136">
        <f t="shared" ca="1" si="12"/>
        <v>0</v>
      </c>
      <c r="G272" s="137" t="e">
        <f>IF(A272&lt;&gt;"",IF(AND(#REF!="Padrão",$H$4=#REF!),BDI!$B$17,IF(AND(#REF!="Padrão",$H$4=#REF!),BDI!#REF!,IF(AND(#REF!="Diferenciado",$H$4=#REF!),BDI!$E$17,IF(AND(#REF!="Diferenciado",$H$4=#REF!),BDI!#REF!,IF(#REF!="ZERO",0))))),"")</f>
        <v>#REF!</v>
      </c>
      <c r="H272" s="138" t="e">
        <f t="shared" ca="1" si="13"/>
        <v>#REF!</v>
      </c>
      <c r="I272" s="136" t="e">
        <f t="shared" ca="1" si="14"/>
        <v>#REF!</v>
      </c>
    </row>
    <row r="273" spans="1:9" hidden="1" x14ac:dyDescent="0.25">
      <c r="A273" s="113" t="s">
        <v>574</v>
      </c>
      <c r="B273" s="114" t="s">
        <v>1846</v>
      </c>
      <c r="C273" s="115" t="s">
        <v>20</v>
      </c>
      <c r="D273" s="115">
        <v>0</v>
      </c>
      <c r="E273" s="135">
        <f ca="1">OFFSET(INDEX(Composições!A:J,MATCH(Orçamentária!A273,Composições!A:A,0),8),2,0)</f>
        <v>2.6048999999999998</v>
      </c>
      <c r="F273" s="136">
        <f t="shared" ca="1" si="12"/>
        <v>0</v>
      </c>
      <c r="G273" s="137" t="e">
        <f>IF(A273&lt;&gt;"",IF(AND(#REF!="Padrão",$H$4=#REF!),BDI!$B$17,IF(AND(#REF!="Padrão",$H$4=#REF!),BDI!#REF!,IF(AND(#REF!="Diferenciado",$H$4=#REF!),BDI!$E$17,IF(AND(#REF!="Diferenciado",$H$4=#REF!),BDI!#REF!,IF(#REF!="ZERO",0))))),"")</f>
        <v>#REF!</v>
      </c>
      <c r="H273" s="138" t="e">
        <f t="shared" ca="1" si="13"/>
        <v>#REF!</v>
      </c>
      <c r="I273" s="136" t="e">
        <f t="shared" ca="1" si="14"/>
        <v>#REF!</v>
      </c>
    </row>
    <row r="274" spans="1:9" hidden="1" x14ac:dyDescent="0.25">
      <c r="A274" s="113" t="s">
        <v>576</v>
      </c>
      <c r="B274" s="114" t="s">
        <v>1847</v>
      </c>
      <c r="C274" s="115" t="s">
        <v>20</v>
      </c>
      <c r="D274" s="115">
        <v>0</v>
      </c>
      <c r="E274" s="135">
        <f ca="1">OFFSET(INDEX(Composições!A:J,MATCH(Orçamentária!A274,Composições!A:A,0),8),2,0)</f>
        <v>5.9451000000000001</v>
      </c>
      <c r="F274" s="136">
        <f t="shared" ca="1" si="12"/>
        <v>0</v>
      </c>
      <c r="G274" s="137" t="e">
        <f>IF(A274&lt;&gt;"",IF(AND(#REF!="Padrão",$H$4=#REF!),BDI!$B$17,IF(AND(#REF!="Padrão",$H$4=#REF!),BDI!#REF!,IF(AND(#REF!="Diferenciado",$H$4=#REF!),BDI!$E$17,IF(AND(#REF!="Diferenciado",$H$4=#REF!),BDI!#REF!,IF(#REF!="ZERO",0))))),"")</f>
        <v>#REF!</v>
      </c>
      <c r="H274" s="138" t="e">
        <f t="shared" ca="1" si="13"/>
        <v>#REF!</v>
      </c>
      <c r="I274" s="136" t="e">
        <f t="shared" ca="1" si="14"/>
        <v>#REF!</v>
      </c>
    </row>
    <row r="275" spans="1:9" hidden="1" x14ac:dyDescent="0.25">
      <c r="A275" s="113" t="s">
        <v>578</v>
      </c>
      <c r="B275" s="114" t="s">
        <v>1848</v>
      </c>
      <c r="C275" s="115" t="s">
        <v>20</v>
      </c>
      <c r="D275" s="115">
        <v>0</v>
      </c>
      <c r="E275" s="135">
        <f ca="1">OFFSET(INDEX(Composições!A:J,MATCH(Orçamentária!A275,Composições!A:A,0),8),2,0)</f>
        <v>16.477271999999999</v>
      </c>
      <c r="F275" s="136">
        <f t="shared" ca="1" si="12"/>
        <v>0</v>
      </c>
      <c r="G275" s="137" t="e">
        <f>IF(A275&lt;&gt;"",IF(AND(#REF!="Padrão",$H$4=#REF!),BDI!$B$17,IF(AND(#REF!="Padrão",$H$4=#REF!),BDI!#REF!,IF(AND(#REF!="Diferenciado",$H$4=#REF!),BDI!$E$17,IF(AND(#REF!="Diferenciado",$H$4=#REF!),BDI!#REF!,IF(#REF!="ZERO",0))))),"")</f>
        <v>#REF!</v>
      </c>
      <c r="H275" s="138" t="e">
        <f t="shared" ca="1" si="13"/>
        <v>#REF!</v>
      </c>
      <c r="I275" s="136" t="e">
        <f t="shared" ca="1" si="14"/>
        <v>#REF!</v>
      </c>
    </row>
    <row r="276" spans="1:9" hidden="1" x14ac:dyDescent="0.25">
      <c r="A276" s="113" t="s">
        <v>580</v>
      </c>
      <c r="B276" s="114" t="s">
        <v>1849</v>
      </c>
      <c r="C276" s="115" t="s">
        <v>20</v>
      </c>
      <c r="D276" s="115">
        <v>0</v>
      </c>
      <c r="E276" s="135">
        <f ca="1">OFFSET(INDEX(Composições!A:J,MATCH(Orçamentária!A276,Composições!A:A,0),8),2,0)</f>
        <v>25.762100000000004</v>
      </c>
      <c r="F276" s="136">
        <f t="shared" ca="1" si="12"/>
        <v>0</v>
      </c>
      <c r="G276" s="137" t="e">
        <f>IF(A276&lt;&gt;"",IF(AND(#REF!="Padrão",$H$4=#REF!),BDI!$B$17,IF(AND(#REF!="Padrão",$H$4=#REF!),BDI!#REF!,IF(AND(#REF!="Diferenciado",$H$4=#REF!),BDI!$E$17,IF(AND(#REF!="Diferenciado",$H$4=#REF!),BDI!#REF!,IF(#REF!="ZERO",0))))),"")</f>
        <v>#REF!</v>
      </c>
      <c r="H276" s="138" t="e">
        <f t="shared" ca="1" si="13"/>
        <v>#REF!</v>
      </c>
      <c r="I276" s="136" t="e">
        <f t="shared" ca="1" si="14"/>
        <v>#REF!</v>
      </c>
    </row>
    <row r="277" spans="1:9" hidden="1" x14ac:dyDescent="0.25">
      <c r="A277" s="113" t="s">
        <v>583</v>
      </c>
      <c r="B277" s="114" t="s">
        <v>1850</v>
      </c>
      <c r="C277" s="115" t="s">
        <v>20</v>
      </c>
      <c r="D277" s="115">
        <v>0</v>
      </c>
      <c r="E277" s="135">
        <f ca="1">OFFSET(INDEX(Composições!A:J,MATCH(Orçamentária!A277,Composições!A:A,0),8),2,0)</f>
        <v>5.2960828000000006</v>
      </c>
      <c r="F277" s="136">
        <f t="shared" ca="1" si="12"/>
        <v>0</v>
      </c>
      <c r="G277" s="137" t="e">
        <f>IF(A277&lt;&gt;"",IF(AND(#REF!="Padrão",$H$4=#REF!),BDI!$B$17,IF(AND(#REF!="Padrão",$H$4=#REF!),BDI!#REF!,IF(AND(#REF!="Diferenciado",$H$4=#REF!),BDI!$E$17,IF(AND(#REF!="Diferenciado",$H$4=#REF!),BDI!#REF!,IF(#REF!="ZERO",0))))),"")</f>
        <v>#REF!</v>
      </c>
      <c r="H277" s="138" t="e">
        <f t="shared" ca="1" si="13"/>
        <v>#REF!</v>
      </c>
      <c r="I277" s="136" t="e">
        <f t="shared" ca="1" si="14"/>
        <v>#REF!</v>
      </c>
    </row>
    <row r="278" spans="1:9" hidden="1" x14ac:dyDescent="0.25">
      <c r="A278" s="113" t="s">
        <v>585</v>
      </c>
      <c r="B278" s="114" t="s">
        <v>1851</v>
      </c>
      <c r="C278" s="115" t="s">
        <v>20</v>
      </c>
      <c r="D278" s="115">
        <v>0</v>
      </c>
      <c r="E278" s="135">
        <f ca="1">OFFSET(INDEX(Composições!A:J,MATCH(Orçamentária!A278,Composições!A:A,0),8),2,0)</f>
        <v>38.167534799999999</v>
      </c>
      <c r="F278" s="136">
        <f t="shared" ca="1" si="12"/>
        <v>0</v>
      </c>
      <c r="G278" s="137" t="e">
        <f>IF(A278&lt;&gt;"",IF(AND(#REF!="Padrão",$H$4=#REF!),BDI!$B$17,IF(AND(#REF!="Padrão",$H$4=#REF!),BDI!#REF!,IF(AND(#REF!="Diferenciado",$H$4=#REF!),BDI!$E$17,IF(AND(#REF!="Diferenciado",$H$4=#REF!),BDI!#REF!,IF(#REF!="ZERO",0))))),"")</f>
        <v>#REF!</v>
      </c>
      <c r="H278" s="138" t="e">
        <f t="shared" ca="1" si="13"/>
        <v>#REF!</v>
      </c>
      <c r="I278" s="136" t="e">
        <f t="shared" ca="1" si="14"/>
        <v>#REF!</v>
      </c>
    </row>
    <row r="279" spans="1:9" hidden="1" x14ac:dyDescent="0.25">
      <c r="A279" s="113" t="s">
        <v>589</v>
      </c>
      <c r="B279" s="114" t="s">
        <v>1852</v>
      </c>
      <c r="C279" s="115" t="s">
        <v>20</v>
      </c>
      <c r="D279" s="115">
        <v>0</v>
      </c>
      <c r="E279" s="135">
        <f ca="1">OFFSET(INDEX(Composições!A:J,MATCH(Orçamentária!A279,Composições!A:A,0),8),2,0)</f>
        <v>163.08753479999999</v>
      </c>
      <c r="F279" s="136">
        <f t="shared" ca="1" si="12"/>
        <v>0</v>
      </c>
      <c r="G279" s="137" t="e">
        <f>IF(A279&lt;&gt;"",IF(AND(#REF!="Padrão",$H$4=#REF!),BDI!$B$17,IF(AND(#REF!="Padrão",$H$4=#REF!),BDI!#REF!,IF(AND(#REF!="Diferenciado",$H$4=#REF!),BDI!$E$17,IF(AND(#REF!="Diferenciado",$H$4=#REF!),BDI!#REF!,IF(#REF!="ZERO",0))))),"")</f>
        <v>#REF!</v>
      </c>
      <c r="H279" s="138" t="e">
        <f t="shared" ca="1" si="13"/>
        <v>#REF!</v>
      </c>
      <c r="I279" s="136" t="e">
        <f t="shared" ca="1" si="14"/>
        <v>#REF!</v>
      </c>
    </row>
    <row r="280" spans="1:9" x14ac:dyDescent="0.25">
      <c r="A280" s="197" t="s">
        <v>593</v>
      </c>
      <c r="B280" s="198" t="s">
        <v>1853</v>
      </c>
      <c r="C280" s="199" t="s">
        <v>20</v>
      </c>
      <c r="D280" s="199">
        <v>1</v>
      </c>
      <c r="E280" s="135">
        <f ca="1">OFFSET(INDEX(Composições!A:J,MATCH(Orçamentária!A280,Composições!A:A,0),8),2,0)</f>
        <v>268.1369674</v>
      </c>
      <c r="F280" s="136">
        <f t="shared" ca="1" si="12"/>
        <v>268.1369674</v>
      </c>
      <c r="G280" s="137">
        <f>BDI!$B$17</f>
        <v>0.191</v>
      </c>
      <c r="H280" s="138">
        <f t="shared" ca="1" si="13"/>
        <v>319.35000000000002</v>
      </c>
      <c r="I280" s="136">
        <f t="shared" ca="1" si="14"/>
        <v>319.35000000000002</v>
      </c>
    </row>
    <row r="281" spans="1:9" x14ac:dyDescent="0.25">
      <c r="A281" s="197" t="s">
        <v>595</v>
      </c>
      <c r="B281" s="198" t="s">
        <v>1854</v>
      </c>
      <c r="C281" s="199" t="s">
        <v>20</v>
      </c>
      <c r="D281" s="199">
        <v>67</v>
      </c>
      <c r="E281" s="135">
        <f ca="1">OFFSET(INDEX(Composições!A:J,MATCH(Orçamentária!A281,Composições!A:A,0),8),2,0)</f>
        <v>329.0375348</v>
      </c>
      <c r="F281" s="136">
        <f t="shared" ca="1" si="12"/>
        <v>22045.514831600001</v>
      </c>
      <c r="G281" s="137">
        <f>BDI!$B$17</f>
        <v>0.191</v>
      </c>
      <c r="H281" s="138">
        <f t="shared" ca="1" si="13"/>
        <v>391.88</v>
      </c>
      <c r="I281" s="136">
        <f t="shared" ca="1" si="14"/>
        <v>26255.96</v>
      </c>
    </row>
    <row r="282" spans="1:9" x14ac:dyDescent="0.25">
      <c r="A282" s="197" t="s">
        <v>599</v>
      </c>
      <c r="B282" s="198" t="s">
        <v>1855</v>
      </c>
      <c r="C282" s="199" t="s">
        <v>20</v>
      </c>
      <c r="D282" s="199">
        <v>18</v>
      </c>
      <c r="E282" s="135">
        <f ca="1">OFFSET(INDEX(Composições!A:J,MATCH(Orçamentária!A282,Composições!A:A,0),8),2,0)</f>
        <v>264.0769674</v>
      </c>
      <c r="F282" s="136">
        <f t="shared" ca="1" si="12"/>
        <v>4753.3854131999997</v>
      </c>
      <c r="G282" s="137">
        <f>BDI!$B$17</f>
        <v>0.191</v>
      </c>
      <c r="H282" s="138">
        <f t="shared" ca="1" si="13"/>
        <v>314.52</v>
      </c>
      <c r="I282" s="136">
        <f t="shared" ca="1" si="14"/>
        <v>5661.36</v>
      </c>
    </row>
    <row r="283" spans="1:9" hidden="1" x14ac:dyDescent="0.25">
      <c r="A283" s="113" t="s">
        <v>601</v>
      </c>
      <c r="B283" s="114" t="s">
        <v>1856</v>
      </c>
      <c r="C283" s="115" t="s">
        <v>93</v>
      </c>
      <c r="D283" s="115">
        <v>0</v>
      </c>
      <c r="E283" s="135">
        <f ca="1">OFFSET(INDEX(Composições!A:J,MATCH(Orçamentária!A283,Composições!A:A,0),8),2,0)</f>
        <v>1.3653209999999998</v>
      </c>
      <c r="F283" s="136">
        <f t="shared" ca="1" si="12"/>
        <v>0</v>
      </c>
      <c r="G283" s="137" t="e">
        <f>IF(A283&lt;&gt;"",IF(AND(#REF!="Padrão",$H$4=#REF!),BDI!$B$17,IF(AND(#REF!="Padrão",$H$4=#REF!),BDI!#REF!,IF(AND(#REF!="Diferenciado",$H$4=#REF!),BDI!$E$17,IF(AND(#REF!="Diferenciado",$H$4=#REF!),BDI!#REF!,IF(#REF!="ZERO",0))))),"")</f>
        <v>#REF!</v>
      </c>
      <c r="H283" s="138" t="e">
        <f t="shared" ca="1" si="13"/>
        <v>#REF!</v>
      </c>
      <c r="I283" s="136" t="e">
        <f t="shared" ca="1" si="14"/>
        <v>#REF!</v>
      </c>
    </row>
    <row r="284" spans="1:9" hidden="1" x14ac:dyDescent="0.25">
      <c r="A284" s="113" t="s">
        <v>604</v>
      </c>
      <c r="B284" s="114" t="s">
        <v>1857</v>
      </c>
      <c r="C284" s="115" t="s">
        <v>93</v>
      </c>
      <c r="D284" s="115">
        <v>0</v>
      </c>
      <c r="E284" s="135">
        <f ca="1">OFFSET(INDEX(Composições!A:J,MATCH(Orçamentária!A284,Composições!A:A,0),8),2,0)</f>
        <v>1.5238569999999998</v>
      </c>
      <c r="F284" s="136">
        <f t="shared" ca="1" si="12"/>
        <v>0</v>
      </c>
      <c r="G284" s="137" t="e">
        <f>IF(A284&lt;&gt;"",IF(AND(#REF!="Padrão",$H$4=#REF!),BDI!$B$17,IF(AND(#REF!="Padrão",$H$4=#REF!),BDI!#REF!,IF(AND(#REF!="Diferenciado",$H$4=#REF!),BDI!$E$17,IF(AND(#REF!="Diferenciado",$H$4=#REF!),BDI!#REF!,IF(#REF!="ZERO",0))))),"")</f>
        <v>#REF!</v>
      </c>
      <c r="H284" s="138" t="e">
        <f t="shared" ca="1" si="13"/>
        <v>#REF!</v>
      </c>
      <c r="I284" s="136" t="e">
        <f t="shared" ca="1" si="14"/>
        <v>#REF!</v>
      </c>
    </row>
    <row r="285" spans="1:9" x14ac:dyDescent="0.25">
      <c r="A285" s="197" t="s">
        <v>606</v>
      </c>
      <c r="B285" s="198" t="s">
        <v>1858</v>
      </c>
      <c r="C285" s="199" t="s">
        <v>93</v>
      </c>
      <c r="D285" s="199">
        <v>1790</v>
      </c>
      <c r="E285" s="135">
        <f ca="1">OFFSET(INDEX(Composições!A:J,MATCH(Orçamentária!A285,Composições!A:A,0),8),2,0)</f>
        <v>5.1456884999999994</v>
      </c>
      <c r="F285" s="136">
        <f t="shared" ca="1" si="12"/>
        <v>9210.7824149999997</v>
      </c>
      <c r="G285" s="137">
        <f>BDI!$B$17</f>
        <v>0.191</v>
      </c>
      <c r="H285" s="138">
        <f t="shared" ca="1" si="13"/>
        <v>6.13</v>
      </c>
      <c r="I285" s="136">
        <f t="shared" ca="1" si="14"/>
        <v>10972.7</v>
      </c>
    </row>
    <row r="286" spans="1:9" hidden="1" x14ac:dyDescent="0.25">
      <c r="A286" s="113" t="s">
        <v>608</v>
      </c>
      <c r="B286" s="114" t="s">
        <v>1859</v>
      </c>
      <c r="C286" s="115" t="s">
        <v>93</v>
      </c>
      <c r="D286" s="115">
        <v>0</v>
      </c>
      <c r="E286" s="135">
        <f ca="1">OFFSET(INDEX(Composições!A:J,MATCH(Orçamentária!A286,Composições!A:A,0),8),2,0)</f>
        <v>2.0906365</v>
      </c>
      <c r="F286" s="136">
        <f t="shared" ca="1" si="12"/>
        <v>0</v>
      </c>
      <c r="G286" s="137" t="e">
        <f>IF(A286&lt;&gt;"",IF(AND(#REF!="Padrão",$H$4=#REF!),BDI!$B$17,IF(AND(#REF!="Padrão",$H$4=#REF!),BDI!#REF!,IF(AND(#REF!="Diferenciado",$H$4=#REF!),BDI!$E$17,IF(AND(#REF!="Diferenciado",$H$4=#REF!),BDI!#REF!,IF(#REF!="ZERO",0))))),"")</f>
        <v>#REF!</v>
      </c>
      <c r="H286" s="138" t="e">
        <f t="shared" ca="1" si="13"/>
        <v>#REF!</v>
      </c>
      <c r="I286" s="136" t="e">
        <f t="shared" ca="1" si="14"/>
        <v>#REF!</v>
      </c>
    </row>
    <row r="287" spans="1:9" x14ac:dyDescent="0.25">
      <c r="A287" s="197" t="s">
        <v>610</v>
      </c>
      <c r="B287" s="198" t="s">
        <v>1860</v>
      </c>
      <c r="C287" s="199" t="s">
        <v>93</v>
      </c>
      <c r="D287" s="199">
        <v>113</v>
      </c>
      <c r="E287" s="135">
        <f ca="1">OFFSET(INDEX(Composições!A:J,MATCH(Orçamentária!A287,Composições!A:A,0),8),2,0)</f>
        <v>7.6959284999999991</v>
      </c>
      <c r="F287" s="136">
        <f t="shared" ca="1" si="12"/>
        <v>869.6399204999999</v>
      </c>
      <c r="G287" s="137">
        <f>BDI!$B$17</f>
        <v>0.191</v>
      </c>
      <c r="H287" s="138">
        <f t="shared" ca="1" si="13"/>
        <v>9.17</v>
      </c>
      <c r="I287" s="136">
        <f t="shared" ca="1" si="14"/>
        <v>1036.21</v>
      </c>
    </row>
    <row r="288" spans="1:9" hidden="1" x14ac:dyDescent="0.25">
      <c r="A288" s="113" t="s">
        <v>612</v>
      </c>
      <c r="B288" s="114" t="s">
        <v>1861</v>
      </c>
      <c r="C288" s="115" t="s">
        <v>93</v>
      </c>
      <c r="D288" s="115">
        <v>0</v>
      </c>
      <c r="E288" s="135">
        <f ca="1">OFFSET(INDEX(Composições!A:J,MATCH(Orçamentária!A288,Composições!A:A,0),8),2,0)</f>
        <v>0.38967099999999999</v>
      </c>
      <c r="F288" s="136">
        <f t="shared" ca="1" si="12"/>
        <v>0</v>
      </c>
      <c r="G288" s="137" t="e">
        <f>IF(A288&lt;&gt;"",IF(AND(#REF!="Padrão",$H$4=#REF!),BDI!$B$17,IF(AND(#REF!="Padrão",$H$4=#REF!),BDI!#REF!,IF(AND(#REF!="Diferenciado",$H$4=#REF!),BDI!$E$17,IF(AND(#REF!="Diferenciado",$H$4=#REF!),BDI!#REF!,IF(#REF!="ZERO",0))))),"")</f>
        <v>#REF!</v>
      </c>
      <c r="H288" s="138" t="e">
        <f t="shared" ca="1" si="13"/>
        <v>#REF!</v>
      </c>
      <c r="I288" s="136" t="e">
        <f t="shared" ca="1" si="14"/>
        <v>#REF!</v>
      </c>
    </row>
    <row r="289" spans="1:9" hidden="1" x14ac:dyDescent="0.25">
      <c r="A289" s="113" t="s">
        <v>614</v>
      </c>
      <c r="B289" s="114" t="s">
        <v>1862</v>
      </c>
      <c r="C289" s="115" t="s">
        <v>93</v>
      </c>
      <c r="D289" s="115">
        <v>0</v>
      </c>
      <c r="E289" s="135">
        <f ca="1">OFFSET(INDEX(Composições!A:J,MATCH(Orçamentária!A289,Composições!A:A,0),8),2,0)</f>
        <v>2.0906365</v>
      </c>
      <c r="F289" s="136">
        <f t="shared" ca="1" si="12"/>
        <v>0</v>
      </c>
      <c r="G289" s="137" t="e">
        <f>IF(A289&lt;&gt;"",IF(AND(#REF!="Padrão",$H$4=#REF!),BDI!$B$17,IF(AND(#REF!="Padrão",$H$4=#REF!),BDI!#REF!,IF(AND(#REF!="Diferenciado",$H$4=#REF!),BDI!$E$17,IF(AND(#REF!="Diferenciado",$H$4=#REF!),BDI!#REF!,IF(#REF!="ZERO",0))))),"")</f>
        <v>#REF!</v>
      </c>
      <c r="H289" s="138" t="e">
        <f t="shared" ca="1" si="13"/>
        <v>#REF!</v>
      </c>
      <c r="I289" s="136" t="e">
        <f t="shared" ca="1" si="14"/>
        <v>#REF!</v>
      </c>
    </row>
    <row r="290" spans="1:9" x14ac:dyDescent="0.25">
      <c r="A290" s="197" t="s">
        <v>616</v>
      </c>
      <c r="B290" s="198" t="s">
        <v>1863</v>
      </c>
      <c r="C290" s="199" t="s">
        <v>20</v>
      </c>
      <c r="D290" s="199">
        <v>1</v>
      </c>
      <c r="E290" s="135">
        <f ca="1">OFFSET(INDEX(Composições!A:J,MATCH(Orçamentária!A290,Composições!A:A,0),8),2,0)</f>
        <v>7795.1892086367106</v>
      </c>
      <c r="F290" s="136">
        <f t="shared" ca="1" si="12"/>
        <v>7795.1892086367106</v>
      </c>
      <c r="G290" s="137">
        <f>BDI!$E$17</f>
        <v>0.11260000000000001</v>
      </c>
      <c r="H290" s="138">
        <f t="shared" ca="1" si="13"/>
        <v>8672.93</v>
      </c>
      <c r="I290" s="136">
        <f t="shared" ca="1" si="14"/>
        <v>8672.93</v>
      </c>
    </row>
    <row r="291" spans="1:9" x14ac:dyDescent="0.25">
      <c r="A291" s="197" t="s">
        <v>1864</v>
      </c>
      <c r="B291" s="198" t="s">
        <v>1865</v>
      </c>
      <c r="C291" s="199" t="s">
        <v>20</v>
      </c>
      <c r="D291" s="199">
        <v>5</v>
      </c>
      <c r="E291" s="212">
        <v>12059.48</v>
      </c>
      <c r="F291" s="136">
        <f t="shared" si="12"/>
        <v>60297.399999999994</v>
      </c>
      <c r="G291" s="137">
        <f>BDI!$E$17</f>
        <v>0.11260000000000001</v>
      </c>
      <c r="H291" s="138">
        <f t="shared" si="13"/>
        <v>13417.38</v>
      </c>
      <c r="I291" s="136">
        <f t="shared" si="14"/>
        <v>67086.899999999994</v>
      </c>
    </row>
    <row r="292" spans="1:9" hidden="1" x14ac:dyDescent="0.25">
      <c r="A292" s="113" t="s">
        <v>1866</v>
      </c>
      <c r="B292" s="114" t="s">
        <v>1867</v>
      </c>
      <c r="C292" s="115" t="s">
        <v>20</v>
      </c>
      <c r="D292" s="115">
        <v>0</v>
      </c>
      <c r="E292" s="135" t="s">
        <v>568</v>
      </c>
      <c r="F292" s="136" t="str">
        <f t="shared" si="12"/>
        <v/>
      </c>
      <c r="G292" s="137" t="e">
        <f>IF(A292&lt;&gt;"",IF(AND(#REF!="Padrão",$H$4=#REF!),BDI!$B$17,IF(AND(#REF!="Padrão",$H$4=#REF!),BDI!#REF!,IF(AND(#REF!="Diferenciado",$H$4=#REF!),BDI!$E$17,IF(AND(#REF!="Diferenciado",$H$4=#REF!),BDI!#REF!,IF(#REF!="ZERO",0))))),"")</f>
        <v>#REF!</v>
      </c>
      <c r="H292" s="138" t="str">
        <f t="shared" si="13"/>
        <v/>
      </c>
      <c r="I292" s="136" t="str">
        <f t="shared" si="14"/>
        <v/>
      </c>
    </row>
    <row r="293" spans="1:9" hidden="1" x14ac:dyDescent="0.25">
      <c r="A293" s="113" t="s">
        <v>1868</v>
      </c>
      <c r="B293" s="114" t="s">
        <v>1869</v>
      </c>
      <c r="C293" s="115" t="s">
        <v>20</v>
      </c>
      <c r="D293" s="115">
        <v>0</v>
      </c>
      <c r="E293" s="135" t="s">
        <v>568</v>
      </c>
      <c r="F293" s="136" t="str">
        <f t="shared" si="12"/>
        <v/>
      </c>
      <c r="G293" s="137" t="e">
        <f>IF(A293&lt;&gt;"",IF(AND(#REF!="Padrão",$H$4=#REF!),BDI!$B$17,IF(AND(#REF!="Padrão",$H$4=#REF!),BDI!#REF!,IF(AND(#REF!="Diferenciado",$H$4=#REF!),BDI!$E$17,IF(AND(#REF!="Diferenciado",$H$4=#REF!),BDI!#REF!,IF(#REF!="ZERO",0))))),"")</f>
        <v>#REF!</v>
      </c>
      <c r="H293" s="138" t="str">
        <f t="shared" si="13"/>
        <v/>
      </c>
      <c r="I293" s="136" t="str">
        <f t="shared" si="14"/>
        <v/>
      </c>
    </row>
    <row r="294" spans="1:9" hidden="1" x14ac:dyDescent="0.25">
      <c r="A294" s="113" t="s">
        <v>1870</v>
      </c>
      <c r="B294" s="114" t="s">
        <v>1871</v>
      </c>
      <c r="C294" s="115" t="s">
        <v>20</v>
      </c>
      <c r="D294" s="115">
        <v>0</v>
      </c>
      <c r="E294" s="135" t="s">
        <v>568</v>
      </c>
      <c r="F294" s="136" t="str">
        <f t="shared" si="12"/>
        <v/>
      </c>
      <c r="G294" s="137" t="e">
        <f>IF(A294&lt;&gt;"",IF(AND(#REF!="Padrão",$H$4=#REF!),BDI!$B$17,IF(AND(#REF!="Padrão",$H$4=#REF!),BDI!#REF!,IF(AND(#REF!="Diferenciado",$H$4=#REF!),BDI!$E$17,IF(AND(#REF!="Diferenciado",$H$4=#REF!),BDI!#REF!,IF(#REF!="ZERO",0))))),"")</f>
        <v>#REF!</v>
      </c>
      <c r="H294" s="138" t="str">
        <f t="shared" si="13"/>
        <v/>
      </c>
      <c r="I294" s="136" t="str">
        <f t="shared" si="14"/>
        <v/>
      </c>
    </row>
    <row r="295" spans="1:9" hidden="1" x14ac:dyDescent="0.25">
      <c r="A295" s="113" t="s">
        <v>1872</v>
      </c>
      <c r="B295" s="114" t="s">
        <v>1873</v>
      </c>
      <c r="C295" s="115" t="s">
        <v>20</v>
      </c>
      <c r="D295" s="115">
        <v>0</v>
      </c>
      <c r="E295" s="135" t="s">
        <v>568</v>
      </c>
      <c r="F295" s="136" t="str">
        <f t="shared" si="12"/>
        <v/>
      </c>
      <c r="G295" s="137" t="e">
        <f>IF(A295&lt;&gt;"",IF(AND(#REF!="Padrão",$H$4=#REF!),BDI!$B$17,IF(AND(#REF!="Padrão",$H$4=#REF!),BDI!#REF!,IF(AND(#REF!="Diferenciado",$H$4=#REF!),BDI!$E$17,IF(AND(#REF!="Diferenciado",$H$4=#REF!),BDI!#REF!,IF(#REF!="ZERO",0))))),"")</f>
        <v>#REF!</v>
      </c>
      <c r="H295" s="138" t="str">
        <f t="shared" si="13"/>
        <v/>
      </c>
      <c r="I295" s="136" t="str">
        <f t="shared" si="14"/>
        <v/>
      </c>
    </row>
    <row r="296" spans="1:9" hidden="1" x14ac:dyDescent="0.25">
      <c r="A296" s="113" t="s">
        <v>1874</v>
      </c>
      <c r="B296" s="114" t="s">
        <v>1875</v>
      </c>
      <c r="C296" s="115" t="s">
        <v>20</v>
      </c>
      <c r="D296" s="115">
        <v>0</v>
      </c>
      <c r="E296" s="135" t="s">
        <v>568</v>
      </c>
      <c r="F296" s="136" t="str">
        <f t="shared" si="12"/>
        <v/>
      </c>
      <c r="G296" s="137" t="e">
        <f>IF(A296&lt;&gt;"",IF(AND(#REF!="Padrão",$H$4=#REF!),BDI!$B$17,IF(AND(#REF!="Padrão",$H$4=#REF!),BDI!#REF!,IF(AND(#REF!="Diferenciado",$H$4=#REF!),BDI!$E$17,IF(AND(#REF!="Diferenciado",$H$4=#REF!),BDI!#REF!,IF(#REF!="ZERO",0))))),"")</f>
        <v>#REF!</v>
      </c>
      <c r="H296" s="138" t="str">
        <f t="shared" si="13"/>
        <v/>
      </c>
      <c r="I296" s="136" t="str">
        <f t="shared" si="14"/>
        <v/>
      </c>
    </row>
    <row r="297" spans="1:9" hidden="1" x14ac:dyDescent="0.25">
      <c r="A297" s="113" t="s">
        <v>1876</v>
      </c>
      <c r="B297" s="114" t="s">
        <v>1877</v>
      </c>
      <c r="C297" s="115" t="s">
        <v>20</v>
      </c>
      <c r="D297" s="115">
        <v>0</v>
      </c>
      <c r="E297" s="135" t="s">
        <v>568</v>
      </c>
      <c r="F297" s="136" t="str">
        <f t="shared" si="12"/>
        <v/>
      </c>
      <c r="G297" s="137" t="e">
        <f>IF(A297&lt;&gt;"",IF(AND(#REF!="Padrão",$H$4=#REF!),BDI!$B$17,IF(AND(#REF!="Padrão",$H$4=#REF!),BDI!#REF!,IF(AND(#REF!="Diferenciado",$H$4=#REF!),BDI!$E$17,IF(AND(#REF!="Diferenciado",$H$4=#REF!),BDI!#REF!,IF(#REF!="ZERO",0))))),"")</f>
        <v>#REF!</v>
      </c>
      <c r="H297" s="138" t="str">
        <f t="shared" si="13"/>
        <v/>
      </c>
      <c r="I297" s="136" t="str">
        <f t="shared" si="14"/>
        <v/>
      </c>
    </row>
    <row r="298" spans="1:9" hidden="1" x14ac:dyDescent="0.25">
      <c r="A298" s="113" t="s">
        <v>618</v>
      </c>
      <c r="B298" s="114" t="s">
        <v>1878</v>
      </c>
      <c r="C298" s="115" t="s">
        <v>20</v>
      </c>
      <c r="D298" s="115">
        <v>0</v>
      </c>
      <c r="E298" s="135">
        <f ca="1">OFFSET(INDEX(Composições!A:J,MATCH(Orçamentária!A298,Composições!A:A,0),8),2,0)</f>
        <v>81.073000000000008</v>
      </c>
      <c r="F298" s="136">
        <f t="shared" ca="1" si="12"/>
        <v>0</v>
      </c>
      <c r="G298" s="137" t="e">
        <f>IF(A298&lt;&gt;"",IF(AND(#REF!="Padrão",$H$4=#REF!),BDI!$B$17,IF(AND(#REF!="Padrão",$H$4=#REF!),BDI!#REF!,IF(AND(#REF!="Diferenciado",$H$4=#REF!),BDI!$E$17,IF(AND(#REF!="Diferenciado",$H$4=#REF!),BDI!#REF!,IF(#REF!="ZERO",0))))),"")</f>
        <v>#REF!</v>
      </c>
      <c r="H298" s="138" t="e">
        <f t="shared" ca="1" si="13"/>
        <v>#REF!</v>
      </c>
      <c r="I298" s="136" t="e">
        <f t="shared" ca="1" si="14"/>
        <v>#REF!</v>
      </c>
    </row>
    <row r="299" spans="1:9" hidden="1" x14ac:dyDescent="0.25">
      <c r="A299" s="113" t="s">
        <v>620</v>
      </c>
      <c r="B299" s="114" t="s">
        <v>1879</v>
      </c>
      <c r="C299" s="115" t="s">
        <v>20</v>
      </c>
      <c r="D299" s="115">
        <v>0</v>
      </c>
      <c r="E299" s="135">
        <f ca="1">OFFSET(INDEX(Composições!A:J,MATCH(Orçamentária!A299,Composições!A:A,0),8),2,0)</f>
        <v>121.6095</v>
      </c>
      <c r="F299" s="136">
        <f t="shared" ca="1" si="12"/>
        <v>0</v>
      </c>
      <c r="G299" s="137" t="e">
        <f>IF(A299&lt;&gt;"",IF(AND(#REF!="Padrão",$H$4=#REF!),BDI!$B$17,IF(AND(#REF!="Padrão",$H$4=#REF!),BDI!#REF!,IF(AND(#REF!="Diferenciado",$H$4=#REF!),BDI!$E$17,IF(AND(#REF!="Diferenciado",$H$4=#REF!),BDI!#REF!,IF(#REF!="ZERO",0))))),"")</f>
        <v>#REF!</v>
      </c>
      <c r="H299" s="138" t="e">
        <f t="shared" ca="1" si="13"/>
        <v>#REF!</v>
      </c>
      <c r="I299" s="136" t="e">
        <f t="shared" ca="1" si="14"/>
        <v>#REF!</v>
      </c>
    </row>
    <row r="300" spans="1:9" hidden="1" x14ac:dyDescent="0.25">
      <c r="A300" s="113" t="s">
        <v>621</v>
      </c>
      <c r="B300" s="114" t="s">
        <v>1880</v>
      </c>
      <c r="C300" s="115" t="s">
        <v>20</v>
      </c>
      <c r="D300" s="115">
        <v>0</v>
      </c>
      <c r="E300" s="135">
        <f ca="1">OFFSET(INDEX(Composições!A:J,MATCH(Orçamentária!A300,Composições!A:A,0),8),2,0)</f>
        <v>39.634</v>
      </c>
      <c r="F300" s="136">
        <f t="shared" ca="1" si="12"/>
        <v>0</v>
      </c>
      <c r="G300" s="137" t="e">
        <f>IF(A300&lt;&gt;"",IF(AND(#REF!="Padrão",$H$4=#REF!),BDI!$B$17,IF(AND(#REF!="Padrão",$H$4=#REF!),BDI!#REF!,IF(AND(#REF!="Diferenciado",$H$4=#REF!),BDI!$E$17,IF(AND(#REF!="Diferenciado",$H$4=#REF!),BDI!#REF!,IF(#REF!="ZERO",0))))),"")</f>
        <v>#REF!</v>
      </c>
      <c r="H300" s="138" t="e">
        <f t="shared" ca="1" si="13"/>
        <v>#REF!</v>
      </c>
      <c r="I300" s="136" t="e">
        <f t="shared" ca="1" si="14"/>
        <v>#REF!</v>
      </c>
    </row>
    <row r="301" spans="1:9" hidden="1" x14ac:dyDescent="0.25">
      <c r="A301" s="113" t="s">
        <v>623</v>
      </c>
      <c r="B301" s="114" t="s">
        <v>1881</v>
      </c>
      <c r="C301" s="115" t="s">
        <v>20</v>
      </c>
      <c r="D301" s="115">
        <v>0</v>
      </c>
      <c r="E301" s="135">
        <f ca="1">OFFSET(INDEX(Composições!A:J,MATCH(Orçamentária!A301,Composições!A:A,0),8),2,0)</f>
        <v>39.634</v>
      </c>
      <c r="F301" s="136">
        <f t="shared" ca="1" si="12"/>
        <v>0</v>
      </c>
      <c r="G301" s="137" t="e">
        <f>IF(A301&lt;&gt;"",IF(AND(#REF!="Padrão",$H$4=#REF!),BDI!$B$17,IF(AND(#REF!="Padrão",$H$4=#REF!),BDI!#REF!,IF(AND(#REF!="Diferenciado",$H$4=#REF!),BDI!$E$17,IF(AND(#REF!="Diferenciado",$H$4=#REF!),BDI!#REF!,IF(#REF!="ZERO",0))))),"")</f>
        <v>#REF!</v>
      </c>
      <c r="H301" s="138" t="e">
        <f t="shared" ca="1" si="13"/>
        <v>#REF!</v>
      </c>
      <c r="I301" s="136" t="e">
        <f t="shared" ca="1" si="14"/>
        <v>#REF!</v>
      </c>
    </row>
    <row r="302" spans="1:9" hidden="1" x14ac:dyDescent="0.25">
      <c r="A302" s="113" t="s">
        <v>625</v>
      </c>
      <c r="B302" s="114" t="s">
        <v>1882</v>
      </c>
      <c r="C302" s="115" t="s">
        <v>95</v>
      </c>
      <c r="D302" s="115">
        <v>0</v>
      </c>
      <c r="E302" s="135">
        <f ca="1">OFFSET(INDEX(Composições!A:J,MATCH(Orçamentária!A302,Composições!A:A,0),8),2,0)</f>
        <v>233.47443199999998</v>
      </c>
      <c r="F302" s="136">
        <f t="shared" ca="1" si="12"/>
        <v>0</v>
      </c>
      <c r="G302" s="137" t="e">
        <f>IF(A302&lt;&gt;"",IF(AND(#REF!="Padrão",$H$4=#REF!),BDI!$B$17,IF(AND(#REF!="Padrão",$H$4=#REF!),BDI!#REF!,IF(AND(#REF!="Diferenciado",$H$4=#REF!),BDI!$E$17,IF(AND(#REF!="Diferenciado",$H$4=#REF!),BDI!#REF!,IF(#REF!="ZERO",0))))),"")</f>
        <v>#REF!</v>
      </c>
      <c r="H302" s="138" t="e">
        <f t="shared" ca="1" si="13"/>
        <v>#REF!</v>
      </c>
      <c r="I302" s="136" t="e">
        <f t="shared" ca="1" si="14"/>
        <v>#REF!</v>
      </c>
    </row>
    <row r="303" spans="1:9" hidden="1" x14ac:dyDescent="0.25">
      <c r="A303" s="113" t="s">
        <v>629</v>
      </c>
      <c r="B303" s="114" t="s">
        <v>1883</v>
      </c>
      <c r="C303" s="115" t="s">
        <v>93</v>
      </c>
      <c r="D303" s="115">
        <v>0</v>
      </c>
      <c r="E303" s="135">
        <f ca="1">OFFSET(INDEX(Composições!A:J,MATCH(Orçamentária!A303,Composições!A:A,0),8),2,0)</f>
        <v>15.751000000000001</v>
      </c>
      <c r="F303" s="136">
        <f t="shared" ca="1" si="12"/>
        <v>0</v>
      </c>
      <c r="G303" s="137" t="e">
        <f>IF(A303&lt;&gt;"",IF(AND(#REF!="Padrão",$H$4=#REF!),BDI!$B$17,IF(AND(#REF!="Padrão",$H$4=#REF!),BDI!#REF!,IF(AND(#REF!="Diferenciado",$H$4=#REF!),BDI!$E$17,IF(AND(#REF!="Diferenciado",$H$4=#REF!),BDI!#REF!,IF(#REF!="ZERO",0))))),"")</f>
        <v>#REF!</v>
      </c>
      <c r="H303" s="138" t="e">
        <f t="shared" ca="1" si="13"/>
        <v>#REF!</v>
      </c>
      <c r="I303" s="136" t="e">
        <f t="shared" ca="1" si="14"/>
        <v>#REF!</v>
      </c>
    </row>
    <row r="304" spans="1:9" hidden="1" x14ac:dyDescent="0.25">
      <c r="A304" s="113" t="s">
        <v>631</v>
      </c>
      <c r="B304" s="114" t="s">
        <v>1884</v>
      </c>
      <c r="C304" s="115" t="s">
        <v>93</v>
      </c>
      <c r="D304" s="115">
        <v>0</v>
      </c>
      <c r="E304" s="135">
        <f ca="1">OFFSET(INDEX(Composições!A:J,MATCH(Orçamentária!A304,Composições!A:A,0),8),2,0)</f>
        <v>15.751000000000001</v>
      </c>
      <c r="F304" s="136">
        <f t="shared" ca="1" si="12"/>
        <v>0</v>
      </c>
      <c r="G304" s="137" t="e">
        <f>IF(A304&lt;&gt;"",IF(AND(#REF!="Padrão",$H$4=#REF!),BDI!$B$17,IF(AND(#REF!="Padrão",$H$4=#REF!),BDI!#REF!,IF(AND(#REF!="Diferenciado",$H$4=#REF!),BDI!$E$17,IF(AND(#REF!="Diferenciado",$H$4=#REF!),BDI!#REF!,IF(#REF!="ZERO",0))))),"")</f>
        <v>#REF!</v>
      </c>
      <c r="H304" s="138" t="e">
        <f t="shared" ca="1" si="13"/>
        <v>#REF!</v>
      </c>
      <c r="I304" s="136" t="e">
        <f t="shared" ca="1" si="14"/>
        <v>#REF!</v>
      </c>
    </row>
    <row r="305" spans="1:9" hidden="1" x14ac:dyDescent="0.25">
      <c r="A305" s="113" t="s">
        <v>633</v>
      </c>
      <c r="B305" s="114" t="s">
        <v>1885</v>
      </c>
      <c r="C305" s="115" t="s">
        <v>20</v>
      </c>
      <c r="D305" s="115">
        <v>0</v>
      </c>
      <c r="E305" s="135">
        <f ca="1">OFFSET(INDEX(Composições!A:J,MATCH(Orçamentária!A305,Composições!A:A,0),8),2,0)</f>
        <v>101.34125</v>
      </c>
      <c r="F305" s="136">
        <f t="shared" ca="1" si="12"/>
        <v>0</v>
      </c>
      <c r="G305" s="137" t="e">
        <f>IF(A305&lt;&gt;"",IF(AND(#REF!="Padrão",$H$4=#REF!),BDI!$B$17,IF(AND(#REF!="Padrão",$H$4=#REF!),BDI!#REF!,IF(AND(#REF!="Diferenciado",$H$4=#REF!),BDI!$E$17,IF(AND(#REF!="Diferenciado",$H$4=#REF!),BDI!#REF!,IF(#REF!="ZERO",0))))),"")</f>
        <v>#REF!</v>
      </c>
      <c r="H305" s="138" t="e">
        <f t="shared" ca="1" si="13"/>
        <v>#REF!</v>
      </c>
      <c r="I305" s="136" t="e">
        <f t="shared" ca="1" si="14"/>
        <v>#REF!</v>
      </c>
    </row>
    <row r="306" spans="1:9" hidden="1" x14ac:dyDescent="0.25">
      <c r="A306" s="113" t="s">
        <v>635</v>
      </c>
      <c r="B306" s="114" t="s">
        <v>1886</v>
      </c>
      <c r="C306" s="115" t="s">
        <v>20</v>
      </c>
      <c r="D306" s="115">
        <v>0</v>
      </c>
      <c r="E306" s="135">
        <f ca="1">OFFSET(INDEX(Composições!A:J,MATCH(Orçamentária!A306,Composições!A:A,0),8),2,0)</f>
        <v>101.34125</v>
      </c>
      <c r="F306" s="136">
        <f t="shared" ca="1" si="12"/>
        <v>0</v>
      </c>
      <c r="G306" s="137" t="e">
        <f>IF(A306&lt;&gt;"",IF(AND(#REF!="Padrão",$H$4=#REF!),BDI!$B$17,IF(AND(#REF!="Padrão",$H$4=#REF!),BDI!#REF!,IF(AND(#REF!="Diferenciado",$H$4=#REF!),BDI!$E$17,IF(AND(#REF!="Diferenciado",$H$4=#REF!),BDI!#REF!,IF(#REF!="ZERO",0))))),"")</f>
        <v>#REF!</v>
      </c>
      <c r="H306" s="138" t="e">
        <f t="shared" ca="1" si="13"/>
        <v>#REF!</v>
      </c>
      <c r="I306" s="136" t="e">
        <f t="shared" ca="1" si="14"/>
        <v>#REF!</v>
      </c>
    </row>
    <row r="307" spans="1:9" hidden="1" x14ac:dyDescent="0.25">
      <c r="A307" s="113" t="s">
        <v>637</v>
      </c>
      <c r="B307" s="114" t="s">
        <v>1887</v>
      </c>
      <c r="C307" s="115" t="s">
        <v>20</v>
      </c>
      <c r="D307" s="115">
        <v>0</v>
      </c>
      <c r="E307" s="135">
        <f ca="1">OFFSET(INDEX(Composições!A:J,MATCH(Orçamentária!A307,Composições!A:A,0),8),2,0)</f>
        <v>101.34125</v>
      </c>
      <c r="F307" s="136">
        <f t="shared" ca="1" si="12"/>
        <v>0</v>
      </c>
      <c r="G307" s="137" t="e">
        <f>IF(A307&lt;&gt;"",IF(AND(#REF!="Padrão",$H$4=#REF!),BDI!$B$17,IF(AND(#REF!="Padrão",$H$4=#REF!),BDI!#REF!,IF(AND(#REF!="Diferenciado",$H$4=#REF!),BDI!$E$17,IF(AND(#REF!="Diferenciado",$H$4=#REF!),BDI!#REF!,IF(#REF!="ZERO",0))))),"")</f>
        <v>#REF!</v>
      </c>
      <c r="H307" s="138" t="e">
        <f t="shared" ca="1" si="13"/>
        <v>#REF!</v>
      </c>
      <c r="I307" s="136" t="e">
        <f t="shared" ca="1" si="14"/>
        <v>#REF!</v>
      </c>
    </row>
    <row r="308" spans="1:9" hidden="1" x14ac:dyDescent="0.25">
      <c r="A308" s="113" t="s">
        <v>639</v>
      </c>
      <c r="B308" s="114" t="s">
        <v>1888</v>
      </c>
      <c r="C308" s="115" t="s">
        <v>20</v>
      </c>
      <c r="D308" s="115">
        <v>0</v>
      </c>
      <c r="E308" s="135">
        <f ca="1">OFFSET(INDEX(Composições!A:J,MATCH(Orçamentária!A308,Composições!A:A,0),8),2,0)</f>
        <v>101.34125</v>
      </c>
      <c r="F308" s="136">
        <f t="shared" ca="1" si="12"/>
        <v>0</v>
      </c>
      <c r="G308" s="137" t="e">
        <f>IF(A308&lt;&gt;"",IF(AND(#REF!="Padrão",$H$4=#REF!),BDI!$B$17,IF(AND(#REF!="Padrão",$H$4=#REF!),BDI!#REF!,IF(AND(#REF!="Diferenciado",$H$4=#REF!),BDI!$E$17,IF(AND(#REF!="Diferenciado",$H$4=#REF!),BDI!#REF!,IF(#REF!="ZERO",0))))),"")</f>
        <v>#REF!</v>
      </c>
      <c r="H308" s="138" t="e">
        <f t="shared" ca="1" si="13"/>
        <v>#REF!</v>
      </c>
      <c r="I308" s="136" t="e">
        <f t="shared" ca="1" si="14"/>
        <v>#REF!</v>
      </c>
    </row>
    <row r="309" spans="1:9" hidden="1" x14ac:dyDescent="0.25">
      <c r="A309" s="113" t="s">
        <v>641</v>
      </c>
      <c r="B309" s="114" t="s">
        <v>1889</v>
      </c>
      <c r="C309" s="115" t="s">
        <v>20</v>
      </c>
      <c r="D309" s="115">
        <v>0</v>
      </c>
      <c r="E309" s="135">
        <f ca="1">OFFSET(INDEX(Composições!A:J,MATCH(Orçamentária!A309,Composições!A:A,0),8),2,0)</f>
        <v>101.34125</v>
      </c>
      <c r="F309" s="136">
        <f t="shared" ca="1" si="12"/>
        <v>0</v>
      </c>
      <c r="G309" s="137" t="e">
        <f>IF(A309&lt;&gt;"",IF(AND(#REF!="Padrão",$H$4=#REF!),BDI!$B$17,IF(AND(#REF!="Padrão",$H$4=#REF!),BDI!#REF!,IF(AND(#REF!="Diferenciado",$H$4=#REF!),BDI!$E$17,IF(AND(#REF!="Diferenciado",$H$4=#REF!),BDI!#REF!,IF(#REF!="ZERO",0))))),"")</f>
        <v>#REF!</v>
      </c>
      <c r="H309" s="138" t="e">
        <f t="shared" ca="1" si="13"/>
        <v>#REF!</v>
      </c>
      <c r="I309" s="136" t="e">
        <f t="shared" ca="1" si="14"/>
        <v>#REF!</v>
      </c>
    </row>
    <row r="310" spans="1:9" hidden="1" x14ac:dyDescent="0.25">
      <c r="A310" s="113" t="s">
        <v>643</v>
      </c>
      <c r="B310" s="114" t="s">
        <v>1890</v>
      </c>
      <c r="C310" s="115" t="s">
        <v>20</v>
      </c>
      <c r="D310" s="115">
        <v>0</v>
      </c>
      <c r="E310" s="135">
        <f ca="1">OFFSET(INDEX(Composições!A:J,MATCH(Orçamentária!A310,Composições!A:A,0),8),2,0)</f>
        <v>101.34125</v>
      </c>
      <c r="F310" s="136">
        <f t="shared" ca="1" si="12"/>
        <v>0</v>
      </c>
      <c r="G310" s="137" t="e">
        <f>IF(A310&lt;&gt;"",IF(AND(#REF!="Padrão",$H$4=#REF!),BDI!$B$17,IF(AND(#REF!="Padrão",$H$4=#REF!),BDI!#REF!,IF(AND(#REF!="Diferenciado",$H$4=#REF!),BDI!$E$17,IF(AND(#REF!="Diferenciado",$H$4=#REF!),BDI!#REF!,IF(#REF!="ZERO",0))))),"")</f>
        <v>#REF!</v>
      </c>
      <c r="H310" s="138" t="e">
        <f t="shared" ca="1" si="13"/>
        <v>#REF!</v>
      </c>
      <c r="I310" s="136" t="e">
        <f t="shared" ca="1" si="14"/>
        <v>#REF!</v>
      </c>
    </row>
    <row r="311" spans="1:9" hidden="1" x14ac:dyDescent="0.25">
      <c r="A311" s="113" t="s">
        <v>645</v>
      </c>
      <c r="B311" s="114" t="s">
        <v>1891</v>
      </c>
      <c r="C311" s="115" t="s">
        <v>20</v>
      </c>
      <c r="D311" s="115">
        <v>0</v>
      </c>
      <c r="E311" s="135">
        <f ca="1">OFFSET(INDEX(Composições!A:J,MATCH(Orçamentária!A311,Composições!A:A,0),8),2,0)</f>
        <v>101.34125</v>
      </c>
      <c r="F311" s="136">
        <f t="shared" ca="1" si="12"/>
        <v>0</v>
      </c>
      <c r="G311" s="137" t="e">
        <f>IF(A311&lt;&gt;"",IF(AND(#REF!="Padrão",$H$4=#REF!),BDI!$B$17,IF(AND(#REF!="Padrão",$H$4=#REF!),BDI!#REF!,IF(AND(#REF!="Diferenciado",$H$4=#REF!),BDI!$E$17,IF(AND(#REF!="Diferenciado",$H$4=#REF!),BDI!#REF!,IF(#REF!="ZERO",0))))),"")</f>
        <v>#REF!</v>
      </c>
      <c r="H311" s="138" t="e">
        <f t="shared" ca="1" si="13"/>
        <v>#REF!</v>
      </c>
      <c r="I311" s="136" t="e">
        <f t="shared" ca="1" si="14"/>
        <v>#REF!</v>
      </c>
    </row>
    <row r="312" spans="1:9" hidden="1" x14ac:dyDescent="0.25">
      <c r="A312" s="113" t="s">
        <v>647</v>
      </c>
      <c r="B312" s="114" t="s">
        <v>1892</v>
      </c>
      <c r="C312" s="115" t="s">
        <v>20</v>
      </c>
      <c r="D312" s="115">
        <v>0</v>
      </c>
      <c r="E312" s="135">
        <f ca="1">OFFSET(INDEX(Composições!A:J,MATCH(Orçamentária!A312,Composições!A:A,0),8),2,0)</f>
        <v>101.34125</v>
      </c>
      <c r="F312" s="136">
        <f t="shared" ca="1" si="12"/>
        <v>0</v>
      </c>
      <c r="G312" s="137" t="e">
        <f>IF(A312&lt;&gt;"",IF(AND(#REF!="Padrão",$H$4=#REF!),BDI!$B$17,IF(AND(#REF!="Padrão",$H$4=#REF!),BDI!#REF!,IF(AND(#REF!="Diferenciado",$H$4=#REF!),BDI!$E$17,IF(AND(#REF!="Diferenciado",$H$4=#REF!),BDI!#REF!,IF(#REF!="ZERO",0))))),"")</f>
        <v>#REF!</v>
      </c>
      <c r="H312" s="138" t="e">
        <f t="shared" ca="1" si="13"/>
        <v>#REF!</v>
      </c>
      <c r="I312" s="136" t="e">
        <f t="shared" ca="1" si="14"/>
        <v>#REF!</v>
      </c>
    </row>
    <row r="313" spans="1:9" hidden="1" x14ac:dyDescent="0.25">
      <c r="A313" s="113" t="s">
        <v>649</v>
      </c>
      <c r="B313" s="114" t="s">
        <v>1893</v>
      </c>
      <c r="C313" s="115" t="s">
        <v>20</v>
      </c>
      <c r="D313" s="115">
        <v>0</v>
      </c>
      <c r="E313" s="135">
        <f ca="1">OFFSET(INDEX(Composições!A:J,MATCH(Orçamentária!A313,Composições!A:A,0),8),2,0)</f>
        <v>141.87774999999999</v>
      </c>
      <c r="F313" s="136">
        <f t="shared" ca="1" si="12"/>
        <v>0</v>
      </c>
      <c r="G313" s="137" t="e">
        <f>IF(A313&lt;&gt;"",IF(AND(#REF!="Padrão",$H$4=#REF!),BDI!$B$17,IF(AND(#REF!="Padrão",$H$4=#REF!),BDI!#REF!,IF(AND(#REF!="Diferenciado",$H$4=#REF!),BDI!$E$17,IF(AND(#REF!="Diferenciado",$H$4=#REF!),BDI!#REF!,IF(#REF!="ZERO",0))))),"")</f>
        <v>#REF!</v>
      </c>
      <c r="H313" s="138" t="e">
        <f t="shared" ca="1" si="13"/>
        <v>#REF!</v>
      </c>
      <c r="I313" s="136" t="e">
        <f t="shared" ca="1" si="14"/>
        <v>#REF!</v>
      </c>
    </row>
    <row r="314" spans="1:9" hidden="1" x14ac:dyDescent="0.25">
      <c r="A314" s="113" t="s">
        <v>651</v>
      </c>
      <c r="B314" s="114" t="s">
        <v>1894</v>
      </c>
      <c r="C314" s="115" t="s">
        <v>20</v>
      </c>
      <c r="D314" s="115">
        <v>0</v>
      </c>
      <c r="E314" s="135">
        <f ca="1">OFFSET(INDEX(Composições!A:J,MATCH(Orçamentária!A314,Composições!A:A,0),8),2,0)</f>
        <v>141.87774999999999</v>
      </c>
      <c r="F314" s="136">
        <f t="shared" ca="1" si="12"/>
        <v>0</v>
      </c>
      <c r="G314" s="137" t="e">
        <f>IF(A314&lt;&gt;"",IF(AND(#REF!="Padrão",$H$4=#REF!),BDI!$B$17,IF(AND(#REF!="Padrão",$H$4=#REF!),BDI!#REF!,IF(AND(#REF!="Diferenciado",$H$4=#REF!),BDI!$E$17,IF(AND(#REF!="Diferenciado",$H$4=#REF!),BDI!#REF!,IF(#REF!="ZERO",0))))),"")</f>
        <v>#REF!</v>
      </c>
      <c r="H314" s="138" t="e">
        <f t="shared" ca="1" si="13"/>
        <v>#REF!</v>
      </c>
      <c r="I314" s="136" t="e">
        <f t="shared" ca="1" si="14"/>
        <v>#REF!</v>
      </c>
    </row>
    <row r="315" spans="1:9" hidden="1" x14ac:dyDescent="0.25">
      <c r="A315" s="113" t="s">
        <v>653</v>
      </c>
      <c r="B315" s="114" t="s">
        <v>1895</v>
      </c>
      <c r="C315" s="115" t="s">
        <v>20</v>
      </c>
      <c r="D315" s="115">
        <v>0</v>
      </c>
      <c r="E315" s="135">
        <f ca="1">OFFSET(INDEX(Composições!A:J,MATCH(Orçamentária!A315,Composições!A:A,0),8),2,0)</f>
        <v>101.34125</v>
      </c>
      <c r="F315" s="136">
        <f t="shared" ca="1" si="12"/>
        <v>0</v>
      </c>
      <c r="G315" s="137" t="e">
        <f>IF(A315&lt;&gt;"",IF(AND(#REF!="Padrão",$H$4=#REF!),BDI!$B$17,IF(AND(#REF!="Padrão",$H$4=#REF!),BDI!#REF!,IF(AND(#REF!="Diferenciado",$H$4=#REF!),BDI!$E$17,IF(AND(#REF!="Diferenciado",$H$4=#REF!),BDI!#REF!,IF(#REF!="ZERO",0))))),"")</f>
        <v>#REF!</v>
      </c>
      <c r="H315" s="138" t="e">
        <f t="shared" ca="1" si="13"/>
        <v>#REF!</v>
      </c>
      <c r="I315" s="136" t="e">
        <f t="shared" ca="1" si="14"/>
        <v>#REF!</v>
      </c>
    </row>
    <row r="316" spans="1:9" hidden="1" x14ac:dyDescent="0.25">
      <c r="A316" s="113" t="s">
        <v>654</v>
      </c>
      <c r="B316" s="114" t="s">
        <v>1896</v>
      </c>
      <c r="C316" s="115" t="s">
        <v>20</v>
      </c>
      <c r="D316" s="115">
        <v>0</v>
      </c>
      <c r="E316" s="135">
        <f ca="1">OFFSET(INDEX(Composições!A:J,MATCH(Orçamentária!A316,Composições!A:A,0),8),2,0)</f>
        <v>39.634</v>
      </c>
      <c r="F316" s="136">
        <f t="shared" ca="1" si="12"/>
        <v>0</v>
      </c>
      <c r="G316" s="137" t="e">
        <f>IF(A316&lt;&gt;"",IF(AND(#REF!="Padrão",$H$4=#REF!),BDI!$B$17,IF(AND(#REF!="Padrão",$H$4=#REF!),BDI!#REF!,IF(AND(#REF!="Diferenciado",$H$4=#REF!),BDI!$E$17,IF(AND(#REF!="Diferenciado",$H$4=#REF!),BDI!#REF!,IF(#REF!="ZERO",0))))),"")</f>
        <v>#REF!</v>
      </c>
      <c r="H316" s="138" t="e">
        <f t="shared" ca="1" si="13"/>
        <v>#REF!</v>
      </c>
      <c r="I316" s="136" t="e">
        <f t="shared" ca="1" si="14"/>
        <v>#REF!</v>
      </c>
    </row>
    <row r="317" spans="1:9" hidden="1" x14ac:dyDescent="0.25">
      <c r="A317" s="113" t="s">
        <v>655</v>
      </c>
      <c r="B317" s="114" t="s">
        <v>1897</v>
      </c>
      <c r="C317" s="115" t="s">
        <v>20</v>
      </c>
      <c r="D317" s="115">
        <v>0</v>
      </c>
      <c r="E317" s="135">
        <f ca="1">OFFSET(INDEX(Composições!A:J,MATCH(Orçamentária!A317,Composições!A:A,0),8),2,0)</f>
        <v>30.552</v>
      </c>
      <c r="F317" s="136">
        <f t="shared" ca="1" si="12"/>
        <v>0</v>
      </c>
      <c r="G317" s="137" t="e">
        <f>IF(A317&lt;&gt;"",IF(AND(#REF!="Padrão",$H$4=#REF!),BDI!$B$17,IF(AND(#REF!="Padrão",$H$4=#REF!),BDI!#REF!,IF(AND(#REF!="Diferenciado",$H$4=#REF!),BDI!$E$17,IF(AND(#REF!="Diferenciado",$H$4=#REF!),BDI!#REF!,IF(#REF!="ZERO",0))))),"")</f>
        <v>#REF!</v>
      </c>
      <c r="H317" s="138" t="e">
        <f t="shared" ca="1" si="13"/>
        <v>#REF!</v>
      </c>
      <c r="I317" s="136" t="e">
        <f t="shared" ca="1" si="14"/>
        <v>#REF!</v>
      </c>
    </row>
    <row r="318" spans="1:9" hidden="1" x14ac:dyDescent="0.25">
      <c r="A318" s="113" t="s">
        <v>657</v>
      </c>
      <c r="B318" s="114" t="s">
        <v>1898</v>
      </c>
      <c r="C318" s="115" t="s">
        <v>20</v>
      </c>
      <c r="D318" s="115">
        <v>0</v>
      </c>
      <c r="E318" s="135">
        <f ca="1">OFFSET(INDEX(Composições!A:J,MATCH(Orçamentária!A318,Composições!A:A,0),8),2,0)</f>
        <v>39.634</v>
      </c>
      <c r="F318" s="136">
        <f t="shared" ca="1" si="12"/>
        <v>0</v>
      </c>
      <c r="G318" s="137" t="e">
        <f>IF(A318&lt;&gt;"",IF(AND(#REF!="Padrão",$H$4=#REF!),BDI!$B$17,IF(AND(#REF!="Padrão",$H$4=#REF!),BDI!#REF!,IF(AND(#REF!="Diferenciado",$H$4=#REF!),BDI!$E$17,IF(AND(#REF!="Diferenciado",$H$4=#REF!),BDI!#REF!,IF(#REF!="ZERO",0))))),"")</f>
        <v>#REF!</v>
      </c>
      <c r="H318" s="138" t="e">
        <f t="shared" ca="1" si="13"/>
        <v>#REF!</v>
      </c>
      <c r="I318" s="136" t="e">
        <f t="shared" ca="1" si="14"/>
        <v>#REF!</v>
      </c>
    </row>
    <row r="319" spans="1:9" hidden="1" x14ac:dyDescent="0.25">
      <c r="A319" s="113" t="s">
        <v>659</v>
      </c>
      <c r="B319" s="114" t="s">
        <v>1899</v>
      </c>
      <c r="C319" s="115" t="s">
        <v>93</v>
      </c>
      <c r="D319" s="115">
        <v>0</v>
      </c>
      <c r="E319" s="135">
        <f ca="1">OFFSET(INDEX(Composições!A:J,MATCH(Orçamentária!A319,Composições!A:A,0),8),2,0)</f>
        <v>0.87352500000000011</v>
      </c>
      <c r="F319" s="136">
        <f t="shared" ca="1" si="12"/>
        <v>0</v>
      </c>
      <c r="G319" s="137" t="e">
        <f>IF(A319&lt;&gt;"",IF(AND(#REF!="Padrão",$H$4=#REF!),BDI!$B$17,IF(AND(#REF!="Padrão",$H$4=#REF!),BDI!#REF!,IF(AND(#REF!="Diferenciado",$H$4=#REF!),BDI!$E$17,IF(AND(#REF!="Diferenciado",$H$4=#REF!),BDI!#REF!,IF(#REF!="ZERO",0))))),"")</f>
        <v>#REF!</v>
      </c>
      <c r="H319" s="138" t="e">
        <f t="shared" ca="1" si="13"/>
        <v>#REF!</v>
      </c>
      <c r="I319" s="136" t="e">
        <f t="shared" ca="1" si="14"/>
        <v>#REF!</v>
      </c>
    </row>
    <row r="320" spans="1:9" x14ac:dyDescent="0.25">
      <c r="A320" s="197" t="s">
        <v>661</v>
      </c>
      <c r="B320" s="198" t="s">
        <v>1900</v>
      </c>
      <c r="C320" s="199" t="s">
        <v>93</v>
      </c>
      <c r="D320" s="199">
        <v>68</v>
      </c>
      <c r="E320" s="135">
        <f ca="1">OFFSET(INDEX(Composições!A:J,MATCH(Orçamentária!A320,Composições!A:A,0),8),2,0)</f>
        <v>1.3535250000000001</v>
      </c>
      <c r="F320" s="136">
        <f t="shared" ca="1" si="12"/>
        <v>92.039700000000011</v>
      </c>
      <c r="G320" s="137">
        <f>BDI!$B$17</f>
        <v>0.191</v>
      </c>
      <c r="H320" s="138">
        <f t="shared" ca="1" si="13"/>
        <v>1.61</v>
      </c>
      <c r="I320" s="136">
        <f t="shared" ca="1" si="14"/>
        <v>109.48</v>
      </c>
    </row>
    <row r="321" spans="1:9" hidden="1" x14ac:dyDescent="0.25">
      <c r="A321" s="113" t="s">
        <v>663</v>
      </c>
      <c r="B321" s="114" t="s">
        <v>1901</v>
      </c>
      <c r="C321" s="115" t="s">
        <v>93</v>
      </c>
      <c r="D321" s="115">
        <v>0</v>
      </c>
      <c r="E321" s="135">
        <f ca="1">OFFSET(INDEX(Composições!A:J,MATCH(Orçamentária!A321,Composições!A:A,0),8),2,0)</f>
        <v>0.87352500000000011</v>
      </c>
      <c r="F321" s="136">
        <f t="shared" ca="1" si="12"/>
        <v>0</v>
      </c>
      <c r="G321" s="137" t="e">
        <f>IF(A321&lt;&gt;"",IF(AND(#REF!="Padrão",$H$4=#REF!),BDI!$B$17,IF(AND(#REF!="Padrão",$H$4=#REF!),BDI!#REF!,IF(AND(#REF!="Diferenciado",$H$4=#REF!),BDI!$E$17,IF(AND(#REF!="Diferenciado",$H$4=#REF!),BDI!#REF!,IF(#REF!="ZERO",0))))),"")</f>
        <v>#REF!</v>
      </c>
      <c r="H321" s="138" t="e">
        <f t="shared" ca="1" si="13"/>
        <v>#REF!</v>
      </c>
      <c r="I321" s="136" t="e">
        <f t="shared" ca="1" si="14"/>
        <v>#REF!</v>
      </c>
    </row>
    <row r="322" spans="1:9" x14ac:dyDescent="0.25">
      <c r="A322" s="197" t="s">
        <v>665</v>
      </c>
      <c r="B322" s="198" t="s">
        <v>1902</v>
      </c>
      <c r="C322" s="199" t="s">
        <v>20</v>
      </c>
      <c r="D322" s="199">
        <v>5</v>
      </c>
      <c r="E322" s="135">
        <f ca="1">OFFSET(INDEX(Composições!A:J,MATCH(Orçamentária!A322,Composições!A:A,0),8),2,0)</f>
        <v>80.380646499999997</v>
      </c>
      <c r="F322" s="136">
        <f t="shared" ca="1" si="12"/>
        <v>401.9032325</v>
      </c>
      <c r="G322" s="137">
        <f>BDI!$B$17</f>
        <v>0.191</v>
      </c>
      <c r="H322" s="138">
        <f t="shared" ca="1" si="13"/>
        <v>95.73</v>
      </c>
      <c r="I322" s="136">
        <f t="shared" ca="1" si="14"/>
        <v>478.65</v>
      </c>
    </row>
    <row r="323" spans="1:9" x14ac:dyDescent="0.25">
      <c r="A323" s="197" t="s">
        <v>669</v>
      </c>
      <c r="B323" s="198" t="s">
        <v>670</v>
      </c>
      <c r="C323" s="199" t="s">
        <v>20</v>
      </c>
      <c r="D323" s="199">
        <v>5</v>
      </c>
      <c r="E323" s="135">
        <f ca="1">OFFSET(INDEX(Composições!A:J,MATCH(Orçamentária!A323,Composições!A:A,0),8),2,0)</f>
        <v>100.89064649999999</v>
      </c>
      <c r="F323" s="136">
        <f t="shared" ca="1" si="12"/>
        <v>504.45323249999996</v>
      </c>
      <c r="G323" s="137">
        <f>BDI!$B$17</f>
        <v>0.191</v>
      </c>
      <c r="H323" s="138">
        <f t="shared" ca="1" si="13"/>
        <v>120.16</v>
      </c>
      <c r="I323" s="136">
        <f t="shared" ca="1" si="14"/>
        <v>600.79999999999995</v>
      </c>
    </row>
    <row r="324" spans="1:9" hidden="1" x14ac:dyDescent="0.25">
      <c r="A324" s="113" t="s">
        <v>671</v>
      </c>
      <c r="B324" s="114" t="s">
        <v>1903</v>
      </c>
      <c r="C324" s="115" t="s">
        <v>20</v>
      </c>
      <c r="D324" s="115">
        <v>0</v>
      </c>
      <c r="E324" s="135">
        <f ca="1">OFFSET(INDEX(Composições!A:J,MATCH(Orçamentária!A324,Composições!A:A,0),8),2,0)</f>
        <v>29.958098000000003</v>
      </c>
      <c r="F324" s="136">
        <f t="shared" ca="1" si="12"/>
        <v>0</v>
      </c>
      <c r="G324" s="137" t="e">
        <f>IF(A324&lt;&gt;"",IF(AND(#REF!="Padrão",$H$4=#REF!),BDI!$B$17,IF(AND(#REF!="Padrão",$H$4=#REF!),BDI!#REF!,IF(AND(#REF!="Diferenciado",$H$4=#REF!),BDI!$E$17,IF(AND(#REF!="Diferenciado",$H$4=#REF!),BDI!#REF!,IF(#REF!="ZERO",0))))),"")</f>
        <v>#REF!</v>
      </c>
      <c r="H324" s="138" t="e">
        <f t="shared" ca="1" si="13"/>
        <v>#REF!</v>
      </c>
      <c r="I324" s="136" t="e">
        <f t="shared" ca="1" si="14"/>
        <v>#REF!</v>
      </c>
    </row>
    <row r="325" spans="1:9" hidden="1" x14ac:dyDescent="0.25">
      <c r="A325" s="113" t="s">
        <v>673</v>
      </c>
      <c r="B325" s="114" t="s">
        <v>1904</v>
      </c>
      <c r="C325" s="115" t="s">
        <v>20</v>
      </c>
      <c r="D325" s="115">
        <v>0</v>
      </c>
      <c r="E325" s="135">
        <f ca="1">OFFSET(INDEX(Composições!A:J,MATCH(Orçamentária!A325,Composições!A:A,0),8),2,0)</f>
        <v>29.958098000000003</v>
      </c>
      <c r="F325" s="136">
        <f t="shared" ca="1" si="12"/>
        <v>0</v>
      </c>
      <c r="G325" s="137" t="e">
        <f>IF(A325&lt;&gt;"",IF(AND(#REF!="Padrão",$H$4=#REF!),BDI!$B$17,IF(AND(#REF!="Padrão",$H$4=#REF!),BDI!#REF!,IF(AND(#REF!="Diferenciado",$H$4=#REF!),BDI!$E$17,IF(AND(#REF!="Diferenciado",$H$4=#REF!),BDI!#REF!,IF(#REF!="ZERO",0))))),"")</f>
        <v>#REF!</v>
      </c>
      <c r="H325" s="138" t="e">
        <f t="shared" ca="1" si="13"/>
        <v>#REF!</v>
      </c>
      <c r="I325" s="136" t="e">
        <f t="shared" ca="1" si="14"/>
        <v>#REF!</v>
      </c>
    </row>
    <row r="326" spans="1:9" hidden="1" x14ac:dyDescent="0.25">
      <c r="A326" s="113" t="s">
        <v>675</v>
      </c>
      <c r="B326" s="114" t="s">
        <v>1905</v>
      </c>
      <c r="C326" s="115" t="s">
        <v>20</v>
      </c>
      <c r="D326" s="115">
        <v>0</v>
      </c>
      <c r="E326" s="135">
        <f ca="1">OFFSET(INDEX(Composições!A:J,MATCH(Orçamentária!A326,Composições!A:A,0),8),2,0)</f>
        <v>29.958098000000003</v>
      </c>
      <c r="F326" s="136">
        <f t="shared" ca="1" si="12"/>
        <v>0</v>
      </c>
      <c r="G326" s="137" t="e">
        <f>IF(A326&lt;&gt;"",IF(AND(#REF!="Padrão",$H$4=#REF!),BDI!$B$17,IF(AND(#REF!="Padrão",$H$4=#REF!),BDI!#REF!,IF(AND(#REF!="Diferenciado",$H$4=#REF!),BDI!$E$17,IF(AND(#REF!="Diferenciado",$H$4=#REF!),BDI!#REF!,IF(#REF!="ZERO",0))))),"")</f>
        <v>#REF!</v>
      </c>
      <c r="H326" s="138" t="e">
        <f t="shared" ca="1" si="13"/>
        <v>#REF!</v>
      </c>
      <c r="I326" s="136" t="e">
        <f t="shared" ca="1" si="14"/>
        <v>#REF!</v>
      </c>
    </row>
    <row r="327" spans="1:9" hidden="1" x14ac:dyDescent="0.25">
      <c r="A327" s="113" t="s">
        <v>678</v>
      </c>
      <c r="B327" s="114" t="s">
        <v>1906</v>
      </c>
      <c r="C327" s="115" t="s">
        <v>20</v>
      </c>
      <c r="D327" s="115">
        <v>0</v>
      </c>
      <c r="E327" s="135">
        <f ca="1">OFFSET(INDEX(Composições!A:J,MATCH(Orçamentária!A327,Composições!A:A,0),8),2,0)</f>
        <v>29.958098000000003</v>
      </c>
      <c r="F327" s="136">
        <f t="shared" ref="F327:F390" ca="1" si="15">IF(ISNUMBER(E327),D327*E327,"")</f>
        <v>0</v>
      </c>
      <c r="G327" s="137" t="e">
        <f>IF(A327&lt;&gt;"",IF(AND(#REF!="Padrão",$H$4=#REF!),BDI!$B$17,IF(AND(#REF!="Padrão",$H$4=#REF!),BDI!#REF!,IF(AND(#REF!="Diferenciado",$H$4=#REF!),BDI!$E$17,IF(AND(#REF!="Diferenciado",$H$4=#REF!),BDI!#REF!,IF(#REF!="ZERO",0))))),"")</f>
        <v>#REF!</v>
      </c>
      <c r="H327" s="138" t="e">
        <f t="shared" ref="H327:H390" ca="1" si="16">IF(ISNUMBER(E327),ROUND(E327*(1+G327),2),"")</f>
        <v>#REF!</v>
      </c>
      <c r="I327" s="136" t="e">
        <f t="shared" ref="I327:I390" ca="1" si="17">IF(ISNUMBER(E327),ROUND(H327*D327,2),"")</f>
        <v>#REF!</v>
      </c>
    </row>
    <row r="328" spans="1:9" hidden="1" x14ac:dyDescent="0.25">
      <c r="A328" s="113" t="s">
        <v>680</v>
      </c>
      <c r="B328" s="114" t="s">
        <v>1907</v>
      </c>
      <c r="C328" s="115" t="s">
        <v>20</v>
      </c>
      <c r="D328" s="115">
        <v>0</v>
      </c>
      <c r="E328" s="135">
        <f ca="1">OFFSET(INDEX(Composições!A:J,MATCH(Orçamentária!A328,Composições!A:A,0),8),2,0)</f>
        <v>146.81231600000001</v>
      </c>
      <c r="F328" s="136">
        <f t="shared" ca="1" si="15"/>
        <v>0</v>
      </c>
      <c r="G328" s="137" t="e">
        <f>IF(A328&lt;&gt;"",IF(AND(#REF!="Padrão",$H$4=#REF!),BDI!$B$17,IF(AND(#REF!="Padrão",$H$4=#REF!),BDI!#REF!,IF(AND(#REF!="Diferenciado",$H$4=#REF!),BDI!$E$17,IF(AND(#REF!="Diferenciado",$H$4=#REF!),BDI!#REF!,IF(#REF!="ZERO",0))))),"")</f>
        <v>#REF!</v>
      </c>
      <c r="H328" s="138" t="e">
        <f t="shared" ca="1" si="16"/>
        <v>#REF!</v>
      </c>
      <c r="I328" s="136" t="e">
        <f t="shared" ca="1" si="17"/>
        <v>#REF!</v>
      </c>
    </row>
    <row r="329" spans="1:9" hidden="1" x14ac:dyDescent="0.25">
      <c r="A329" s="113" t="s">
        <v>682</v>
      </c>
      <c r="B329" s="114" t="s">
        <v>1908</v>
      </c>
      <c r="C329" s="115" t="s">
        <v>20</v>
      </c>
      <c r="D329" s="115">
        <v>0</v>
      </c>
      <c r="E329" s="135">
        <f ca="1">OFFSET(INDEX(Composições!A:J,MATCH(Orçamentária!A329,Composições!A:A,0),8),2,0)</f>
        <v>127.04281599999999</v>
      </c>
      <c r="F329" s="136">
        <f t="shared" ca="1" si="15"/>
        <v>0</v>
      </c>
      <c r="G329" s="137" t="e">
        <f>IF(A329&lt;&gt;"",IF(AND(#REF!="Padrão",$H$4=#REF!),BDI!$B$17,IF(AND(#REF!="Padrão",$H$4=#REF!),BDI!#REF!,IF(AND(#REF!="Diferenciado",$H$4=#REF!),BDI!$E$17,IF(AND(#REF!="Diferenciado",$H$4=#REF!),BDI!#REF!,IF(#REF!="ZERO",0))))),"")</f>
        <v>#REF!</v>
      </c>
      <c r="H329" s="138" t="e">
        <f t="shared" ca="1" si="16"/>
        <v>#REF!</v>
      </c>
      <c r="I329" s="136" t="e">
        <f t="shared" ca="1" si="17"/>
        <v>#REF!</v>
      </c>
    </row>
    <row r="330" spans="1:9" hidden="1" x14ac:dyDescent="0.25">
      <c r="A330" s="113" t="s">
        <v>684</v>
      </c>
      <c r="B330" s="114" t="s">
        <v>1909</v>
      </c>
      <c r="C330" s="115" t="s">
        <v>20</v>
      </c>
      <c r="D330" s="115">
        <v>0</v>
      </c>
      <c r="E330" s="135">
        <f ca="1">OFFSET(INDEX(Composições!A:J,MATCH(Orçamentária!A330,Composições!A:A,0),8),2,0)</f>
        <v>94.634098000000009</v>
      </c>
      <c r="F330" s="136">
        <f t="shared" ca="1" si="15"/>
        <v>0</v>
      </c>
      <c r="G330" s="137" t="e">
        <f>IF(A330&lt;&gt;"",IF(AND(#REF!="Padrão",$H$4=#REF!),BDI!$B$17,IF(AND(#REF!="Padrão",$H$4=#REF!),BDI!#REF!,IF(AND(#REF!="Diferenciado",$H$4=#REF!),BDI!$E$17,IF(AND(#REF!="Diferenciado",$H$4=#REF!),BDI!#REF!,IF(#REF!="ZERO",0))))),"")</f>
        <v>#REF!</v>
      </c>
      <c r="H330" s="138" t="e">
        <f t="shared" ca="1" si="16"/>
        <v>#REF!</v>
      </c>
      <c r="I330" s="136" t="e">
        <f t="shared" ca="1" si="17"/>
        <v>#REF!</v>
      </c>
    </row>
    <row r="331" spans="1:9" hidden="1" x14ac:dyDescent="0.25">
      <c r="A331" s="113" t="s">
        <v>686</v>
      </c>
      <c r="B331" s="114" t="s">
        <v>1910</v>
      </c>
      <c r="C331" s="115" t="s">
        <v>20</v>
      </c>
      <c r="D331" s="115">
        <v>0</v>
      </c>
      <c r="E331" s="135">
        <f ca="1">OFFSET(INDEX(Composições!A:J,MATCH(Orçamentária!A331,Composições!A:A,0),8),2,0)</f>
        <v>77.866597999999996</v>
      </c>
      <c r="F331" s="136">
        <f t="shared" ca="1" si="15"/>
        <v>0</v>
      </c>
      <c r="G331" s="137" t="e">
        <f>IF(A331&lt;&gt;"",IF(AND(#REF!="Padrão",$H$4=#REF!),BDI!$B$17,IF(AND(#REF!="Padrão",$H$4=#REF!),BDI!#REF!,IF(AND(#REF!="Diferenciado",$H$4=#REF!),BDI!$E$17,IF(AND(#REF!="Diferenciado",$H$4=#REF!),BDI!#REF!,IF(#REF!="ZERO",0))))),"")</f>
        <v>#REF!</v>
      </c>
      <c r="H331" s="138" t="e">
        <f t="shared" ca="1" si="16"/>
        <v>#REF!</v>
      </c>
      <c r="I331" s="136" t="e">
        <f t="shared" ca="1" si="17"/>
        <v>#REF!</v>
      </c>
    </row>
    <row r="332" spans="1:9" hidden="1" x14ac:dyDescent="0.25">
      <c r="A332" s="113" t="s">
        <v>688</v>
      </c>
      <c r="B332" s="114" t="s">
        <v>1911</v>
      </c>
      <c r="C332" s="115" t="s">
        <v>95</v>
      </c>
      <c r="D332" s="115">
        <v>0</v>
      </c>
      <c r="E332" s="135">
        <f ca="1">OFFSET(INDEX(Composições!A:J,MATCH(Orçamentária!A332,Composições!A:A,0),8),2,0)</f>
        <v>3.8513000000000002</v>
      </c>
      <c r="F332" s="136">
        <f t="shared" ca="1" si="15"/>
        <v>0</v>
      </c>
      <c r="G332" s="137" t="e">
        <f>IF(A332&lt;&gt;"",IF(AND(#REF!="Padrão",$H$4=#REF!),BDI!$B$17,IF(AND(#REF!="Padrão",$H$4=#REF!),BDI!#REF!,IF(AND(#REF!="Diferenciado",$H$4=#REF!),BDI!$E$17,IF(AND(#REF!="Diferenciado",$H$4=#REF!),BDI!#REF!,IF(#REF!="ZERO",0))))),"")</f>
        <v>#REF!</v>
      </c>
      <c r="H332" s="138" t="e">
        <f t="shared" ca="1" si="16"/>
        <v>#REF!</v>
      </c>
      <c r="I332" s="136" t="e">
        <f t="shared" ca="1" si="17"/>
        <v>#REF!</v>
      </c>
    </row>
    <row r="333" spans="1:9" hidden="1" x14ac:dyDescent="0.25">
      <c r="A333" s="113" t="s">
        <v>690</v>
      </c>
      <c r="B333" s="114" t="s">
        <v>1912</v>
      </c>
      <c r="C333" s="115" t="s">
        <v>93</v>
      </c>
      <c r="D333" s="115">
        <v>0</v>
      </c>
      <c r="E333" s="135">
        <f ca="1">OFFSET(INDEX(Composições!A:J,MATCH(Orçamentária!A333,Composições!A:A,0),8),2,0)</f>
        <v>0.73944959999999993</v>
      </c>
      <c r="F333" s="136">
        <f t="shared" ca="1" si="15"/>
        <v>0</v>
      </c>
      <c r="G333" s="137" t="e">
        <f>IF(A333&lt;&gt;"",IF(AND(#REF!="Padrão",$H$4=#REF!),BDI!$B$17,IF(AND(#REF!="Padrão",$H$4=#REF!),BDI!#REF!,IF(AND(#REF!="Diferenciado",$H$4=#REF!),BDI!$E$17,IF(AND(#REF!="Diferenciado",$H$4=#REF!),BDI!#REF!,IF(#REF!="ZERO",0))))),"")</f>
        <v>#REF!</v>
      </c>
      <c r="H333" s="138" t="e">
        <f t="shared" ca="1" si="16"/>
        <v>#REF!</v>
      </c>
      <c r="I333" s="136" t="e">
        <f t="shared" ca="1" si="17"/>
        <v>#REF!</v>
      </c>
    </row>
    <row r="334" spans="1:9" hidden="1" x14ac:dyDescent="0.25">
      <c r="A334" s="113" t="s">
        <v>693</v>
      </c>
      <c r="B334" s="114" t="s">
        <v>1913</v>
      </c>
      <c r="C334" s="115" t="s">
        <v>93</v>
      </c>
      <c r="D334" s="115">
        <v>0</v>
      </c>
      <c r="E334" s="135">
        <f ca="1">OFFSET(INDEX(Composições!A:J,MATCH(Orçamentária!A334,Composições!A:A,0),8),2,0)</f>
        <v>0.70478790000000002</v>
      </c>
      <c r="F334" s="136">
        <f t="shared" ca="1" si="15"/>
        <v>0</v>
      </c>
      <c r="G334" s="137" t="e">
        <f>IF(A334&lt;&gt;"",IF(AND(#REF!="Padrão",$H$4=#REF!),BDI!$B$17,IF(AND(#REF!="Padrão",$H$4=#REF!),BDI!#REF!,IF(AND(#REF!="Diferenciado",$H$4=#REF!),BDI!$E$17,IF(AND(#REF!="Diferenciado",$H$4=#REF!),BDI!#REF!,IF(#REF!="ZERO",0))))),"")</f>
        <v>#REF!</v>
      </c>
      <c r="H334" s="138" t="e">
        <f t="shared" ca="1" si="16"/>
        <v>#REF!</v>
      </c>
      <c r="I334" s="136" t="e">
        <f t="shared" ca="1" si="17"/>
        <v>#REF!</v>
      </c>
    </row>
    <row r="335" spans="1:9" hidden="1" x14ac:dyDescent="0.25">
      <c r="A335" s="113" t="s">
        <v>695</v>
      </c>
      <c r="B335" s="114" t="s">
        <v>1914</v>
      </c>
      <c r="C335" s="115" t="s">
        <v>93</v>
      </c>
      <c r="D335" s="115">
        <v>0</v>
      </c>
      <c r="E335" s="135">
        <f ca="1">OFFSET(INDEX(Composições!A:J,MATCH(Orçamentária!A335,Composições!A:A,0),8),2,0)</f>
        <v>0.60080279999999997</v>
      </c>
      <c r="F335" s="136">
        <f t="shared" ca="1" si="15"/>
        <v>0</v>
      </c>
      <c r="G335" s="137" t="e">
        <f>IF(A335&lt;&gt;"",IF(AND(#REF!="Padrão",$H$4=#REF!),BDI!$B$17,IF(AND(#REF!="Padrão",$H$4=#REF!),BDI!#REF!,IF(AND(#REF!="Diferenciado",$H$4=#REF!),BDI!$E$17,IF(AND(#REF!="Diferenciado",$H$4=#REF!),BDI!#REF!,IF(#REF!="ZERO",0))))),"")</f>
        <v>#REF!</v>
      </c>
      <c r="H335" s="138" t="e">
        <f t="shared" ca="1" si="16"/>
        <v>#REF!</v>
      </c>
      <c r="I335" s="136" t="e">
        <f t="shared" ca="1" si="17"/>
        <v>#REF!</v>
      </c>
    </row>
    <row r="336" spans="1:9" hidden="1" x14ac:dyDescent="0.25">
      <c r="A336" s="113" t="s">
        <v>697</v>
      </c>
      <c r="B336" s="114" t="s">
        <v>1915</v>
      </c>
      <c r="C336" s="115" t="s">
        <v>93</v>
      </c>
      <c r="D336" s="115">
        <v>0</v>
      </c>
      <c r="E336" s="135">
        <f ca="1">OFFSET(INDEX(Composições!A:J,MATCH(Orçamentária!A336,Composições!A:A,0),8),2,0)</f>
        <v>0.73944959999999993</v>
      </c>
      <c r="F336" s="136">
        <f t="shared" ca="1" si="15"/>
        <v>0</v>
      </c>
      <c r="G336" s="137" t="e">
        <f>IF(A336&lt;&gt;"",IF(AND(#REF!="Padrão",$H$4=#REF!),BDI!$B$17,IF(AND(#REF!="Padrão",$H$4=#REF!),BDI!#REF!,IF(AND(#REF!="Diferenciado",$H$4=#REF!),BDI!$E$17,IF(AND(#REF!="Diferenciado",$H$4=#REF!),BDI!#REF!,IF(#REF!="ZERO",0))))),"")</f>
        <v>#REF!</v>
      </c>
      <c r="H336" s="138" t="e">
        <f t="shared" ca="1" si="16"/>
        <v>#REF!</v>
      </c>
      <c r="I336" s="136" t="e">
        <f t="shared" ca="1" si="17"/>
        <v>#REF!</v>
      </c>
    </row>
    <row r="337" spans="1:9" x14ac:dyDescent="0.25">
      <c r="A337" s="197" t="s">
        <v>699</v>
      </c>
      <c r="B337" s="198" t="s">
        <v>1916</v>
      </c>
      <c r="C337" s="199" t="s">
        <v>93</v>
      </c>
      <c r="D337" s="199">
        <v>17</v>
      </c>
      <c r="E337" s="135">
        <f ca="1">OFFSET(INDEX(Composições!A:J,MATCH(Orçamentária!A337,Composições!A:A,0),8),2,0)</f>
        <v>9.5727752999999982</v>
      </c>
      <c r="F337" s="136">
        <f t="shared" ca="1" si="15"/>
        <v>162.73718009999996</v>
      </c>
      <c r="G337" s="137">
        <f>BDI!$B$17</f>
        <v>0.191</v>
      </c>
      <c r="H337" s="138">
        <f t="shared" ca="1" si="16"/>
        <v>11.4</v>
      </c>
      <c r="I337" s="136">
        <f t="shared" ca="1" si="17"/>
        <v>193.8</v>
      </c>
    </row>
    <row r="338" spans="1:9" hidden="1" x14ac:dyDescent="0.25">
      <c r="A338" s="113" t="s">
        <v>701</v>
      </c>
      <c r="B338" s="114" t="s">
        <v>1917</v>
      </c>
      <c r="C338" s="115" t="s">
        <v>93</v>
      </c>
      <c r="D338" s="115">
        <v>0</v>
      </c>
      <c r="E338" s="135">
        <f ca="1">OFFSET(INDEX(Composições!A:J,MATCH(Orçamentária!A338,Composições!A:A,0),8),2,0)</f>
        <v>0.73944959999999993</v>
      </c>
      <c r="F338" s="136">
        <f t="shared" ca="1" si="15"/>
        <v>0</v>
      </c>
      <c r="G338" s="137" t="e">
        <f>IF(A338&lt;&gt;"",IF(AND(#REF!="Padrão",$H$4=#REF!),BDI!$B$17,IF(AND(#REF!="Padrão",$H$4=#REF!),BDI!#REF!,IF(AND(#REF!="Diferenciado",$H$4=#REF!),BDI!$E$17,IF(AND(#REF!="Diferenciado",$H$4=#REF!),BDI!#REF!,IF(#REF!="ZERO",0))))),"")</f>
        <v>#REF!</v>
      </c>
      <c r="H338" s="138" t="e">
        <f t="shared" ca="1" si="16"/>
        <v>#REF!</v>
      </c>
      <c r="I338" s="136" t="e">
        <f t="shared" ca="1" si="17"/>
        <v>#REF!</v>
      </c>
    </row>
    <row r="339" spans="1:9" hidden="1" x14ac:dyDescent="0.25">
      <c r="A339" s="113" t="s">
        <v>703</v>
      </c>
      <c r="B339" s="114" t="s">
        <v>1918</v>
      </c>
      <c r="C339" s="115" t="s">
        <v>93</v>
      </c>
      <c r="D339" s="115">
        <v>0</v>
      </c>
      <c r="E339" s="135">
        <f ca="1">OFFSET(INDEX(Composições!A:J,MATCH(Orçamentária!A339,Composições!A:A,0),8),2,0)</f>
        <v>0.73944959999999993</v>
      </c>
      <c r="F339" s="136">
        <f t="shared" ca="1" si="15"/>
        <v>0</v>
      </c>
      <c r="G339" s="137" t="e">
        <f>IF(A339&lt;&gt;"",IF(AND(#REF!="Padrão",$H$4=#REF!),BDI!$B$17,IF(AND(#REF!="Padrão",$H$4=#REF!),BDI!#REF!,IF(AND(#REF!="Diferenciado",$H$4=#REF!),BDI!$E$17,IF(AND(#REF!="Diferenciado",$H$4=#REF!),BDI!#REF!,IF(#REF!="ZERO",0))))),"")</f>
        <v>#REF!</v>
      </c>
      <c r="H339" s="138" t="e">
        <f t="shared" ca="1" si="16"/>
        <v>#REF!</v>
      </c>
      <c r="I339" s="136" t="e">
        <f t="shared" ca="1" si="17"/>
        <v>#REF!</v>
      </c>
    </row>
    <row r="340" spans="1:9" x14ac:dyDescent="0.25">
      <c r="A340" s="197" t="s">
        <v>705</v>
      </c>
      <c r="B340" s="198" t="s">
        <v>1919</v>
      </c>
      <c r="C340" s="199" t="s">
        <v>93</v>
      </c>
      <c r="D340" s="199">
        <v>17</v>
      </c>
      <c r="E340" s="135">
        <f ca="1">OFFSET(INDEX(Composições!A:J,MATCH(Orçamentária!A340,Composições!A:A,0),8),2,0)</f>
        <v>16.372490599999999</v>
      </c>
      <c r="F340" s="136">
        <f t="shared" ca="1" si="15"/>
        <v>278.33234019999998</v>
      </c>
      <c r="G340" s="137">
        <f>BDI!$B$17</f>
        <v>0.191</v>
      </c>
      <c r="H340" s="138">
        <f t="shared" ca="1" si="16"/>
        <v>19.5</v>
      </c>
      <c r="I340" s="136">
        <f t="shared" ca="1" si="17"/>
        <v>331.5</v>
      </c>
    </row>
    <row r="341" spans="1:9" hidden="1" x14ac:dyDescent="0.25">
      <c r="A341" s="113" t="s">
        <v>707</v>
      </c>
      <c r="B341" s="114" t="s">
        <v>1920</v>
      </c>
      <c r="C341" s="115" t="s">
        <v>93</v>
      </c>
      <c r="D341" s="115">
        <v>0</v>
      </c>
      <c r="E341" s="135">
        <f ca="1">OFFSET(INDEX(Composições!A:J,MATCH(Orçamentária!A341,Composições!A:A,0),8),2,0)</f>
        <v>0.73944959999999993</v>
      </c>
      <c r="F341" s="136">
        <f t="shared" ca="1" si="15"/>
        <v>0</v>
      </c>
      <c r="G341" s="137" t="e">
        <f>IF(A341&lt;&gt;"",IF(AND(#REF!="Padrão",$H$4=#REF!),BDI!$B$17,IF(AND(#REF!="Padrão",$H$4=#REF!),BDI!#REF!,IF(AND(#REF!="Diferenciado",$H$4=#REF!),BDI!$E$17,IF(AND(#REF!="Diferenciado",$H$4=#REF!),BDI!#REF!,IF(#REF!="ZERO",0))))),"")</f>
        <v>#REF!</v>
      </c>
      <c r="H341" s="138" t="e">
        <f t="shared" ca="1" si="16"/>
        <v>#REF!</v>
      </c>
      <c r="I341" s="136" t="e">
        <f t="shared" ca="1" si="17"/>
        <v>#REF!</v>
      </c>
    </row>
    <row r="342" spans="1:9" hidden="1" x14ac:dyDescent="0.25">
      <c r="A342" s="113" t="s">
        <v>709</v>
      </c>
      <c r="B342" s="114" t="s">
        <v>1921</v>
      </c>
      <c r="C342" s="115" t="s">
        <v>93</v>
      </c>
      <c r="D342" s="115">
        <v>0</v>
      </c>
      <c r="E342" s="135">
        <f ca="1">OFFSET(INDEX(Composições!A:J,MATCH(Orçamentária!A342,Composições!A:A,0),8),2,0)</f>
        <v>0.73944959999999993</v>
      </c>
      <c r="F342" s="136">
        <f t="shared" ca="1" si="15"/>
        <v>0</v>
      </c>
      <c r="G342" s="137" t="e">
        <f>IF(A342&lt;&gt;"",IF(AND(#REF!="Padrão",$H$4=#REF!),BDI!$B$17,IF(AND(#REF!="Padrão",$H$4=#REF!),BDI!#REF!,IF(AND(#REF!="Diferenciado",$H$4=#REF!),BDI!$E$17,IF(AND(#REF!="Diferenciado",$H$4=#REF!),BDI!#REF!,IF(#REF!="ZERO",0))))),"")</f>
        <v>#REF!</v>
      </c>
      <c r="H342" s="138" t="e">
        <f t="shared" ca="1" si="16"/>
        <v>#REF!</v>
      </c>
      <c r="I342" s="136" t="e">
        <f t="shared" ca="1" si="17"/>
        <v>#REF!</v>
      </c>
    </row>
    <row r="343" spans="1:9" hidden="1" x14ac:dyDescent="0.25">
      <c r="A343" s="113" t="s">
        <v>711</v>
      </c>
      <c r="B343" s="114" t="s">
        <v>1922</v>
      </c>
      <c r="C343" s="115" t="s">
        <v>93</v>
      </c>
      <c r="D343" s="115">
        <v>0</v>
      </c>
      <c r="E343" s="135">
        <f ca="1">OFFSET(INDEX(Composições!A:J,MATCH(Orçamentária!A343,Composições!A:A,0),8),2,0)</f>
        <v>0.73944959999999993</v>
      </c>
      <c r="F343" s="136">
        <f t="shared" ca="1" si="15"/>
        <v>0</v>
      </c>
      <c r="G343" s="137" t="e">
        <f>IF(A343&lt;&gt;"",IF(AND(#REF!="Padrão",$H$4=#REF!),BDI!$B$17,IF(AND(#REF!="Padrão",$H$4=#REF!),BDI!#REF!,IF(AND(#REF!="Diferenciado",$H$4=#REF!),BDI!$E$17,IF(AND(#REF!="Diferenciado",$H$4=#REF!),BDI!#REF!,IF(#REF!="ZERO",0))))),"")</f>
        <v>#REF!</v>
      </c>
      <c r="H343" s="138" t="e">
        <f t="shared" ca="1" si="16"/>
        <v>#REF!</v>
      </c>
      <c r="I343" s="136" t="e">
        <f t="shared" ca="1" si="17"/>
        <v>#REF!</v>
      </c>
    </row>
    <row r="344" spans="1:9" hidden="1" x14ac:dyDescent="0.25">
      <c r="A344" s="113" t="s">
        <v>713</v>
      </c>
      <c r="B344" s="114" t="s">
        <v>1923</v>
      </c>
      <c r="C344" s="115" t="s">
        <v>95</v>
      </c>
      <c r="D344" s="115">
        <v>0</v>
      </c>
      <c r="E344" s="135">
        <f ca="1">OFFSET(INDEX(Composições!A:J,MATCH(Orçamentária!A344,Composições!A:A,0),8),2,0)</f>
        <v>7.7026000000000003</v>
      </c>
      <c r="F344" s="136">
        <f t="shared" ca="1" si="15"/>
        <v>0</v>
      </c>
      <c r="G344" s="137" t="e">
        <f>IF(A344&lt;&gt;"",IF(AND(#REF!="Padrão",$H$4=#REF!),BDI!$B$17,IF(AND(#REF!="Padrão",$H$4=#REF!),BDI!#REF!,IF(AND(#REF!="Diferenciado",$H$4=#REF!),BDI!$E$17,IF(AND(#REF!="Diferenciado",$H$4=#REF!),BDI!#REF!,IF(#REF!="ZERO",0))))),"")</f>
        <v>#REF!</v>
      </c>
      <c r="H344" s="138" t="e">
        <f t="shared" ca="1" si="16"/>
        <v>#REF!</v>
      </c>
      <c r="I344" s="136" t="e">
        <f t="shared" ca="1" si="17"/>
        <v>#REF!</v>
      </c>
    </row>
    <row r="345" spans="1:9" hidden="1" x14ac:dyDescent="0.25">
      <c r="A345" s="113" t="s">
        <v>715</v>
      </c>
      <c r="B345" s="114" t="s">
        <v>1924</v>
      </c>
      <c r="C345" s="115" t="s">
        <v>93</v>
      </c>
      <c r="D345" s="115">
        <v>0</v>
      </c>
      <c r="E345" s="135">
        <f ca="1">OFFSET(INDEX(Composições!A:J,MATCH(Orçamentária!A345,Composições!A:A,0),8),2,0)</f>
        <v>82.787179999999992</v>
      </c>
      <c r="F345" s="136">
        <f t="shared" ca="1" si="15"/>
        <v>0</v>
      </c>
      <c r="G345" s="137" t="e">
        <f>IF(A345&lt;&gt;"",IF(AND(#REF!="Padrão",$H$4=#REF!),BDI!$B$17,IF(AND(#REF!="Padrão",$H$4=#REF!),BDI!#REF!,IF(AND(#REF!="Diferenciado",$H$4=#REF!),BDI!$E$17,IF(AND(#REF!="Diferenciado",$H$4=#REF!),BDI!#REF!,IF(#REF!="ZERO",0))))),"")</f>
        <v>#REF!</v>
      </c>
      <c r="H345" s="138" t="e">
        <f t="shared" ca="1" si="16"/>
        <v>#REF!</v>
      </c>
      <c r="I345" s="136" t="e">
        <f t="shared" ca="1" si="17"/>
        <v>#REF!</v>
      </c>
    </row>
    <row r="346" spans="1:9" hidden="1" x14ac:dyDescent="0.25">
      <c r="A346" s="113" t="s">
        <v>717</v>
      </c>
      <c r="B346" s="114" t="s">
        <v>1925</v>
      </c>
      <c r="C346" s="115" t="s">
        <v>93</v>
      </c>
      <c r="D346" s="115">
        <v>0</v>
      </c>
      <c r="E346" s="135">
        <f ca="1">OFFSET(INDEX(Composições!A:J,MATCH(Orçamentária!A346,Composições!A:A,0),8),2,0)</f>
        <v>76.239770499999992</v>
      </c>
      <c r="F346" s="136">
        <f t="shared" ca="1" si="15"/>
        <v>0</v>
      </c>
      <c r="G346" s="137" t="e">
        <f>IF(A346&lt;&gt;"",IF(AND(#REF!="Padrão",$H$4=#REF!),BDI!$B$17,IF(AND(#REF!="Padrão",$H$4=#REF!),BDI!#REF!,IF(AND(#REF!="Diferenciado",$H$4=#REF!),BDI!$E$17,IF(AND(#REF!="Diferenciado",$H$4=#REF!),BDI!#REF!,IF(#REF!="ZERO",0))))),"")</f>
        <v>#REF!</v>
      </c>
      <c r="H346" s="138" t="e">
        <f t="shared" ca="1" si="16"/>
        <v>#REF!</v>
      </c>
      <c r="I346" s="136" t="e">
        <f t="shared" ca="1" si="17"/>
        <v>#REF!</v>
      </c>
    </row>
    <row r="347" spans="1:9" hidden="1" x14ac:dyDescent="0.25">
      <c r="A347" s="113" t="s">
        <v>718</v>
      </c>
      <c r="B347" s="114" t="s">
        <v>1926</v>
      </c>
      <c r="C347" s="115" t="s">
        <v>93</v>
      </c>
      <c r="D347" s="115">
        <v>0</v>
      </c>
      <c r="E347" s="135">
        <f ca="1">OFFSET(INDEX(Composições!A:J,MATCH(Orçamentária!A347,Composições!A:A,0),8),2,0)</f>
        <v>60.425652499999998</v>
      </c>
      <c r="F347" s="136">
        <f t="shared" ca="1" si="15"/>
        <v>0</v>
      </c>
      <c r="G347" s="137" t="e">
        <f>IF(A347&lt;&gt;"",IF(AND(#REF!="Padrão",$H$4=#REF!),BDI!$B$17,IF(AND(#REF!="Padrão",$H$4=#REF!),BDI!#REF!,IF(AND(#REF!="Diferenciado",$H$4=#REF!),BDI!$E$17,IF(AND(#REF!="Diferenciado",$H$4=#REF!),BDI!#REF!,IF(#REF!="ZERO",0))))),"")</f>
        <v>#REF!</v>
      </c>
      <c r="H347" s="138" t="e">
        <f t="shared" ca="1" si="16"/>
        <v>#REF!</v>
      </c>
      <c r="I347" s="136" t="e">
        <f t="shared" ca="1" si="17"/>
        <v>#REF!</v>
      </c>
    </row>
    <row r="348" spans="1:9" hidden="1" x14ac:dyDescent="0.25">
      <c r="A348" s="113" t="s">
        <v>719</v>
      </c>
      <c r="B348" s="114" t="s">
        <v>1927</v>
      </c>
      <c r="C348" s="115" t="s">
        <v>93</v>
      </c>
      <c r="D348" s="115">
        <v>0</v>
      </c>
      <c r="E348" s="135">
        <f ca="1">OFFSET(INDEX(Composições!A:J,MATCH(Orçamentária!A348,Composições!A:A,0),8),2,0)</f>
        <v>54.967265999999995</v>
      </c>
      <c r="F348" s="136">
        <f t="shared" ca="1" si="15"/>
        <v>0</v>
      </c>
      <c r="G348" s="137" t="e">
        <f>IF(A348&lt;&gt;"",IF(AND(#REF!="Padrão",$H$4=#REF!),BDI!$B$17,IF(AND(#REF!="Padrão",$H$4=#REF!),BDI!#REF!,IF(AND(#REF!="Diferenciado",$H$4=#REF!),BDI!$E$17,IF(AND(#REF!="Diferenciado",$H$4=#REF!),BDI!#REF!,IF(#REF!="ZERO",0))))),"")</f>
        <v>#REF!</v>
      </c>
      <c r="H348" s="138" t="e">
        <f t="shared" ca="1" si="16"/>
        <v>#REF!</v>
      </c>
      <c r="I348" s="136" t="e">
        <f t="shared" ca="1" si="17"/>
        <v>#REF!</v>
      </c>
    </row>
    <row r="349" spans="1:9" hidden="1" x14ac:dyDescent="0.25">
      <c r="A349" s="113" t="s">
        <v>721</v>
      </c>
      <c r="B349" s="114" t="s">
        <v>1928</v>
      </c>
      <c r="C349" s="115" t="s">
        <v>93</v>
      </c>
      <c r="D349" s="115">
        <v>0</v>
      </c>
      <c r="E349" s="135">
        <f ca="1">OFFSET(INDEX(Composições!A:J,MATCH(Orçamentária!A349,Composições!A:A,0),8),2,0)</f>
        <v>36.537023749999989</v>
      </c>
      <c r="F349" s="136">
        <f t="shared" ca="1" si="15"/>
        <v>0</v>
      </c>
      <c r="G349" s="137" t="e">
        <f>IF(A349&lt;&gt;"",IF(AND(#REF!="Padrão",$H$4=#REF!),BDI!$B$17,IF(AND(#REF!="Padrão",$H$4=#REF!),BDI!#REF!,IF(AND(#REF!="Diferenciado",$H$4=#REF!),BDI!$E$17,IF(AND(#REF!="Diferenciado",$H$4=#REF!),BDI!#REF!,IF(#REF!="ZERO",0))))),"")</f>
        <v>#REF!</v>
      </c>
      <c r="H349" s="138" t="e">
        <f t="shared" ca="1" si="16"/>
        <v>#REF!</v>
      </c>
      <c r="I349" s="136" t="e">
        <f t="shared" ca="1" si="17"/>
        <v>#REF!</v>
      </c>
    </row>
    <row r="350" spans="1:9" hidden="1" x14ac:dyDescent="0.25">
      <c r="A350" s="113" t="s">
        <v>723</v>
      </c>
      <c r="B350" s="114" t="s">
        <v>1929</v>
      </c>
      <c r="C350" s="115" t="s">
        <v>93</v>
      </c>
      <c r="D350" s="115">
        <v>0</v>
      </c>
      <c r="E350" s="135">
        <f ca="1">OFFSET(INDEX(Composições!A:J,MATCH(Orçamentária!A350,Composições!A:A,0),8),2,0)</f>
        <v>18.125448999999996</v>
      </c>
      <c r="F350" s="136">
        <f t="shared" ca="1" si="15"/>
        <v>0</v>
      </c>
      <c r="G350" s="137" t="e">
        <f>IF(A350&lt;&gt;"",IF(AND(#REF!="Padrão",$H$4=#REF!),BDI!$B$17,IF(AND(#REF!="Padrão",$H$4=#REF!),BDI!#REF!,IF(AND(#REF!="Diferenciado",$H$4=#REF!),BDI!$E$17,IF(AND(#REF!="Diferenciado",$H$4=#REF!),BDI!#REF!,IF(#REF!="ZERO",0))))),"")</f>
        <v>#REF!</v>
      </c>
      <c r="H350" s="138" t="e">
        <f t="shared" ca="1" si="16"/>
        <v>#REF!</v>
      </c>
      <c r="I350" s="136" t="e">
        <f t="shared" ca="1" si="17"/>
        <v>#REF!</v>
      </c>
    </row>
    <row r="351" spans="1:9" hidden="1" x14ac:dyDescent="0.25">
      <c r="A351" s="113" t="s">
        <v>725</v>
      </c>
      <c r="B351" s="114" t="s">
        <v>1930</v>
      </c>
      <c r="C351" s="115" t="s">
        <v>93</v>
      </c>
      <c r="D351" s="115">
        <v>0</v>
      </c>
      <c r="E351" s="135">
        <f ca="1">OFFSET(INDEX(Composições!A:J,MATCH(Orçamentária!A351,Composições!A:A,0),8),2,0)</f>
        <v>54.214517349999994</v>
      </c>
      <c r="F351" s="136">
        <f t="shared" ca="1" si="15"/>
        <v>0</v>
      </c>
      <c r="G351" s="137" t="e">
        <f>IF(A351&lt;&gt;"",IF(AND(#REF!="Padrão",$H$4=#REF!),BDI!$B$17,IF(AND(#REF!="Padrão",$H$4=#REF!),BDI!#REF!,IF(AND(#REF!="Diferenciado",$H$4=#REF!),BDI!$E$17,IF(AND(#REF!="Diferenciado",$H$4=#REF!),BDI!#REF!,IF(#REF!="ZERO",0))))),"")</f>
        <v>#REF!</v>
      </c>
      <c r="H351" s="138" t="e">
        <f t="shared" ca="1" si="16"/>
        <v>#REF!</v>
      </c>
      <c r="I351" s="136" t="e">
        <f t="shared" ca="1" si="17"/>
        <v>#REF!</v>
      </c>
    </row>
    <row r="352" spans="1:9" x14ac:dyDescent="0.25">
      <c r="A352" s="197" t="s">
        <v>727</v>
      </c>
      <c r="B352" s="198" t="s">
        <v>1931</v>
      </c>
      <c r="C352" s="199" t="s">
        <v>93</v>
      </c>
      <c r="D352" s="199">
        <v>17</v>
      </c>
      <c r="E352" s="135">
        <f ca="1">OFFSET(INDEX(Composições!A:J,MATCH(Orçamentária!A352,Composições!A:A,0),8),2,0)</f>
        <v>27.262262099999997</v>
      </c>
      <c r="F352" s="136">
        <f t="shared" ca="1" si="15"/>
        <v>463.45845569999994</v>
      </c>
      <c r="G352" s="137">
        <f>BDI!$B$17</f>
        <v>0.191</v>
      </c>
      <c r="H352" s="138">
        <f t="shared" ca="1" si="16"/>
        <v>32.47</v>
      </c>
      <c r="I352" s="136">
        <f t="shared" ca="1" si="17"/>
        <v>551.99</v>
      </c>
    </row>
    <row r="353" spans="1:9" hidden="1" x14ac:dyDescent="0.25">
      <c r="A353" s="113" t="s">
        <v>729</v>
      </c>
      <c r="B353" s="114" t="s">
        <v>1932</v>
      </c>
      <c r="C353" s="115" t="s">
        <v>93</v>
      </c>
      <c r="D353" s="115">
        <v>0</v>
      </c>
      <c r="E353" s="135">
        <f ca="1">OFFSET(INDEX(Composições!A:J,MATCH(Orçamentária!A353,Composições!A:A,0),8),2,0)</f>
        <v>45.125195699999999</v>
      </c>
      <c r="F353" s="136">
        <f t="shared" ca="1" si="15"/>
        <v>0</v>
      </c>
      <c r="G353" s="137" t="e">
        <f>IF(A353&lt;&gt;"",IF(AND(#REF!="Padrão",$H$4=#REF!),BDI!$B$17,IF(AND(#REF!="Padrão",$H$4=#REF!),BDI!#REF!,IF(AND(#REF!="Diferenciado",$H$4=#REF!),BDI!$E$17,IF(AND(#REF!="Diferenciado",$H$4=#REF!),BDI!#REF!,IF(#REF!="ZERO",0))))),"")</f>
        <v>#REF!</v>
      </c>
      <c r="H353" s="138" t="e">
        <f t="shared" ca="1" si="16"/>
        <v>#REF!</v>
      </c>
      <c r="I353" s="136" t="e">
        <f t="shared" ca="1" si="17"/>
        <v>#REF!</v>
      </c>
    </row>
    <row r="354" spans="1:9" hidden="1" x14ac:dyDescent="0.25">
      <c r="A354" s="113" t="s">
        <v>731</v>
      </c>
      <c r="B354" s="114" t="s">
        <v>1933</v>
      </c>
      <c r="C354" s="115" t="s">
        <v>93</v>
      </c>
      <c r="D354" s="115">
        <v>0</v>
      </c>
      <c r="E354" s="135">
        <f ca="1">OFFSET(INDEX(Composições!A:J,MATCH(Orçamentária!A354,Composições!A:A,0),8),2,0)</f>
        <v>2.6954273999999998</v>
      </c>
      <c r="F354" s="136">
        <f t="shared" ca="1" si="15"/>
        <v>0</v>
      </c>
      <c r="G354" s="137" t="e">
        <f>IF(A354&lt;&gt;"",IF(AND(#REF!="Padrão",$H$4=#REF!),BDI!$B$17,IF(AND(#REF!="Padrão",$H$4=#REF!),BDI!#REF!,IF(AND(#REF!="Diferenciado",$H$4=#REF!),BDI!$E$17,IF(AND(#REF!="Diferenciado",$H$4=#REF!),BDI!#REF!,IF(#REF!="ZERO",0))))),"")</f>
        <v>#REF!</v>
      </c>
      <c r="H354" s="138" t="e">
        <f t="shared" ca="1" si="16"/>
        <v>#REF!</v>
      </c>
      <c r="I354" s="136" t="e">
        <f t="shared" ca="1" si="17"/>
        <v>#REF!</v>
      </c>
    </row>
    <row r="355" spans="1:9" x14ac:dyDescent="0.25">
      <c r="A355" s="197" t="s">
        <v>733</v>
      </c>
      <c r="B355" s="198" t="s">
        <v>1934</v>
      </c>
      <c r="C355" s="199" t="s">
        <v>93</v>
      </c>
      <c r="D355" s="199">
        <v>17</v>
      </c>
      <c r="E355" s="135">
        <f ca="1">OFFSET(INDEX(Composições!A:J,MATCH(Orçamentária!A355,Composições!A:A,0),8),2,0)</f>
        <v>58.317807699999996</v>
      </c>
      <c r="F355" s="136">
        <f t="shared" ca="1" si="15"/>
        <v>991.40273089999994</v>
      </c>
      <c r="G355" s="137">
        <f>BDI!$B$17</f>
        <v>0.191</v>
      </c>
      <c r="H355" s="138">
        <f t="shared" ca="1" si="16"/>
        <v>69.459999999999994</v>
      </c>
      <c r="I355" s="136">
        <f t="shared" ca="1" si="17"/>
        <v>1180.82</v>
      </c>
    </row>
    <row r="356" spans="1:9" hidden="1" x14ac:dyDescent="0.25">
      <c r="A356" s="113" t="s">
        <v>735</v>
      </c>
      <c r="B356" s="114" t="s">
        <v>1935</v>
      </c>
      <c r="C356" s="115" t="s">
        <v>93</v>
      </c>
      <c r="D356" s="115">
        <v>0</v>
      </c>
      <c r="E356" s="135">
        <f ca="1">OFFSET(INDEX(Composições!A:J,MATCH(Orçamentária!A356,Composições!A:A,0),8),2,0)</f>
        <v>2.6954273999999998</v>
      </c>
      <c r="F356" s="136">
        <f t="shared" ca="1" si="15"/>
        <v>0</v>
      </c>
      <c r="G356" s="137" t="e">
        <f>IF(A356&lt;&gt;"",IF(AND(#REF!="Padrão",$H$4=#REF!),BDI!$B$17,IF(AND(#REF!="Padrão",$H$4=#REF!),BDI!#REF!,IF(AND(#REF!="Diferenciado",$H$4=#REF!),BDI!$E$17,IF(AND(#REF!="Diferenciado",$H$4=#REF!),BDI!#REF!,IF(#REF!="ZERO",0))))),"")</f>
        <v>#REF!</v>
      </c>
      <c r="H356" s="138" t="e">
        <f t="shared" ca="1" si="16"/>
        <v>#REF!</v>
      </c>
      <c r="I356" s="136" t="e">
        <f t="shared" ca="1" si="17"/>
        <v>#REF!</v>
      </c>
    </row>
    <row r="357" spans="1:9" x14ac:dyDescent="0.25">
      <c r="A357" s="197" t="s">
        <v>1936</v>
      </c>
      <c r="B357" s="198" t="s">
        <v>1937</v>
      </c>
      <c r="C357" s="199" t="s">
        <v>95</v>
      </c>
      <c r="D357" s="199">
        <v>6.47</v>
      </c>
      <c r="E357" s="212">
        <v>532.09</v>
      </c>
      <c r="F357" s="136">
        <f t="shared" si="15"/>
        <v>3442.6223</v>
      </c>
      <c r="G357" s="137">
        <f>BDI!$B$17</f>
        <v>0.191</v>
      </c>
      <c r="H357" s="138">
        <f t="shared" si="16"/>
        <v>633.72</v>
      </c>
      <c r="I357" s="136">
        <f t="shared" si="17"/>
        <v>4100.17</v>
      </c>
    </row>
    <row r="358" spans="1:9" hidden="1" x14ac:dyDescent="0.25">
      <c r="A358" s="113" t="s">
        <v>1938</v>
      </c>
      <c r="B358" s="114" t="s">
        <v>1939</v>
      </c>
      <c r="C358" s="115" t="s">
        <v>95</v>
      </c>
      <c r="D358" s="115">
        <v>0</v>
      </c>
      <c r="E358" s="135" t="s">
        <v>568</v>
      </c>
      <c r="F358" s="136" t="str">
        <f t="shared" si="15"/>
        <v/>
      </c>
      <c r="G358" s="137" t="e">
        <f>IF(A358&lt;&gt;"",IF(AND(#REF!="Padrão",$H$4=#REF!),BDI!$B$17,IF(AND(#REF!="Padrão",$H$4=#REF!),BDI!#REF!,IF(AND(#REF!="Diferenciado",$H$4=#REF!),BDI!$E$17,IF(AND(#REF!="Diferenciado",$H$4=#REF!),BDI!#REF!,IF(#REF!="ZERO",0))))),"")</f>
        <v>#REF!</v>
      </c>
      <c r="H358" s="138" t="str">
        <f t="shared" si="16"/>
        <v/>
      </c>
      <c r="I358" s="136" t="str">
        <f t="shared" si="17"/>
        <v/>
      </c>
    </row>
    <row r="359" spans="1:9" hidden="1" x14ac:dyDescent="0.25">
      <c r="A359" s="113" t="s">
        <v>737</v>
      </c>
      <c r="B359" s="114" t="s">
        <v>1940</v>
      </c>
      <c r="C359" s="115" t="s">
        <v>95</v>
      </c>
      <c r="D359" s="115">
        <v>0</v>
      </c>
      <c r="E359" s="135">
        <f ca="1">OFFSET(INDEX(Composições!A:J,MATCH(Orçamentária!A359,Composições!A:A,0),8),2,0)</f>
        <v>98.256599999999992</v>
      </c>
      <c r="F359" s="136">
        <f t="shared" ca="1" si="15"/>
        <v>0</v>
      </c>
      <c r="G359" s="137" t="e">
        <f>IF(A359&lt;&gt;"",IF(AND(#REF!="Padrão",$H$4=#REF!),BDI!$B$17,IF(AND(#REF!="Padrão",$H$4=#REF!),BDI!#REF!,IF(AND(#REF!="Diferenciado",$H$4=#REF!),BDI!$E$17,IF(AND(#REF!="Diferenciado",$H$4=#REF!),BDI!#REF!,IF(#REF!="ZERO",0))))),"")</f>
        <v>#REF!</v>
      </c>
      <c r="H359" s="138" t="e">
        <f t="shared" ca="1" si="16"/>
        <v>#REF!</v>
      </c>
      <c r="I359" s="136" t="e">
        <f t="shared" ca="1" si="17"/>
        <v>#REF!</v>
      </c>
    </row>
    <row r="360" spans="1:9" hidden="1" x14ac:dyDescent="0.25">
      <c r="A360" s="113" t="s">
        <v>738</v>
      </c>
      <c r="B360" s="114" t="s">
        <v>1941</v>
      </c>
      <c r="C360" s="115" t="s">
        <v>95</v>
      </c>
      <c r="D360" s="115">
        <v>0</v>
      </c>
      <c r="E360" s="135">
        <f ca="1">OFFSET(INDEX(Composições!A:J,MATCH(Orçamentária!A360,Composições!A:A,0),8),2,0)</f>
        <v>185.7345</v>
      </c>
      <c r="F360" s="136">
        <f t="shared" ca="1" si="15"/>
        <v>0</v>
      </c>
      <c r="G360" s="137" t="e">
        <f>IF(A360&lt;&gt;"",IF(AND(#REF!="Padrão",$H$4=#REF!),BDI!$B$17,IF(AND(#REF!="Padrão",$H$4=#REF!),BDI!#REF!,IF(AND(#REF!="Diferenciado",$H$4=#REF!),BDI!$E$17,IF(AND(#REF!="Diferenciado",$H$4=#REF!),BDI!#REF!,IF(#REF!="ZERO",0))))),"")</f>
        <v>#REF!</v>
      </c>
      <c r="H360" s="138" t="e">
        <f t="shared" ca="1" si="16"/>
        <v>#REF!</v>
      </c>
      <c r="I360" s="136" t="e">
        <f t="shared" ca="1" si="17"/>
        <v>#REF!</v>
      </c>
    </row>
    <row r="361" spans="1:9" hidden="1" x14ac:dyDescent="0.25">
      <c r="A361" s="113" t="s">
        <v>741</v>
      </c>
      <c r="B361" s="114" t="s">
        <v>1942</v>
      </c>
      <c r="C361" s="115" t="s">
        <v>20</v>
      </c>
      <c r="D361" s="115">
        <v>0</v>
      </c>
      <c r="E361" s="135">
        <f ca="1">OFFSET(INDEX(Composições!A:J,MATCH(Orçamentária!A361,Composições!A:A,0),8),2,0)</f>
        <v>40.736000000000004</v>
      </c>
      <c r="F361" s="136">
        <f t="shared" ca="1" si="15"/>
        <v>0</v>
      </c>
      <c r="G361" s="137" t="e">
        <f>IF(A361&lt;&gt;"",IF(AND(#REF!="Padrão",$H$4=#REF!),BDI!$B$17,IF(AND(#REF!="Padrão",$H$4=#REF!),BDI!#REF!,IF(AND(#REF!="Diferenciado",$H$4=#REF!),BDI!$E$17,IF(AND(#REF!="Diferenciado",$H$4=#REF!),BDI!#REF!,IF(#REF!="ZERO",0))))),"")</f>
        <v>#REF!</v>
      </c>
      <c r="H361" s="138" t="e">
        <f t="shared" ca="1" si="16"/>
        <v>#REF!</v>
      </c>
      <c r="I361" s="136" t="e">
        <f t="shared" ca="1" si="17"/>
        <v>#REF!</v>
      </c>
    </row>
    <row r="362" spans="1:9" hidden="1" x14ac:dyDescent="0.25">
      <c r="A362" s="113" t="s">
        <v>743</v>
      </c>
      <c r="B362" s="114" t="s">
        <v>1943</v>
      </c>
      <c r="C362" s="115" t="s">
        <v>20</v>
      </c>
      <c r="D362" s="115">
        <v>0</v>
      </c>
      <c r="E362" s="135">
        <f ca="1">OFFSET(INDEX(Composições!A:J,MATCH(Orçamentária!A362,Composições!A:A,0),8),2,0)</f>
        <v>40.736000000000004</v>
      </c>
      <c r="F362" s="136">
        <f t="shared" ca="1" si="15"/>
        <v>0</v>
      </c>
      <c r="G362" s="137" t="e">
        <f>IF(A362&lt;&gt;"",IF(AND(#REF!="Padrão",$H$4=#REF!),BDI!$B$17,IF(AND(#REF!="Padrão",$H$4=#REF!),BDI!#REF!,IF(AND(#REF!="Diferenciado",$H$4=#REF!),BDI!$E$17,IF(AND(#REF!="Diferenciado",$H$4=#REF!),BDI!#REF!,IF(#REF!="ZERO",0))))),"")</f>
        <v>#REF!</v>
      </c>
      <c r="H362" s="138" t="e">
        <f t="shared" ca="1" si="16"/>
        <v>#REF!</v>
      </c>
      <c r="I362" s="136" t="e">
        <f t="shared" ca="1" si="17"/>
        <v>#REF!</v>
      </c>
    </row>
    <row r="363" spans="1:9" hidden="1" x14ac:dyDescent="0.25">
      <c r="A363" s="113" t="s">
        <v>745</v>
      </c>
      <c r="B363" s="114" t="s">
        <v>1944</v>
      </c>
      <c r="C363" s="115" t="s">
        <v>20</v>
      </c>
      <c r="D363" s="115">
        <v>0</v>
      </c>
      <c r="E363" s="135">
        <f ca="1">OFFSET(INDEX(Composições!A:J,MATCH(Orçamentária!A363,Composições!A:A,0),8),2,0)</f>
        <v>40.736000000000004</v>
      </c>
      <c r="F363" s="136">
        <f t="shared" ca="1" si="15"/>
        <v>0</v>
      </c>
      <c r="G363" s="137" t="e">
        <f>IF(A363&lt;&gt;"",IF(AND(#REF!="Padrão",$H$4=#REF!),BDI!$B$17,IF(AND(#REF!="Padrão",$H$4=#REF!),BDI!#REF!,IF(AND(#REF!="Diferenciado",$H$4=#REF!),BDI!$E$17,IF(AND(#REF!="Diferenciado",$H$4=#REF!),BDI!#REF!,IF(#REF!="ZERO",0))))),"")</f>
        <v>#REF!</v>
      </c>
      <c r="H363" s="138" t="e">
        <f t="shared" ca="1" si="16"/>
        <v>#REF!</v>
      </c>
      <c r="I363" s="136" t="e">
        <f t="shared" ca="1" si="17"/>
        <v>#REF!</v>
      </c>
    </row>
    <row r="364" spans="1:9" x14ac:dyDescent="0.25">
      <c r="A364" s="197" t="s">
        <v>747</v>
      </c>
      <c r="B364" s="198" t="s">
        <v>3634</v>
      </c>
      <c r="C364" s="199" t="s">
        <v>20</v>
      </c>
      <c r="D364" s="199">
        <v>2</v>
      </c>
      <c r="E364" s="135">
        <f ca="1">OFFSET(INDEX(Composições!A:J,MATCH(Orçamentária!A364,Composições!A:A,0),8),2,0)</f>
        <v>268.01773659999998</v>
      </c>
      <c r="F364" s="136">
        <f t="shared" ca="1" si="15"/>
        <v>536.03547319999996</v>
      </c>
      <c r="G364" s="137">
        <f>BDI!$B$17</f>
        <v>0.191</v>
      </c>
      <c r="H364" s="138">
        <f t="shared" ca="1" si="16"/>
        <v>319.20999999999998</v>
      </c>
      <c r="I364" s="136">
        <f t="shared" ca="1" si="17"/>
        <v>638.41999999999996</v>
      </c>
    </row>
    <row r="365" spans="1:9" hidden="1" x14ac:dyDescent="0.25">
      <c r="A365" s="113" t="s">
        <v>749</v>
      </c>
      <c r="B365" s="114" t="s">
        <v>1945</v>
      </c>
      <c r="C365" s="115" t="s">
        <v>95</v>
      </c>
      <c r="D365" s="115">
        <v>0</v>
      </c>
      <c r="E365" s="135">
        <f ca="1">OFFSET(INDEX(Composições!A:J,MATCH(Orçamentária!A365,Composições!A:A,0),8),2,0)</f>
        <v>11.57385</v>
      </c>
      <c r="F365" s="136">
        <f t="shared" ca="1" si="15"/>
        <v>0</v>
      </c>
      <c r="G365" s="137" t="e">
        <f>IF(A365&lt;&gt;"",IF(AND(#REF!="Padrão",$H$4=#REF!),BDI!$B$17,IF(AND(#REF!="Padrão",$H$4=#REF!),BDI!#REF!,IF(AND(#REF!="Diferenciado",$H$4=#REF!),BDI!$E$17,IF(AND(#REF!="Diferenciado",$H$4=#REF!),BDI!#REF!,IF(#REF!="ZERO",0))))),"")</f>
        <v>#REF!</v>
      </c>
      <c r="H365" s="138" t="e">
        <f t="shared" ca="1" si="16"/>
        <v>#REF!</v>
      </c>
      <c r="I365" s="136" t="e">
        <f t="shared" ca="1" si="17"/>
        <v>#REF!</v>
      </c>
    </row>
    <row r="366" spans="1:9" hidden="1" x14ac:dyDescent="0.25">
      <c r="A366" s="113" t="s">
        <v>751</v>
      </c>
      <c r="B366" s="114" t="s">
        <v>3625</v>
      </c>
      <c r="C366" s="115" t="s">
        <v>20</v>
      </c>
      <c r="D366" s="115">
        <v>0</v>
      </c>
      <c r="E366" s="135">
        <f ca="1">OFFSET(INDEX(Composições!A:J,MATCH(Orçamentária!A366,Composições!A:A,0),8),2,0)</f>
        <v>234.44553959999996</v>
      </c>
      <c r="F366" s="136">
        <f t="shared" ca="1" si="15"/>
        <v>0</v>
      </c>
      <c r="G366" s="137" t="e">
        <f>IF(A366&lt;&gt;"",IF(AND(#REF!="Padrão",$H$4=#REF!),BDI!$B$17,IF(AND(#REF!="Padrão",$H$4=#REF!),BDI!#REF!,IF(AND(#REF!="Diferenciado",$H$4=#REF!),BDI!$E$17,IF(AND(#REF!="Diferenciado",$H$4=#REF!),BDI!#REF!,IF(#REF!="ZERO",0))))),"")</f>
        <v>#REF!</v>
      </c>
      <c r="H366" s="138" t="e">
        <f t="shared" ca="1" si="16"/>
        <v>#REF!</v>
      </c>
      <c r="I366" s="136" t="e">
        <f t="shared" ca="1" si="17"/>
        <v>#REF!</v>
      </c>
    </row>
    <row r="367" spans="1:9" x14ac:dyDescent="0.25">
      <c r="A367" s="197" t="s">
        <v>757</v>
      </c>
      <c r="B367" s="198" t="s">
        <v>3626</v>
      </c>
      <c r="C367" s="199" t="s">
        <v>20</v>
      </c>
      <c r="D367" s="199">
        <v>2</v>
      </c>
      <c r="E367" s="135">
        <f ca="1">OFFSET(INDEX(Composições!A:J,MATCH(Orçamentária!A367,Composições!A:A,0),8),2,0)</f>
        <v>252.01105260000003</v>
      </c>
      <c r="F367" s="136">
        <f t="shared" ca="1" si="15"/>
        <v>504.02210520000006</v>
      </c>
      <c r="G367" s="137">
        <f>BDI!$B$17</f>
        <v>0.191</v>
      </c>
      <c r="H367" s="138">
        <f t="shared" ca="1" si="16"/>
        <v>300.14999999999998</v>
      </c>
      <c r="I367" s="136">
        <f t="shared" ca="1" si="17"/>
        <v>600.29999999999995</v>
      </c>
    </row>
    <row r="368" spans="1:9" x14ac:dyDescent="0.25">
      <c r="A368" s="197" t="s">
        <v>758</v>
      </c>
      <c r="B368" s="198" t="s">
        <v>3627</v>
      </c>
      <c r="C368" s="199" t="s">
        <v>20</v>
      </c>
      <c r="D368" s="199">
        <v>2</v>
      </c>
      <c r="E368" s="135">
        <f ca="1">OFFSET(INDEX(Composições!A:J,MATCH(Orçamentária!A368,Composições!A:A,0),8),2,0)</f>
        <v>301.43435779999999</v>
      </c>
      <c r="F368" s="136">
        <f t="shared" ca="1" si="15"/>
        <v>602.86871559999997</v>
      </c>
      <c r="G368" s="137">
        <f>BDI!$B$17</f>
        <v>0.191</v>
      </c>
      <c r="H368" s="138">
        <f t="shared" ca="1" si="16"/>
        <v>359.01</v>
      </c>
      <c r="I368" s="136">
        <f t="shared" ca="1" si="17"/>
        <v>718.02</v>
      </c>
    </row>
    <row r="369" spans="1:9" hidden="1" x14ac:dyDescent="0.25">
      <c r="A369" s="113" t="s">
        <v>759</v>
      </c>
      <c r="B369" s="114" t="s">
        <v>3628</v>
      </c>
      <c r="C369" s="115" t="s">
        <v>20</v>
      </c>
      <c r="D369" s="115">
        <v>0</v>
      </c>
      <c r="E369" s="135">
        <f ca="1">OFFSET(INDEX(Composições!A:J,MATCH(Orçamentária!A369,Composições!A:A,0),8),2,0)</f>
        <v>335.40069740000001</v>
      </c>
      <c r="F369" s="136">
        <f t="shared" ca="1" si="15"/>
        <v>0</v>
      </c>
      <c r="G369" s="137" t="e">
        <f>IF(A369&lt;&gt;"",IF(AND(#REF!="Padrão",$H$4=#REF!),BDI!$B$17,IF(AND(#REF!="Padrão",$H$4=#REF!),BDI!#REF!,IF(AND(#REF!="Diferenciado",$H$4=#REF!),BDI!$E$17,IF(AND(#REF!="Diferenciado",$H$4=#REF!),BDI!#REF!,IF(#REF!="ZERO",0))))),"")</f>
        <v>#REF!</v>
      </c>
      <c r="H369" s="138" t="e">
        <f t="shared" ca="1" si="16"/>
        <v>#REF!</v>
      </c>
      <c r="I369" s="136" t="e">
        <f t="shared" ca="1" si="17"/>
        <v>#REF!</v>
      </c>
    </row>
    <row r="370" spans="1:9" hidden="1" x14ac:dyDescent="0.25">
      <c r="A370" s="113" t="s">
        <v>760</v>
      </c>
      <c r="B370" s="114" t="s">
        <v>3629</v>
      </c>
      <c r="C370" s="115" t="s">
        <v>20</v>
      </c>
      <c r="D370" s="115">
        <v>0</v>
      </c>
      <c r="E370" s="135">
        <f ca="1">OFFSET(INDEX(Composições!A:J,MATCH(Orçamentária!A370,Composições!A:A,0),8),2,0)</f>
        <v>359.28975440000005</v>
      </c>
      <c r="F370" s="136">
        <f t="shared" ca="1" si="15"/>
        <v>0</v>
      </c>
      <c r="G370" s="137" t="e">
        <f>IF(A370&lt;&gt;"",IF(AND(#REF!="Padrão",$H$4=#REF!),BDI!$B$17,IF(AND(#REF!="Padrão",$H$4=#REF!),BDI!#REF!,IF(AND(#REF!="Diferenciado",$H$4=#REF!),BDI!$E$17,IF(AND(#REF!="Diferenciado",$H$4=#REF!),BDI!#REF!,IF(#REF!="ZERO",0))))),"")</f>
        <v>#REF!</v>
      </c>
      <c r="H370" s="138" t="e">
        <f t="shared" ca="1" si="16"/>
        <v>#REF!</v>
      </c>
      <c r="I370" s="136" t="e">
        <f t="shared" ca="1" si="17"/>
        <v>#REF!</v>
      </c>
    </row>
    <row r="371" spans="1:9" hidden="1" x14ac:dyDescent="0.25">
      <c r="A371" s="113" t="s">
        <v>762</v>
      </c>
      <c r="B371" s="114" t="s">
        <v>1946</v>
      </c>
      <c r="C371" s="115" t="s">
        <v>20</v>
      </c>
      <c r="D371" s="115">
        <v>0</v>
      </c>
      <c r="E371" s="135">
        <f ca="1">OFFSET(INDEX(Composições!A:J,MATCH(Orçamentária!A371,Composições!A:A,0),8),2,0)</f>
        <v>82.877353999999997</v>
      </c>
      <c r="F371" s="136">
        <f t="shared" ca="1" si="15"/>
        <v>0</v>
      </c>
      <c r="G371" s="137" t="e">
        <f>IF(A371&lt;&gt;"",IF(AND(#REF!="Padrão",$H$4=#REF!),BDI!$B$17,IF(AND(#REF!="Padrão",$H$4=#REF!),BDI!#REF!,IF(AND(#REF!="Diferenciado",$H$4=#REF!),BDI!$E$17,IF(AND(#REF!="Diferenciado",$H$4=#REF!),BDI!#REF!,IF(#REF!="ZERO",0))))),"")</f>
        <v>#REF!</v>
      </c>
      <c r="H371" s="138" t="e">
        <f t="shared" ca="1" si="16"/>
        <v>#REF!</v>
      </c>
      <c r="I371" s="136" t="e">
        <f t="shared" ca="1" si="17"/>
        <v>#REF!</v>
      </c>
    </row>
    <row r="372" spans="1:9" hidden="1" x14ac:dyDescent="0.25">
      <c r="A372" s="113" t="s">
        <v>763</v>
      </c>
      <c r="B372" s="114" t="s">
        <v>1947</v>
      </c>
      <c r="C372" s="115" t="s">
        <v>20</v>
      </c>
      <c r="D372" s="115">
        <v>0</v>
      </c>
      <c r="E372" s="135">
        <f ca="1">OFFSET(INDEX(Composições!A:J,MATCH(Orçamentária!A372,Composições!A:A,0),8),2,0)</f>
        <v>59.392727000000008</v>
      </c>
      <c r="F372" s="136">
        <f t="shared" ca="1" si="15"/>
        <v>0</v>
      </c>
      <c r="G372" s="137" t="e">
        <f>IF(A372&lt;&gt;"",IF(AND(#REF!="Padrão",$H$4=#REF!),BDI!$B$17,IF(AND(#REF!="Padrão",$H$4=#REF!),BDI!#REF!,IF(AND(#REF!="Diferenciado",$H$4=#REF!),BDI!$E$17,IF(AND(#REF!="Diferenciado",$H$4=#REF!),BDI!#REF!,IF(#REF!="ZERO",0))))),"")</f>
        <v>#REF!</v>
      </c>
      <c r="H372" s="138" t="e">
        <f t="shared" ca="1" si="16"/>
        <v>#REF!</v>
      </c>
      <c r="I372" s="136" t="e">
        <f t="shared" ca="1" si="17"/>
        <v>#REF!</v>
      </c>
    </row>
    <row r="373" spans="1:9" x14ac:dyDescent="0.25">
      <c r="A373" s="197" t="s">
        <v>765</v>
      </c>
      <c r="B373" s="198" t="s">
        <v>1948</v>
      </c>
      <c r="C373" s="199" t="s">
        <v>20</v>
      </c>
      <c r="D373" s="199">
        <v>15</v>
      </c>
      <c r="E373" s="135">
        <f ca="1">OFFSET(INDEX(Composições!A:J,MATCH(Orçamentária!A373,Composições!A:A,0),8),2,0)</f>
        <v>44.541680999999997</v>
      </c>
      <c r="F373" s="136">
        <f t="shared" ca="1" si="15"/>
        <v>668.12521499999991</v>
      </c>
      <c r="G373" s="137">
        <f>BDI!$B$17</f>
        <v>0.191</v>
      </c>
      <c r="H373" s="138">
        <f t="shared" ca="1" si="16"/>
        <v>53.05</v>
      </c>
      <c r="I373" s="136">
        <f t="shared" ca="1" si="17"/>
        <v>795.75</v>
      </c>
    </row>
    <row r="374" spans="1:9" hidden="1" x14ac:dyDescent="0.25">
      <c r="A374" s="113" t="s">
        <v>766</v>
      </c>
      <c r="B374" s="114" t="s">
        <v>1949</v>
      </c>
      <c r="C374" s="115" t="s">
        <v>20</v>
      </c>
      <c r="D374" s="115">
        <v>0</v>
      </c>
      <c r="E374" s="135">
        <f ca="1">OFFSET(INDEX(Composições!A:J,MATCH(Orçamentária!A374,Composições!A:A,0),8),2,0)</f>
        <v>23.0735715</v>
      </c>
      <c r="F374" s="136">
        <f t="shared" ca="1" si="15"/>
        <v>0</v>
      </c>
      <c r="G374" s="137" t="e">
        <f>IF(A374&lt;&gt;"",IF(AND(#REF!="Padrão",$H$4=#REF!),BDI!$B$17,IF(AND(#REF!="Padrão",$H$4=#REF!),BDI!#REF!,IF(AND(#REF!="Diferenciado",$H$4=#REF!),BDI!$E$17,IF(AND(#REF!="Diferenciado",$H$4=#REF!),BDI!#REF!,IF(#REF!="ZERO",0))))),"")</f>
        <v>#REF!</v>
      </c>
      <c r="H374" s="138" t="e">
        <f t="shared" ca="1" si="16"/>
        <v>#REF!</v>
      </c>
      <c r="I374" s="136" t="e">
        <f t="shared" ca="1" si="17"/>
        <v>#REF!</v>
      </c>
    </row>
    <row r="375" spans="1:9" x14ac:dyDescent="0.25">
      <c r="A375" s="197" t="s">
        <v>768</v>
      </c>
      <c r="B375" s="198" t="s">
        <v>1950</v>
      </c>
      <c r="C375" s="199" t="s">
        <v>20</v>
      </c>
      <c r="D375" s="199">
        <v>5</v>
      </c>
      <c r="E375" s="135">
        <f ca="1">OFFSET(INDEX(Composições!A:J,MATCH(Orçamentária!A375,Composições!A:A,0),8),2,0)</f>
        <v>168.46239450000002</v>
      </c>
      <c r="F375" s="136">
        <f t="shared" ca="1" si="15"/>
        <v>842.31197250000014</v>
      </c>
      <c r="G375" s="137">
        <f>BDI!$B$17</f>
        <v>0.191</v>
      </c>
      <c r="H375" s="138">
        <f t="shared" ca="1" si="16"/>
        <v>200.64</v>
      </c>
      <c r="I375" s="136">
        <f t="shared" ca="1" si="17"/>
        <v>1003.2</v>
      </c>
    </row>
    <row r="376" spans="1:9" hidden="1" x14ac:dyDescent="0.25">
      <c r="A376" s="113" t="s">
        <v>770</v>
      </c>
      <c r="B376" s="114" t="s">
        <v>1951</v>
      </c>
      <c r="C376" s="115" t="s">
        <v>20</v>
      </c>
      <c r="D376" s="115">
        <v>0</v>
      </c>
      <c r="E376" s="135">
        <f ca="1">OFFSET(INDEX(Composições!A:J,MATCH(Orçamentária!A376,Composições!A:A,0),8),2,0)</f>
        <v>30.1323945</v>
      </c>
      <c r="F376" s="136">
        <f t="shared" ca="1" si="15"/>
        <v>0</v>
      </c>
      <c r="G376" s="137" t="e">
        <f>IF(A376&lt;&gt;"",IF(AND(#REF!="Padrão",$H$4=#REF!),BDI!$B$17,IF(AND(#REF!="Padrão",$H$4=#REF!),BDI!#REF!,IF(AND(#REF!="Diferenciado",$H$4=#REF!),BDI!$E$17,IF(AND(#REF!="Diferenciado",$H$4=#REF!),BDI!#REF!,IF(#REF!="ZERO",0))))),"")</f>
        <v>#REF!</v>
      </c>
      <c r="H376" s="138" t="e">
        <f t="shared" ca="1" si="16"/>
        <v>#REF!</v>
      </c>
      <c r="I376" s="136" t="e">
        <f t="shared" ca="1" si="17"/>
        <v>#REF!</v>
      </c>
    </row>
    <row r="377" spans="1:9" hidden="1" x14ac:dyDescent="0.25">
      <c r="A377" s="113" t="s">
        <v>772</v>
      </c>
      <c r="B377" s="114" t="s">
        <v>1952</v>
      </c>
      <c r="C377" s="115" t="s">
        <v>20</v>
      </c>
      <c r="D377" s="115">
        <v>0</v>
      </c>
      <c r="E377" s="135">
        <f ca="1">OFFSET(INDEX(Composições!A:J,MATCH(Orçamentária!A377,Composições!A:A,0),8),2,0)</f>
        <v>30.1323945</v>
      </c>
      <c r="F377" s="136">
        <f t="shared" ca="1" si="15"/>
        <v>0</v>
      </c>
      <c r="G377" s="137" t="e">
        <f>IF(A377&lt;&gt;"",IF(AND(#REF!="Padrão",$H$4=#REF!),BDI!$B$17,IF(AND(#REF!="Padrão",$H$4=#REF!),BDI!#REF!,IF(AND(#REF!="Diferenciado",$H$4=#REF!),BDI!$E$17,IF(AND(#REF!="Diferenciado",$H$4=#REF!),BDI!#REF!,IF(#REF!="ZERO",0))))),"")</f>
        <v>#REF!</v>
      </c>
      <c r="H377" s="138" t="e">
        <f t="shared" ca="1" si="16"/>
        <v>#REF!</v>
      </c>
      <c r="I377" s="136" t="e">
        <f t="shared" ca="1" si="17"/>
        <v>#REF!</v>
      </c>
    </row>
    <row r="378" spans="1:9" hidden="1" x14ac:dyDescent="0.25">
      <c r="A378" s="113" t="s">
        <v>773</v>
      </c>
      <c r="B378" s="114" t="s">
        <v>1953</v>
      </c>
      <c r="C378" s="115" t="s">
        <v>20</v>
      </c>
      <c r="D378" s="115">
        <v>0</v>
      </c>
      <c r="E378" s="135">
        <f ca="1">OFFSET(INDEX(Composições!A:J,MATCH(Orçamentária!A378,Composições!A:A,0),8),2,0)</f>
        <v>22.268000000000001</v>
      </c>
      <c r="F378" s="136">
        <f t="shared" ca="1" si="15"/>
        <v>0</v>
      </c>
      <c r="G378" s="137" t="e">
        <f>IF(A378&lt;&gt;"",IF(AND(#REF!="Padrão",$H$4=#REF!),BDI!$B$17,IF(AND(#REF!="Padrão",$H$4=#REF!),BDI!#REF!,IF(AND(#REF!="Diferenciado",$H$4=#REF!),BDI!$E$17,IF(AND(#REF!="Diferenciado",$H$4=#REF!),BDI!#REF!,IF(#REF!="ZERO",0))))),"")</f>
        <v>#REF!</v>
      </c>
      <c r="H378" s="138" t="e">
        <f t="shared" ca="1" si="16"/>
        <v>#REF!</v>
      </c>
      <c r="I378" s="136" t="e">
        <f t="shared" ca="1" si="17"/>
        <v>#REF!</v>
      </c>
    </row>
    <row r="379" spans="1:9" hidden="1" x14ac:dyDescent="0.25">
      <c r="A379" s="113" t="s">
        <v>775</v>
      </c>
      <c r="B379" s="114" t="s">
        <v>1954</v>
      </c>
      <c r="C379" s="115" t="s">
        <v>20</v>
      </c>
      <c r="D379" s="115">
        <v>0</v>
      </c>
      <c r="E379" s="135">
        <f ca="1">OFFSET(INDEX(Composições!A:J,MATCH(Orçamentária!A379,Composições!A:A,0),8),2,0)</f>
        <v>11.134</v>
      </c>
      <c r="F379" s="136">
        <f t="shared" ca="1" si="15"/>
        <v>0</v>
      </c>
      <c r="G379" s="137" t="e">
        <f>IF(A379&lt;&gt;"",IF(AND(#REF!="Padrão",$H$4=#REF!),BDI!$B$17,IF(AND(#REF!="Padrão",$H$4=#REF!),BDI!#REF!,IF(AND(#REF!="Diferenciado",$H$4=#REF!),BDI!$E$17,IF(AND(#REF!="Diferenciado",$H$4=#REF!),BDI!#REF!,IF(#REF!="ZERO",0))))),"")</f>
        <v>#REF!</v>
      </c>
      <c r="H379" s="138" t="e">
        <f t="shared" ca="1" si="16"/>
        <v>#REF!</v>
      </c>
      <c r="I379" s="136" t="e">
        <f t="shared" ca="1" si="17"/>
        <v>#REF!</v>
      </c>
    </row>
    <row r="380" spans="1:9" x14ac:dyDescent="0.25">
      <c r="A380" s="197" t="s">
        <v>777</v>
      </c>
      <c r="B380" s="198" t="s">
        <v>1955</v>
      </c>
      <c r="C380" s="199" t="s">
        <v>93</v>
      </c>
      <c r="D380" s="199">
        <v>370</v>
      </c>
      <c r="E380" s="135">
        <f ca="1">OFFSET(INDEX(Composições!A:J,MATCH(Orçamentária!A380,Composições!A:A,0),8),2,0)</f>
        <v>6.0644752000000004</v>
      </c>
      <c r="F380" s="136">
        <f t="shared" ca="1" si="15"/>
        <v>2243.8558240000002</v>
      </c>
      <c r="G380" s="137">
        <f>BDI!$B$17</f>
        <v>0.191</v>
      </c>
      <c r="H380" s="138">
        <f t="shared" ca="1" si="16"/>
        <v>7.22</v>
      </c>
      <c r="I380" s="136">
        <f t="shared" ca="1" si="17"/>
        <v>2671.4</v>
      </c>
    </row>
    <row r="381" spans="1:9" x14ac:dyDescent="0.25">
      <c r="A381" s="197" t="s">
        <v>779</v>
      </c>
      <c r="B381" s="198" t="s">
        <v>1956</v>
      </c>
      <c r="C381" s="199" t="s">
        <v>20</v>
      </c>
      <c r="D381" s="199">
        <v>9</v>
      </c>
      <c r="E381" s="135">
        <f ca="1">OFFSET(INDEX(Composições!A:J,MATCH(Orçamentária!A381,Composições!A:A,0),8),2,0)</f>
        <v>141.15506159999998</v>
      </c>
      <c r="F381" s="136">
        <f t="shared" ca="1" si="15"/>
        <v>1270.3955543999998</v>
      </c>
      <c r="G381" s="137">
        <f>BDI!$B$17</f>
        <v>0.191</v>
      </c>
      <c r="H381" s="138">
        <f t="shared" ca="1" si="16"/>
        <v>168.12</v>
      </c>
      <c r="I381" s="136">
        <f t="shared" ca="1" si="17"/>
        <v>1513.08</v>
      </c>
    </row>
    <row r="382" spans="1:9" hidden="1" x14ac:dyDescent="0.25">
      <c r="A382" s="113" t="s">
        <v>783</v>
      </c>
      <c r="B382" s="114" t="s">
        <v>1957</v>
      </c>
      <c r="C382" s="115" t="s">
        <v>20</v>
      </c>
      <c r="D382" s="115">
        <v>0</v>
      </c>
      <c r="E382" s="135">
        <f ca="1">OFFSET(INDEX(Composições!A:J,MATCH(Orçamentária!A382,Composições!A:A,0),8),2,0)</f>
        <v>971.99854379999999</v>
      </c>
      <c r="F382" s="136">
        <f t="shared" ca="1" si="15"/>
        <v>0</v>
      </c>
      <c r="G382" s="137" t="e">
        <f>IF(A382&lt;&gt;"",IF(AND(#REF!="Padrão",$H$4=#REF!),BDI!$B$17,IF(AND(#REF!="Padrão",$H$4=#REF!),BDI!#REF!,IF(AND(#REF!="Diferenciado",$H$4=#REF!),BDI!$E$17,IF(AND(#REF!="Diferenciado",$H$4=#REF!),BDI!#REF!,IF(#REF!="ZERO",0))))),"")</f>
        <v>#REF!</v>
      </c>
      <c r="H382" s="138" t="e">
        <f t="shared" ca="1" si="16"/>
        <v>#REF!</v>
      </c>
      <c r="I382" s="136" t="e">
        <f t="shared" ca="1" si="17"/>
        <v>#REF!</v>
      </c>
    </row>
    <row r="383" spans="1:9" hidden="1" x14ac:dyDescent="0.25">
      <c r="A383" s="113" t="s">
        <v>785</v>
      </c>
      <c r="B383" s="114" t="s">
        <v>1958</v>
      </c>
      <c r="C383" s="115" t="s">
        <v>93</v>
      </c>
      <c r="D383" s="115">
        <v>0</v>
      </c>
      <c r="E383" s="135">
        <f ca="1">OFFSET(INDEX(Composições!A:J,MATCH(Orçamentária!A383,Composições!A:A,0),8),2,0)</f>
        <v>3.5779394</v>
      </c>
      <c r="F383" s="136">
        <f t="shared" ca="1" si="15"/>
        <v>0</v>
      </c>
      <c r="G383" s="137" t="e">
        <f>IF(A383&lt;&gt;"",IF(AND(#REF!="Padrão",$H$4=#REF!),BDI!$B$17,IF(AND(#REF!="Padrão",$H$4=#REF!),BDI!#REF!,IF(AND(#REF!="Diferenciado",$H$4=#REF!),BDI!$E$17,IF(AND(#REF!="Diferenciado",$H$4=#REF!),BDI!#REF!,IF(#REF!="ZERO",0))))),"")</f>
        <v>#REF!</v>
      </c>
      <c r="H383" s="138" t="e">
        <f t="shared" ca="1" si="16"/>
        <v>#REF!</v>
      </c>
      <c r="I383" s="136" t="e">
        <f t="shared" ca="1" si="17"/>
        <v>#REF!</v>
      </c>
    </row>
    <row r="384" spans="1:9" hidden="1" x14ac:dyDescent="0.25">
      <c r="A384" s="113" t="s">
        <v>787</v>
      </c>
      <c r="B384" s="114" t="s">
        <v>1959</v>
      </c>
      <c r="C384" s="115" t="s">
        <v>20</v>
      </c>
      <c r="D384" s="115">
        <v>0</v>
      </c>
      <c r="E384" s="135">
        <f ca="1">OFFSET(INDEX(Composições!A:J,MATCH(Orçamentária!A384,Composições!A:A,0),8),2,0)</f>
        <v>39.3130308</v>
      </c>
      <c r="F384" s="136">
        <f t="shared" ca="1" si="15"/>
        <v>0</v>
      </c>
      <c r="G384" s="137" t="e">
        <f>IF(A384&lt;&gt;"",IF(AND(#REF!="Padrão",$H$4=#REF!),BDI!$B$17,IF(AND(#REF!="Padrão",$H$4=#REF!),BDI!#REF!,IF(AND(#REF!="Diferenciado",$H$4=#REF!),BDI!$E$17,IF(AND(#REF!="Diferenciado",$H$4=#REF!),BDI!#REF!,IF(#REF!="ZERO",0))))),"")</f>
        <v>#REF!</v>
      </c>
      <c r="H384" s="138" t="e">
        <f t="shared" ca="1" si="16"/>
        <v>#REF!</v>
      </c>
      <c r="I384" s="136" t="e">
        <f t="shared" ca="1" si="17"/>
        <v>#REF!</v>
      </c>
    </row>
    <row r="385" spans="1:9" hidden="1" x14ac:dyDescent="0.25">
      <c r="A385" s="113" t="s">
        <v>790</v>
      </c>
      <c r="B385" s="114" t="s">
        <v>1960</v>
      </c>
      <c r="C385" s="115" t="s">
        <v>20</v>
      </c>
      <c r="D385" s="115">
        <v>0</v>
      </c>
      <c r="E385" s="135">
        <f ca="1">OFFSET(INDEX(Composições!A:J,MATCH(Orçamentária!A385,Composições!A:A,0),8),2,0)</f>
        <v>141.87774999999999</v>
      </c>
      <c r="F385" s="136">
        <f t="shared" ca="1" si="15"/>
        <v>0</v>
      </c>
      <c r="G385" s="137" t="e">
        <f>IF(A385&lt;&gt;"",IF(AND(#REF!="Padrão",$H$4=#REF!),BDI!$B$17,IF(AND(#REF!="Padrão",$H$4=#REF!),BDI!#REF!,IF(AND(#REF!="Diferenciado",$H$4=#REF!),BDI!$E$17,IF(AND(#REF!="Diferenciado",$H$4=#REF!),BDI!#REF!,IF(#REF!="ZERO",0))))),"")</f>
        <v>#REF!</v>
      </c>
      <c r="H385" s="138" t="e">
        <f t="shared" ca="1" si="16"/>
        <v>#REF!</v>
      </c>
      <c r="I385" s="136" t="e">
        <f t="shared" ca="1" si="17"/>
        <v>#REF!</v>
      </c>
    </row>
    <row r="386" spans="1:9" hidden="1" x14ac:dyDescent="0.25">
      <c r="A386" s="113" t="s">
        <v>1961</v>
      </c>
      <c r="B386" s="114" t="s">
        <v>1962</v>
      </c>
      <c r="C386" s="115" t="s">
        <v>42</v>
      </c>
      <c r="D386" s="115">
        <v>0</v>
      </c>
      <c r="E386" s="135" t="s">
        <v>568</v>
      </c>
      <c r="F386" s="136" t="str">
        <f t="shared" si="15"/>
        <v/>
      </c>
      <c r="G386" s="137" t="e">
        <f>IF(A386&lt;&gt;"",IF(AND(#REF!="Padrão",$H$4=#REF!),BDI!$B$17,IF(AND(#REF!="Padrão",$H$4=#REF!),BDI!#REF!,IF(AND(#REF!="Diferenciado",$H$4=#REF!),BDI!$E$17,IF(AND(#REF!="Diferenciado",$H$4=#REF!),BDI!#REF!,IF(#REF!="ZERO",0))))),"")</f>
        <v>#REF!</v>
      </c>
      <c r="H386" s="138" t="str">
        <f t="shared" si="16"/>
        <v/>
      </c>
      <c r="I386" s="136" t="str">
        <f t="shared" si="17"/>
        <v/>
      </c>
    </row>
    <row r="387" spans="1:9" hidden="1" x14ac:dyDescent="0.25">
      <c r="A387" s="113" t="s">
        <v>1963</v>
      </c>
      <c r="B387" s="114" t="s">
        <v>1964</v>
      </c>
      <c r="C387" s="115" t="s">
        <v>1965</v>
      </c>
      <c r="D387" s="115">
        <v>0</v>
      </c>
      <c r="E387" s="135" t="s">
        <v>568</v>
      </c>
      <c r="F387" s="136" t="str">
        <f t="shared" si="15"/>
        <v/>
      </c>
      <c r="G387" s="137" t="e">
        <f>IF(A387&lt;&gt;"",IF(AND(#REF!="Padrão",$H$4=#REF!),BDI!$B$17,IF(AND(#REF!="Padrão",$H$4=#REF!),BDI!#REF!,IF(AND(#REF!="Diferenciado",$H$4=#REF!),BDI!$E$17,IF(AND(#REF!="Diferenciado",$H$4=#REF!),BDI!#REF!,IF(#REF!="ZERO",0))))),"")</f>
        <v>#REF!</v>
      </c>
      <c r="H387" s="138" t="str">
        <f t="shared" si="16"/>
        <v/>
      </c>
      <c r="I387" s="136" t="str">
        <f t="shared" si="17"/>
        <v/>
      </c>
    </row>
    <row r="388" spans="1:9" hidden="1" x14ac:dyDescent="0.25">
      <c r="A388" s="113" t="s">
        <v>1966</v>
      </c>
      <c r="B388" s="114" t="s">
        <v>1967</v>
      </c>
      <c r="C388" s="115" t="s">
        <v>1968</v>
      </c>
      <c r="D388" s="115">
        <v>0</v>
      </c>
      <c r="E388" s="135" t="s">
        <v>568</v>
      </c>
      <c r="F388" s="136" t="str">
        <f t="shared" si="15"/>
        <v/>
      </c>
      <c r="G388" s="137" t="e">
        <f>IF(A388&lt;&gt;"",IF(AND(#REF!="Padrão",$H$4=#REF!),BDI!$B$17,IF(AND(#REF!="Padrão",$H$4=#REF!),BDI!#REF!,IF(AND(#REF!="Diferenciado",$H$4=#REF!),BDI!$E$17,IF(AND(#REF!="Diferenciado",$H$4=#REF!),BDI!#REF!,IF(#REF!="ZERO",0))))),"")</f>
        <v>#REF!</v>
      </c>
      <c r="H388" s="138" t="str">
        <f t="shared" si="16"/>
        <v/>
      </c>
      <c r="I388" s="136" t="str">
        <f t="shared" si="17"/>
        <v/>
      </c>
    </row>
    <row r="389" spans="1:9" hidden="1" x14ac:dyDescent="0.25">
      <c r="A389" s="113" t="s">
        <v>1969</v>
      </c>
      <c r="B389" s="114" t="s">
        <v>1970</v>
      </c>
      <c r="C389" s="115" t="s">
        <v>42</v>
      </c>
      <c r="D389" s="115">
        <v>0</v>
      </c>
      <c r="E389" s="135" t="s">
        <v>568</v>
      </c>
      <c r="F389" s="136" t="str">
        <f t="shared" si="15"/>
        <v/>
      </c>
      <c r="G389" s="137" t="e">
        <f>IF(A389&lt;&gt;"",IF(AND(#REF!="Padrão",$H$4=#REF!),BDI!$B$17,IF(AND(#REF!="Padrão",$H$4=#REF!),BDI!#REF!,IF(AND(#REF!="Diferenciado",$H$4=#REF!),BDI!$E$17,IF(AND(#REF!="Diferenciado",$H$4=#REF!),BDI!#REF!,IF(#REF!="ZERO",0))))),"")</f>
        <v>#REF!</v>
      </c>
      <c r="H389" s="138" t="str">
        <f t="shared" si="16"/>
        <v/>
      </c>
      <c r="I389" s="136" t="str">
        <f t="shared" si="17"/>
        <v/>
      </c>
    </row>
    <row r="390" spans="1:9" hidden="1" x14ac:dyDescent="0.25">
      <c r="A390" s="113" t="s">
        <v>1971</v>
      </c>
      <c r="B390" s="114" t="s">
        <v>1972</v>
      </c>
      <c r="C390" s="115" t="s">
        <v>42</v>
      </c>
      <c r="D390" s="115">
        <v>0</v>
      </c>
      <c r="E390" s="135" t="s">
        <v>568</v>
      </c>
      <c r="F390" s="136" t="str">
        <f t="shared" si="15"/>
        <v/>
      </c>
      <c r="G390" s="137" t="e">
        <f>IF(A390&lt;&gt;"",IF(AND(#REF!="Padrão",$H$4=#REF!),BDI!$B$17,IF(AND(#REF!="Padrão",$H$4=#REF!),BDI!#REF!,IF(AND(#REF!="Diferenciado",$H$4=#REF!),BDI!$E$17,IF(AND(#REF!="Diferenciado",$H$4=#REF!),BDI!#REF!,IF(#REF!="ZERO",0))))),"")</f>
        <v>#REF!</v>
      </c>
      <c r="H390" s="138" t="str">
        <f t="shared" si="16"/>
        <v/>
      </c>
      <c r="I390" s="136" t="str">
        <f t="shared" si="17"/>
        <v/>
      </c>
    </row>
    <row r="391" spans="1:9" hidden="1" x14ac:dyDescent="0.25">
      <c r="A391" s="113" t="s">
        <v>1973</v>
      </c>
      <c r="B391" s="114" t="s">
        <v>1974</v>
      </c>
      <c r="C391" s="115" t="s">
        <v>1975</v>
      </c>
      <c r="D391" s="115">
        <v>0</v>
      </c>
      <c r="E391" s="135" t="s">
        <v>568</v>
      </c>
      <c r="F391" s="136" t="str">
        <f t="shared" ref="F391:F454" si="18">IF(ISNUMBER(E391),D391*E391,"")</f>
        <v/>
      </c>
      <c r="G391" s="137" t="e">
        <f>IF(A391&lt;&gt;"",IF(AND(#REF!="Padrão",$H$4=#REF!),BDI!$B$17,IF(AND(#REF!="Padrão",$H$4=#REF!),BDI!#REF!,IF(AND(#REF!="Diferenciado",$H$4=#REF!),BDI!$E$17,IF(AND(#REF!="Diferenciado",$H$4=#REF!),BDI!#REF!,IF(#REF!="ZERO",0))))),"")</f>
        <v>#REF!</v>
      </c>
      <c r="H391" s="138" t="str">
        <f t="shared" ref="H391:H454" si="19">IF(ISNUMBER(E391),ROUND(E391*(1+G391),2),"")</f>
        <v/>
      </c>
      <c r="I391" s="136" t="str">
        <f t="shared" ref="I391:I454" si="20">IF(ISNUMBER(E391),ROUND(H391*D391,2),"")</f>
        <v/>
      </c>
    </row>
    <row r="392" spans="1:9" hidden="1" x14ac:dyDescent="0.25">
      <c r="A392" s="113" t="s">
        <v>1976</v>
      </c>
      <c r="B392" s="114" t="s">
        <v>1977</v>
      </c>
      <c r="C392" s="115" t="s">
        <v>1965</v>
      </c>
      <c r="D392" s="115">
        <v>0</v>
      </c>
      <c r="E392" s="135">
        <f ca="1">OFFSET(INDEX(Composições!A:J,MATCH(Orçamentária!A392,Composições!A:A,0),8),2,0)</f>
        <v>0</v>
      </c>
      <c r="F392" s="136">
        <f t="shared" ca="1" si="18"/>
        <v>0</v>
      </c>
      <c r="G392" s="137" t="e">
        <f>IF(A392&lt;&gt;"",IF(AND(#REF!="Padrão",$H$4=#REF!),BDI!$B$17,IF(AND(#REF!="Padrão",$H$4=#REF!),BDI!#REF!,IF(AND(#REF!="Diferenciado",$H$4=#REF!),BDI!$E$17,IF(AND(#REF!="Diferenciado",$H$4=#REF!),BDI!#REF!,IF(#REF!="ZERO",0))))),"")</f>
        <v>#REF!</v>
      </c>
      <c r="H392" s="138" t="e">
        <f t="shared" ca="1" si="19"/>
        <v>#REF!</v>
      </c>
      <c r="I392" s="136" t="e">
        <f t="shared" ca="1" si="20"/>
        <v>#REF!</v>
      </c>
    </row>
    <row r="393" spans="1:9" hidden="1" x14ac:dyDescent="0.25">
      <c r="A393" s="113" t="s">
        <v>1978</v>
      </c>
      <c r="B393" s="114" t="s">
        <v>1979</v>
      </c>
      <c r="C393" s="115" t="s">
        <v>848</v>
      </c>
      <c r="D393" s="115">
        <v>0</v>
      </c>
      <c r="E393" s="135" t="s">
        <v>568</v>
      </c>
      <c r="F393" s="136" t="str">
        <f t="shared" si="18"/>
        <v/>
      </c>
      <c r="G393" s="137" t="e">
        <f>IF(A393&lt;&gt;"",IF(AND(#REF!="Padrão",$H$4=#REF!),BDI!$B$17,IF(AND(#REF!="Padrão",$H$4=#REF!),BDI!#REF!,IF(AND(#REF!="Diferenciado",$H$4=#REF!),BDI!$E$17,IF(AND(#REF!="Diferenciado",$H$4=#REF!),BDI!#REF!,IF(#REF!="ZERO",0))))),"")</f>
        <v>#REF!</v>
      </c>
      <c r="H393" s="138" t="str">
        <f t="shared" si="19"/>
        <v/>
      </c>
      <c r="I393" s="136" t="str">
        <f t="shared" si="20"/>
        <v/>
      </c>
    </row>
    <row r="394" spans="1:9" hidden="1" x14ac:dyDescent="0.25">
      <c r="A394" s="113" t="s">
        <v>1980</v>
      </c>
      <c r="B394" s="114" t="s">
        <v>1981</v>
      </c>
      <c r="C394" s="115" t="s">
        <v>42</v>
      </c>
      <c r="D394" s="115">
        <v>0</v>
      </c>
      <c r="E394" s="135" t="s">
        <v>568</v>
      </c>
      <c r="F394" s="136" t="str">
        <f t="shared" si="18"/>
        <v/>
      </c>
      <c r="G394" s="137" t="e">
        <f>IF(A394&lt;&gt;"",IF(AND(#REF!="Padrão",$H$4=#REF!),BDI!$B$17,IF(AND(#REF!="Padrão",$H$4=#REF!),BDI!#REF!,IF(AND(#REF!="Diferenciado",$H$4=#REF!),BDI!$E$17,IF(AND(#REF!="Diferenciado",$H$4=#REF!),BDI!#REF!,IF(#REF!="ZERO",0))))),"")</f>
        <v>#REF!</v>
      </c>
      <c r="H394" s="138" t="str">
        <f t="shared" si="19"/>
        <v/>
      </c>
      <c r="I394" s="136" t="str">
        <f t="shared" si="20"/>
        <v/>
      </c>
    </row>
    <row r="395" spans="1:9" hidden="1" x14ac:dyDescent="0.25">
      <c r="A395" s="113" t="s">
        <v>1982</v>
      </c>
      <c r="B395" s="114" t="s">
        <v>1983</v>
      </c>
      <c r="C395" s="115" t="s">
        <v>93</v>
      </c>
      <c r="D395" s="115">
        <v>0</v>
      </c>
      <c r="E395" s="135" t="s">
        <v>568</v>
      </c>
      <c r="F395" s="136" t="str">
        <f t="shared" si="18"/>
        <v/>
      </c>
      <c r="G395" s="137" t="e">
        <f>IF(A395&lt;&gt;"",IF(AND(#REF!="Padrão",$H$4=#REF!),BDI!$B$17,IF(AND(#REF!="Padrão",$H$4=#REF!),BDI!#REF!,IF(AND(#REF!="Diferenciado",$H$4=#REF!),BDI!$E$17,IF(AND(#REF!="Diferenciado",$H$4=#REF!),BDI!#REF!,IF(#REF!="ZERO",0))))),"")</f>
        <v>#REF!</v>
      </c>
      <c r="H395" s="138" t="str">
        <f t="shared" si="19"/>
        <v/>
      </c>
      <c r="I395" s="136" t="str">
        <f t="shared" si="20"/>
        <v/>
      </c>
    </row>
    <row r="396" spans="1:9" hidden="1" x14ac:dyDescent="0.25">
      <c r="A396" s="113" t="s">
        <v>1984</v>
      </c>
      <c r="B396" s="114" t="s">
        <v>1985</v>
      </c>
      <c r="C396" s="115" t="s">
        <v>93</v>
      </c>
      <c r="D396" s="115">
        <v>0</v>
      </c>
      <c r="E396" s="135" t="s">
        <v>568</v>
      </c>
      <c r="F396" s="136" t="str">
        <f t="shared" si="18"/>
        <v/>
      </c>
      <c r="G396" s="137" t="e">
        <f>IF(A396&lt;&gt;"",IF(AND(#REF!="Padrão",$H$4=#REF!),BDI!$B$17,IF(AND(#REF!="Padrão",$H$4=#REF!),BDI!#REF!,IF(AND(#REF!="Diferenciado",$H$4=#REF!),BDI!$E$17,IF(AND(#REF!="Diferenciado",$H$4=#REF!),BDI!#REF!,IF(#REF!="ZERO",0))))),"")</f>
        <v>#REF!</v>
      </c>
      <c r="H396" s="138" t="str">
        <f t="shared" si="19"/>
        <v/>
      </c>
      <c r="I396" s="136" t="str">
        <f t="shared" si="20"/>
        <v/>
      </c>
    </row>
    <row r="397" spans="1:9" hidden="1" x14ac:dyDescent="0.25">
      <c r="A397" s="113" t="s">
        <v>1986</v>
      </c>
      <c r="B397" s="114" t="s">
        <v>1987</v>
      </c>
      <c r="C397" s="115" t="s">
        <v>93</v>
      </c>
      <c r="D397" s="115">
        <v>0</v>
      </c>
      <c r="E397" s="135" t="s">
        <v>568</v>
      </c>
      <c r="F397" s="136" t="str">
        <f t="shared" si="18"/>
        <v/>
      </c>
      <c r="G397" s="137" t="e">
        <f>IF(A397&lt;&gt;"",IF(AND(#REF!="Padrão",$H$4=#REF!),BDI!$B$17,IF(AND(#REF!="Padrão",$H$4=#REF!),BDI!#REF!,IF(AND(#REF!="Diferenciado",$H$4=#REF!),BDI!$E$17,IF(AND(#REF!="Diferenciado",$H$4=#REF!),BDI!#REF!,IF(#REF!="ZERO",0))))),"")</f>
        <v>#REF!</v>
      </c>
      <c r="H397" s="138" t="str">
        <f t="shared" si="19"/>
        <v/>
      </c>
      <c r="I397" s="136" t="str">
        <f t="shared" si="20"/>
        <v/>
      </c>
    </row>
    <row r="398" spans="1:9" hidden="1" x14ac:dyDescent="0.25">
      <c r="A398" s="113" t="s">
        <v>1988</v>
      </c>
      <c r="B398" s="114" t="s">
        <v>1989</v>
      </c>
      <c r="C398" s="115" t="s">
        <v>93</v>
      </c>
      <c r="D398" s="115">
        <v>0</v>
      </c>
      <c r="E398" s="135" t="s">
        <v>568</v>
      </c>
      <c r="F398" s="136" t="str">
        <f t="shared" si="18"/>
        <v/>
      </c>
      <c r="G398" s="137" t="e">
        <f>IF(A398&lt;&gt;"",IF(AND(#REF!="Padrão",$H$4=#REF!),BDI!$B$17,IF(AND(#REF!="Padrão",$H$4=#REF!),BDI!#REF!,IF(AND(#REF!="Diferenciado",$H$4=#REF!),BDI!$E$17,IF(AND(#REF!="Diferenciado",$H$4=#REF!),BDI!#REF!,IF(#REF!="ZERO",0))))),"")</f>
        <v>#REF!</v>
      </c>
      <c r="H398" s="138" t="str">
        <f t="shared" si="19"/>
        <v/>
      </c>
      <c r="I398" s="136" t="str">
        <f t="shared" si="20"/>
        <v/>
      </c>
    </row>
    <row r="399" spans="1:9" hidden="1" x14ac:dyDescent="0.25">
      <c r="A399" s="113" t="s">
        <v>1990</v>
      </c>
      <c r="B399" s="114" t="s">
        <v>1991</v>
      </c>
      <c r="C399" s="115" t="s">
        <v>20</v>
      </c>
      <c r="D399" s="115">
        <v>0</v>
      </c>
      <c r="E399" s="135" t="s">
        <v>568</v>
      </c>
      <c r="F399" s="136" t="str">
        <f t="shared" si="18"/>
        <v/>
      </c>
      <c r="G399" s="137" t="e">
        <f>IF(A399&lt;&gt;"",IF(AND(#REF!="Padrão",$H$4=#REF!),BDI!$B$17,IF(AND(#REF!="Padrão",$H$4=#REF!),BDI!#REF!,IF(AND(#REF!="Diferenciado",$H$4=#REF!),BDI!$E$17,IF(AND(#REF!="Diferenciado",$H$4=#REF!),BDI!#REF!,IF(#REF!="ZERO",0))))),"")</f>
        <v>#REF!</v>
      </c>
      <c r="H399" s="138" t="str">
        <f t="shared" si="19"/>
        <v/>
      </c>
      <c r="I399" s="136" t="str">
        <f t="shared" si="20"/>
        <v/>
      </c>
    </row>
    <row r="400" spans="1:9" hidden="1" x14ac:dyDescent="0.25">
      <c r="A400" s="113" t="s">
        <v>1992</v>
      </c>
      <c r="B400" s="114" t="s">
        <v>1993</v>
      </c>
      <c r="C400" s="115" t="s">
        <v>20</v>
      </c>
      <c r="D400" s="115">
        <v>0</v>
      </c>
      <c r="E400" s="135" t="s">
        <v>568</v>
      </c>
      <c r="F400" s="136" t="str">
        <f t="shared" si="18"/>
        <v/>
      </c>
      <c r="G400" s="137" t="e">
        <f>IF(A400&lt;&gt;"",IF(AND(#REF!="Padrão",$H$4=#REF!),BDI!$B$17,IF(AND(#REF!="Padrão",$H$4=#REF!),BDI!#REF!,IF(AND(#REF!="Diferenciado",$H$4=#REF!),BDI!$E$17,IF(AND(#REF!="Diferenciado",$H$4=#REF!),BDI!#REF!,IF(#REF!="ZERO",0))))),"")</f>
        <v>#REF!</v>
      </c>
      <c r="H400" s="138" t="str">
        <f t="shared" si="19"/>
        <v/>
      </c>
      <c r="I400" s="136" t="str">
        <f t="shared" si="20"/>
        <v/>
      </c>
    </row>
    <row r="401" spans="1:9" hidden="1" x14ac:dyDescent="0.25">
      <c r="A401" s="113" t="s">
        <v>1994</v>
      </c>
      <c r="B401" s="114" t="s">
        <v>1995</v>
      </c>
      <c r="C401" s="115" t="s">
        <v>20</v>
      </c>
      <c r="D401" s="115">
        <v>0</v>
      </c>
      <c r="E401" s="135" t="s">
        <v>568</v>
      </c>
      <c r="F401" s="136" t="str">
        <f t="shared" si="18"/>
        <v/>
      </c>
      <c r="G401" s="137" t="e">
        <f>IF(A401&lt;&gt;"",IF(AND(#REF!="Padrão",$H$4=#REF!),BDI!$B$17,IF(AND(#REF!="Padrão",$H$4=#REF!),BDI!#REF!,IF(AND(#REF!="Diferenciado",$H$4=#REF!),BDI!$E$17,IF(AND(#REF!="Diferenciado",$H$4=#REF!),BDI!#REF!,IF(#REF!="ZERO",0))))),"")</f>
        <v>#REF!</v>
      </c>
      <c r="H401" s="138" t="str">
        <f t="shared" si="19"/>
        <v/>
      </c>
      <c r="I401" s="136" t="str">
        <f t="shared" si="20"/>
        <v/>
      </c>
    </row>
    <row r="402" spans="1:9" hidden="1" x14ac:dyDescent="0.25">
      <c r="A402" s="113" t="s">
        <v>1996</v>
      </c>
      <c r="B402" s="114" t="s">
        <v>1997</v>
      </c>
      <c r="C402" s="115" t="s">
        <v>20</v>
      </c>
      <c r="D402" s="115">
        <v>0</v>
      </c>
      <c r="E402" s="135" t="s">
        <v>568</v>
      </c>
      <c r="F402" s="136" t="str">
        <f t="shared" si="18"/>
        <v/>
      </c>
      <c r="G402" s="137" t="e">
        <f>IF(A402&lt;&gt;"",IF(AND(#REF!="Padrão",$H$4=#REF!),BDI!$B$17,IF(AND(#REF!="Padrão",$H$4=#REF!),BDI!#REF!,IF(AND(#REF!="Diferenciado",$H$4=#REF!),BDI!$E$17,IF(AND(#REF!="Diferenciado",$H$4=#REF!),BDI!#REF!,IF(#REF!="ZERO",0))))),"")</f>
        <v>#REF!</v>
      </c>
      <c r="H402" s="138" t="str">
        <f t="shared" si="19"/>
        <v/>
      </c>
      <c r="I402" s="136" t="str">
        <f t="shared" si="20"/>
        <v/>
      </c>
    </row>
    <row r="403" spans="1:9" hidden="1" x14ac:dyDescent="0.25">
      <c r="A403" s="113" t="s">
        <v>1998</v>
      </c>
      <c r="B403" s="114" t="s">
        <v>1999</v>
      </c>
      <c r="C403" s="115" t="s">
        <v>93</v>
      </c>
      <c r="D403" s="115">
        <v>0</v>
      </c>
      <c r="E403" s="135" t="s">
        <v>568</v>
      </c>
      <c r="F403" s="136" t="str">
        <f t="shared" si="18"/>
        <v/>
      </c>
      <c r="G403" s="137" t="e">
        <f>IF(A403&lt;&gt;"",IF(AND(#REF!="Padrão",$H$4=#REF!),BDI!$B$17,IF(AND(#REF!="Padrão",$H$4=#REF!),BDI!#REF!,IF(AND(#REF!="Diferenciado",$H$4=#REF!),BDI!$E$17,IF(AND(#REF!="Diferenciado",$H$4=#REF!),BDI!#REF!,IF(#REF!="ZERO",0))))),"")</f>
        <v>#REF!</v>
      </c>
      <c r="H403" s="138" t="str">
        <f t="shared" si="19"/>
        <v/>
      </c>
      <c r="I403" s="136" t="str">
        <f t="shared" si="20"/>
        <v/>
      </c>
    </row>
    <row r="404" spans="1:9" hidden="1" x14ac:dyDescent="0.25">
      <c r="A404" s="113" t="s">
        <v>2000</v>
      </c>
      <c r="B404" s="114" t="s">
        <v>2001</v>
      </c>
      <c r="C404" s="115" t="s">
        <v>93</v>
      </c>
      <c r="D404" s="115">
        <v>0</v>
      </c>
      <c r="E404" s="135" t="s">
        <v>568</v>
      </c>
      <c r="F404" s="136" t="str">
        <f t="shared" si="18"/>
        <v/>
      </c>
      <c r="G404" s="137" t="e">
        <f>IF(A404&lt;&gt;"",IF(AND(#REF!="Padrão",$H$4=#REF!),BDI!$B$17,IF(AND(#REF!="Padrão",$H$4=#REF!),BDI!#REF!,IF(AND(#REF!="Diferenciado",$H$4=#REF!),BDI!$E$17,IF(AND(#REF!="Diferenciado",$H$4=#REF!),BDI!#REF!,IF(#REF!="ZERO",0))))),"")</f>
        <v>#REF!</v>
      </c>
      <c r="H404" s="138" t="str">
        <f t="shared" si="19"/>
        <v/>
      </c>
      <c r="I404" s="136" t="str">
        <f t="shared" si="20"/>
        <v/>
      </c>
    </row>
    <row r="405" spans="1:9" hidden="1" x14ac:dyDescent="0.25">
      <c r="A405" s="113" t="s">
        <v>2002</v>
      </c>
      <c r="B405" s="114" t="s">
        <v>2003</v>
      </c>
      <c r="C405" s="115" t="s">
        <v>20</v>
      </c>
      <c r="D405" s="115">
        <v>0</v>
      </c>
      <c r="E405" s="135" t="s">
        <v>568</v>
      </c>
      <c r="F405" s="136" t="str">
        <f t="shared" si="18"/>
        <v/>
      </c>
      <c r="G405" s="137" t="e">
        <f>IF(A405&lt;&gt;"",IF(AND(#REF!="Padrão",$H$4=#REF!),BDI!$B$17,IF(AND(#REF!="Padrão",$H$4=#REF!),BDI!#REF!,IF(AND(#REF!="Diferenciado",$H$4=#REF!),BDI!$E$17,IF(AND(#REF!="Diferenciado",$H$4=#REF!),BDI!#REF!,IF(#REF!="ZERO",0))))),"")</f>
        <v>#REF!</v>
      </c>
      <c r="H405" s="138" t="str">
        <f t="shared" si="19"/>
        <v/>
      </c>
      <c r="I405" s="136" t="str">
        <f t="shared" si="20"/>
        <v/>
      </c>
    </row>
    <row r="406" spans="1:9" hidden="1" x14ac:dyDescent="0.25">
      <c r="A406" s="113" t="s">
        <v>2004</v>
      </c>
      <c r="B406" s="114" t="s">
        <v>2005</v>
      </c>
      <c r="C406" s="115" t="s">
        <v>93</v>
      </c>
      <c r="D406" s="115">
        <v>0</v>
      </c>
      <c r="E406" s="135" t="s">
        <v>568</v>
      </c>
      <c r="F406" s="136" t="str">
        <f t="shared" si="18"/>
        <v/>
      </c>
      <c r="G406" s="137" t="e">
        <f>IF(A406&lt;&gt;"",IF(AND(#REF!="Padrão",$H$4=#REF!),BDI!$B$17,IF(AND(#REF!="Padrão",$H$4=#REF!),BDI!#REF!,IF(AND(#REF!="Diferenciado",$H$4=#REF!),BDI!$E$17,IF(AND(#REF!="Diferenciado",$H$4=#REF!),BDI!#REF!,IF(#REF!="ZERO",0))))),"")</f>
        <v>#REF!</v>
      </c>
      <c r="H406" s="138" t="str">
        <f t="shared" si="19"/>
        <v/>
      </c>
      <c r="I406" s="136" t="str">
        <f t="shared" si="20"/>
        <v/>
      </c>
    </row>
    <row r="407" spans="1:9" hidden="1" x14ac:dyDescent="0.25">
      <c r="A407" s="113" t="s">
        <v>2006</v>
      </c>
      <c r="B407" s="114" t="s">
        <v>2007</v>
      </c>
      <c r="C407" s="115" t="s">
        <v>20</v>
      </c>
      <c r="D407" s="115">
        <v>0</v>
      </c>
      <c r="E407" s="135" t="s">
        <v>568</v>
      </c>
      <c r="F407" s="136" t="str">
        <f t="shared" si="18"/>
        <v/>
      </c>
      <c r="G407" s="137" t="e">
        <f>IF(A407&lt;&gt;"",IF(AND(#REF!="Padrão",$H$4=#REF!),BDI!$B$17,IF(AND(#REF!="Padrão",$H$4=#REF!),BDI!#REF!,IF(AND(#REF!="Diferenciado",$H$4=#REF!),BDI!$E$17,IF(AND(#REF!="Diferenciado",$H$4=#REF!),BDI!#REF!,IF(#REF!="ZERO",0))))),"")</f>
        <v>#REF!</v>
      </c>
      <c r="H407" s="138" t="str">
        <f t="shared" si="19"/>
        <v/>
      </c>
      <c r="I407" s="136" t="str">
        <f t="shared" si="20"/>
        <v/>
      </c>
    </row>
    <row r="408" spans="1:9" hidden="1" x14ac:dyDescent="0.25">
      <c r="A408" s="113" t="s">
        <v>2008</v>
      </c>
      <c r="B408" s="114" t="s">
        <v>2009</v>
      </c>
      <c r="C408" s="115" t="s">
        <v>20</v>
      </c>
      <c r="D408" s="115">
        <v>0</v>
      </c>
      <c r="E408" s="135" t="s">
        <v>568</v>
      </c>
      <c r="F408" s="136" t="str">
        <f t="shared" si="18"/>
        <v/>
      </c>
      <c r="G408" s="137" t="e">
        <f>IF(A408&lt;&gt;"",IF(AND(#REF!="Padrão",$H$4=#REF!),BDI!$B$17,IF(AND(#REF!="Padrão",$H$4=#REF!),BDI!#REF!,IF(AND(#REF!="Diferenciado",$H$4=#REF!),BDI!$E$17,IF(AND(#REF!="Diferenciado",$H$4=#REF!),BDI!#REF!,IF(#REF!="ZERO",0))))),"")</f>
        <v>#REF!</v>
      </c>
      <c r="H408" s="138" t="str">
        <f t="shared" si="19"/>
        <v/>
      </c>
      <c r="I408" s="136" t="str">
        <f t="shared" si="20"/>
        <v/>
      </c>
    </row>
    <row r="409" spans="1:9" hidden="1" x14ac:dyDescent="0.25">
      <c r="A409" s="113" t="s">
        <v>2010</v>
      </c>
      <c r="B409" s="114" t="s">
        <v>2011</v>
      </c>
      <c r="C409" s="115" t="s">
        <v>20</v>
      </c>
      <c r="D409" s="115">
        <v>0</v>
      </c>
      <c r="E409" s="135" t="s">
        <v>568</v>
      </c>
      <c r="F409" s="136" t="str">
        <f t="shared" si="18"/>
        <v/>
      </c>
      <c r="G409" s="137" t="e">
        <f>IF(A409&lt;&gt;"",IF(AND(#REF!="Padrão",$H$4=#REF!),BDI!$B$17,IF(AND(#REF!="Padrão",$H$4=#REF!),BDI!#REF!,IF(AND(#REF!="Diferenciado",$H$4=#REF!),BDI!$E$17,IF(AND(#REF!="Diferenciado",$H$4=#REF!),BDI!#REF!,IF(#REF!="ZERO",0))))),"")</f>
        <v>#REF!</v>
      </c>
      <c r="H409" s="138" t="str">
        <f t="shared" si="19"/>
        <v/>
      </c>
      <c r="I409" s="136" t="str">
        <f t="shared" si="20"/>
        <v/>
      </c>
    </row>
    <row r="410" spans="1:9" hidden="1" x14ac:dyDescent="0.25">
      <c r="A410" s="113" t="s">
        <v>2012</v>
      </c>
      <c r="B410" s="114" t="s">
        <v>2013</v>
      </c>
      <c r="C410" s="115" t="s">
        <v>20</v>
      </c>
      <c r="D410" s="115">
        <v>0</v>
      </c>
      <c r="E410" s="135">
        <f ca="1">OFFSET(INDEX(Composições!A:J,MATCH(Orçamentária!A410,Composições!A:A,0),8),2,0)</f>
        <v>14.782</v>
      </c>
      <c r="F410" s="136">
        <f t="shared" ca="1" si="18"/>
        <v>0</v>
      </c>
      <c r="G410" s="137" t="e">
        <f>IF(A410&lt;&gt;"",IF(AND(#REF!="Padrão",$H$4=#REF!),BDI!$B$17,IF(AND(#REF!="Padrão",$H$4=#REF!),BDI!#REF!,IF(AND(#REF!="Diferenciado",$H$4=#REF!),BDI!$E$17,IF(AND(#REF!="Diferenciado",$H$4=#REF!),BDI!#REF!,IF(#REF!="ZERO",0))))),"")</f>
        <v>#REF!</v>
      </c>
      <c r="H410" s="138" t="e">
        <f t="shared" ca="1" si="19"/>
        <v>#REF!</v>
      </c>
      <c r="I410" s="136" t="e">
        <f t="shared" ca="1" si="20"/>
        <v>#REF!</v>
      </c>
    </row>
    <row r="411" spans="1:9" hidden="1" x14ac:dyDescent="0.25">
      <c r="A411" s="113" t="s">
        <v>2014</v>
      </c>
      <c r="B411" s="114" t="s">
        <v>2015</v>
      </c>
      <c r="C411" s="115" t="s">
        <v>20</v>
      </c>
      <c r="D411" s="115">
        <v>0</v>
      </c>
      <c r="E411" s="135" t="s">
        <v>568</v>
      </c>
      <c r="F411" s="136" t="str">
        <f t="shared" si="18"/>
        <v/>
      </c>
      <c r="G411" s="137" t="e">
        <f>IF(A411&lt;&gt;"",IF(AND(#REF!="Padrão",$H$4=#REF!),BDI!$B$17,IF(AND(#REF!="Padrão",$H$4=#REF!),BDI!#REF!,IF(AND(#REF!="Diferenciado",$H$4=#REF!),BDI!$E$17,IF(AND(#REF!="Diferenciado",$H$4=#REF!),BDI!#REF!,IF(#REF!="ZERO",0))))),"")</f>
        <v>#REF!</v>
      </c>
      <c r="H411" s="138" t="str">
        <f t="shared" si="19"/>
        <v/>
      </c>
      <c r="I411" s="136" t="str">
        <f t="shared" si="20"/>
        <v/>
      </c>
    </row>
    <row r="412" spans="1:9" hidden="1" x14ac:dyDescent="0.25">
      <c r="A412" s="113" t="s">
        <v>2016</v>
      </c>
      <c r="B412" s="114" t="s">
        <v>2017</v>
      </c>
      <c r="C412" s="115" t="s">
        <v>20</v>
      </c>
      <c r="D412" s="115">
        <v>0</v>
      </c>
      <c r="E412" s="135">
        <f ca="1">OFFSET(INDEX(Composições!A:J,MATCH(Orçamentária!A412,Composições!A:A,0),8),2,0)</f>
        <v>56.904999999999994</v>
      </c>
      <c r="F412" s="136">
        <f t="shared" ca="1" si="18"/>
        <v>0</v>
      </c>
      <c r="G412" s="137" t="e">
        <f>IF(A412&lt;&gt;"",IF(AND(#REF!="Padrão",$H$4=#REF!),BDI!$B$17,IF(AND(#REF!="Padrão",$H$4=#REF!),BDI!#REF!,IF(AND(#REF!="Diferenciado",$H$4=#REF!),BDI!$E$17,IF(AND(#REF!="Diferenciado",$H$4=#REF!),BDI!#REF!,IF(#REF!="ZERO",0))))),"")</f>
        <v>#REF!</v>
      </c>
      <c r="H412" s="138" t="e">
        <f t="shared" ca="1" si="19"/>
        <v>#REF!</v>
      </c>
      <c r="I412" s="136" t="e">
        <f t="shared" ca="1" si="20"/>
        <v>#REF!</v>
      </c>
    </row>
    <row r="413" spans="1:9" hidden="1" x14ac:dyDescent="0.25">
      <c r="A413" s="113" t="s">
        <v>792</v>
      </c>
      <c r="B413" s="114" t="s">
        <v>2018</v>
      </c>
      <c r="C413" s="115" t="s">
        <v>20</v>
      </c>
      <c r="D413" s="115">
        <v>0</v>
      </c>
      <c r="E413" s="135">
        <f ca="1">OFFSET(INDEX(Composições!A:J,MATCH(Orçamentária!A413,Composições!A:A,0),8),2,0)</f>
        <v>73.957499999999996</v>
      </c>
      <c r="F413" s="136">
        <f t="shared" ca="1" si="18"/>
        <v>0</v>
      </c>
      <c r="G413" s="137" t="e">
        <f>IF(A413&lt;&gt;"",IF(AND(#REF!="Padrão",$H$4=#REF!),BDI!$B$17,IF(AND(#REF!="Padrão",$H$4=#REF!),BDI!#REF!,IF(AND(#REF!="Diferenciado",$H$4=#REF!),BDI!$E$17,IF(AND(#REF!="Diferenciado",$H$4=#REF!),BDI!#REF!,IF(#REF!="ZERO",0))))),"")</f>
        <v>#REF!</v>
      </c>
      <c r="H413" s="138" t="e">
        <f t="shared" ca="1" si="19"/>
        <v>#REF!</v>
      </c>
      <c r="I413" s="136" t="e">
        <f t="shared" ca="1" si="20"/>
        <v>#REF!</v>
      </c>
    </row>
    <row r="414" spans="1:9" hidden="1" x14ac:dyDescent="0.25">
      <c r="A414" s="113" t="s">
        <v>2019</v>
      </c>
      <c r="B414" s="114" t="s">
        <v>2020</v>
      </c>
      <c r="C414" s="115" t="s">
        <v>20</v>
      </c>
      <c r="D414" s="115">
        <v>0</v>
      </c>
      <c r="E414" s="135">
        <f ca="1">OFFSET(INDEX(Composições!A:J,MATCH(Orçamentária!A414,Composições!A:A,0),8),2,0)</f>
        <v>44.744999999999997</v>
      </c>
      <c r="F414" s="136">
        <f t="shared" ca="1" si="18"/>
        <v>0</v>
      </c>
      <c r="G414" s="137" t="e">
        <f>IF(A414&lt;&gt;"",IF(AND(#REF!="Padrão",$H$4=#REF!),BDI!$B$17,IF(AND(#REF!="Padrão",$H$4=#REF!),BDI!#REF!,IF(AND(#REF!="Diferenciado",$H$4=#REF!),BDI!$E$17,IF(AND(#REF!="Diferenciado",$H$4=#REF!),BDI!#REF!,IF(#REF!="ZERO",0))))),"")</f>
        <v>#REF!</v>
      </c>
      <c r="H414" s="138" t="e">
        <f t="shared" ca="1" si="19"/>
        <v>#REF!</v>
      </c>
      <c r="I414" s="136" t="e">
        <f t="shared" ca="1" si="20"/>
        <v>#REF!</v>
      </c>
    </row>
    <row r="415" spans="1:9" hidden="1" x14ac:dyDescent="0.25">
      <c r="A415" s="113" t="s">
        <v>2021</v>
      </c>
      <c r="B415" s="114" t="s">
        <v>2022</v>
      </c>
      <c r="C415" s="115" t="s">
        <v>20</v>
      </c>
      <c r="D415" s="115">
        <v>0</v>
      </c>
      <c r="E415" s="135" t="s">
        <v>568</v>
      </c>
      <c r="F415" s="136" t="str">
        <f t="shared" si="18"/>
        <v/>
      </c>
      <c r="G415" s="137" t="e">
        <f>IF(A415&lt;&gt;"",IF(AND(#REF!="Padrão",$H$4=#REF!),BDI!$B$17,IF(AND(#REF!="Padrão",$H$4=#REF!),BDI!#REF!,IF(AND(#REF!="Diferenciado",$H$4=#REF!),BDI!$E$17,IF(AND(#REF!="Diferenciado",$H$4=#REF!),BDI!#REF!,IF(#REF!="ZERO",0))))),"")</f>
        <v>#REF!</v>
      </c>
      <c r="H415" s="138" t="str">
        <f t="shared" si="19"/>
        <v/>
      </c>
      <c r="I415" s="136" t="str">
        <f t="shared" si="20"/>
        <v/>
      </c>
    </row>
    <row r="416" spans="1:9" hidden="1" x14ac:dyDescent="0.25">
      <c r="A416" s="113" t="s">
        <v>2023</v>
      </c>
      <c r="B416" s="114" t="s">
        <v>2024</v>
      </c>
      <c r="C416" s="115" t="s">
        <v>20</v>
      </c>
      <c r="D416" s="115">
        <v>0</v>
      </c>
      <c r="E416" s="135">
        <f ca="1">OFFSET(INDEX(Composições!A:J,MATCH(Orçamentária!A416,Composições!A:A,0),8),2,0)</f>
        <v>38.826499999999996</v>
      </c>
      <c r="F416" s="136">
        <f t="shared" ca="1" si="18"/>
        <v>0</v>
      </c>
      <c r="G416" s="137" t="e">
        <f>IF(A416&lt;&gt;"",IF(AND(#REF!="Padrão",$H$4=#REF!),BDI!$B$17,IF(AND(#REF!="Padrão",$H$4=#REF!),BDI!#REF!,IF(AND(#REF!="Diferenciado",$H$4=#REF!),BDI!$E$17,IF(AND(#REF!="Diferenciado",$H$4=#REF!),BDI!#REF!,IF(#REF!="ZERO",0))))),"")</f>
        <v>#REF!</v>
      </c>
      <c r="H416" s="138" t="e">
        <f t="shared" ca="1" si="19"/>
        <v>#REF!</v>
      </c>
      <c r="I416" s="136" t="e">
        <f t="shared" ca="1" si="20"/>
        <v>#REF!</v>
      </c>
    </row>
    <row r="417" spans="1:9" hidden="1" x14ac:dyDescent="0.25">
      <c r="A417" s="113" t="s">
        <v>2025</v>
      </c>
      <c r="B417" s="114" t="s">
        <v>2026</v>
      </c>
      <c r="C417" s="115" t="s">
        <v>20</v>
      </c>
      <c r="D417" s="115">
        <v>0</v>
      </c>
      <c r="E417" s="135" t="s">
        <v>568</v>
      </c>
      <c r="F417" s="136" t="str">
        <f t="shared" si="18"/>
        <v/>
      </c>
      <c r="G417" s="137" t="e">
        <f>IF(A417&lt;&gt;"",IF(AND(#REF!="Padrão",$H$4=#REF!),BDI!$B$17,IF(AND(#REF!="Padrão",$H$4=#REF!),BDI!#REF!,IF(AND(#REF!="Diferenciado",$H$4=#REF!),BDI!$E$17,IF(AND(#REF!="Diferenciado",$H$4=#REF!),BDI!#REF!,IF(#REF!="ZERO",0))))),"")</f>
        <v>#REF!</v>
      </c>
      <c r="H417" s="138" t="str">
        <f t="shared" si="19"/>
        <v/>
      </c>
      <c r="I417" s="136" t="str">
        <f t="shared" si="20"/>
        <v/>
      </c>
    </row>
    <row r="418" spans="1:9" hidden="1" x14ac:dyDescent="0.25">
      <c r="A418" s="113" t="s">
        <v>2027</v>
      </c>
      <c r="B418" s="114" t="s">
        <v>2028</v>
      </c>
      <c r="C418" s="115" t="s">
        <v>20</v>
      </c>
      <c r="D418" s="115">
        <v>0</v>
      </c>
      <c r="E418" s="135" t="s">
        <v>568</v>
      </c>
      <c r="F418" s="136" t="str">
        <f t="shared" si="18"/>
        <v/>
      </c>
      <c r="G418" s="137" t="e">
        <f>IF(A418&lt;&gt;"",IF(AND(#REF!="Padrão",$H$4=#REF!),BDI!$B$17,IF(AND(#REF!="Padrão",$H$4=#REF!),BDI!#REF!,IF(AND(#REF!="Diferenciado",$H$4=#REF!),BDI!$E$17,IF(AND(#REF!="Diferenciado",$H$4=#REF!),BDI!#REF!,IF(#REF!="ZERO",0))))),"")</f>
        <v>#REF!</v>
      </c>
      <c r="H418" s="138" t="str">
        <f t="shared" si="19"/>
        <v/>
      </c>
      <c r="I418" s="136" t="str">
        <f t="shared" si="20"/>
        <v/>
      </c>
    </row>
    <row r="419" spans="1:9" hidden="1" x14ac:dyDescent="0.25">
      <c r="A419" s="113" t="s">
        <v>2029</v>
      </c>
      <c r="B419" s="114" t="s">
        <v>2030</v>
      </c>
      <c r="C419" s="115" t="s">
        <v>20</v>
      </c>
      <c r="D419" s="115">
        <v>0</v>
      </c>
      <c r="E419" s="135">
        <f ca="1">OFFSET(INDEX(Composições!A:J,MATCH(Orçamentária!A419,Composições!A:A,0),8),2,0)</f>
        <v>11.2385</v>
      </c>
      <c r="F419" s="136">
        <f t="shared" ca="1" si="18"/>
        <v>0</v>
      </c>
      <c r="G419" s="137" t="e">
        <f>IF(A419&lt;&gt;"",IF(AND(#REF!="Padrão",$H$4=#REF!),BDI!$B$17,IF(AND(#REF!="Padrão",$H$4=#REF!),BDI!#REF!,IF(AND(#REF!="Diferenciado",$H$4=#REF!),BDI!$E$17,IF(AND(#REF!="Diferenciado",$H$4=#REF!),BDI!#REF!,IF(#REF!="ZERO",0))))),"")</f>
        <v>#REF!</v>
      </c>
      <c r="H419" s="138" t="e">
        <f t="shared" ca="1" si="19"/>
        <v>#REF!</v>
      </c>
      <c r="I419" s="136" t="e">
        <f t="shared" ca="1" si="20"/>
        <v>#REF!</v>
      </c>
    </row>
    <row r="420" spans="1:9" hidden="1" x14ac:dyDescent="0.25">
      <c r="A420" s="113" t="s">
        <v>2031</v>
      </c>
      <c r="B420" s="114" t="s">
        <v>2032</v>
      </c>
      <c r="C420" s="115" t="s">
        <v>20</v>
      </c>
      <c r="D420" s="115">
        <v>0</v>
      </c>
      <c r="E420" s="135">
        <f ca="1">OFFSET(INDEX(Composições!A:J,MATCH(Orçamentária!A420,Composições!A:A,0),8),2,0)</f>
        <v>11.228999999999999</v>
      </c>
      <c r="F420" s="136">
        <f t="shared" ca="1" si="18"/>
        <v>0</v>
      </c>
      <c r="G420" s="137" t="e">
        <f>IF(A420&lt;&gt;"",IF(AND(#REF!="Padrão",$H$4=#REF!),BDI!$B$17,IF(AND(#REF!="Padrão",$H$4=#REF!),BDI!#REF!,IF(AND(#REF!="Diferenciado",$H$4=#REF!),BDI!$E$17,IF(AND(#REF!="Diferenciado",$H$4=#REF!),BDI!#REF!,IF(#REF!="ZERO",0))))),"")</f>
        <v>#REF!</v>
      </c>
      <c r="H420" s="138" t="e">
        <f t="shared" ca="1" si="19"/>
        <v>#REF!</v>
      </c>
      <c r="I420" s="136" t="e">
        <f t="shared" ca="1" si="20"/>
        <v>#REF!</v>
      </c>
    </row>
    <row r="421" spans="1:9" hidden="1" x14ac:dyDescent="0.25">
      <c r="A421" s="113" t="s">
        <v>2033</v>
      </c>
      <c r="B421" s="114" t="s">
        <v>2034</v>
      </c>
      <c r="C421" s="115" t="s">
        <v>20</v>
      </c>
      <c r="D421" s="115">
        <v>0</v>
      </c>
      <c r="E421" s="135">
        <f ca="1">OFFSET(INDEX(Composições!A:J,MATCH(Orçamentária!A421,Composições!A:A,0),8),2,0)</f>
        <v>11.228999999999999</v>
      </c>
      <c r="F421" s="136">
        <f t="shared" ca="1" si="18"/>
        <v>0</v>
      </c>
      <c r="G421" s="137" t="e">
        <f>IF(A421&lt;&gt;"",IF(AND(#REF!="Padrão",$H$4=#REF!),BDI!$B$17,IF(AND(#REF!="Padrão",$H$4=#REF!),BDI!#REF!,IF(AND(#REF!="Diferenciado",$H$4=#REF!),BDI!$E$17,IF(AND(#REF!="Diferenciado",$H$4=#REF!),BDI!#REF!,IF(#REF!="ZERO",0))))),"")</f>
        <v>#REF!</v>
      </c>
      <c r="H421" s="138" t="e">
        <f t="shared" ca="1" si="19"/>
        <v>#REF!</v>
      </c>
      <c r="I421" s="136" t="e">
        <f t="shared" ca="1" si="20"/>
        <v>#REF!</v>
      </c>
    </row>
    <row r="422" spans="1:9" hidden="1" x14ac:dyDescent="0.25">
      <c r="A422" s="113" t="s">
        <v>2035</v>
      </c>
      <c r="B422" s="114" t="s">
        <v>2036</v>
      </c>
      <c r="C422" s="115" t="s">
        <v>20</v>
      </c>
      <c r="D422" s="115">
        <v>0</v>
      </c>
      <c r="E422" s="135" t="s">
        <v>568</v>
      </c>
      <c r="F422" s="136" t="str">
        <f t="shared" si="18"/>
        <v/>
      </c>
      <c r="G422" s="137" t="e">
        <f>IF(A422&lt;&gt;"",IF(AND(#REF!="Padrão",$H$4=#REF!),BDI!$B$17,IF(AND(#REF!="Padrão",$H$4=#REF!),BDI!#REF!,IF(AND(#REF!="Diferenciado",$H$4=#REF!),BDI!$E$17,IF(AND(#REF!="Diferenciado",$H$4=#REF!),BDI!#REF!,IF(#REF!="ZERO",0))))),"")</f>
        <v>#REF!</v>
      </c>
      <c r="H422" s="138" t="str">
        <f t="shared" si="19"/>
        <v/>
      </c>
      <c r="I422" s="136" t="str">
        <f t="shared" si="20"/>
        <v/>
      </c>
    </row>
    <row r="423" spans="1:9" hidden="1" x14ac:dyDescent="0.25">
      <c r="A423" s="113" t="s">
        <v>2037</v>
      </c>
      <c r="B423" s="114" t="s">
        <v>2038</v>
      </c>
      <c r="C423" s="115" t="s">
        <v>20</v>
      </c>
      <c r="D423" s="115">
        <v>0</v>
      </c>
      <c r="E423" s="135" t="s">
        <v>568</v>
      </c>
      <c r="F423" s="136" t="str">
        <f t="shared" si="18"/>
        <v/>
      </c>
      <c r="G423" s="137" t="e">
        <f>IF(A423&lt;&gt;"",IF(AND(#REF!="Padrão",$H$4=#REF!),BDI!$B$17,IF(AND(#REF!="Padrão",$H$4=#REF!),BDI!#REF!,IF(AND(#REF!="Diferenciado",$H$4=#REF!),BDI!$E$17,IF(AND(#REF!="Diferenciado",$H$4=#REF!),BDI!#REF!,IF(#REF!="ZERO",0))))),"")</f>
        <v>#REF!</v>
      </c>
      <c r="H423" s="138" t="str">
        <f t="shared" si="19"/>
        <v/>
      </c>
      <c r="I423" s="136" t="str">
        <f t="shared" si="20"/>
        <v/>
      </c>
    </row>
    <row r="424" spans="1:9" hidden="1" x14ac:dyDescent="0.25">
      <c r="A424" s="113" t="s">
        <v>2039</v>
      </c>
      <c r="B424" s="114" t="s">
        <v>2040</v>
      </c>
      <c r="C424" s="115" t="s">
        <v>20</v>
      </c>
      <c r="D424" s="115">
        <v>0</v>
      </c>
      <c r="E424" s="135" t="s">
        <v>568</v>
      </c>
      <c r="F424" s="136" t="str">
        <f t="shared" si="18"/>
        <v/>
      </c>
      <c r="G424" s="137" t="e">
        <f>IF(A424&lt;&gt;"",IF(AND(#REF!="Padrão",$H$4=#REF!),BDI!$B$17,IF(AND(#REF!="Padrão",$H$4=#REF!),BDI!#REF!,IF(AND(#REF!="Diferenciado",$H$4=#REF!),BDI!$E$17,IF(AND(#REF!="Diferenciado",$H$4=#REF!),BDI!#REF!,IF(#REF!="ZERO",0))))),"")</f>
        <v>#REF!</v>
      </c>
      <c r="H424" s="138" t="str">
        <f t="shared" si="19"/>
        <v/>
      </c>
      <c r="I424" s="136" t="str">
        <f t="shared" si="20"/>
        <v/>
      </c>
    </row>
    <row r="425" spans="1:9" hidden="1" x14ac:dyDescent="0.25">
      <c r="A425" s="113" t="s">
        <v>2041</v>
      </c>
      <c r="B425" s="114" t="s">
        <v>2042</v>
      </c>
      <c r="C425" s="115" t="s">
        <v>20</v>
      </c>
      <c r="D425" s="115">
        <v>0</v>
      </c>
      <c r="E425" s="135" t="s">
        <v>568</v>
      </c>
      <c r="F425" s="136" t="str">
        <f t="shared" si="18"/>
        <v/>
      </c>
      <c r="G425" s="137" t="e">
        <f>IF(A425&lt;&gt;"",IF(AND(#REF!="Padrão",$H$4=#REF!),BDI!$B$17,IF(AND(#REF!="Padrão",$H$4=#REF!),BDI!#REF!,IF(AND(#REF!="Diferenciado",$H$4=#REF!),BDI!$E$17,IF(AND(#REF!="Diferenciado",$H$4=#REF!),BDI!#REF!,IF(#REF!="ZERO",0))))),"")</f>
        <v>#REF!</v>
      </c>
      <c r="H425" s="138" t="str">
        <f t="shared" si="19"/>
        <v/>
      </c>
      <c r="I425" s="136" t="str">
        <f t="shared" si="20"/>
        <v/>
      </c>
    </row>
    <row r="426" spans="1:9" hidden="1" x14ac:dyDescent="0.25">
      <c r="A426" s="113" t="s">
        <v>2043</v>
      </c>
      <c r="B426" s="114" t="s">
        <v>2044</v>
      </c>
      <c r="C426" s="115" t="s">
        <v>20</v>
      </c>
      <c r="D426" s="115">
        <v>0</v>
      </c>
      <c r="E426" s="135" t="s">
        <v>568</v>
      </c>
      <c r="F426" s="136" t="str">
        <f t="shared" si="18"/>
        <v/>
      </c>
      <c r="G426" s="137" t="e">
        <f>IF(A426&lt;&gt;"",IF(AND(#REF!="Padrão",$H$4=#REF!),BDI!$B$17,IF(AND(#REF!="Padrão",$H$4=#REF!),BDI!#REF!,IF(AND(#REF!="Diferenciado",$H$4=#REF!),BDI!$E$17,IF(AND(#REF!="Diferenciado",$H$4=#REF!),BDI!#REF!,IF(#REF!="ZERO",0))))),"")</f>
        <v>#REF!</v>
      </c>
      <c r="H426" s="138" t="str">
        <f t="shared" si="19"/>
        <v/>
      </c>
      <c r="I426" s="136" t="str">
        <f t="shared" si="20"/>
        <v/>
      </c>
    </row>
    <row r="427" spans="1:9" hidden="1" x14ac:dyDescent="0.25">
      <c r="A427" s="113" t="s">
        <v>2045</v>
      </c>
      <c r="B427" s="114" t="s">
        <v>2046</v>
      </c>
      <c r="C427" s="115" t="s">
        <v>20</v>
      </c>
      <c r="D427" s="115">
        <v>0</v>
      </c>
      <c r="E427" s="135" t="s">
        <v>568</v>
      </c>
      <c r="F427" s="136" t="str">
        <f t="shared" si="18"/>
        <v/>
      </c>
      <c r="G427" s="137" t="e">
        <f>IF(A427&lt;&gt;"",IF(AND(#REF!="Padrão",$H$4=#REF!),BDI!$B$17,IF(AND(#REF!="Padrão",$H$4=#REF!),BDI!#REF!,IF(AND(#REF!="Diferenciado",$H$4=#REF!),BDI!$E$17,IF(AND(#REF!="Diferenciado",$H$4=#REF!),BDI!#REF!,IF(#REF!="ZERO",0))))),"")</f>
        <v>#REF!</v>
      </c>
      <c r="H427" s="138" t="str">
        <f t="shared" si="19"/>
        <v/>
      </c>
      <c r="I427" s="136" t="str">
        <f t="shared" si="20"/>
        <v/>
      </c>
    </row>
    <row r="428" spans="1:9" hidden="1" x14ac:dyDescent="0.25">
      <c r="A428" s="113" t="s">
        <v>2047</v>
      </c>
      <c r="B428" s="114" t="s">
        <v>2048</v>
      </c>
      <c r="C428" s="115" t="s">
        <v>20</v>
      </c>
      <c r="D428" s="115">
        <v>0</v>
      </c>
      <c r="E428" s="135" t="s">
        <v>568</v>
      </c>
      <c r="F428" s="136" t="str">
        <f t="shared" si="18"/>
        <v/>
      </c>
      <c r="G428" s="137" t="e">
        <f>IF(A428&lt;&gt;"",IF(AND(#REF!="Padrão",$H$4=#REF!),BDI!$B$17,IF(AND(#REF!="Padrão",$H$4=#REF!),BDI!#REF!,IF(AND(#REF!="Diferenciado",$H$4=#REF!),BDI!$E$17,IF(AND(#REF!="Diferenciado",$H$4=#REF!),BDI!#REF!,IF(#REF!="ZERO",0))))),"")</f>
        <v>#REF!</v>
      </c>
      <c r="H428" s="138" t="str">
        <f t="shared" si="19"/>
        <v/>
      </c>
      <c r="I428" s="136" t="str">
        <f t="shared" si="20"/>
        <v/>
      </c>
    </row>
    <row r="429" spans="1:9" hidden="1" x14ac:dyDescent="0.25">
      <c r="A429" s="113" t="s">
        <v>2049</v>
      </c>
      <c r="B429" s="114" t="s">
        <v>2050</v>
      </c>
      <c r="C429" s="115" t="s">
        <v>20</v>
      </c>
      <c r="D429" s="115">
        <v>0</v>
      </c>
      <c r="E429" s="135" t="s">
        <v>568</v>
      </c>
      <c r="F429" s="136" t="str">
        <f t="shared" si="18"/>
        <v/>
      </c>
      <c r="G429" s="137" t="e">
        <f>IF(A429&lt;&gt;"",IF(AND(#REF!="Padrão",$H$4=#REF!),BDI!$B$17,IF(AND(#REF!="Padrão",$H$4=#REF!),BDI!#REF!,IF(AND(#REF!="Diferenciado",$H$4=#REF!),BDI!$E$17,IF(AND(#REF!="Diferenciado",$H$4=#REF!),BDI!#REF!,IF(#REF!="ZERO",0))))),"")</f>
        <v>#REF!</v>
      </c>
      <c r="H429" s="138" t="str">
        <f t="shared" si="19"/>
        <v/>
      </c>
      <c r="I429" s="136" t="str">
        <f t="shared" si="20"/>
        <v/>
      </c>
    </row>
    <row r="430" spans="1:9" hidden="1" x14ac:dyDescent="0.25">
      <c r="A430" s="113" t="s">
        <v>2051</v>
      </c>
      <c r="B430" s="114" t="s">
        <v>2052</v>
      </c>
      <c r="C430" s="115" t="s">
        <v>20</v>
      </c>
      <c r="D430" s="115">
        <v>0</v>
      </c>
      <c r="E430" s="135" t="s">
        <v>568</v>
      </c>
      <c r="F430" s="136" t="str">
        <f t="shared" si="18"/>
        <v/>
      </c>
      <c r="G430" s="137" t="e">
        <f>IF(A430&lt;&gt;"",IF(AND(#REF!="Padrão",$H$4=#REF!),BDI!$B$17,IF(AND(#REF!="Padrão",$H$4=#REF!),BDI!#REF!,IF(AND(#REF!="Diferenciado",$H$4=#REF!),BDI!$E$17,IF(AND(#REF!="Diferenciado",$H$4=#REF!),BDI!#REF!,IF(#REF!="ZERO",0))))),"")</f>
        <v>#REF!</v>
      </c>
      <c r="H430" s="138" t="str">
        <f t="shared" si="19"/>
        <v/>
      </c>
      <c r="I430" s="136" t="str">
        <f t="shared" si="20"/>
        <v/>
      </c>
    </row>
    <row r="431" spans="1:9" hidden="1" x14ac:dyDescent="0.25">
      <c r="A431" s="113" t="s">
        <v>2053</v>
      </c>
      <c r="B431" s="114" t="s">
        <v>2054</v>
      </c>
      <c r="C431" s="115" t="s">
        <v>20</v>
      </c>
      <c r="D431" s="115">
        <v>0</v>
      </c>
      <c r="E431" s="135" t="s">
        <v>568</v>
      </c>
      <c r="F431" s="136" t="str">
        <f t="shared" si="18"/>
        <v/>
      </c>
      <c r="G431" s="137" t="e">
        <f>IF(A431&lt;&gt;"",IF(AND(#REF!="Padrão",$H$4=#REF!),BDI!$B$17,IF(AND(#REF!="Padrão",$H$4=#REF!),BDI!#REF!,IF(AND(#REF!="Diferenciado",$H$4=#REF!),BDI!$E$17,IF(AND(#REF!="Diferenciado",$H$4=#REF!),BDI!#REF!,IF(#REF!="ZERO",0))))),"")</f>
        <v>#REF!</v>
      </c>
      <c r="H431" s="138" t="str">
        <f t="shared" si="19"/>
        <v/>
      </c>
      <c r="I431" s="136" t="str">
        <f t="shared" si="20"/>
        <v/>
      </c>
    </row>
    <row r="432" spans="1:9" hidden="1" x14ac:dyDescent="0.25">
      <c r="A432" s="113" t="s">
        <v>2055</v>
      </c>
      <c r="B432" s="114" t="s">
        <v>2056</v>
      </c>
      <c r="C432" s="115" t="s">
        <v>20</v>
      </c>
      <c r="D432" s="115">
        <v>0</v>
      </c>
      <c r="E432" s="135" t="s">
        <v>568</v>
      </c>
      <c r="F432" s="136" t="str">
        <f t="shared" si="18"/>
        <v/>
      </c>
      <c r="G432" s="137" t="e">
        <f>IF(A432&lt;&gt;"",IF(AND(#REF!="Padrão",$H$4=#REF!),BDI!$B$17,IF(AND(#REF!="Padrão",$H$4=#REF!),BDI!#REF!,IF(AND(#REF!="Diferenciado",$H$4=#REF!),BDI!$E$17,IF(AND(#REF!="Diferenciado",$H$4=#REF!),BDI!#REF!,IF(#REF!="ZERO",0))))),"")</f>
        <v>#REF!</v>
      </c>
      <c r="H432" s="138" t="str">
        <f t="shared" si="19"/>
        <v/>
      </c>
      <c r="I432" s="136" t="str">
        <f t="shared" si="20"/>
        <v/>
      </c>
    </row>
    <row r="433" spans="1:9" hidden="1" x14ac:dyDescent="0.25">
      <c r="A433" s="113" t="s">
        <v>2057</v>
      </c>
      <c r="B433" s="114" t="s">
        <v>2058</v>
      </c>
      <c r="C433" s="115" t="s">
        <v>20</v>
      </c>
      <c r="D433" s="115">
        <v>0</v>
      </c>
      <c r="E433" s="135" t="s">
        <v>568</v>
      </c>
      <c r="F433" s="136" t="str">
        <f t="shared" si="18"/>
        <v/>
      </c>
      <c r="G433" s="137" t="e">
        <f>IF(A433&lt;&gt;"",IF(AND(#REF!="Padrão",$H$4=#REF!),BDI!$B$17,IF(AND(#REF!="Padrão",$H$4=#REF!),BDI!#REF!,IF(AND(#REF!="Diferenciado",$H$4=#REF!),BDI!$E$17,IF(AND(#REF!="Diferenciado",$H$4=#REF!),BDI!#REF!,IF(#REF!="ZERO",0))))),"")</f>
        <v>#REF!</v>
      </c>
      <c r="H433" s="138" t="str">
        <f t="shared" si="19"/>
        <v/>
      </c>
      <c r="I433" s="136" t="str">
        <f t="shared" si="20"/>
        <v/>
      </c>
    </row>
    <row r="434" spans="1:9" hidden="1" x14ac:dyDescent="0.25">
      <c r="A434" s="113" t="s">
        <v>2059</v>
      </c>
      <c r="B434" s="114" t="s">
        <v>2060</v>
      </c>
      <c r="C434" s="115" t="s">
        <v>2061</v>
      </c>
      <c r="D434" s="115">
        <v>0</v>
      </c>
      <c r="E434" s="135" t="s">
        <v>568</v>
      </c>
      <c r="F434" s="136" t="str">
        <f t="shared" si="18"/>
        <v/>
      </c>
      <c r="G434" s="137" t="e">
        <f>IF(A434&lt;&gt;"",IF(AND(#REF!="Padrão",$H$4=#REF!),BDI!$B$17,IF(AND(#REF!="Padrão",$H$4=#REF!),BDI!#REF!,IF(AND(#REF!="Diferenciado",$H$4=#REF!),BDI!$E$17,IF(AND(#REF!="Diferenciado",$H$4=#REF!),BDI!#REF!,IF(#REF!="ZERO",0))))),"")</f>
        <v>#REF!</v>
      </c>
      <c r="H434" s="138" t="str">
        <f t="shared" si="19"/>
        <v/>
      </c>
      <c r="I434" s="136" t="str">
        <f t="shared" si="20"/>
        <v/>
      </c>
    </row>
    <row r="435" spans="1:9" hidden="1" x14ac:dyDescent="0.25">
      <c r="A435" s="113" t="s">
        <v>2062</v>
      </c>
      <c r="B435" s="114" t="s">
        <v>2063</v>
      </c>
      <c r="C435" s="115" t="s">
        <v>2061</v>
      </c>
      <c r="D435" s="115">
        <v>0</v>
      </c>
      <c r="E435" s="135" t="s">
        <v>568</v>
      </c>
      <c r="F435" s="136" t="str">
        <f t="shared" si="18"/>
        <v/>
      </c>
      <c r="G435" s="137" t="e">
        <f>IF(A435&lt;&gt;"",IF(AND(#REF!="Padrão",$H$4=#REF!),BDI!$B$17,IF(AND(#REF!="Padrão",$H$4=#REF!),BDI!#REF!,IF(AND(#REF!="Diferenciado",$H$4=#REF!),BDI!$E$17,IF(AND(#REF!="Diferenciado",$H$4=#REF!),BDI!#REF!,IF(#REF!="ZERO",0))))),"")</f>
        <v>#REF!</v>
      </c>
      <c r="H435" s="138" t="str">
        <f t="shared" si="19"/>
        <v/>
      </c>
      <c r="I435" s="136" t="str">
        <f t="shared" si="20"/>
        <v/>
      </c>
    </row>
    <row r="436" spans="1:9" hidden="1" x14ac:dyDescent="0.25">
      <c r="A436" s="113" t="s">
        <v>2064</v>
      </c>
      <c r="B436" s="114" t="s">
        <v>2065</v>
      </c>
      <c r="C436" s="115" t="s">
        <v>2061</v>
      </c>
      <c r="D436" s="115">
        <v>0</v>
      </c>
      <c r="E436" s="135" t="s">
        <v>568</v>
      </c>
      <c r="F436" s="136" t="str">
        <f t="shared" si="18"/>
        <v/>
      </c>
      <c r="G436" s="137" t="e">
        <f>IF(A436&lt;&gt;"",IF(AND(#REF!="Padrão",$H$4=#REF!),BDI!$B$17,IF(AND(#REF!="Padrão",$H$4=#REF!),BDI!#REF!,IF(AND(#REF!="Diferenciado",$H$4=#REF!),BDI!$E$17,IF(AND(#REF!="Diferenciado",$H$4=#REF!),BDI!#REF!,IF(#REF!="ZERO",0))))),"")</f>
        <v>#REF!</v>
      </c>
      <c r="H436" s="138" t="str">
        <f t="shared" si="19"/>
        <v/>
      </c>
      <c r="I436" s="136" t="str">
        <f t="shared" si="20"/>
        <v/>
      </c>
    </row>
    <row r="437" spans="1:9" hidden="1" x14ac:dyDescent="0.25">
      <c r="A437" s="113" t="s">
        <v>2066</v>
      </c>
      <c r="B437" s="114" t="s">
        <v>2067</v>
      </c>
      <c r="C437" s="115" t="s">
        <v>2061</v>
      </c>
      <c r="D437" s="115">
        <v>0</v>
      </c>
      <c r="E437" s="135" t="s">
        <v>568</v>
      </c>
      <c r="F437" s="136" t="str">
        <f t="shared" si="18"/>
        <v/>
      </c>
      <c r="G437" s="137" t="e">
        <f>IF(A437&lt;&gt;"",IF(AND(#REF!="Padrão",$H$4=#REF!),BDI!$B$17,IF(AND(#REF!="Padrão",$H$4=#REF!),BDI!#REF!,IF(AND(#REF!="Diferenciado",$H$4=#REF!),BDI!$E$17,IF(AND(#REF!="Diferenciado",$H$4=#REF!),BDI!#REF!,IF(#REF!="ZERO",0))))),"")</f>
        <v>#REF!</v>
      </c>
      <c r="H437" s="138" t="str">
        <f t="shared" si="19"/>
        <v/>
      </c>
      <c r="I437" s="136" t="str">
        <f t="shared" si="20"/>
        <v/>
      </c>
    </row>
    <row r="438" spans="1:9" hidden="1" x14ac:dyDescent="0.25">
      <c r="A438" s="113" t="s">
        <v>2068</v>
      </c>
      <c r="B438" s="114" t="s">
        <v>2069</v>
      </c>
      <c r="C438" s="115" t="s">
        <v>2061</v>
      </c>
      <c r="D438" s="115">
        <v>0</v>
      </c>
      <c r="E438" s="135" t="s">
        <v>568</v>
      </c>
      <c r="F438" s="136" t="str">
        <f t="shared" si="18"/>
        <v/>
      </c>
      <c r="G438" s="137" t="e">
        <f>IF(A438&lt;&gt;"",IF(AND(#REF!="Padrão",$H$4=#REF!),BDI!$B$17,IF(AND(#REF!="Padrão",$H$4=#REF!),BDI!#REF!,IF(AND(#REF!="Diferenciado",$H$4=#REF!),BDI!$E$17,IF(AND(#REF!="Diferenciado",$H$4=#REF!),BDI!#REF!,IF(#REF!="ZERO",0))))),"")</f>
        <v>#REF!</v>
      </c>
      <c r="H438" s="138" t="str">
        <f t="shared" si="19"/>
        <v/>
      </c>
      <c r="I438" s="136" t="str">
        <f t="shared" si="20"/>
        <v/>
      </c>
    </row>
    <row r="439" spans="1:9" hidden="1" x14ac:dyDescent="0.25">
      <c r="A439" s="113" t="s">
        <v>2070</v>
      </c>
      <c r="B439" s="114" t="s">
        <v>2071</v>
      </c>
      <c r="C439" s="115" t="s">
        <v>2061</v>
      </c>
      <c r="D439" s="115">
        <v>0</v>
      </c>
      <c r="E439" s="135" t="s">
        <v>568</v>
      </c>
      <c r="F439" s="136" t="str">
        <f t="shared" si="18"/>
        <v/>
      </c>
      <c r="G439" s="137" t="e">
        <f>IF(A439&lt;&gt;"",IF(AND(#REF!="Padrão",$H$4=#REF!),BDI!$B$17,IF(AND(#REF!="Padrão",$H$4=#REF!),BDI!#REF!,IF(AND(#REF!="Diferenciado",$H$4=#REF!),BDI!$E$17,IF(AND(#REF!="Diferenciado",$H$4=#REF!),BDI!#REF!,IF(#REF!="ZERO",0))))),"")</f>
        <v>#REF!</v>
      </c>
      <c r="H439" s="138" t="str">
        <f t="shared" si="19"/>
        <v/>
      </c>
      <c r="I439" s="136" t="str">
        <f t="shared" si="20"/>
        <v/>
      </c>
    </row>
    <row r="440" spans="1:9" hidden="1" x14ac:dyDescent="0.25">
      <c r="A440" s="113" t="s">
        <v>2072</v>
      </c>
      <c r="B440" s="114" t="s">
        <v>2073</v>
      </c>
      <c r="C440" s="115" t="s">
        <v>20</v>
      </c>
      <c r="D440" s="115">
        <v>0</v>
      </c>
      <c r="E440" s="135" t="s">
        <v>568</v>
      </c>
      <c r="F440" s="136" t="str">
        <f t="shared" si="18"/>
        <v/>
      </c>
      <c r="G440" s="137" t="e">
        <f>IF(A440&lt;&gt;"",IF(AND(#REF!="Padrão",$H$4=#REF!),BDI!$B$17,IF(AND(#REF!="Padrão",$H$4=#REF!),BDI!#REF!,IF(AND(#REF!="Diferenciado",$H$4=#REF!),BDI!$E$17,IF(AND(#REF!="Diferenciado",$H$4=#REF!),BDI!#REF!,IF(#REF!="ZERO",0))))),"")</f>
        <v>#REF!</v>
      </c>
      <c r="H440" s="138" t="str">
        <f t="shared" si="19"/>
        <v/>
      </c>
      <c r="I440" s="136" t="str">
        <f t="shared" si="20"/>
        <v/>
      </c>
    </row>
    <row r="441" spans="1:9" hidden="1" x14ac:dyDescent="0.25">
      <c r="A441" s="113" t="s">
        <v>2074</v>
      </c>
      <c r="B441" s="114" t="s">
        <v>2075</v>
      </c>
      <c r="C441" s="115" t="s">
        <v>20</v>
      </c>
      <c r="D441" s="115">
        <v>0</v>
      </c>
      <c r="E441" s="135" t="s">
        <v>568</v>
      </c>
      <c r="F441" s="136" t="str">
        <f t="shared" si="18"/>
        <v/>
      </c>
      <c r="G441" s="137" t="e">
        <f>IF(A441&lt;&gt;"",IF(AND(#REF!="Padrão",$H$4=#REF!),BDI!$B$17,IF(AND(#REF!="Padrão",$H$4=#REF!),BDI!#REF!,IF(AND(#REF!="Diferenciado",$H$4=#REF!),BDI!$E$17,IF(AND(#REF!="Diferenciado",$H$4=#REF!),BDI!#REF!,IF(#REF!="ZERO",0))))),"")</f>
        <v>#REF!</v>
      </c>
      <c r="H441" s="138" t="str">
        <f t="shared" si="19"/>
        <v/>
      </c>
      <c r="I441" s="136" t="str">
        <f t="shared" si="20"/>
        <v/>
      </c>
    </row>
    <row r="442" spans="1:9" hidden="1" x14ac:dyDescent="0.25">
      <c r="A442" s="113" t="s">
        <v>2076</v>
      </c>
      <c r="B442" s="114" t="s">
        <v>2077</v>
      </c>
      <c r="C442" s="115" t="s">
        <v>20</v>
      </c>
      <c r="D442" s="115">
        <v>0</v>
      </c>
      <c r="E442" s="135" t="s">
        <v>568</v>
      </c>
      <c r="F442" s="136" t="str">
        <f t="shared" si="18"/>
        <v/>
      </c>
      <c r="G442" s="137" t="e">
        <f>IF(A442&lt;&gt;"",IF(AND(#REF!="Padrão",$H$4=#REF!),BDI!$B$17,IF(AND(#REF!="Padrão",$H$4=#REF!),BDI!#REF!,IF(AND(#REF!="Diferenciado",$H$4=#REF!),BDI!$E$17,IF(AND(#REF!="Diferenciado",$H$4=#REF!),BDI!#REF!,IF(#REF!="ZERO",0))))),"")</f>
        <v>#REF!</v>
      </c>
      <c r="H442" s="138" t="str">
        <f t="shared" si="19"/>
        <v/>
      </c>
      <c r="I442" s="136" t="str">
        <f t="shared" si="20"/>
        <v/>
      </c>
    </row>
    <row r="443" spans="1:9" hidden="1" x14ac:dyDescent="0.25">
      <c r="A443" s="113" t="s">
        <v>2078</v>
      </c>
      <c r="B443" s="114" t="s">
        <v>2079</v>
      </c>
      <c r="C443" s="115" t="s">
        <v>20</v>
      </c>
      <c r="D443" s="115">
        <v>0</v>
      </c>
      <c r="E443" s="135" t="s">
        <v>568</v>
      </c>
      <c r="F443" s="136" t="str">
        <f t="shared" si="18"/>
        <v/>
      </c>
      <c r="G443" s="137" t="e">
        <f>IF(A443&lt;&gt;"",IF(AND(#REF!="Padrão",$H$4=#REF!),BDI!$B$17,IF(AND(#REF!="Padrão",$H$4=#REF!),BDI!#REF!,IF(AND(#REF!="Diferenciado",$H$4=#REF!),BDI!$E$17,IF(AND(#REF!="Diferenciado",$H$4=#REF!),BDI!#REF!,IF(#REF!="ZERO",0))))),"")</f>
        <v>#REF!</v>
      </c>
      <c r="H443" s="138" t="str">
        <f t="shared" si="19"/>
        <v/>
      </c>
      <c r="I443" s="136" t="str">
        <f t="shared" si="20"/>
        <v/>
      </c>
    </row>
    <row r="444" spans="1:9" hidden="1" x14ac:dyDescent="0.25">
      <c r="A444" s="113" t="s">
        <v>2080</v>
      </c>
      <c r="B444" s="114" t="s">
        <v>2081</v>
      </c>
      <c r="C444" s="115" t="s">
        <v>20</v>
      </c>
      <c r="D444" s="115">
        <v>0</v>
      </c>
      <c r="E444" s="135" t="s">
        <v>568</v>
      </c>
      <c r="F444" s="136" t="str">
        <f t="shared" si="18"/>
        <v/>
      </c>
      <c r="G444" s="137" t="e">
        <f>IF(A444&lt;&gt;"",IF(AND(#REF!="Padrão",$H$4=#REF!),BDI!$B$17,IF(AND(#REF!="Padrão",$H$4=#REF!),BDI!#REF!,IF(AND(#REF!="Diferenciado",$H$4=#REF!),BDI!$E$17,IF(AND(#REF!="Diferenciado",$H$4=#REF!),BDI!#REF!,IF(#REF!="ZERO",0))))),"")</f>
        <v>#REF!</v>
      </c>
      <c r="H444" s="138" t="str">
        <f t="shared" si="19"/>
        <v/>
      </c>
      <c r="I444" s="136" t="str">
        <f t="shared" si="20"/>
        <v/>
      </c>
    </row>
    <row r="445" spans="1:9" hidden="1" x14ac:dyDescent="0.25">
      <c r="A445" s="113" t="s">
        <v>2082</v>
      </c>
      <c r="B445" s="114" t="s">
        <v>2083</v>
      </c>
      <c r="C445" s="115" t="s">
        <v>20</v>
      </c>
      <c r="D445" s="115">
        <v>0</v>
      </c>
      <c r="E445" s="135" t="s">
        <v>568</v>
      </c>
      <c r="F445" s="136" t="str">
        <f t="shared" si="18"/>
        <v/>
      </c>
      <c r="G445" s="137" t="e">
        <f>IF(A445&lt;&gt;"",IF(AND(#REF!="Padrão",$H$4=#REF!),BDI!$B$17,IF(AND(#REF!="Padrão",$H$4=#REF!),BDI!#REF!,IF(AND(#REF!="Diferenciado",$H$4=#REF!),BDI!$E$17,IF(AND(#REF!="Diferenciado",$H$4=#REF!),BDI!#REF!,IF(#REF!="ZERO",0))))),"")</f>
        <v>#REF!</v>
      </c>
      <c r="H445" s="138" t="str">
        <f t="shared" si="19"/>
        <v/>
      </c>
      <c r="I445" s="136" t="str">
        <f t="shared" si="20"/>
        <v/>
      </c>
    </row>
    <row r="446" spans="1:9" hidden="1" x14ac:dyDescent="0.25">
      <c r="A446" s="113" t="s">
        <v>2084</v>
      </c>
      <c r="B446" s="114" t="s">
        <v>2085</v>
      </c>
      <c r="C446" s="115" t="s">
        <v>20</v>
      </c>
      <c r="D446" s="115">
        <v>0</v>
      </c>
      <c r="E446" s="135" t="s">
        <v>568</v>
      </c>
      <c r="F446" s="136" t="str">
        <f t="shared" si="18"/>
        <v/>
      </c>
      <c r="G446" s="137" t="e">
        <f>IF(A446&lt;&gt;"",IF(AND(#REF!="Padrão",$H$4=#REF!),BDI!$B$17,IF(AND(#REF!="Padrão",$H$4=#REF!),BDI!#REF!,IF(AND(#REF!="Diferenciado",$H$4=#REF!),BDI!$E$17,IF(AND(#REF!="Diferenciado",$H$4=#REF!),BDI!#REF!,IF(#REF!="ZERO",0))))),"")</f>
        <v>#REF!</v>
      </c>
      <c r="H446" s="138" t="str">
        <f t="shared" si="19"/>
        <v/>
      </c>
      <c r="I446" s="136" t="str">
        <f t="shared" si="20"/>
        <v/>
      </c>
    </row>
    <row r="447" spans="1:9" hidden="1" x14ac:dyDescent="0.25">
      <c r="A447" s="113" t="s">
        <v>2086</v>
      </c>
      <c r="B447" s="114" t="s">
        <v>2087</v>
      </c>
      <c r="C447" s="115" t="s">
        <v>20</v>
      </c>
      <c r="D447" s="115">
        <v>0</v>
      </c>
      <c r="E447" s="135" t="s">
        <v>568</v>
      </c>
      <c r="F447" s="136" t="str">
        <f t="shared" si="18"/>
        <v/>
      </c>
      <c r="G447" s="137" t="e">
        <f>IF(A447&lt;&gt;"",IF(AND(#REF!="Padrão",$H$4=#REF!),BDI!$B$17,IF(AND(#REF!="Padrão",$H$4=#REF!),BDI!#REF!,IF(AND(#REF!="Diferenciado",$H$4=#REF!),BDI!$E$17,IF(AND(#REF!="Diferenciado",$H$4=#REF!),BDI!#REF!,IF(#REF!="ZERO",0))))),"")</f>
        <v>#REF!</v>
      </c>
      <c r="H447" s="138" t="str">
        <f t="shared" si="19"/>
        <v/>
      </c>
      <c r="I447" s="136" t="str">
        <f t="shared" si="20"/>
        <v/>
      </c>
    </row>
    <row r="448" spans="1:9" hidden="1" x14ac:dyDescent="0.25">
      <c r="A448" s="113" t="s">
        <v>2088</v>
      </c>
      <c r="B448" s="114" t="s">
        <v>2089</v>
      </c>
      <c r="C448" s="115" t="s">
        <v>20</v>
      </c>
      <c r="D448" s="115">
        <v>0</v>
      </c>
      <c r="E448" s="135">
        <f ca="1">OFFSET(INDEX(Composições!A:J,MATCH(Orçamentária!A448,Composições!A:A,0),8),2,0)</f>
        <v>17.195</v>
      </c>
      <c r="F448" s="136">
        <f t="shared" ca="1" si="18"/>
        <v>0</v>
      </c>
      <c r="G448" s="137" t="e">
        <f>IF(A448&lt;&gt;"",IF(AND(#REF!="Padrão",$H$4=#REF!),BDI!$B$17,IF(AND(#REF!="Padrão",$H$4=#REF!),BDI!#REF!,IF(AND(#REF!="Diferenciado",$H$4=#REF!),BDI!$E$17,IF(AND(#REF!="Diferenciado",$H$4=#REF!),BDI!#REF!,IF(#REF!="ZERO",0))))),"")</f>
        <v>#REF!</v>
      </c>
      <c r="H448" s="138" t="e">
        <f t="shared" ca="1" si="19"/>
        <v>#REF!</v>
      </c>
      <c r="I448" s="136" t="e">
        <f t="shared" ca="1" si="20"/>
        <v>#REF!</v>
      </c>
    </row>
    <row r="449" spans="1:9" hidden="1" x14ac:dyDescent="0.25">
      <c r="A449" s="113" t="s">
        <v>2090</v>
      </c>
      <c r="B449" s="114" t="s">
        <v>2091</v>
      </c>
      <c r="C449" s="115" t="s">
        <v>20</v>
      </c>
      <c r="D449" s="115">
        <v>0</v>
      </c>
      <c r="E449" s="135" t="s">
        <v>568</v>
      </c>
      <c r="F449" s="136" t="str">
        <f t="shared" si="18"/>
        <v/>
      </c>
      <c r="G449" s="137" t="e">
        <f>IF(A449&lt;&gt;"",IF(AND(#REF!="Padrão",$H$4=#REF!),BDI!$B$17,IF(AND(#REF!="Padrão",$H$4=#REF!),BDI!#REF!,IF(AND(#REF!="Diferenciado",$H$4=#REF!),BDI!$E$17,IF(AND(#REF!="Diferenciado",$H$4=#REF!),BDI!#REF!,IF(#REF!="ZERO",0))))),"")</f>
        <v>#REF!</v>
      </c>
      <c r="H449" s="138" t="str">
        <f t="shared" si="19"/>
        <v/>
      </c>
      <c r="I449" s="136" t="str">
        <f t="shared" si="20"/>
        <v/>
      </c>
    </row>
    <row r="450" spans="1:9" hidden="1" x14ac:dyDescent="0.25">
      <c r="A450" s="113" t="s">
        <v>2092</v>
      </c>
      <c r="B450" s="114" t="s">
        <v>2093</v>
      </c>
      <c r="C450" s="115" t="s">
        <v>20</v>
      </c>
      <c r="D450" s="115">
        <v>0</v>
      </c>
      <c r="E450" s="135" t="s">
        <v>568</v>
      </c>
      <c r="F450" s="136" t="str">
        <f t="shared" si="18"/>
        <v/>
      </c>
      <c r="G450" s="137" t="e">
        <f>IF(A450&lt;&gt;"",IF(AND(#REF!="Padrão",$H$4=#REF!),BDI!$B$17,IF(AND(#REF!="Padrão",$H$4=#REF!),BDI!#REF!,IF(AND(#REF!="Diferenciado",$H$4=#REF!),BDI!$E$17,IF(AND(#REF!="Diferenciado",$H$4=#REF!),BDI!#REF!,IF(#REF!="ZERO",0))))),"")</f>
        <v>#REF!</v>
      </c>
      <c r="H450" s="138" t="str">
        <f t="shared" si="19"/>
        <v/>
      </c>
      <c r="I450" s="136" t="str">
        <f t="shared" si="20"/>
        <v/>
      </c>
    </row>
    <row r="451" spans="1:9" hidden="1" x14ac:dyDescent="0.25">
      <c r="A451" s="113" t="s">
        <v>2094</v>
      </c>
      <c r="B451" s="114" t="s">
        <v>2095</v>
      </c>
      <c r="C451" s="115" t="s">
        <v>20</v>
      </c>
      <c r="D451" s="115">
        <v>0</v>
      </c>
      <c r="E451" s="135" t="s">
        <v>568</v>
      </c>
      <c r="F451" s="136" t="str">
        <f t="shared" si="18"/>
        <v/>
      </c>
      <c r="G451" s="137" t="e">
        <f>IF(A451&lt;&gt;"",IF(AND(#REF!="Padrão",$H$4=#REF!),BDI!$B$17,IF(AND(#REF!="Padrão",$H$4=#REF!),BDI!#REF!,IF(AND(#REF!="Diferenciado",$H$4=#REF!),BDI!$E$17,IF(AND(#REF!="Diferenciado",$H$4=#REF!),BDI!#REF!,IF(#REF!="ZERO",0))))),"")</f>
        <v>#REF!</v>
      </c>
      <c r="H451" s="138" t="str">
        <f t="shared" si="19"/>
        <v/>
      </c>
      <c r="I451" s="136" t="str">
        <f t="shared" si="20"/>
        <v/>
      </c>
    </row>
    <row r="452" spans="1:9" hidden="1" x14ac:dyDescent="0.25">
      <c r="A452" s="113" t="s">
        <v>2096</v>
      </c>
      <c r="B452" s="114" t="s">
        <v>2097</v>
      </c>
      <c r="C452" s="115" t="s">
        <v>20</v>
      </c>
      <c r="D452" s="115">
        <v>0</v>
      </c>
      <c r="E452" s="135" t="s">
        <v>568</v>
      </c>
      <c r="F452" s="136" t="str">
        <f t="shared" si="18"/>
        <v/>
      </c>
      <c r="G452" s="137" t="e">
        <f>IF(A452&lt;&gt;"",IF(AND(#REF!="Padrão",$H$4=#REF!),BDI!$B$17,IF(AND(#REF!="Padrão",$H$4=#REF!),BDI!#REF!,IF(AND(#REF!="Diferenciado",$H$4=#REF!),BDI!$E$17,IF(AND(#REF!="Diferenciado",$H$4=#REF!),BDI!#REF!,IF(#REF!="ZERO",0))))),"")</f>
        <v>#REF!</v>
      </c>
      <c r="H452" s="138" t="str">
        <f t="shared" si="19"/>
        <v/>
      </c>
      <c r="I452" s="136" t="str">
        <f t="shared" si="20"/>
        <v/>
      </c>
    </row>
    <row r="453" spans="1:9" hidden="1" x14ac:dyDescent="0.25">
      <c r="A453" s="113" t="s">
        <v>2098</v>
      </c>
      <c r="B453" s="114" t="s">
        <v>2099</v>
      </c>
      <c r="C453" s="115" t="s">
        <v>20</v>
      </c>
      <c r="D453" s="115">
        <v>0</v>
      </c>
      <c r="E453" s="135" t="s">
        <v>568</v>
      </c>
      <c r="F453" s="136" t="str">
        <f t="shared" si="18"/>
        <v/>
      </c>
      <c r="G453" s="137" t="e">
        <f>IF(A453&lt;&gt;"",IF(AND(#REF!="Padrão",$H$4=#REF!),BDI!$B$17,IF(AND(#REF!="Padrão",$H$4=#REF!),BDI!#REF!,IF(AND(#REF!="Diferenciado",$H$4=#REF!),BDI!$E$17,IF(AND(#REF!="Diferenciado",$H$4=#REF!),BDI!#REF!,IF(#REF!="ZERO",0))))),"")</f>
        <v>#REF!</v>
      </c>
      <c r="H453" s="138" t="str">
        <f t="shared" si="19"/>
        <v/>
      </c>
      <c r="I453" s="136" t="str">
        <f t="shared" si="20"/>
        <v/>
      </c>
    </row>
    <row r="454" spans="1:9" hidden="1" x14ac:dyDescent="0.25">
      <c r="A454" s="113" t="s">
        <v>2100</v>
      </c>
      <c r="B454" s="114" t="s">
        <v>2101</v>
      </c>
      <c r="C454" s="115" t="s">
        <v>20</v>
      </c>
      <c r="D454" s="115">
        <v>0</v>
      </c>
      <c r="E454" s="135" t="s">
        <v>568</v>
      </c>
      <c r="F454" s="136" t="str">
        <f t="shared" si="18"/>
        <v/>
      </c>
      <c r="G454" s="137" t="e">
        <f>IF(A454&lt;&gt;"",IF(AND(#REF!="Padrão",$H$4=#REF!),BDI!$B$17,IF(AND(#REF!="Padrão",$H$4=#REF!),BDI!#REF!,IF(AND(#REF!="Diferenciado",$H$4=#REF!),BDI!$E$17,IF(AND(#REF!="Diferenciado",$H$4=#REF!),BDI!#REF!,IF(#REF!="ZERO",0))))),"")</f>
        <v>#REF!</v>
      </c>
      <c r="H454" s="138" t="str">
        <f t="shared" si="19"/>
        <v/>
      </c>
      <c r="I454" s="136" t="str">
        <f t="shared" si="20"/>
        <v/>
      </c>
    </row>
    <row r="455" spans="1:9" hidden="1" x14ac:dyDescent="0.25">
      <c r="A455" s="113" t="s">
        <v>2102</v>
      </c>
      <c r="B455" s="114" t="s">
        <v>2103</v>
      </c>
      <c r="C455" s="115" t="s">
        <v>20</v>
      </c>
      <c r="D455" s="115">
        <v>0</v>
      </c>
      <c r="E455" s="135" t="s">
        <v>568</v>
      </c>
      <c r="F455" s="136" t="str">
        <f t="shared" ref="F455:F518" si="21">IF(ISNUMBER(E455),D455*E455,"")</f>
        <v/>
      </c>
      <c r="G455" s="137" t="e">
        <f>IF(A455&lt;&gt;"",IF(AND(#REF!="Padrão",$H$4=#REF!),BDI!$B$17,IF(AND(#REF!="Padrão",$H$4=#REF!),BDI!#REF!,IF(AND(#REF!="Diferenciado",$H$4=#REF!),BDI!$E$17,IF(AND(#REF!="Diferenciado",$H$4=#REF!),BDI!#REF!,IF(#REF!="ZERO",0))))),"")</f>
        <v>#REF!</v>
      </c>
      <c r="H455" s="138" t="str">
        <f t="shared" ref="H455:H518" si="22">IF(ISNUMBER(E455),ROUND(E455*(1+G455),2),"")</f>
        <v/>
      </c>
      <c r="I455" s="136" t="str">
        <f t="shared" ref="I455:I518" si="23">IF(ISNUMBER(E455),ROUND(H455*D455,2),"")</f>
        <v/>
      </c>
    </row>
    <row r="456" spans="1:9" hidden="1" x14ac:dyDescent="0.25">
      <c r="A456" s="113" t="s">
        <v>2104</v>
      </c>
      <c r="B456" s="114" t="s">
        <v>2105</v>
      </c>
      <c r="C456" s="115" t="s">
        <v>20</v>
      </c>
      <c r="D456" s="115">
        <v>0</v>
      </c>
      <c r="E456" s="135" t="s">
        <v>568</v>
      </c>
      <c r="F456" s="136" t="str">
        <f t="shared" si="21"/>
        <v/>
      </c>
      <c r="G456" s="137" t="e">
        <f>IF(A456&lt;&gt;"",IF(AND(#REF!="Padrão",$H$4=#REF!),BDI!$B$17,IF(AND(#REF!="Padrão",$H$4=#REF!),BDI!#REF!,IF(AND(#REF!="Diferenciado",$H$4=#REF!),BDI!$E$17,IF(AND(#REF!="Diferenciado",$H$4=#REF!),BDI!#REF!,IF(#REF!="ZERO",0))))),"")</f>
        <v>#REF!</v>
      </c>
      <c r="H456" s="138" t="str">
        <f t="shared" si="22"/>
        <v/>
      </c>
      <c r="I456" s="136" t="str">
        <f t="shared" si="23"/>
        <v/>
      </c>
    </row>
    <row r="457" spans="1:9" hidden="1" x14ac:dyDescent="0.25">
      <c r="A457" s="113" t="s">
        <v>2106</v>
      </c>
      <c r="B457" s="114" t="s">
        <v>2107</v>
      </c>
      <c r="C457" s="115" t="s">
        <v>20</v>
      </c>
      <c r="D457" s="115">
        <v>0</v>
      </c>
      <c r="E457" s="135" t="s">
        <v>568</v>
      </c>
      <c r="F457" s="136" t="str">
        <f t="shared" si="21"/>
        <v/>
      </c>
      <c r="G457" s="137" t="e">
        <f>IF(A457&lt;&gt;"",IF(AND(#REF!="Padrão",$H$4=#REF!),BDI!$B$17,IF(AND(#REF!="Padrão",$H$4=#REF!),BDI!#REF!,IF(AND(#REF!="Diferenciado",$H$4=#REF!),BDI!$E$17,IF(AND(#REF!="Diferenciado",$H$4=#REF!),BDI!#REF!,IF(#REF!="ZERO",0))))),"")</f>
        <v>#REF!</v>
      </c>
      <c r="H457" s="138" t="str">
        <f t="shared" si="22"/>
        <v/>
      </c>
      <c r="I457" s="136" t="str">
        <f t="shared" si="23"/>
        <v/>
      </c>
    </row>
    <row r="458" spans="1:9" hidden="1" x14ac:dyDescent="0.25">
      <c r="A458" s="113" t="s">
        <v>2108</v>
      </c>
      <c r="B458" s="114" t="s">
        <v>2109</v>
      </c>
      <c r="C458" s="115" t="s">
        <v>20</v>
      </c>
      <c r="D458" s="115">
        <v>0</v>
      </c>
      <c r="E458" s="135" t="s">
        <v>568</v>
      </c>
      <c r="F458" s="136" t="str">
        <f t="shared" si="21"/>
        <v/>
      </c>
      <c r="G458" s="137" t="e">
        <f>IF(A458&lt;&gt;"",IF(AND(#REF!="Padrão",$H$4=#REF!),BDI!$B$17,IF(AND(#REF!="Padrão",$H$4=#REF!),BDI!#REF!,IF(AND(#REF!="Diferenciado",$H$4=#REF!),BDI!$E$17,IF(AND(#REF!="Diferenciado",$H$4=#REF!),BDI!#REF!,IF(#REF!="ZERO",0))))),"")</f>
        <v>#REF!</v>
      </c>
      <c r="H458" s="138" t="str">
        <f t="shared" si="22"/>
        <v/>
      </c>
      <c r="I458" s="136" t="str">
        <f t="shared" si="23"/>
        <v/>
      </c>
    </row>
    <row r="459" spans="1:9" hidden="1" x14ac:dyDescent="0.25">
      <c r="A459" s="113" t="s">
        <v>2110</v>
      </c>
      <c r="B459" s="114" t="s">
        <v>2111</v>
      </c>
      <c r="C459" s="115" t="s">
        <v>20</v>
      </c>
      <c r="D459" s="115">
        <v>0</v>
      </c>
      <c r="E459" s="135" t="s">
        <v>568</v>
      </c>
      <c r="F459" s="136" t="str">
        <f t="shared" si="21"/>
        <v/>
      </c>
      <c r="G459" s="137" t="e">
        <f>IF(A459&lt;&gt;"",IF(AND(#REF!="Padrão",$H$4=#REF!),BDI!$B$17,IF(AND(#REF!="Padrão",$H$4=#REF!),BDI!#REF!,IF(AND(#REF!="Diferenciado",$H$4=#REF!),BDI!$E$17,IF(AND(#REF!="Diferenciado",$H$4=#REF!),BDI!#REF!,IF(#REF!="ZERO",0))))),"")</f>
        <v>#REF!</v>
      </c>
      <c r="H459" s="138" t="str">
        <f t="shared" si="22"/>
        <v/>
      </c>
      <c r="I459" s="136" t="str">
        <f t="shared" si="23"/>
        <v/>
      </c>
    </row>
    <row r="460" spans="1:9" hidden="1" x14ac:dyDescent="0.25">
      <c r="A460" s="113" t="s">
        <v>2112</v>
      </c>
      <c r="B460" s="114" t="s">
        <v>2113</v>
      </c>
      <c r="C460" s="115" t="s">
        <v>20</v>
      </c>
      <c r="D460" s="115">
        <v>0</v>
      </c>
      <c r="E460" s="135" t="s">
        <v>568</v>
      </c>
      <c r="F460" s="136" t="str">
        <f t="shared" si="21"/>
        <v/>
      </c>
      <c r="G460" s="137" t="e">
        <f>IF(A460&lt;&gt;"",IF(AND(#REF!="Padrão",$H$4=#REF!),BDI!$B$17,IF(AND(#REF!="Padrão",$H$4=#REF!),BDI!#REF!,IF(AND(#REF!="Diferenciado",$H$4=#REF!),BDI!$E$17,IF(AND(#REF!="Diferenciado",$H$4=#REF!),BDI!#REF!,IF(#REF!="ZERO",0))))),"")</f>
        <v>#REF!</v>
      </c>
      <c r="H460" s="138" t="str">
        <f t="shared" si="22"/>
        <v/>
      </c>
      <c r="I460" s="136" t="str">
        <f t="shared" si="23"/>
        <v/>
      </c>
    </row>
    <row r="461" spans="1:9" ht="25.5" hidden="1" x14ac:dyDescent="0.25">
      <c r="A461" s="113" t="s">
        <v>2114</v>
      </c>
      <c r="B461" s="114" t="s">
        <v>2115</v>
      </c>
      <c r="C461" s="115" t="s">
        <v>20</v>
      </c>
      <c r="D461" s="115">
        <v>0</v>
      </c>
      <c r="E461" s="135" t="s">
        <v>568</v>
      </c>
      <c r="F461" s="136" t="str">
        <f t="shared" si="21"/>
        <v/>
      </c>
      <c r="G461" s="137" t="e">
        <f>IF(A461&lt;&gt;"",IF(AND(#REF!="Padrão",$H$4=#REF!),BDI!$B$17,IF(AND(#REF!="Padrão",$H$4=#REF!),BDI!#REF!,IF(AND(#REF!="Diferenciado",$H$4=#REF!),BDI!$E$17,IF(AND(#REF!="Diferenciado",$H$4=#REF!),BDI!#REF!,IF(#REF!="ZERO",0))))),"")</f>
        <v>#REF!</v>
      </c>
      <c r="H461" s="138" t="str">
        <f t="shared" si="22"/>
        <v/>
      </c>
      <c r="I461" s="136" t="str">
        <f t="shared" si="23"/>
        <v/>
      </c>
    </row>
    <row r="462" spans="1:9" ht="25.5" hidden="1" x14ac:dyDescent="0.25">
      <c r="A462" s="113" t="s">
        <v>2116</v>
      </c>
      <c r="B462" s="114" t="s">
        <v>2117</v>
      </c>
      <c r="C462" s="115" t="s">
        <v>20</v>
      </c>
      <c r="D462" s="115">
        <v>0</v>
      </c>
      <c r="E462" s="135" t="s">
        <v>568</v>
      </c>
      <c r="F462" s="136" t="str">
        <f t="shared" si="21"/>
        <v/>
      </c>
      <c r="G462" s="137" t="e">
        <f>IF(A462&lt;&gt;"",IF(AND(#REF!="Padrão",$H$4=#REF!),BDI!$B$17,IF(AND(#REF!="Padrão",$H$4=#REF!),BDI!#REF!,IF(AND(#REF!="Diferenciado",$H$4=#REF!),BDI!$E$17,IF(AND(#REF!="Diferenciado",$H$4=#REF!),BDI!#REF!,IF(#REF!="ZERO",0))))),"")</f>
        <v>#REF!</v>
      </c>
      <c r="H462" s="138" t="str">
        <f t="shared" si="22"/>
        <v/>
      </c>
      <c r="I462" s="136" t="str">
        <f t="shared" si="23"/>
        <v/>
      </c>
    </row>
    <row r="463" spans="1:9" hidden="1" x14ac:dyDescent="0.25">
      <c r="A463" s="113" t="s">
        <v>2118</v>
      </c>
      <c r="B463" s="114" t="s">
        <v>2119</v>
      </c>
      <c r="C463" s="115" t="s">
        <v>20</v>
      </c>
      <c r="D463" s="115">
        <v>0</v>
      </c>
      <c r="E463" s="135" t="s">
        <v>568</v>
      </c>
      <c r="F463" s="136" t="str">
        <f t="shared" si="21"/>
        <v/>
      </c>
      <c r="G463" s="137" t="e">
        <f>IF(A463&lt;&gt;"",IF(AND(#REF!="Padrão",$H$4=#REF!),BDI!$B$17,IF(AND(#REF!="Padrão",$H$4=#REF!),BDI!#REF!,IF(AND(#REF!="Diferenciado",$H$4=#REF!),BDI!$E$17,IF(AND(#REF!="Diferenciado",$H$4=#REF!),BDI!#REF!,IF(#REF!="ZERO",0))))),"")</f>
        <v>#REF!</v>
      </c>
      <c r="H463" s="138" t="str">
        <f t="shared" si="22"/>
        <v/>
      </c>
      <c r="I463" s="136" t="str">
        <f t="shared" si="23"/>
        <v/>
      </c>
    </row>
    <row r="464" spans="1:9" hidden="1" x14ac:dyDescent="0.25">
      <c r="A464" s="113" t="s">
        <v>2120</v>
      </c>
      <c r="B464" s="114" t="s">
        <v>2121</v>
      </c>
      <c r="C464" s="115" t="s">
        <v>20</v>
      </c>
      <c r="D464" s="115">
        <v>0</v>
      </c>
      <c r="E464" s="135" t="s">
        <v>568</v>
      </c>
      <c r="F464" s="136" t="str">
        <f t="shared" si="21"/>
        <v/>
      </c>
      <c r="G464" s="137" t="e">
        <f>IF(A464&lt;&gt;"",IF(AND(#REF!="Padrão",$H$4=#REF!),BDI!$B$17,IF(AND(#REF!="Padrão",$H$4=#REF!),BDI!#REF!,IF(AND(#REF!="Diferenciado",$H$4=#REF!),BDI!$E$17,IF(AND(#REF!="Diferenciado",$H$4=#REF!),BDI!#REF!,IF(#REF!="ZERO",0))))),"")</f>
        <v>#REF!</v>
      </c>
      <c r="H464" s="138" t="str">
        <f t="shared" si="22"/>
        <v/>
      </c>
      <c r="I464" s="136" t="str">
        <f t="shared" si="23"/>
        <v/>
      </c>
    </row>
    <row r="465" spans="1:9" hidden="1" x14ac:dyDescent="0.25">
      <c r="A465" s="113" t="s">
        <v>2122</v>
      </c>
      <c r="B465" s="114" t="s">
        <v>2123</v>
      </c>
      <c r="C465" s="115" t="s">
        <v>20</v>
      </c>
      <c r="D465" s="115">
        <v>0</v>
      </c>
      <c r="E465" s="135" t="s">
        <v>568</v>
      </c>
      <c r="F465" s="136" t="str">
        <f t="shared" si="21"/>
        <v/>
      </c>
      <c r="G465" s="137" t="e">
        <f>IF(A465&lt;&gt;"",IF(AND(#REF!="Padrão",$H$4=#REF!),BDI!$B$17,IF(AND(#REF!="Padrão",$H$4=#REF!),BDI!#REF!,IF(AND(#REF!="Diferenciado",$H$4=#REF!),BDI!$E$17,IF(AND(#REF!="Diferenciado",$H$4=#REF!),BDI!#REF!,IF(#REF!="ZERO",0))))),"")</f>
        <v>#REF!</v>
      </c>
      <c r="H465" s="138" t="str">
        <f t="shared" si="22"/>
        <v/>
      </c>
      <c r="I465" s="136" t="str">
        <f t="shared" si="23"/>
        <v/>
      </c>
    </row>
    <row r="466" spans="1:9" hidden="1" x14ac:dyDescent="0.25">
      <c r="A466" s="113" t="s">
        <v>2124</v>
      </c>
      <c r="B466" s="114" t="s">
        <v>2125</v>
      </c>
      <c r="C466" s="115" t="s">
        <v>20</v>
      </c>
      <c r="D466" s="115">
        <v>0</v>
      </c>
      <c r="E466" s="135" t="s">
        <v>568</v>
      </c>
      <c r="F466" s="136" t="str">
        <f t="shared" si="21"/>
        <v/>
      </c>
      <c r="G466" s="137" t="e">
        <f>IF(A466&lt;&gt;"",IF(AND(#REF!="Padrão",$H$4=#REF!),BDI!$B$17,IF(AND(#REF!="Padrão",$H$4=#REF!),BDI!#REF!,IF(AND(#REF!="Diferenciado",$H$4=#REF!),BDI!$E$17,IF(AND(#REF!="Diferenciado",$H$4=#REF!),BDI!#REF!,IF(#REF!="ZERO",0))))),"")</f>
        <v>#REF!</v>
      </c>
      <c r="H466" s="138" t="str">
        <f t="shared" si="22"/>
        <v/>
      </c>
      <c r="I466" s="136" t="str">
        <f t="shared" si="23"/>
        <v/>
      </c>
    </row>
    <row r="467" spans="1:9" hidden="1" x14ac:dyDescent="0.25">
      <c r="A467" s="113" t="s">
        <v>2126</v>
      </c>
      <c r="B467" s="114" t="s">
        <v>2127</v>
      </c>
      <c r="C467" s="115" t="s">
        <v>20</v>
      </c>
      <c r="D467" s="115">
        <v>0</v>
      </c>
      <c r="E467" s="135" t="s">
        <v>568</v>
      </c>
      <c r="F467" s="136" t="str">
        <f t="shared" si="21"/>
        <v/>
      </c>
      <c r="G467" s="137" t="e">
        <f>IF(A467&lt;&gt;"",IF(AND(#REF!="Padrão",$H$4=#REF!),BDI!$B$17,IF(AND(#REF!="Padrão",$H$4=#REF!),BDI!#REF!,IF(AND(#REF!="Diferenciado",$H$4=#REF!),BDI!$E$17,IF(AND(#REF!="Diferenciado",$H$4=#REF!),BDI!#REF!,IF(#REF!="ZERO",0))))),"")</f>
        <v>#REF!</v>
      </c>
      <c r="H467" s="138" t="str">
        <f t="shared" si="22"/>
        <v/>
      </c>
      <c r="I467" s="136" t="str">
        <f t="shared" si="23"/>
        <v/>
      </c>
    </row>
    <row r="468" spans="1:9" hidden="1" x14ac:dyDescent="0.25">
      <c r="A468" s="113" t="s">
        <v>2128</v>
      </c>
      <c r="B468" s="114" t="s">
        <v>2129</v>
      </c>
      <c r="C468" s="115" t="s">
        <v>20</v>
      </c>
      <c r="D468" s="115">
        <v>0</v>
      </c>
      <c r="E468" s="135" t="s">
        <v>568</v>
      </c>
      <c r="F468" s="136" t="str">
        <f t="shared" si="21"/>
        <v/>
      </c>
      <c r="G468" s="137" t="e">
        <f>IF(A468&lt;&gt;"",IF(AND(#REF!="Padrão",$H$4=#REF!),BDI!$B$17,IF(AND(#REF!="Padrão",$H$4=#REF!),BDI!#REF!,IF(AND(#REF!="Diferenciado",$H$4=#REF!),BDI!$E$17,IF(AND(#REF!="Diferenciado",$H$4=#REF!),BDI!#REF!,IF(#REF!="ZERO",0))))),"")</f>
        <v>#REF!</v>
      </c>
      <c r="H468" s="138" t="str">
        <f t="shared" si="22"/>
        <v/>
      </c>
      <c r="I468" s="136" t="str">
        <f t="shared" si="23"/>
        <v/>
      </c>
    </row>
    <row r="469" spans="1:9" hidden="1" x14ac:dyDescent="0.25">
      <c r="A469" s="113" t="s">
        <v>2130</v>
      </c>
      <c r="B469" s="114" t="s">
        <v>2131</v>
      </c>
      <c r="C469" s="115" t="s">
        <v>20</v>
      </c>
      <c r="D469" s="115">
        <v>0</v>
      </c>
      <c r="E469" s="135" t="s">
        <v>568</v>
      </c>
      <c r="F469" s="136" t="str">
        <f t="shared" si="21"/>
        <v/>
      </c>
      <c r="G469" s="137" t="e">
        <f>IF(A469&lt;&gt;"",IF(AND(#REF!="Padrão",$H$4=#REF!),BDI!$B$17,IF(AND(#REF!="Padrão",$H$4=#REF!),BDI!#REF!,IF(AND(#REF!="Diferenciado",$H$4=#REF!),BDI!$E$17,IF(AND(#REF!="Diferenciado",$H$4=#REF!),BDI!#REF!,IF(#REF!="ZERO",0))))),"")</f>
        <v>#REF!</v>
      </c>
      <c r="H469" s="138" t="str">
        <f t="shared" si="22"/>
        <v/>
      </c>
      <c r="I469" s="136" t="str">
        <f t="shared" si="23"/>
        <v/>
      </c>
    </row>
    <row r="470" spans="1:9" hidden="1" x14ac:dyDescent="0.25">
      <c r="A470" s="113" t="s">
        <v>2132</v>
      </c>
      <c r="B470" s="114" t="s">
        <v>2133</v>
      </c>
      <c r="C470" s="115" t="s">
        <v>20</v>
      </c>
      <c r="D470" s="115">
        <v>0</v>
      </c>
      <c r="E470" s="135" t="s">
        <v>568</v>
      </c>
      <c r="F470" s="136" t="str">
        <f t="shared" si="21"/>
        <v/>
      </c>
      <c r="G470" s="137" t="e">
        <f>IF(A470&lt;&gt;"",IF(AND(#REF!="Padrão",$H$4=#REF!),BDI!$B$17,IF(AND(#REF!="Padrão",$H$4=#REF!),BDI!#REF!,IF(AND(#REF!="Diferenciado",$H$4=#REF!),BDI!$E$17,IF(AND(#REF!="Diferenciado",$H$4=#REF!),BDI!#REF!,IF(#REF!="ZERO",0))))),"")</f>
        <v>#REF!</v>
      </c>
      <c r="H470" s="138" t="str">
        <f t="shared" si="22"/>
        <v/>
      </c>
      <c r="I470" s="136" t="str">
        <f t="shared" si="23"/>
        <v/>
      </c>
    </row>
    <row r="471" spans="1:9" hidden="1" x14ac:dyDescent="0.25">
      <c r="A471" s="113" t="s">
        <v>2134</v>
      </c>
      <c r="B471" s="114" t="s">
        <v>2135</v>
      </c>
      <c r="C471" s="115" t="s">
        <v>20</v>
      </c>
      <c r="D471" s="115">
        <v>0</v>
      </c>
      <c r="E471" s="135" t="s">
        <v>568</v>
      </c>
      <c r="F471" s="136" t="str">
        <f t="shared" si="21"/>
        <v/>
      </c>
      <c r="G471" s="137" t="e">
        <f>IF(A471&lt;&gt;"",IF(AND(#REF!="Padrão",$H$4=#REF!),BDI!$B$17,IF(AND(#REF!="Padrão",$H$4=#REF!),BDI!#REF!,IF(AND(#REF!="Diferenciado",$H$4=#REF!),BDI!$E$17,IF(AND(#REF!="Diferenciado",$H$4=#REF!),BDI!#REF!,IF(#REF!="ZERO",0))))),"")</f>
        <v>#REF!</v>
      </c>
      <c r="H471" s="138" t="str">
        <f t="shared" si="22"/>
        <v/>
      </c>
      <c r="I471" s="136" t="str">
        <f t="shared" si="23"/>
        <v/>
      </c>
    </row>
    <row r="472" spans="1:9" hidden="1" x14ac:dyDescent="0.25">
      <c r="A472" s="113" t="s">
        <v>794</v>
      </c>
      <c r="B472" s="114" t="s">
        <v>2136</v>
      </c>
      <c r="C472" s="115" t="s">
        <v>2137</v>
      </c>
      <c r="D472" s="115">
        <v>0</v>
      </c>
      <c r="E472" s="135">
        <f ca="1">OFFSET(INDEX(Composições!A:J,MATCH(Orçamentária!A472,Composições!A:A,0),8),2,0)</f>
        <v>20.9</v>
      </c>
      <c r="F472" s="136">
        <f t="shared" ca="1" si="21"/>
        <v>0</v>
      </c>
      <c r="G472" s="137" t="e">
        <f>IF(A472&lt;&gt;"",IF(AND(#REF!="Padrão",$H$4=#REF!),BDI!$B$17,IF(AND(#REF!="Padrão",$H$4=#REF!),BDI!#REF!,IF(AND(#REF!="Diferenciado",$H$4=#REF!),BDI!$E$17,IF(AND(#REF!="Diferenciado",$H$4=#REF!),BDI!#REF!,IF(#REF!="ZERO",0))))),"")</f>
        <v>#REF!</v>
      </c>
      <c r="H472" s="138" t="e">
        <f t="shared" ca="1" si="22"/>
        <v>#REF!</v>
      </c>
      <c r="I472" s="136" t="e">
        <f t="shared" ca="1" si="23"/>
        <v>#REF!</v>
      </c>
    </row>
    <row r="473" spans="1:9" hidden="1" x14ac:dyDescent="0.25">
      <c r="A473" s="113" t="s">
        <v>2138</v>
      </c>
      <c r="B473" s="114" t="s">
        <v>2139</v>
      </c>
      <c r="C473" s="115" t="s">
        <v>42</v>
      </c>
      <c r="D473" s="115">
        <v>0</v>
      </c>
      <c r="E473" s="135">
        <f ca="1">OFFSET(INDEX(Composições!A:J,MATCH(Orçamentária!A473,Composições!A:A,0),8),2,0)</f>
        <v>25.478999999999999</v>
      </c>
      <c r="F473" s="136">
        <f t="shared" ca="1" si="21"/>
        <v>0</v>
      </c>
      <c r="G473" s="137" t="e">
        <f>IF(A473&lt;&gt;"",IF(AND(#REF!="Padrão",$H$4=#REF!),BDI!$B$17,IF(AND(#REF!="Padrão",$H$4=#REF!),BDI!#REF!,IF(AND(#REF!="Diferenciado",$H$4=#REF!),BDI!$E$17,IF(AND(#REF!="Diferenciado",$H$4=#REF!),BDI!#REF!,IF(#REF!="ZERO",0))))),"")</f>
        <v>#REF!</v>
      </c>
      <c r="H473" s="138" t="e">
        <f t="shared" ca="1" si="22"/>
        <v>#REF!</v>
      </c>
      <c r="I473" s="136" t="e">
        <f t="shared" ca="1" si="23"/>
        <v>#REF!</v>
      </c>
    </row>
    <row r="474" spans="1:9" hidden="1" x14ac:dyDescent="0.25">
      <c r="A474" s="113" t="s">
        <v>2140</v>
      </c>
      <c r="B474" s="114" t="s">
        <v>2141</v>
      </c>
      <c r="C474" s="115" t="s">
        <v>42</v>
      </c>
      <c r="D474" s="115">
        <v>0</v>
      </c>
      <c r="E474" s="135" t="s">
        <v>568</v>
      </c>
      <c r="F474" s="136" t="str">
        <f t="shared" si="21"/>
        <v/>
      </c>
      <c r="G474" s="137" t="e">
        <f>IF(A474&lt;&gt;"",IF(AND(#REF!="Padrão",$H$4=#REF!),BDI!$B$17,IF(AND(#REF!="Padrão",$H$4=#REF!),BDI!#REF!,IF(AND(#REF!="Diferenciado",$H$4=#REF!),BDI!$E$17,IF(AND(#REF!="Diferenciado",$H$4=#REF!),BDI!#REF!,IF(#REF!="ZERO",0))))),"")</f>
        <v>#REF!</v>
      </c>
      <c r="H474" s="138" t="str">
        <f t="shared" si="22"/>
        <v/>
      </c>
      <c r="I474" s="136" t="str">
        <f t="shared" si="23"/>
        <v/>
      </c>
    </row>
    <row r="475" spans="1:9" hidden="1" x14ac:dyDescent="0.25">
      <c r="A475" s="113" t="s">
        <v>2142</v>
      </c>
      <c r="B475" s="114" t="s">
        <v>2143</v>
      </c>
      <c r="C475" s="115" t="s">
        <v>95</v>
      </c>
      <c r="D475" s="115">
        <v>0</v>
      </c>
      <c r="E475" s="135">
        <f ca="1">OFFSET(INDEX(Composições!A:J,MATCH(Orçamentária!A475,Composições!A:A,0),8),2,0)</f>
        <v>37.610500000000002</v>
      </c>
      <c r="F475" s="136">
        <f t="shared" ca="1" si="21"/>
        <v>0</v>
      </c>
      <c r="G475" s="137" t="e">
        <f>IF(A475&lt;&gt;"",IF(AND(#REF!="Padrão",$H$4=#REF!),BDI!$B$17,IF(AND(#REF!="Padrão",$H$4=#REF!),BDI!#REF!,IF(AND(#REF!="Diferenciado",$H$4=#REF!),BDI!$E$17,IF(AND(#REF!="Diferenciado",$H$4=#REF!),BDI!#REF!,IF(#REF!="ZERO",0))))),"")</f>
        <v>#REF!</v>
      </c>
      <c r="H475" s="138" t="e">
        <f t="shared" ca="1" si="22"/>
        <v>#REF!</v>
      </c>
      <c r="I475" s="136" t="e">
        <f t="shared" ca="1" si="23"/>
        <v>#REF!</v>
      </c>
    </row>
    <row r="476" spans="1:9" hidden="1" x14ac:dyDescent="0.25">
      <c r="A476" s="113" t="s">
        <v>2144</v>
      </c>
      <c r="B476" s="114" t="s">
        <v>2145</v>
      </c>
      <c r="C476" s="115" t="s">
        <v>95</v>
      </c>
      <c r="D476" s="115">
        <v>0</v>
      </c>
      <c r="E476" s="135">
        <f ca="1">OFFSET(INDEX(Composições!A:J,MATCH(Orçamentária!A476,Composições!A:A,0),8),2,0)</f>
        <v>37.610500000000002</v>
      </c>
      <c r="F476" s="136">
        <f t="shared" ca="1" si="21"/>
        <v>0</v>
      </c>
      <c r="G476" s="137" t="e">
        <f>IF(A476&lt;&gt;"",IF(AND(#REF!="Padrão",$H$4=#REF!),BDI!$B$17,IF(AND(#REF!="Padrão",$H$4=#REF!),BDI!#REF!,IF(AND(#REF!="Diferenciado",$H$4=#REF!),BDI!$E$17,IF(AND(#REF!="Diferenciado",$H$4=#REF!),BDI!#REF!,IF(#REF!="ZERO",0))))),"")</f>
        <v>#REF!</v>
      </c>
      <c r="H476" s="138" t="e">
        <f t="shared" ca="1" si="22"/>
        <v>#REF!</v>
      </c>
      <c r="I476" s="136" t="e">
        <f t="shared" ca="1" si="23"/>
        <v>#REF!</v>
      </c>
    </row>
    <row r="477" spans="1:9" hidden="1" x14ac:dyDescent="0.25">
      <c r="A477" s="113" t="s">
        <v>2146</v>
      </c>
      <c r="B477" s="114" t="s">
        <v>2147</v>
      </c>
      <c r="C477" s="115" t="s">
        <v>95</v>
      </c>
      <c r="D477" s="115">
        <v>0</v>
      </c>
      <c r="E477" s="135">
        <f ca="1">OFFSET(INDEX(Composições!A:J,MATCH(Orçamentária!A477,Composições!A:A,0),8),2,0)</f>
        <v>37.610500000000002</v>
      </c>
      <c r="F477" s="136">
        <f t="shared" ca="1" si="21"/>
        <v>0</v>
      </c>
      <c r="G477" s="137" t="e">
        <f>IF(A477&lt;&gt;"",IF(AND(#REF!="Padrão",$H$4=#REF!),BDI!$B$17,IF(AND(#REF!="Padrão",$H$4=#REF!),BDI!#REF!,IF(AND(#REF!="Diferenciado",$H$4=#REF!),BDI!$E$17,IF(AND(#REF!="Diferenciado",$H$4=#REF!),BDI!#REF!,IF(#REF!="ZERO",0))))),"")</f>
        <v>#REF!</v>
      </c>
      <c r="H477" s="138" t="e">
        <f t="shared" ca="1" si="22"/>
        <v>#REF!</v>
      </c>
      <c r="I477" s="136" t="e">
        <f t="shared" ca="1" si="23"/>
        <v>#REF!</v>
      </c>
    </row>
    <row r="478" spans="1:9" hidden="1" x14ac:dyDescent="0.25">
      <c r="A478" s="113" t="s">
        <v>2148</v>
      </c>
      <c r="B478" s="114" t="s">
        <v>3824</v>
      </c>
      <c r="C478" s="115" t="s">
        <v>95</v>
      </c>
      <c r="D478" s="115">
        <v>0</v>
      </c>
      <c r="E478" s="135" t="s">
        <v>568</v>
      </c>
      <c r="F478" s="136" t="str">
        <f t="shared" si="21"/>
        <v/>
      </c>
      <c r="G478" s="137" t="e">
        <f>IF(A478&lt;&gt;"",IF(AND(#REF!="Padrão",$H$4=#REF!),BDI!$B$17,IF(AND(#REF!="Padrão",$H$4=#REF!),BDI!#REF!,IF(AND(#REF!="Diferenciado",$H$4=#REF!),BDI!$E$17,IF(AND(#REF!="Diferenciado",$H$4=#REF!),BDI!#REF!,IF(#REF!="ZERO",0))))),"")</f>
        <v>#REF!</v>
      </c>
      <c r="H478" s="138" t="str">
        <f t="shared" si="22"/>
        <v/>
      </c>
      <c r="I478" s="136" t="str">
        <f t="shared" si="23"/>
        <v/>
      </c>
    </row>
    <row r="479" spans="1:9" hidden="1" x14ac:dyDescent="0.25">
      <c r="A479" s="113" t="s">
        <v>2149</v>
      </c>
      <c r="B479" s="114" t="s">
        <v>2150</v>
      </c>
      <c r="C479" s="115" t="s">
        <v>95</v>
      </c>
      <c r="D479" s="115">
        <v>0</v>
      </c>
      <c r="E479" s="135" t="s">
        <v>568</v>
      </c>
      <c r="F479" s="136" t="str">
        <f t="shared" si="21"/>
        <v/>
      </c>
      <c r="G479" s="137" t="e">
        <f>IF(A479&lt;&gt;"",IF(AND(#REF!="Padrão",$H$4=#REF!),BDI!$B$17,IF(AND(#REF!="Padrão",$H$4=#REF!),BDI!#REF!,IF(AND(#REF!="Diferenciado",$H$4=#REF!),BDI!$E$17,IF(AND(#REF!="Diferenciado",$H$4=#REF!),BDI!#REF!,IF(#REF!="ZERO",0))))),"")</f>
        <v>#REF!</v>
      </c>
      <c r="H479" s="138" t="str">
        <f t="shared" si="22"/>
        <v/>
      </c>
      <c r="I479" s="136" t="str">
        <f t="shared" si="23"/>
        <v/>
      </c>
    </row>
    <row r="480" spans="1:9" hidden="1" x14ac:dyDescent="0.25">
      <c r="A480" s="113" t="s">
        <v>2151</v>
      </c>
      <c r="B480" s="114" t="s">
        <v>2152</v>
      </c>
      <c r="C480" s="115" t="s">
        <v>95</v>
      </c>
      <c r="D480" s="115">
        <v>0</v>
      </c>
      <c r="E480" s="135" t="s">
        <v>568</v>
      </c>
      <c r="F480" s="136" t="str">
        <f t="shared" si="21"/>
        <v/>
      </c>
      <c r="G480" s="137" t="e">
        <f>IF(A480&lt;&gt;"",IF(AND(#REF!="Padrão",$H$4=#REF!),BDI!$B$17,IF(AND(#REF!="Padrão",$H$4=#REF!),BDI!#REF!,IF(AND(#REF!="Diferenciado",$H$4=#REF!),BDI!$E$17,IF(AND(#REF!="Diferenciado",$H$4=#REF!),BDI!#REF!,IF(#REF!="ZERO",0))))),"")</f>
        <v>#REF!</v>
      </c>
      <c r="H480" s="138" t="str">
        <f t="shared" si="22"/>
        <v/>
      </c>
      <c r="I480" s="136" t="str">
        <f t="shared" si="23"/>
        <v/>
      </c>
    </row>
    <row r="481" spans="1:9" hidden="1" x14ac:dyDescent="0.25">
      <c r="A481" s="113" t="s">
        <v>2153</v>
      </c>
      <c r="B481" s="114" t="s">
        <v>2154</v>
      </c>
      <c r="C481" s="115" t="s">
        <v>95</v>
      </c>
      <c r="D481" s="115">
        <v>0</v>
      </c>
      <c r="E481" s="135" t="s">
        <v>568</v>
      </c>
      <c r="F481" s="136" t="str">
        <f t="shared" si="21"/>
        <v/>
      </c>
      <c r="G481" s="137" t="e">
        <f>IF(A481&lt;&gt;"",IF(AND(#REF!="Padrão",$H$4=#REF!),BDI!$B$17,IF(AND(#REF!="Padrão",$H$4=#REF!),BDI!#REF!,IF(AND(#REF!="Diferenciado",$H$4=#REF!),BDI!$E$17,IF(AND(#REF!="Diferenciado",$H$4=#REF!),BDI!#REF!,IF(#REF!="ZERO",0))))),"")</f>
        <v>#REF!</v>
      </c>
      <c r="H481" s="138" t="str">
        <f t="shared" si="22"/>
        <v/>
      </c>
      <c r="I481" s="136" t="str">
        <f t="shared" si="23"/>
        <v/>
      </c>
    </row>
    <row r="482" spans="1:9" hidden="1" x14ac:dyDescent="0.25">
      <c r="A482" s="113" t="s">
        <v>2155</v>
      </c>
      <c r="B482" s="114" t="s">
        <v>2156</v>
      </c>
      <c r="C482" s="115" t="s">
        <v>95</v>
      </c>
      <c r="D482" s="115">
        <v>0</v>
      </c>
      <c r="E482" s="135" t="s">
        <v>568</v>
      </c>
      <c r="F482" s="136" t="str">
        <f t="shared" si="21"/>
        <v/>
      </c>
      <c r="G482" s="137" t="e">
        <f>IF(A482&lt;&gt;"",IF(AND(#REF!="Padrão",$H$4=#REF!),BDI!$B$17,IF(AND(#REF!="Padrão",$H$4=#REF!),BDI!#REF!,IF(AND(#REF!="Diferenciado",$H$4=#REF!),BDI!$E$17,IF(AND(#REF!="Diferenciado",$H$4=#REF!),BDI!#REF!,IF(#REF!="ZERO",0))))),"")</f>
        <v>#REF!</v>
      </c>
      <c r="H482" s="138" t="str">
        <f t="shared" si="22"/>
        <v/>
      </c>
      <c r="I482" s="136" t="str">
        <f t="shared" si="23"/>
        <v/>
      </c>
    </row>
    <row r="483" spans="1:9" hidden="1" x14ac:dyDescent="0.25">
      <c r="A483" s="113" t="s">
        <v>2157</v>
      </c>
      <c r="B483" s="114" t="s">
        <v>2158</v>
      </c>
      <c r="C483" s="115" t="s">
        <v>95</v>
      </c>
      <c r="D483" s="115">
        <v>0</v>
      </c>
      <c r="E483" s="135" t="s">
        <v>568</v>
      </c>
      <c r="F483" s="136" t="str">
        <f t="shared" si="21"/>
        <v/>
      </c>
      <c r="G483" s="137" t="e">
        <f>IF(A483&lt;&gt;"",IF(AND(#REF!="Padrão",$H$4=#REF!),BDI!$B$17,IF(AND(#REF!="Padrão",$H$4=#REF!),BDI!#REF!,IF(AND(#REF!="Diferenciado",$H$4=#REF!),BDI!$E$17,IF(AND(#REF!="Diferenciado",$H$4=#REF!),BDI!#REF!,IF(#REF!="ZERO",0))))),"")</f>
        <v>#REF!</v>
      </c>
      <c r="H483" s="138" t="str">
        <f t="shared" si="22"/>
        <v/>
      </c>
      <c r="I483" s="136" t="str">
        <f t="shared" si="23"/>
        <v/>
      </c>
    </row>
    <row r="484" spans="1:9" hidden="1" x14ac:dyDescent="0.25">
      <c r="A484" s="113" t="s">
        <v>2159</v>
      </c>
      <c r="B484" s="114" t="s">
        <v>2160</v>
      </c>
      <c r="C484" s="115" t="s">
        <v>95</v>
      </c>
      <c r="D484" s="115">
        <v>0</v>
      </c>
      <c r="E484" s="135" t="s">
        <v>568</v>
      </c>
      <c r="F484" s="136" t="str">
        <f t="shared" si="21"/>
        <v/>
      </c>
      <c r="G484" s="137" t="e">
        <f>IF(A484&lt;&gt;"",IF(AND(#REF!="Padrão",$H$4=#REF!),BDI!$B$17,IF(AND(#REF!="Padrão",$H$4=#REF!),BDI!#REF!,IF(AND(#REF!="Diferenciado",$H$4=#REF!),BDI!$E$17,IF(AND(#REF!="Diferenciado",$H$4=#REF!),BDI!#REF!,IF(#REF!="ZERO",0))))),"")</f>
        <v>#REF!</v>
      </c>
      <c r="H484" s="138" t="str">
        <f t="shared" si="22"/>
        <v/>
      </c>
      <c r="I484" s="136" t="str">
        <f t="shared" si="23"/>
        <v/>
      </c>
    </row>
    <row r="485" spans="1:9" hidden="1" x14ac:dyDescent="0.25">
      <c r="A485" s="113" t="s">
        <v>2161</v>
      </c>
      <c r="B485" s="114" t="s">
        <v>2162</v>
      </c>
      <c r="C485" s="115" t="s">
        <v>95</v>
      </c>
      <c r="D485" s="115">
        <v>0</v>
      </c>
      <c r="E485" s="135" t="s">
        <v>568</v>
      </c>
      <c r="F485" s="136" t="str">
        <f t="shared" si="21"/>
        <v/>
      </c>
      <c r="G485" s="137" t="e">
        <f>IF(A485&lt;&gt;"",IF(AND(#REF!="Padrão",$H$4=#REF!),BDI!$B$17,IF(AND(#REF!="Padrão",$H$4=#REF!),BDI!#REF!,IF(AND(#REF!="Diferenciado",$H$4=#REF!),BDI!$E$17,IF(AND(#REF!="Diferenciado",$H$4=#REF!),BDI!#REF!,IF(#REF!="ZERO",0))))),"")</f>
        <v>#REF!</v>
      </c>
      <c r="H485" s="138" t="str">
        <f t="shared" si="22"/>
        <v/>
      </c>
      <c r="I485" s="136" t="str">
        <f t="shared" si="23"/>
        <v/>
      </c>
    </row>
    <row r="486" spans="1:9" hidden="1" x14ac:dyDescent="0.25">
      <c r="A486" s="113" t="s">
        <v>2163</v>
      </c>
      <c r="B486" s="114" t="s">
        <v>3821</v>
      </c>
      <c r="C486" s="115" t="s">
        <v>95</v>
      </c>
      <c r="D486" s="115">
        <v>0</v>
      </c>
      <c r="E486" s="135" t="s">
        <v>568</v>
      </c>
      <c r="F486" s="136" t="str">
        <f t="shared" si="21"/>
        <v/>
      </c>
      <c r="G486" s="137" t="e">
        <f>IF(A486&lt;&gt;"",IF(AND(#REF!="Padrão",$H$4=#REF!),BDI!$B$17,IF(AND(#REF!="Padrão",$H$4=#REF!),BDI!#REF!,IF(AND(#REF!="Diferenciado",$H$4=#REF!),BDI!$E$17,IF(AND(#REF!="Diferenciado",$H$4=#REF!),BDI!#REF!,IF(#REF!="ZERO",0))))),"")</f>
        <v>#REF!</v>
      </c>
      <c r="H486" s="138" t="str">
        <f t="shared" si="22"/>
        <v/>
      </c>
      <c r="I486" s="136" t="str">
        <f t="shared" si="23"/>
        <v/>
      </c>
    </row>
    <row r="487" spans="1:9" hidden="1" x14ac:dyDescent="0.25">
      <c r="A487" s="113" t="s">
        <v>2164</v>
      </c>
      <c r="B487" s="114" t="s">
        <v>2165</v>
      </c>
      <c r="C487" s="115" t="s">
        <v>95</v>
      </c>
      <c r="D487" s="115">
        <v>0</v>
      </c>
      <c r="E487" s="135" t="s">
        <v>568</v>
      </c>
      <c r="F487" s="136" t="str">
        <f t="shared" si="21"/>
        <v/>
      </c>
      <c r="G487" s="137" t="e">
        <f>IF(A487&lt;&gt;"",IF(AND(#REF!="Padrão",$H$4=#REF!),BDI!$B$17,IF(AND(#REF!="Padrão",$H$4=#REF!),BDI!#REF!,IF(AND(#REF!="Diferenciado",$H$4=#REF!),BDI!$E$17,IF(AND(#REF!="Diferenciado",$H$4=#REF!),BDI!#REF!,IF(#REF!="ZERO",0))))),"")</f>
        <v>#REF!</v>
      </c>
      <c r="H487" s="138" t="str">
        <f t="shared" si="22"/>
        <v/>
      </c>
      <c r="I487" s="136" t="str">
        <f t="shared" si="23"/>
        <v/>
      </c>
    </row>
    <row r="488" spans="1:9" hidden="1" x14ac:dyDescent="0.25">
      <c r="A488" s="113" t="s">
        <v>2166</v>
      </c>
      <c r="B488" s="114" t="s">
        <v>2167</v>
      </c>
      <c r="C488" s="115" t="s">
        <v>95</v>
      </c>
      <c r="D488" s="115">
        <v>0</v>
      </c>
      <c r="E488" s="135" t="s">
        <v>568</v>
      </c>
      <c r="F488" s="136" t="str">
        <f t="shared" si="21"/>
        <v/>
      </c>
      <c r="G488" s="137" t="e">
        <f>IF(A488&lt;&gt;"",IF(AND(#REF!="Padrão",$H$4=#REF!),BDI!$B$17,IF(AND(#REF!="Padrão",$H$4=#REF!),BDI!#REF!,IF(AND(#REF!="Diferenciado",$H$4=#REF!),BDI!$E$17,IF(AND(#REF!="Diferenciado",$H$4=#REF!),BDI!#REF!,IF(#REF!="ZERO",0))))),"")</f>
        <v>#REF!</v>
      </c>
      <c r="H488" s="138" t="str">
        <f t="shared" si="22"/>
        <v/>
      </c>
      <c r="I488" s="136" t="str">
        <f t="shared" si="23"/>
        <v/>
      </c>
    </row>
    <row r="489" spans="1:9" hidden="1" x14ac:dyDescent="0.25">
      <c r="A489" s="113" t="s">
        <v>2168</v>
      </c>
      <c r="B489" s="114" t="s">
        <v>2169</v>
      </c>
      <c r="C489" s="115" t="s">
        <v>95</v>
      </c>
      <c r="D489" s="115">
        <v>0</v>
      </c>
      <c r="E489" s="135" t="s">
        <v>568</v>
      </c>
      <c r="F489" s="136" t="str">
        <f t="shared" si="21"/>
        <v/>
      </c>
      <c r="G489" s="137" t="e">
        <f>IF(A489&lt;&gt;"",IF(AND(#REF!="Padrão",$H$4=#REF!),BDI!$B$17,IF(AND(#REF!="Padrão",$H$4=#REF!),BDI!#REF!,IF(AND(#REF!="Diferenciado",$H$4=#REF!),BDI!$E$17,IF(AND(#REF!="Diferenciado",$H$4=#REF!),BDI!#REF!,IF(#REF!="ZERO",0))))),"")</f>
        <v>#REF!</v>
      </c>
      <c r="H489" s="138" t="str">
        <f t="shared" si="22"/>
        <v/>
      </c>
      <c r="I489" s="136" t="str">
        <f t="shared" si="23"/>
        <v/>
      </c>
    </row>
    <row r="490" spans="1:9" hidden="1" x14ac:dyDescent="0.25">
      <c r="A490" s="113" t="s">
        <v>2170</v>
      </c>
      <c r="B490" s="114" t="s">
        <v>2171</v>
      </c>
      <c r="C490" s="115" t="s">
        <v>95</v>
      </c>
      <c r="D490" s="115">
        <v>0</v>
      </c>
      <c r="E490" s="135" t="s">
        <v>568</v>
      </c>
      <c r="F490" s="136" t="str">
        <f t="shared" si="21"/>
        <v/>
      </c>
      <c r="G490" s="137" t="e">
        <f>IF(A490&lt;&gt;"",IF(AND(#REF!="Padrão",$H$4=#REF!),BDI!$B$17,IF(AND(#REF!="Padrão",$H$4=#REF!),BDI!#REF!,IF(AND(#REF!="Diferenciado",$H$4=#REF!),BDI!$E$17,IF(AND(#REF!="Diferenciado",$H$4=#REF!),BDI!#REF!,IF(#REF!="ZERO",0))))),"")</f>
        <v>#REF!</v>
      </c>
      <c r="H490" s="138" t="str">
        <f t="shared" si="22"/>
        <v/>
      </c>
      <c r="I490" s="136" t="str">
        <f t="shared" si="23"/>
        <v/>
      </c>
    </row>
    <row r="491" spans="1:9" hidden="1" x14ac:dyDescent="0.25">
      <c r="A491" s="113" t="s">
        <v>2172</v>
      </c>
      <c r="B491" s="114" t="s">
        <v>2173</v>
      </c>
      <c r="C491" s="115" t="s">
        <v>111</v>
      </c>
      <c r="D491" s="115">
        <v>0</v>
      </c>
      <c r="E491" s="135" t="s">
        <v>568</v>
      </c>
      <c r="F491" s="136" t="str">
        <f t="shared" si="21"/>
        <v/>
      </c>
      <c r="G491" s="137" t="e">
        <f>IF(A491&lt;&gt;"",IF(AND(#REF!="Padrão",$H$4=#REF!),BDI!$B$17,IF(AND(#REF!="Padrão",$H$4=#REF!),BDI!#REF!,IF(AND(#REF!="Diferenciado",$H$4=#REF!),BDI!$E$17,IF(AND(#REF!="Diferenciado",$H$4=#REF!),BDI!#REF!,IF(#REF!="ZERO",0))))),"")</f>
        <v>#REF!</v>
      </c>
      <c r="H491" s="138" t="str">
        <f t="shared" si="22"/>
        <v/>
      </c>
      <c r="I491" s="136" t="str">
        <f t="shared" si="23"/>
        <v/>
      </c>
    </row>
    <row r="492" spans="1:9" hidden="1" x14ac:dyDescent="0.25">
      <c r="A492" s="113" t="s">
        <v>2174</v>
      </c>
      <c r="B492" s="114" t="s">
        <v>2175</v>
      </c>
      <c r="C492" s="115" t="s">
        <v>111</v>
      </c>
      <c r="D492" s="115">
        <v>0</v>
      </c>
      <c r="E492" s="135" t="s">
        <v>568</v>
      </c>
      <c r="F492" s="136" t="str">
        <f t="shared" si="21"/>
        <v/>
      </c>
      <c r="G492" s="137" t="e">
        <f>IF(A492&lt;&gt;"",IF(AND(#REF!="Padrão",$H$4=#REF!),BDI!$B$17,IF(AND(#REF!="Padrão",$H$4=#REF!),BDI!#REF!,IF(AND(#REF!="Diferenciado",$H$4=#REF!),BDI!$E$17,IF(AND(#REF!="Diferenciado",$H$4=#REF!),BDI!#REF!,IF(#REF!="ZERO",0))))),"")</f>
        <v>#REF!</v>
      </c>
      <c r="H492" s="138" t="str">
        <f t="shared" si="22"/>
        <v/>
      </c>
      <c r="I492" s="136" t="str">
        <f t="shared" si="23"/>
        <v/>
      </c>
    </row>
    <row r="493" spans="1:9" hidden="1" x14ac:dyDescent="0.25">
      <c r="A493" s="113" t="s">
        <v>2176</v>
      </c>
      <c r="B493" s="114" t="s">
        <v>2177</v>
      </c>
      <c r="C493" s="115" t="s">
        <v>111</v>
      </c>
      <c r="D493" s="115">
        <v>0</v>
      </c>
      <c r="E493" s="135" t="s">
        <v>568</v>
      </c>
      <c r="F493" s="136" t="str">
        <f t="shared" si="21"/>
        <v/>
      </c>
      <c r="G493" s="137" t="e">
        <f>IF(A493&lt;&gt;"",IF(AND(#REF!="Padrão",$H$4=#REF!),BDI!$B$17,IF(AND(#REF!="Padrão",$H$4=#REF!),BDI!#REF!,IF(AND(#REF!="Diferenciado",$H$4=#REF!),BDI!$E$17,IF(AND(#REF!="Diferenciado",$H$4=#REF!),BDI!#REF!,IF(#REF!="ZERO",0))))),"")</f>
        <v>#REF!</v>
      </c>
      <c r="H493" s="138" t="str">
        <f t="shared" si="22"/>
        <v/>
      </c>
      <c r="I493" s="136" t="str">
        <f t="shared" si="23"/>
        <v/>
      </c>
    </row>
    <row r="494" spans="1:9" hidden="1" x14ac:dyDescent="0.25">
      <c r="A494" s="113" t="s">
        <v>2178</v>
      </c>
      <c r="B494" s="114" t="s">
        <v>2179</v>
      </c>
      <c r="C494" s="115" t="s">
        <v>111</v>
      </c>
      <c r="D494" s="115">
        <v>0</v>
      </c>
      <c r="E494" s="135">
        <f ca="1">OFFSET(INDEX(Composições!A:J,MATCH(Orçamentária!A494,Composições!A:A,0),8),2,0)</f>
        <v>1259.0666666666666</v>
      </c>
      <c r="F494" s="136">
        <f t="shared" ca="1" si="21"/>
        <v>0</v>
      </c>
      <c r="G494" s="137" t="e">
        <f>IF(A494&lt;&gt;"",IF(AND(#REF!="Padrão",$H$4=#REF!),BDI!$B$17,IF(AND(#REF!="Padrão",$H$4=#REF!),BDI!#REF!,IF(AND(#REF!="Diferenciado",$H$4=#REF!),BDI!$E$17,IF(AND(#REF!="Diferenciado",$H$4=#REF!),BDI!#REF!,IF(#REF!="ZERO",0))))),"")</f>
        <v>#REF!</v>
      </c>
      <c r="H494" s="138" t="e">
        <f t="shared" ca="1" si="22"/>
        <v>#REF!</v>
      </c>
      <c r="I494" s="136" t="e">
        <f t="shared" ca="1" si="23"/>
        <v>#REF!</v>
      </c>
    </row>
    <row r="495" spans="1:9" hidden="1" x14ac:dyDescent="0.25">
      <c r="A495" s="113" t="s">
        <v>2180</v>
      </c>
      <c r="B495" s="114" t="s">
        <v>2181</v>
      </c>
      <c r="C495" s="115" t="s">
        <v>93</v>
      </c>
      <c r="D495" s="115">
        <v>0</v>
      </c>
      <c r="E495" s="135">
        <f ca="1">OFFSET(INDEX(Composições!A:J,MATCH(Orçamentária!A495,Composições!A:A,0),8),2,0)</f>
        <v>2.8879999999999999</v>
      </c>
      <c r="F495" s="136">
        <f t="shared" ca="1" si="21"/>
        <v>0</v>
      </c>
      <c r="G495" s="137" t="e">
        <f>IF(A495&lt;&gt;"",IF(AND(#REF!="Padrão",$H$4=#REF!),BDI!$B$17,IF(AND(#REF!="Padrão",$H$4=#REF!),BDI!#REF!,IF(AND(#REF!="Diferenciado",$H$4=#REF!),BDI!$E$17,IF(AND(#REF!="Diferenciado",$H$4=#REF!),BDI!#REF!,IF(#REF!="ZERO",0))))),"")</f>
        <v>#REF!</v>
      </c>
      <c r="H495" s="138" t="e">
        <f t="shared" ca="1" si="22"/>
        <v>#REF!</v>
      </c>
      <c r="I495" s="136" t="e">
        <f t="shared" ca="1" si="23"/>
        <v>#REF!</v>
      </c>
    </row>
    <row r="496" spans="1:9" hidden="1" x14ac:dyDescent="0.25">
      <c r="A496" s="113" t="s">
        <v>2182</v>
      </c>
      <c r="B496" s="114" t="s">
        <v>2183</v>
      </c>
      <c r="C496" s="115" t="s">
        <v>93</v>
      </c>
      <c r="D496" s="115">
        <v>0</v>
      </c>
      <c r="E496" s="135">
        <f ca="1">OFFSET(INDEX(Composições!A:J,MATCH(Orçamentária!A496,Composições!A:A,0),8),2,0)</f>
        <v>0</v>
      </c>
      <c r="F496" s="136">
        <f t="shared" ca="1" si="21"/>
        <v>0</v>
      </c>
      <c r="G496" s="137" t="e">
        <f>IF(A496&lt;&gt;"",IF(AND(#REF!="Padrão",$H$4=#REF!),BDI!$B$17,IF(AND(#REF!="Padrão",$H$4=#REF!),BDI!#REF!,IF(AND(#REF!="Diferenciado",$H$4=#REF!),BDI!$E$17,IF(AND(#REF!="Diferenciado",$H$4=#REF!),BDI!#REF!,IF(#REF!="ZERO",0))))),"")</f>
        <v>#REF!</v>
      </c>
      <c r="H496" s="138" t="e">
        <f t="shared" ca="1" si="22"/>
        <v>#REF!</v>
      </c>
      <c r="I496" s="136" t="e">
        <f t="shared" ca="1" si="23"/>
        <v>#REF!</v>
      </c>
    </row>
    <row r="497" spans="1:9" hidden="1" x14ac:dyDescent="0.25">
      <c r="A497" s="113" t="s">
        <v>2184</v>
      </c>
      <c r="B497" s="114" t="s">
        <v>2185</v>
      </c>
      <c r="C497" s="115" t="s">
        <v>93</v>
      </c>
      <c r="D497" s="115">
        <v>0</v>
      </c>
      <c r="E497" s="135" t="s">
        <v>568</v>
      </c>
      <c r="F497" s="136" t="str">
        <f t="shared" si="21"/>
        <v/>
      </c>
      <c r="G497" s="137" t="e">
        <f>IF(A497&lt;&gt;"",IF(AND(#REF!="Padrão",$H$4=#REF!),BDI!$B$17,IF(AND(#REF!="Padrão",$H$4=#REF!),BDI!#REF!,IF(AND(#REF!="Diferenciado",$H$4=#REF!),BDI!$E$17,IF(AND(#REF!="Diferenciado",$H$4=#REF!),BDI!#REF!,IF(#REF!="ZERO",0))))),"")</f>
        <v>#REF!</v>
      </c>
      <c r="H497" s="138" t="str">
        <f t="shared" si="22"/>
        <v/>
      </c>
      <c r="I497" s="136" t="str">
        <f t="shared" si="23"/>
        <v/>
      </c>
    </row>
    <row r="498" spans="1:9" hidden="1" x14ac:dyDescent="0.25">
      <c r="A498" s="113" t="s">
        <v>2186</v>
      </c>
      <c r="B498" s="114" t="s">
        <v>2187</v>
      </c>
      <c r="C498" s="115" t="s">
        <v>93</v>
      </c>
      <c r="D498" s="115">
        <v>0</v>
      </c>
      <c r="E498" s="135" t="s">
        <v>568</v>
      </c>
      <c r="F498" s="136" t="str">
        <f t="shared" si="21"/>
        <v/>
      </c>
      <c r="G498" s="137" t="e">
        <f>IF(A498&lt;&gt;"",IF(AND(#REF!="Padrão",$H$4=#REF!),BDI!$B$17,IF(AND(#REF!="Padrão",$H$4=#REF!),BDI!#REF!,IF(AND(#REF!="Diferenciado",$H$4=#REF!),BDI!$E$17,IF(AND(#REF!="Diferenciado",$H$4=#REF!),BDI!#REF!,IF(#REF!="ZERO",0))))),"")</f>
        <v>#REF!</v>
      </c>
      <c r="H498" s="138" t="str">
        <f t="shared" si="22"/>
        <v/>
      </c>
      <c r="I498" s="136" t="str">
        <f t="shared" si="23"/>
        <v/>
      </c>
    </row>
    <row r="499" spans="1:9" hidden="1" x14ac:dyDescent="0.25">
      <c r="A499" s="113" t="s">
        <v>2188</v>
      </c>
      <c r="B499" s="114" t="s">
        <v>2189</v>
      </c>
      <c r="C499" s="115" t="s">
        <v>95</v>
      </c>
      <c r="D499" s="115">
        <v>0</v>
      </c>
      <c r="E499" s="135">
        <f ca="1">OFFSET(INDEX(Composições!A:J,MATCH(Orçamentária!A499,Composições!A:A,0),8),2,0)</f>
        <v>25.5075</v>
      </c>
      <c r="F499" s="136">
        <f t="shared" ca="1" si="21"/>
        <v>0</v>
      </c>
      <c r="G499" s="137" t="e">
        <f>IF(A499&lt;&gt;"",IF(AND(#REF!="Padrão",$H$4=#REF!),BDI!$B$17,IF(AND(#REF!="Padrão",$H$4=#REF!),BDI!#REF!,IF(AND(#REF!="Diferenciado",$H$4=#REF!),BDI!$E$17,IF(AND(#REF!="Diferenciado",$H$4=#REF!),BDI!#REF!,IF(#REF!="ZERO",0))))),"")</f>
        <v>#REF!</v>
      </c>
      <c r="H499" s="138" t="e">
        <f t="shared" ca="1" si="22"/>
        <v>#REF!</v>
      </c>
      <c r="I499" s="136" t="e">
        <f t="shared" ca="1" si="23"/>
        <v>#REF!</v>
      </c>
    </row>
    <row r="500" spans="1:9" hidden="1" x14ac:dyDescent="0.25">
      <c r="A500" s="113" t="s">
        <v>2190</v>
      </c>
      <c r="B500" s="114" t="s">
        <v>2191</v>
      </c>
      <c r="C500" s="115" t="s">
        <v>95</v>
      </c>
      <c r="D500" s="115">
        <v>0</v>
      </c>
      <c r="E500" s="135" t="s">
        <v>568</v>
      </c>
      <c r="F500" s="136" t="str">
        <f t="shared" si="21"/>
        <v/>
      </c>
      <c r="G500" s="137" t="e">
        <f>IF(A500&lt;&gt;"",IF(AND(#REF!="Padrão",$H$4=#REF!),BDI!$B$17,IF(AND(#REF!="Padrão",$H$4=#REF!),BDI!#REF!,IF(AND(#REF!="Diferenciado",$H$4=#REF!),BDI!$E$17,IF(AND(#REF!="Diferenciado",$H$4=#REF!),BDI!#REF!,IF(#REF!="ZERO",0))))),"")</f>
        <v>#REF!</v>
      </c>
      <c r="H500" s="138" t="str">
        <f t="shared" si="22"/>
        <v/>
      </c>
      <c r="I500" s="136" t="str">
        <f t="shared" si="23"/>
        <v/>
      </c>
    </row>
    <row r="501" spans="1:9" hidden="1" x14ac:dyDescent="0.25">
      <c r="A501" s="113" t="s">
        <v>2192</v>
      </c>
      <c r="B501" s="114" t="s">
        <v>2193</v>
      </c>
      <c r="C501" s="115" t="s">
        <v>95</v>
      </c>
      <c r="D501" s="115">
        <v>0</v>
      </c>
      <c r="E501" s="135">
        <f ca="1">OFFSET(INDEX(Composições!A:J,MATCH(Orçamentária!A501,Composições!A:A,0),8),2,0)</f>
        <v>40.023499999999999</v>
      </c>
      <c r="F501" s="136">
        <f t="shared" ca="1" si="21"/>
        <v>0</v>
      </c>
      <c r="G501" s="137" t="e">
        <f>IF(A501&lt;&gt;"",IF(AND(#REF!="Padrão",$H$4=#REF!),BDI!$B$17,IF(AND(#REF!="Padrão",$H$4=#REF!),BDI!#REF!,IF(AND(#REF!="Diferenciado",$H$4=#REF!),BDI!$E$17,IF(AND(#REF!="Diferenciado",$H$4=#REF!),BDI!#REF!,IF(#REF!="ZERO",0))))),"")</f>
        <v>#REF!</v>
      </c>
      <c r="H501" s="138" t="e">
        <f t="shared" ca="1" si="22"/>
        <v>#REF!</v>
      </c>
      <c r="I501" s="136" t="e">
        <f t="shared" ca="1" si="23"/>
        <v>#REF!</v>
      </c>
    </row>
    <row r="502" spans="1:9" hidden="1" x14ac:dyDescent="0.25">
      <c r="A502" s="113" t="s">
        <v>2194</v>
      </c>
      <c r="B502" s="114" t="s">
        <v>2195</v>
      </c>
      <c r="C502" s="115" t="s">
        <v>95</v>
      </c>
      <c r="D502" s="115">
        <v>0</v>
      </c>
      <c r="E502" s="135" t="s">
        <v>568</v>
      </c>
      <c r="F502" s="136" t="str">
        <f t="shared" si="21"/>
        <v/>
      </c>
      <c r="G502" s="137" t="e">
        <f>IF(A502&lt;&gt;"",IF(AND(#REF!="Padrão",$H$4=#REF!),BDI!$B$17,IF(AND(#REF!="Padrão",$H$4=#REF!),BDI!#REF!,IF(AND(#REF!="Diferenciado",$H$4=#REF!),BDI!$E$17,IF(AND(#REF!="Diferenciado",$H$4=#REF!),BDI!#REF!,IF(#REF!="ZERO",0))))),"")</f>
        <v>#REF!</v>
      </c>
      <c r="H502" s="138" t="str">
        <f t="shared" si="22"/>
        <v/>
      </c>
      <c r="I502" s="136" t="str">
        <f t="shared" si="23"/>
        <v/>
      </c>
    </row>
    <row r="503" spans="1:9" hidden="1" x14ac:dyDescent="0.25">
      <c r="A503" s="113" t="s">
        <v>2196</v>
      </c>
      <c r="B503" s="114" t="s">
        <v>2197</v>
      </c>
      <c r="C503" s="115" t="s">
        <v>95</v>
      </c>
      <c r="D503" s="115">
        <v>0</v>
      </c>
      <c r="E503" s="135">
        <f ca="1">OFFSET(INDEX(Composições!A:J,MATCH(Orçamentária!A503,Composições!A:A,0),8),2,0)</f>
        <v>49.684999999999995</v>
      </c>
      <c r="F503" s="136">
        <f t="shared" ca="1" si="21"/>
        <v>0</v>
      </c>
      <c r="G503" s="137" t="e">
        <f>IF(A503&lt;&gt;"",IF(AND(#REF!="Padrão",$H$4=#REF!),BDI!$B$17,IF(AND(#REF!="Padrão",$H$4=#REF!),BDI!#REF!,IF(AND(#REF!="Diferenciado",$H$4=#REF!),BDI!$E$17,IF(AND(#REF!="Diferenciado",$H$4=#REF!),BDI!#REF!,IF(#REF!="ZERO",0))))),"")</f>
        <v>#REF!</v>
      </c>
      <c r="H503" s="138" t="e">
        <f t="shared" ca="1" si="22"/>
        <v>#REF!</v>
      </c>
      <c r="I503" s="136" t="e">
        <f t="shared" ca="1" si="23"/>
        <v>#REF!</v>
      </c>
    </row>
    <row r="504" spans="1:9" hidden="1" x14ac:dyDescent="0.25">
      <c r="A504" s="113" t="s">
        <v>2198</v>
      </c>
      <c r="B504" s="114" t="s">
        <v>2199</v>
      </c>
      <c r="C504" s="115" t="s">
        <v>95</v>
      </c>
      <c r="D504" s="115">
        <v>0</v>
      </c>
      <c r="E504" s="135" t="s">
        <v>568</v>
      </c>
      <c r="F504" s="136" t="str">
        <f t="shared" si="21"/>
        <v/>
      </c>
      <c r="G504" s="137" t="e">
        <f>IF(A504&lt;&gt;"",IF(AND(#REF!="Padrão",$H$4=#REF!),BDI!$B$17,IF(AND(#REF!="Padrão",$H$4=#REF!),BDI!#REF!,IF(AND(#REF!="Diferenciado",$H$4=#REF!),BDI!$E$17,IF(AND(#REF!="Diferenciado",$H$4=#REF!),BDI!#REF!,IF(#REF!="ZERO",0))))),"")</f>
        <v>#REF!</v>
      </c>
      <c r="H504" s="138" t="str">
        <f t="shared" si="22"/>
        <v/>
      </c>
      <c r="I504" s="136" t="str">
        <f t="shared" si="23"/>
        <v/>
      </c>
    </row>
    <row r="505" spans="1:9" hidden="1" x14ac:dyDescent="0.25">
      <c r="A505" s="113" t="s">
        <v>2200</v>
      </c>
      <c r="B505" s="114" t="s">
        <v>2201</v>
      </c>
      <c r="C505" s="115" t="s">
        <v>93</v>
      </c>
      <c r="D505" s="115">
        <v>0</v>
      </c>
      <c r="E505" s="135">
        <f ca="1">OFFSET(INDEX(Composições!A:J,MATCH(Orçamentária!A505,Composições!A:A,0),8),2,0)</f>
        <v>14.216275</v>
      </c>
      <c r="F505" s="136">
        <f t="shared" ca="1" si="21"/>
        <v>0</v>
      </c>
      <c r="G505" s="137" t="e">
        <f>IF(A505&lt;&gt;"",IF(AND(#REF!="Padrão",$H$4=#REF!),BDI!$B$17,IF(AND(#REF!="Padrão",$H$4=#REF!),BDI!#REF!,IF(AND(#REF!="Diferenciado",$H$4=#REF!),BDI!$E$17,IF(AND(#REF!="Diferenciado",$H$4=#REF!),BDI!#REF!,IF(#REF!="ZERO",0))))),"")</f>
        <v>#REF!</v>
      </c>
      <c r="H505" s="138" t="e">
        <f t="shared" ca="1" si="22"/>
        <v>#REF!</v>
      </c>
      <c r="I505" s="136" t="e">
        <f t="shared" ca="1" si="23"/>
        <v>#REF!</v>
      </c>
    </row>
    <row r="506" spans="1:9" hidden="1" x14ac:dyDescent="0.25">
      <c r="A506" s="113" t="s">
        <v>2202</v>
      </c>
      <c r="B506" s="114" t="s">
        <v>2203</v>
      </c>
      <c r="C506" s="115" t="s">
        <v>93</v>
      </c>
      <c r="D506" s="115">
        <v>0</v>
      </c>
      <c r="E506" s="135">
        <f ca="1">OFFSET(INDEX(Composições!A:J,MATCH(Orçamentária!A506,Composições!A:A,0),8),2,0)</f>
        <v>18.078500000000002</v>
      </c>
      <c r="F506" s="136">
        <f t="shared" ca="1" si="21"/>
        <v>0</v>
      </c>
      <c r="G506" s="137" t="e">
        <f>IF(A506&lt;&gt;"",IF(AND(#REF!="Padrão",$H$4=#REF!),BDI!$B$17,IF(AND(#REF!="Padrão",$H$4=#REF!),BDI!#REF!,IF(AND(#REF!="Diferenciado",$H$4=#REF!),BDI!$E$17,IF(AND(#REF!="Diferenciado",$H$4=#REF!),BDI!#REF!,IF(#REF!="ZERO",0))))),"")</f>
        <v>#REF!</v>
      </c>
      <c r="H506" s="138" t="e">
        <f t="shared" ca="1" si="22"/>
        <v>#REF!</v>
      </c>
      <c r="I506" s="136" t="e">
        <f t="shared" ca="1" si="23"/>
        <v>#REF!</v>
      </c>
    </row>
    <row r="507" spans="1:9" hidden="1" x14ac:dyDescent="0.25">
      <c r="A507" s="113" t="s">
        <v>2204</v>
      </c>
      <c r="B507" s="114" t="s">
        <v>2205</v>
      </c>
      <c r="C507" s="115" t="s">
        <v>93</v>
      </c>
      <c r="D507" s="115">
        <v>0</v>
      </c>
      <c r="E507" s="135">
        <f ca="1">OFFSET(INDEX(Composições!A:J,MATCH(Orçamentária!A507,Composições!A:A,0),8),2,0)</f>
        <v>20.215049999999998</v>
      </c>
      <c r="F507" s="136">
        <f t="shared" ca="1" si="21"/>
        <v>0</v>
      </c>
      <c r="G507" s="137" t="e">
        <f>IF(A507&lt;&gt;"",IF(AND(#REF!="Padrão",$H$4=#REF!),BDI!$B$17,IF(AND(#REF!="Padrão",$H$4=#REF!),BDI!#REF!,IF(AND(#REF!="Diferenciado",$H$4=#REF!),BDI!$E$17,IF(AND(#REF!="Diferenciado",$H$4=#REF!),BDI!#REF!,IF(#REF!="ZERO",0))))),"")</f>
        <v>#REF!</v>
      </c>
      <c r="H507" s="138" t="e">
        <f t="shared" ca="1" si="22"/>
        <v>#REF!</v>
      </c>
      <c r="I507" s="136" t="e">
        <f t="shared" ca="1" si="23"/>
        <v>#REF!</v>
      </c>
    </row>
    <row r="508" spans="1:9" hidden="1" x14ac:dyDescent="0.25">
      <c r="A508" s="113" t="s">
        <v>2206</v>
      </c>
      <c r="B508" s="114" t="s">
        <v>2207</v>
      </c>
      <c r="C508" s="115" t="s">
        <v>93</v>
      </c>
      <c r="D508" s="115">
        <v>0</v>
      </c>
      <c r="E508" s="135">
        <f ca="1">OFFSET(INDEX(Composições!A:J,MATCH(Orçamentária!A508,Composições!A:A,0),8),2,0)</f>
        <v>29.829524999999997</v>
      </c>
      <c r="F508" s="136">
        <f t="shared" ca="1" si="21"/>
        <v>0</v>
      </c>
      <c r="G508" s="137" t="e">
        <f>IF(A508&lt;&gt;"",IF(AND(#REF!="Padrão",$H$4=#REF!),BDI!$B$17,IF(AND(#REF!="Padrão",$H$4=#REF!),BDI!#REF!,IF(AND(#REF!="Diferenciado",$H$4=#REF!),BDI!$E$17,IF(AND(#REF!="Diferenciado",$H$4=#REF!),BDI!#REF!,IF(#REF!="ZERO",0))))),"")</f>
        <v>#REF!</v>
      </c>
      <c r="H508" s="138" t="e">
        <f t="shared" ca="1" si="22"/>
        <v>#REF!</v>
      </c>
      <c r="I508" s="136" t="e">
        <f t="shared" ca="1" si="23"/>
        <v>#REF!</v>
      </c>
    </row>
    <row r="509" spans="1:9" hidden="1" x14ac:dyDescent="0.25">
      <c r="A509" s="113" t="s">
        <v>2208</v>
      </c>
      <c r="B509" s="114" t="s">
        <v>2209</v>
      </c>
      <c r="C509" s="115" t="s">
        <v>93</v>
      </c>
      <c r="D509" s="115">
        <v>0</v>
      </c>
      <c r="E509" s="135">
        <f ca="1">OFFSET(INDEX(Composições!A:J,MATCH(Orçamentária!A509,Composições!A:A,0),8),2,0)</f>
        <v>5.8344249999999995</v>
      </c>
      <c r="F509" s="136">
        <f t="shared" ca="1" si="21"/>
        <v>0</v>
      </c>
      <c r="G509" s="137" t="e">
        <f>IF(A509&lt;&gt;"",IF(AND(#REF!="Padrão",$H$4=#REF!),BDI!$B$17,IF(AND(#REF!="Padrão",$H$4=#REF!),BDI!#REF!,IF(AND(#REF!="Diferenciado",$H$4=#REF!),BDI!$E$17,IF(AND(#REF!="Diferenciado",$H$4=#REF!),BDI!#REF!,IF(#REF!="ZERO",0))))),"")</f>
        <v>#REF!</v>
      </c>
      <c r="H509" s="138" t="e">
        <f t="shared" ca="1" si="22"/>
        <v>#REF!</v>
      </c>
      <c r="I509" s="136" t="e">
        <f t="shared" ca="1" si="23"/>
        <v>#REF!</v>
      </c>
    </row>
    <row r="510" spans="1:9" hidden="1" x14ac:dyDescent="0.25">
      <c r="A510" s="113" t="s">
        <v>2210</v>
      </c>
      <c r="B510" s="114" t="s">
        <v>2211</v>
      </c>
      <c r="C510" s="115" t="s">
        <v>42</v>
      </c>
      <c r="D510" s="115">
        <v>0</v>
      </c>
      <c r="E510" s="135">
        <f ca="1">OFFSET(INDEX(Composições!A:J,MATCH(Orçamentária!A510,Composições!A:A,0),8),2,0)</f>
        <v>12.378499999999999</v>
      </c>
      <c r="F510" s="136">
        <f t="shared" ca="1" si="21"/>
        <v>0</v>
      </c>
      <c r="G510" s="137" t="e">
        <f>IF(A510&lt;&gt;"",IF(AND(#REF!="Padrão",$H$4=#REF!),BDI!$B$17,IF(AND(#REF!="Padrão",$H$4=#REF!),BDI!#REF!,IF(AND(#REF!="Diferenciado",$H$4=#REF!),BDI!$E$17,IF(AND(#REF!="Diferenciado",$H$4=#REF!),BDI!#REF!,IF(#REF!="ZERO",0))))),"")</f>
        <v>#REF!</v>
      </c>
      <c r="H510" s="138" t="e">
        <f t="shared" ca="1" si="22"/>
        <v>#REF!</v>
      </c>
      <c r="I510" s="136" t="e">
        <f t="shared" ca="1" si="23"/>
        <v>#REF!</v>
      </c>
    </row>
    <row r="511" spans="1:9" hidden="1" x14ac:dyDescent="0.25">
      <c r="A511" s="113" t="s">
        <v>2212</v>
      </c>
      <c r="B511" s="114" t="s">
        <v>2213</v>
      </c>
      <c r="C511" s="115" t="s">
        <v>93</v>
      </c>
      <c r="D511" s="115">
        <v>0</v>
      </c>
      <c r="E511" s="135">
        <f ca="1">OFFSET(INDEX(Composições!A:J,MATCH(Orçamentária!A511,Composições!A:A,0),8),2,0)</f>
        <v>7.1341200000000002</v>
      </c>
      <c r="F511" s="136">
        <f t="shared" ca="1" si="21"/>
        <v>0</v>
      </c>
      <c r="G511" s="137" t="e">
        <f>IF(A511&lt;&gt;"",IF(AND(#REF!="Padrão",$H$4=#REF!),BDI!$B$17,IF(AND(#REF!="Padrão",$H$4=#REF!),BDI!#REF!,IF(AND(#REF!="Diferenciado",$H$4=#REF!),BDI!$E$17,IF(AND(#REF!="Diferenciado",$H$4=#REF!),BDI!#REF!,IF(#REF!="ZERO",0))))),"")</f>
        <v>#REF!</v>
      </c>
      <c r="H511" s="138" t="e">
        <f t="shared" ca="1" si="22"/>
        <v>#REF!</v>
      </c>
      <c r="I511" s="136" t="e">
        <f t="shared" ca="1" si="23"/>
        <v>#REF!</v>
      </c>
    </row>
    <row r="512" spans="1:9" hidden="1" x14ac:dyDescent="0.25">
      <c r="A512" s="113" t="s">
        <v>2214</v>
      </c>
      <c r="B512" s="114" t="s">
        <v>2215</v>
      </c>
      <c r="C512" s="115" t="s">
        <v>93</v>
      </c>
      <c r="D512" s="115">
        <v>0</v>
      </c>
      <c r="E512" s="135">
        <f ca="1">OFFSET(INDEX(Composições!A:J,MATCH(Orçamentária!A512,Composições!A:A,0),8),2,0)</f>
        <v>10.7578</v>
      </c>
      <c r="F512" s="136">
        <f t="shared" ca="1" si="21"/>
        <v>0</v>
      </c>
      <c r="G512" s="137" t="e">
        <f>IF(A512&lt;&gt;"",IF(AND(#REF!="Padrão",$H$4=#REF!),BDI!$B$17,IF(AND(#REF!="Padrão",$H$4=#REF!),BDI!#REF!,IF(AND(#REF!="Diferenciado",$H$4=#REF!),BDI!$E$17,IF(AND(#REF!="Diferenciado",$H$4=#REF!),BDI!#REF!,IF(#REF!="ZERO",0))))),"")</f>
        <v>#REF!</v>
      </c>
      <c r="H512" s="138" t="e">
        <f t="shared" ca="1" si="22"/>
        <v>#REF!</v>
      </c>
      <c r="I512" s="136" t="e">
        <f t="shared" ca="1" si="23"/>
        <v>#REF!</v>
      </c>
    </row>
    <row r="513" spans="1:9" hidden="1" x14ac:dyDescent="0.25">
      <c r="A513" s="113" t="s">
        <v>2216</v>
      </c>
      <c r="B513" s="114" t="s">
        <v>2217</v>
      </c>
      <c r="C513" s="115" t="s">
        <v>93</v>
      </c>
      <c r="D513" s="115">
        <v>0</v>
      </c>
      <c r="E513" s="135">
        <f ca="1">OFFSET(INDEX(Composições!A:J,MATCH(Orçamentária!A513,Composições!A:A,0),8),2,0)</f>
        <v>12.569640000000001</v>
      </c>
      <c r="F513" s="136">
        <f t="shared" ca="1" si="21"/>
        <v>0</v>
      </c>
      <c r="G513" s="137" t="e">
        <f>IF(A513&lt;&gt;"",IF(AND(#REF!="Padrão",$H$4=#REF!),BDI!$B$17,IF(AND(#REF!="Padrão",$H$4=#REF!),BDI!#REF!,IF(AND(#REF!="Diferenciado",$H$4=#REF!),BDI!$E$17,IF(AND(#REF!="Diferenciado",$H$4=#REF!),BDI!#REF!,IF(#REF!="ZERO",0))))),"")</f>
        <v>#REF!</v>
      </c>
      <c r="H513" s="138" t="e">
        <f t="shared" ca="1" si="22"/>
        <v>#REF!</v>
      </c>
      <c r="I513" s="136" t="e">
        <f t="shared" ca="1" si="23"/>
        <v>#REF!</v>
      </c>
    </row>
    <row r="514" spans="1:9" hidden="1" x14ac:dyDescent="0.25">
      <c r="A514" s="113" t="s">
        <v>2218</v>
      </c>
      <c r="B514" s="114" t="s">
        <v>2219</v>
      </c>
      <c r="C514" s="115" t="s">
        <v>93</v>
      </c>
      <c r="D514" s="115">
        <v>0</v>
      </c>
      <c r="E514" s="135">
        <f ca="1">OFFSET(INDEX(Composições!A:J,MATCH(Orçamentária!A514,Composições!A:A,0),8),2,0)</f>
        <v>5.4355199999999995</v>
      </c>
      <c r="F514" s="136">
        <f t="shared" ca="1" si="21"/>
        <v>0</v>
      </c>
      <c r="G514" s="137" t="e">
        <f>IF(A514&lt;&gt;"",IF(AND(#REF!="Padrão",$H$4=#REF!),BDI!$B$17,IF(AND(#REF!="Padrão",$H$4=#REF!),BDI!#REF!,IF(AND(#REF!="Diferenciado",$H$4=#REF!),BDI!$E$17,IF(AND(#REF!="Diferenciado",$H$4=#REF!),BDI!#REF!,IF(#REF!="ZERO",0))))),"")</f>
        <v>#REF!</v>
      </c>
      <c r="H514" s="138" t="e">
        <f t="shared" ca="1" si="22"/>
        <v>#REF!</v>
      </c>
      <c r="I514" s="136" t="e">
        <f t="shared" ca="1" si="23"/>
        <v>#REF!</v>
      </c>
    </row>
    <row r="515" spans="1:9" hidden="1" x14ac:dyDescent="0.25">
      <c r="A515" s="113" t="s">
        <v>2220</v>
      </c>
      <c r="B515" s="114" t="s">
        <v>2221</v>
      </c>
      <c r="C515" s="115" t="s">
        <v>93</v>
      </c>
      <c r="D515" s="115">
        <v>0</v>
      </c>
      <c r="E515" s="135">
        <f ca="1">OFFSET(INDEX(Composições!A:J,MATCH(Orçamentária!A515,Composições!A:A,0),8),2,0)</f>
        <v>8.0400399999999994</v>
      </c>
      <c r="F515" s="136">
        <f t="shared" ca="1" si="21"/>
        <v>0</v>
      </c>
      <c r="G515" s="137" t="e">
        <f>IF(A515&lt;&gt;"",IF(AND(#REF!="Padrão",$H$4=#REF!),BDI!$B$17,IF(AND(#REF!="Padrão",$H$4=#REF!),BDI!#REF!,IF(AND(#REF!="Diferenciado",$H$4=#REF!),BDI!$E$17,IF(AND(#REF!="Diferenciado",$H$4=#REF!),BDI!#REF!,IF(#REF!="ZERO",0))))),"")</f>
        <v>#REF!</v>
      </c>
      <c r="H515" s="138" t="e">
        <f t="shared" ca="1" si="22"/>
        <v>#REF!</v>
      </c>
      <c r="I515" s="136" t="e">
        <f t="shared" ca="1" si="23"/>
        <v>#REF!</v>
      </c>
    </row>
    <row r="516" spans="1:9" hidden="1" x14ac:dyDescent="0.25">
      <c r="A516" s="113" t="s">
        <v>2222</v>
      </c>
      <c r="B516" s="114" t="s">
        <v>2223</v>
      </c>
      <c r="C516" s="115" t="s">
        <v>93</v>
      </c>
      <c r="D516" s="115">
        <v>0</v>
      </c>
      <c r="E516" s="135">
        <f ca="1">OFFSET(INDEX(Composições!A:J,MATCH(Orçamentária!A516,Composições!A:A,0),8),2,0)</f>
        <v>4.5296000000000003</v>
      </c>
      <c r="F516" s="136">
        <f t="shared" ca="1" si="21"/>
        <v>0</v>
      </c>
      <c r="G516" s="137" t="e">
        <f>IF(A516&lt;&gt;"",IF(AND(#REF!="Padrão",$H$4=#REF!),BDI!$B$17,IF(AND(#REF!="Padrão",$H$4=#REF!),BDI!#REF!,IF(AND(#REF!="Diferenciado",$H$4=#REF!),BDI!$E$17,IF(AND(#REF!="Diferenciado",$H$4=#REF!),BDI!#REF!,IF(#REF!="ZERO",0))))),"")</f>
        <v>#REF!</v>
      </c>
      <c r="H516" s="138" t="e">
        <f t="shared" ca="1" si="22"/>
        <v>#REF!</v>
      </c>
      <c r="I516" s="136" t="e">
        <f t="shared" ca="1" si="23"/>
        <v>#REF!</v>
      </c>
    </row>
    <row r="517" spans="1:9" hidden="1" x14ac:dyDescent="0.25">
      <c r="A517" s="113" t="s">
        <v>2224</v>
      </c>
      <c r="B517" s="114" t="s">
        <v>2225</v>
      </c>
      <c r="C517" s="115" t="s">
        <v>93</v>
      </c>
      <c r="D517" s="115">
        <v>0</v>
      </c>
      <c r="E517" s="135">
        <f ca="1">OFFSET(INDEX(Composições!A:J,MATCH(Orçamentária!A517,Composições!A:A,0),8),2,0)</f>
        <v>8.9459599999999995</v>
      </c>
      <c r="F517" s="136">
        <f t="shared" ca="1" si="21"/>
        <v>0</v>
      </c>
      <c r="G517" s="137" t="e">
        <f>IF(A517&lt;&gt;"",IF(AND(#REF!="Padrão",$H$4=#REF!),BDI!$B$17,IF(AND(#REF!="Padrão",$H$4=#REF!),BDI!#REF!,IF(AND(#REF!="Diferenciado",$H$4=#REF!),BDI!$E$17,IF(AND(#REF!="Diferenciado",$H$4=#REF!),BDI!#REF!,IF(#REF!="ZERO",0))))),"")</f>
        <v>#REF!</v>
      </c>
      <c r="H517" s="138" t="e">
        <f t="shared" ca="1" si="22"/>
        <v>#REF!</v>
      </c>
      <c r="I517" s="136" t="e">
        <f t="shared" ca="1" si="23"/>
        <v>#REF!</v>
      </c>
    </row>
    <row r="518" spans="1:9" hidden="1" x14ac:dyDescent="0.25">
      <c r="A518" s="113" t="s">
        <v>2226</v>
      </c>
      <c r="B518" s="114" t="s">
        <v>2227</v>
      </c>
      <c r="C518" s="115" t="s">
        <v>93</v>
      </c>
      <c r="D518" s="115">
        <v>0</v>
      </c>
      <c r="E518" s="135">
        <f ca="1">OFFSET(INDEX(Composições!A:J,MATCH(Orçamentária!A518,Composições!A:A,0),8),2,0)</f>
        <v>6.2282000000000002</v>
      </c>
      <c r="F518" s="136">
        <f t="shared" ca="1" si="21"/>
        <v>0</v>
      </c>
      <c r="G518" s="137" t="e">
        <f>IF(A518&lt;&gt;"",IF(AND(#REF!="Padrão",$H$4=#REF!),BDI!$B$17,IF(AND(#REF!="Padrão",$H$4=#REF!),BDI!#REF!,IF(AND(#REF!="Diferenciado",$H$4=#REF!),BDI!$E$17,IF(AND(#REF!="Diferenciado",$H$4=#REF!),BDI!#REF!,IF(#REF!="ZERO",0))))),"")</f>
        <v>#REF!</v>
      </c>
      <c r="H518" s="138" t="e">
        <f t="shared" ca="1" si="22"/>
        <v>#REF!</v>
      </c>
      <c r="I518" s="136" t="e">
        <f t="shared" ca="1" si="23"/>
        <v>#REF!</v>
      </c>
    </row>
    <row r="519" spans="1:9" hidden="1" x14ac:dyDescent="0.25">
      <c r="A519" s="113" t="s">
        <v>2228</v>
      </c>
      <c r="B519" s="114" t="s">
        <v>2229</v>
      </c>
      <c r="C519" s="115" t="s">
        <v>93</v>
      </c>
      <c r="D519" s="115">
        <v>0</v>
      </c>
      <c r="E519" s="135">
        <f ca="1">OFFSET(INDEX(Composições!A:J,MATCH(Orçamentária!A519,Composições!A:A,0),8),2,0)</f>
        <v>9.3989199999999986</v>
      </c>
      <c r="F519" s="136">
        <f t="shared" ref="F519:F582" ca="1" si="24">IF(ISNUMBER(E519),D519*E519,"")</f>
        <v>0</v>
      </c>
      <c r="G519" s="137" t="e">
        <f>IF(A519&lt;&gt;"",IF(AND(#REF!="Padrão",$H$4=#REF!),BDI!$B$17,IF(AND(#REF!="Padrão",$H$4=#REF!),BDI!#REF!,IF(AND(#REF!="Diferenciado",$H$4=#REF!),BDI!$E$17,IF(AND(#REF!="Diferenciado",$H$4=#REF!),BDI!#REF!,IF(#REF!="ZERO",0))))),"")</f>
        <v>#REF!</v>
      </c>
      <c r="H519" s="138" t="e">
        <f t="shared" ref="H519:H582" ca="1" si="25">IF(ISNUMBER(E519),ROUND(E519*(1+G519),2),"")</f>
        <v>#REF!</v>
      </c>
      <c r="I519" s="136" t="e">
        <f t="shared" ref="I519:I582" ca="1" si="26">IF(ISNUMBER(E519),ROUND(H519*D519,2),"")</f>
        <v>#REF!</v>
      </c>
    </row>
    <row r="520" spans="1:9" hidden="1" x14ac:dyDescent="0.25">
      <c r="A520" s="113" t="s">
        <v>2230</v>
      </c>
      <c r="B520" s="114" t="s">
        <v>2231</v>
      </c>
      <c r="C520" s="115" t="s">
        <v>93</v>
      </c>
      <c r="D520" s="115">
        <v>0</v>
      </c>
      <c r="E520" s="135" t="s">
        <v>568</v>
      </c>
      <c r="F520" s="136" t="str">
        <f t="shared" si="24"/>
        <v/>
      </c>
      <c r="G520" s="137" t="e">
        <f>IF(A520&lt;&gt;"",IF(AND(#REF!="Padrão",$H$4=#REF!),BDI!$B$17,IF(AND(#REF!="Padrão",$H$4=#REF!),BDI!#REF!,IF(AND(#REF!="Diferenciado",$H$4=#REF!),BDI!$E$17,IF(AND(#REF!="Diferenciado",$H$4=#REF!),BDI!#REF!,IF(#REF!="ZERO",0))))),"")</f>
        <v>#REF!</v>
      </c>
      <c r="H520" s="138" t="str">
        <f t="shared" si="25"/>
        <v/>
      </c>
      <c r="I520" s="136" t="str">
        <f t="shared" si="26"/>
        <v/>
      </c>
    </row>
    <row r="521" spans="1:9" hidden="1" x14ac:dyDescent="0.25">
      <c r="A521" s="113" t="s">
        <v>2232</v>
      </c>
      <c r="B521" s="114" t="s">
        <v>2233</v>
      </c>
      <c r="C521" s="115" t="s">
        <v>93</v>
      </c>
      <c r="D521" s="115">
        <v>0</v>
      </c>
      <c r="E521" s="135" t="s">
        <v>568</v>
      </c>
      <c r="F521" s="136" t="str">
        <f t="shared" si="24"/>
        <v/>
      </c>
      <c r="G521" s="137" t="e">
        <f>IF(A521&lt;&gt;"",IF(AND(#REF!="Padrão",$H$4=#REF!),BDI!$B$17,IF(AND(#REF!="Padrão",$H$4=#REF!),BDI!#REF!,IF(AND(#REF!="Diferenciado",$H$4=#REF!),BDI!$E$17,IF(AND(#REF!="Diferenciado",$H$4=#REF!),BDI!#REF!,IF(#REF!="ZERO",0))))),"")</f>
        <v>#REF!</v>
      </c>
      <c r="H521" s="138" t="str">
        <f t="shared" si="25"/>
        <v/>
      </c>
      <c r="I521" s="136" t="str">
        <f t="shared" si="26"/>
        <v/>
      </c>
    </row>
    <row r="522" spans="1:9" hidden="1" x14ac:dyDescent="0.25">
      <c r="A522" s="113" t="s">
        <v>2234</v>
      </c>
      <c r="B522" s="114" t="s">
        <v>2235</v>
      </c>
      <c r="C522" s="115" t="s">
        <v>93</v>
      </c>
      <c r="D522" s="115">
        <v>0</v>
      </c>
      <c r="E522" s="135" t="s">
        <v>568</v>
      </c>
      <c r="F522" s="136" t="str">
        <f t="shared" si="24"/>
        <v/>
      </c>
      <c r="G522" s="137" t="e">
        <f>IF(A522&lt;&gt;"",IF(AND(#REF!="Padrão",$H$4=#REF!),BDI!$B$17,IF(AND(#REF!="Padrão",$H$4=#REF!),BDI!#REF!,IF(AND(#REF!="Diferenciado",$H$4=#REF!),BDI!$E$17,IF(AND(#REF!="Diferenciado",$H$4=#REF!),BDI!#REF!,IF(#REF!="ZERO",0))))),"")</f>
        <v>#REF!</v>
      </c>
      <c r="H522" s="138" t="str">
        <f t="shared" si="25"/>
        <v/>
      </c>
      <c r="I522" s="136" t="str">
        <f t="shared" si="26"/>
        <v/>
      </c>
    </row>
    <row r="523" spans="1:9" hidden="1" x14ac:dyDescent="0.25">
      <c r="A523" s="113" t="s">
        <v>2236</v>
      </c>
      <c r="B523" s="114" t="s">
        <v>2237</v>
      </c>
      <c r="C523" s="115" t="s">
        <v>93</v>
      </c>
      <c r="D523" s="115">
        <v>0</v>
      </c>
      <c r="E523" s="135" t="s">
        <v>568</v>
      </c>
      <c r="F523" s="136" t="str">
        <f t="shared" si="24"/>
        <v/>
      </c>
      <c r="G523" s="137" t="e">
        <f>IF(A523&lt;&gt;"",IF(AND(#REF!="Padrão",$H$4=#REF!),BDI!$B$17,IF(AND(#REF!="Padrão",$H$4=#REF!),BDI!#REF!,IF(AND(#REF!="Diferenciado",$H$4=#REF!),BDI!$E$17,IF(AND(#REF!="Diferenciado",$H$4=#REF!),BDI!#REF!,IF(#REF!="ZERO",0))))),"")</f>
        <v>#REF!</v>
      </c>
      <c r="H523" s="138" t="str">
        <f t="shared" si="25"/>
        <v/>
      </c>
      <c r="I523" s="136" t="str">
        <f t="shared" si="26"/>
        <v/>
      </c>
    </row>
    <row r="524" spans="1:9" hidden="1" x14ac:dyDescent="0.25">
      <c r="A524" s="113" t="s">
        <v>2238</v>
      </c>
      <c r="B524" s="114" t="s">
        <v>2239</v>
      </c>
      <c r="C524" s="115" t="s">
        <v>93</v>
      </c>
      <c r="D524" s="115">
        <v>0</v>
      </c>
      <c r="E524" s="135" t="s">
        <v>568</v>
      </c>
      <c r="F524" s="136" t="str">
        <f t="shared" si="24"/>
        <v/>
      </c>
      <c r="G524" s="137" t="e">
        <f>IF(A524&lt;&gt;"",IF(AND(#REF!="Padrão",$H$4=#REF!),BDI!$B$17,IF(AND(#REF!="Padrão",$H$4=#REF!),BDI!#REF!,IF(AND(#REF!="Diferenciado",$H$4=#REF!),BDI!$E$17,IF(AND(#REF!="Diferenciado",$H$4=#REF!),BDI!#REF!,IF(#REF!="ZERO",0))))),"")</f>
        <v>#REF!</v>
      </c>
      <c r="H524" s="138" t="str">
        <f t="shared" si="25"/>
        <v/>
      </c>
      <c r="I524" s="136" t="str">
        <f t="shared" si="26"/>
        <v/>
      </c>
    </row>
    <row r="525" spans="1:9" hidden="1" x14ac:dyDescent="0.25">
      <c r="A525" s="113" t="s">
        <v>2240</v>
      </c>
      <c r="B525" s="114" t="s">
        <v>2241</v>
      </c>
      <c r="C525" s="115" t="s">
        <v>93</v>
      </c>
      <c r="D525" s="115">
        <v>0</v>
      </c>
      <c r="E525" s="135" t="s">
        <v>568</v>
      </c>
      <c r="F525" s="136" t="str">
        <f t="shared" si="24"/>
        <v/>
      </c>
      <c r="G525" s="137" t="e">
        <f>IF(A525&lt;&gt;"",IF(AND(#REF!="Padrão",$H$4=#REF!),BDI!$B$17,IF(AND(#REF!="Padrão",$H$4=#REF!),BDI!#REF!,IF(AND(#REF!="Diferenciado",$H$4=#REF!),BDI!$E$17,IF(AND(#REF!="Diferenciado",$H$4=#REF!),BDI!#REF!,IF(#REF!="ZERO",0))))),"")</f>
        <v>#REF!</v>
      </c>
      <c r="H525" s="138" t="str">
        <f t="shared" si="25"/>
        <v/>
      </c>
      <c r="I525" s="136" t="str">
        <f t="shared" si="26"/>
        <v/>
      </c>
    </row>
    <row r="526" spans="1:9" hidden="1" x14ac:dyDescent="0.25">
      <c r="A526" s="113" t="s">
        <v>2242</v>
      </c>
      <c r="B526" s="114" t="s">
        <v>2243</v>
      </c>
      <c r="C526" s="115" t="s">
        <v>93</v>
      </c>
      <c r="D526" s="115">
        <v>0</v>
      </c>
      <c r="E526" s="135" t="s">
        <v>568</v>
      </c>
      <c r="F526" s="136" t="str">
        <f t="shared" si="24"/>
        <v/>
      </c>
      <c r="G526" s="137" t="e">
        <f>IF(A526&lt;&gt;"",IF(AND(#REF!="Padrão",$H$4=#REF!),BDI!$B$17,IF(AND(#REF!="Padrão",$H$4=#REF!),BDI!#REF!,IF(AND(#REF!="Diferenciado",$H$4=#REF!),BDI!$E$17,IF(AND(#REF!="Diferenciado",$H$4=#REF!),BDI!#REF!,IF(#REF!="ZERO",0))))),"")</f>
        <v>#REF!</v>
      </c>
      <c r="H526" s="138" t="str">
        <f t="shared" si="25"/>
        <v/>
      </c>
      <c r="I526" s="136" t="str">
        <f t="shared" si="26"/>
        <v/>
      </c>
    </row>
    <row r="527" spans="1:9" hidden="1" x14ac:dyDescent="0.25">
      <c r="A527" s="113" t="s">
        <v>2244</v>
      </c>
      <c r="B527" s="114" t="s">
        <v>2245</v>
      </c>
      <c r="C527" s="115" t="s">
        <v>93</v>
      </c>
      <c r="D527" s="115">
        <v>0</v>
      </c>
      <c r="E527" s="135" t="s">
        <v>568</v>
      </c>
      <c r="F527" s="136" t="str">
        <f t="shared" si="24"/>
        <v/>
      </c>
      <c r="G527" s="137" t="e">
        <f>IF(A527&lt;&gt;"",IF(AND(#REF!="Padrão",$H$4=#REF!),BDI!$B$17,IF(AND(#REF!="Padrão",$H$4=#REF!),BDI!#REF!,IF(AND(#REF!="Diferenciado",$H$4=#REF!),BDI!$E$17,IF(AND(#REF!="Diferenciado",$H$4=#REF!),BDI!#REF!,IF(#REF!="ZERO",0))))),"")</f>
        <v>#REF!</v>
      </c>
      <c r="H527" s="138" t="str">
        <f t="shared" si="25"/>
        <v/>
      </c>
      <c r="I527" s="136" t="str">
        <f t="shared" si="26"/>
        <v/>
      </c>
    </row>
    <row r="528" spans="1:9" hidden="1" x14ac:dyDescent="0.25">
      <c r="A528" s="113" t="s">
        <v>2246</v>
      </c>
      <c r="B528" s="114" t="s">
        <v>2247</v>
      </c>
      <c r="C528" s="115" t="s">
        <v>93</v>
      </c>
      <c r="D528" s="115">
        <v>0</v>
      </c>
      <c r="E528" s="135" t="s">
        <v>568</v>
      </c>
      <c r="F528" s="136" t="str">
        <f t="shared" si="24"/>
        <v/>
      </c>
      <c r="G528" s="137" t="e">
        <f>IF(A528&lt;&gt;"",IF(AND(#REF!="Padrão",$H$4=#REF!),BDI!$B$17,IF(AND(#REF!="Padrão",$H$4=#REF!),BDI!#REF!,IF(AND(#REF!="Diferenciado",$H$4=#REF!),BDI!$E$17,IF(AND(#REF!="Diferenciado",$H$4=#REF!),BDI!#REF!,IF(#REF!="ZERO",0))))),"")</f>
        <v>#REF!</v>
      </c>
      <c r="H528" s="138" t="str">
        <f t="shared" si="25"/>
        <v/>
      </c>
      <c r="I528" s="136" t="str">
        <f t="shared" si="26"/>
        <v/>
      </c>
    </row>
    <row r="529" spans="1:9" hidden="1" x14ac:dyDescent="0.25">
      <c r="A529" s="113" t="s">
        <v>2248</v>
      </c>
      <c r="B529" s="114" t="s">
        <v>2249</v>
      </c>
      <c r="C529" s="115" t="s">
        <v>93</v>
      </c>
      <c r="D529" s="115">
        <v>0</v>
      </c>
      <c r="E529" s="135" t="s">
        <v>568</v>
      </c>
      <c r="F529" s="136" t="str">
        <f t="shared" si="24"/>
        <v/>
      </c>
      <c r="G529" s="137" t="e">
        <f>IF(A529&lt;&gt;"",IF(AND(#REF!="Padrão",$H$4=#REF!),BDI!$B$17,IF(AND(#REF!="Padrão",$H$4=#REF!),BDI!#REF!,IF(AND(#REF!="Diferenciado",$H$4=#REF!),BDI!$E$17,IF(AND(#REF!="Diferenciado",$H$4=#REF!),BDI!#REF!,IF(#REF!="ZERO",0))))),"")</f>
        <v>#REF!</v>
      </c>
      <c r="H529" s="138" t="str">
        <f t="shared" si="25"/>
        <v/>
      </c>
      <c r="I529" s="136" t="str">
        <f t="shared" si="26"/>
        <v/>
      </c>
    </row>
    <row r="530" spans="1:9" hidden="1" x14ac:dyDescent="0.25">
      <c r="A530" s="113" t="s">
        <v>2250</v>
      </c>
      <c r="B530" s="114" t="s">
        <v>2251</v>
      </c>
      <c r="C530" s="115" t="s">
        <v>93</v>
      </c>
      <c r="D530" s="115">
        <v>0</v>
      </c>
      <c r="E530" s="135" t="s">
        <v>568</v>
      </c>
      <c r="F530" s="136" t="str">
        <f t="shared" si="24"/>
        <v/>
      </c>
      <c r="G530" s="137" t="e">
        <f>IF(A530&lt;&gt;"",IF(AND(#REF!="Padrão",$H$4=#REF!),BDI!$B$17,IF(AND(#REF!="Padrão",$H$4=#REF!),BDI!#REF!,IF(AND(#REF!="Diferenciado",$H$4=#REF!),BDI!$E$17,IF(AND(#REF!="Diferenciado",$H$4=#REF!),BDI!#REF!,IF(#REF!="ZERO",0))))),"")</f>
        <v>#REF!</v>
      </c>
      <c r="H530" s="138" t="str">
        <f t="shared" si="25"/>
        <v/>
      </c>
      <c r="I530" s="136" t="str">
        <f t="shared" si="26"/>
        <v/>
      </c>
    </row>
    <row r="531" spans="1:9" hidden="1" x14ac:dyDescent="0.25">
      <c r="A531" s="113" t="s">
        <v>2252</v>
      </c>
      <c r="B531" s="114" t="s">
        <v>2253</v>
      </c>
      <c r="C531" s="115" t="s">
        <v>93</v>
      </c>
      <c r="D531" s="115">
        <v>0</v>
      </c>
      <c r="E531" s="135" t="s">
        <v>568</v>
      </c>
      <c r="F531" s="136" t="str">
        <f t="shared" si="24"/>
        <v/>
      </c>
      <c r="G531" s="137" t="e">
        <f>IF(A531&lt;&gt;"",IF(AND(#REF!="Padrão",$H$4=#REF!),BDI!$B$17,IF(AND(#REF!="Padrão",$H$4=#REF!),BDI!#REF!,IF(AND(#REF!="Diferenciado",$H$4=#REF!),BDI!$E$17,IF(AND(#REF!="Diferenciado",$H$4=#REF!),BDI!#REF!,IF(#REF!="ZERO",0))))),"")</f>
        <v>#REF!</v>
      </c>
      <c r="H531" s="138" t="str">
        <f t="shared" si="25"/>
        <v/>
      </c>
      <c r="I531" s="136" t="str">
        <f t="shared" si="26"/>
        <v/>
      </c>
    </row>
    <row r="532" spans="1:9" hidden="1" x14ac:dyDescent="0.25">
      <c r="A532" s="113" t="s">
        <v>2254</v>
      </c>
      <c r="B532" s="114" t="s">
        <v>2255</v>
      </c>
      <c r="C532" s="115" t="s">
        <v>93</v>
      </c>
      <c r="D532" s="115">
        <v>0</v>
      </c>
      <c r="E532" s="135" t="s">
        <v>568</v>
      </c>
      <c r="F532" s="136" t="str">
        <f t="shared" si="24"/>
        <v/>
      </c>
      <c r="G532" s="137" t="e">
        <f>IF(A532&lt;&gt;"",IF(AND(#REF!="Padrão",$H$4=#REF!),BDI!$B$17,IF(AND(#REF!="Padrão",$H$4=#REF!),BDI!#REF!,IF(AND(#REF!="Diferenciado",$H$4=#REF!),BDI!$E$17,IF(AND(#REF!="Diferenciado",$H$4=#REF!),BDI!#REF!,IF(#REF!="ZERO",0))))),"")</f>
        <v>#REF!</v>
      </c>
      <c r="H532" s="138" t="str">
        <f t="shared" si="25"/>
        <v/>
      </c>
      <c r="I532" s="136" t="str">
        <f t="shared" si="26"/>
        <v/>
      </c>
    </row>
    <row r="533" spans="1:9" hidden="1" x14ac:dyDescent="0.25">
      <c r="A533" s="113" t="s">
        <v>2256</v>
      </c>
      <c r="B533" s="114" t="s">
        <v>2257</v>
      </c>
      <c r="C533" s="115" t="s">
        <v>93</v>
      </c>
      <c r="D533" s="115">
        <v>0</v>
      </c>
      <c r="E533" s="135" t="s">
        <v>568</v>
      </c>
      <c r="F533" s="136" t="str">
        <f t="shared" si="24"/>
        <v/>
      </c>
      <c r="G533" s="137" t="e">
        <f>IF(A533&lt;&gt;"",IF(AND(#REF!="Padrão",$H$4=#REF!),BDI!$B$17,IF(AND(#REF!="Padrão",$H$4=#REF!),BDI!#REF!,IF(AND(#REF!="Diferenciado",$H$4=#REF!),BDI!$E$17,IF(AND(#REF!="Diferenciado",$H$4=#REF!),BDI!#REF!,IF(#REF!="ZERO",0))))),"")</f>
        <v>#REF!</v>
      </c>
      <c r="H533" s="138" t="str">
        <f t="shared" si="25"/>
        <v/>
      </c>
      <c r="I533" s="136" t="str">
        <f t="shared" si="26"/>
        <v/>
      </c>
    </row>
    <row r="534" spans="1:9" hidden="1" x14ac:dyDescent="0.25">
      <c r="A534" s="113" t="s">
        <v>2258</v>
      </c>
      <c r="B534" s="114" t="s">
        <v>2259</v>
      </c>
      <c r="C534" s="115" t="s">
        <v>93</v>
      </c>
      <c r="D534" s="115">
        <v>0</v>
      </c>
      <c r="E534" s="135" t="s">
        <v>568</v>
      </c>
      <c r="F534" s="136" t="str">
        <f t="shared" si="24"/>
        <v/>
      </c>
      <c r="G534" s="137" t="e">
        <f>IF(A534&lt;&gt;"",IF(AND(#REF!="Padrão",$H$4=#REF!),BDI!$B$17,IF(AND(#REF!="Padrão",$H$4=#REF!),BDI!#REF!,IF(AND(#REF!="Diferenciado",$H$4=#REF!),BDI!$E$17,IF(AND(#REF!="Diferenciado",$H$4=#REF!),BDI!#REF!,IF(#REF!="ZERO",0))))),"")</f>
        <v>#REF!</v>
      </c>
      <c r="H534" s="138" t="str">
        <f t="shared" si="25"/>
        <v/>
      </c>
      <c r="I534" s="136" t="str">
        <f t="shared" si="26"/>
        <v/>
      </c>
    </row>
    <row r="535" spans="1:9" hidden="1" x14ac:dyDescent="0.25">
      <c r="A535" s="113" t="s">
        <v>2260</v>
      </c>
      <c r="B535" s="114" t="s">
        <v>2261</v>
      </c>
      <c r="C535" s="115" t="s">
        <v>93</v>
      </c>
      <c r="D535" s="115">
        <v>0</v>
      </c>
      <c r="E535" s="135" t="s">
        <v>568</v>
      </c>
      <c r="F535" s="136" t="str">
        <f t="shared" si="24"/>
        <v/>
      </c>
      <c r="G535" s="137" t="e">
        <f>IF(A535&lt;&gt;"",IF(AND(#REF!="Padrão",$H$4=#REF!),BDI!$B$17,IF(AND(#REF!="Padrão",$H$4=#REF!),BDI!#REF!,IF(AND(#REF!="Diferenciado",$H$4=#REF!),BDI!$E$17,IF(AND(#REF!="Diferenciado",$H$4=#REF!),BDI!#REF!,IF(#REF!="ZERO",0))))),"")</f>
        <v>#REF!</v>
      </c>
      <c r="H535" s="138" t="str">
        <f t="shared" si="25"/>
        <v/>
      </c>
      <c r="I535" s="136" t="str">
        <f t="shared" si="26"/>
        <v/>
      </c>
    </row>
    <row r="536" spans="1:9" hidden="1" x14ac:dyDescent="0.25">
      <c r="A536" s="113" t="s">
        <v>2262</v>
      </c>
      <c r="B536" s="114" t="s">
        <v>2263</v>
      </c>
      <c r="C536" s="115" t="s">
        <v>93</v>
      </c>
      <c r="D536" s="115">
        <v>0</v>
      </c>
      <c r="E536" s="135" t="s">
        <v>568</v>
      </c>
      <c r="F536" s="136" t="str">
        <f t="shared" si="24"/>
        <v/>
      </c>
      <c r="G536" s="137" t="e">
        <f>IF(A536&lt;&gt;"",IF(AND(#REF!="Padrão",$H$4=#REF!),BDI!$B$17,IF(AND(#REF!="Padrão",$H$4=#REF!),BDI!#REF!,IF(AND(#REF!="Diferenciado",$H$4=#REF!),BDI!$E$17,IF(AND(#REF!="Diferenciado",$H$4=#REF!),BDI!#REF!,IF(#REF!="ZERO",0))))),"")</f>
        <v>#REF!</v>
      </c>
      <c r="H536" s="138" t="str">
        <f t="shared" si="25"/>
        <v/>
      </c>
      <c r="I536" s="136" t="str">
        <f t="shared" si="26"/>
        <v/>
      </c>
    </row>
    <row r="537" spans="1:9" hidden="1" x14ac:dyDescent="0.25">
      <c r="A537" s="113" t="s">
        <v>2264</v>
      </c>
      <c r="B537" s="114" t="s">
        <v>2265</v>
      </c>
      <c r="C537" s="115" t="s">
        <v>93</v>
      </c>
      <c r="D537" s="115">
        <v>0</v>
      </c>
      <c r="E537" s="135" t="s">
        <v>568</v>
      </c>
      <c r="F537" s="136" t="str">
        <f t="shared" si="24"/>
        <v/>
      </c>
      <c r="G537" s="137" t="e">
        <f>IF(A537&lt;&gt;"",IF(AND(#REF!="Padrão",$H$4=#REF!),BDI!$B$17,IF(AND(#REF!="Padrão",$H$4=#REF!),BDI!#REF!,IF(AND(#REF!="Diferenciado",$H$4=#REF!),BDI!$E$17,IF(AND(#REF!="Diferenciado",$H$4=#REF!),BDI!#REF!,IF(#REF!="ZERO",0))))),"")</f>
        <v>#REF!</v>
      </c>
      <c r="H537" s="138" t="str">
        <f t="shared" si="25"/>
        <v/>
      </c>
      <c r="I537" s="136" t="str">
        <f t="shared" si="26"/>
        <v/>
      </c>
    </row>
    <row r="538" spans="1:9" hidden="1" x14ac:dyDescent="0.25">
      <c r="A538" s="113" t="s">
        <v>2266</v>
      </c>
      <c r="B538" s="114" t="s">
        <v>2267</v>
      </c>
      <c r="C538" s="115" t="s">
        <v>93</v>
      </c>
      <c r="D538" s="115">
        <v>0</v>
      </c>
      <c r="E538" s="135" t="s">
        <v>568</v>
      </c>
      <c r="F538" s="136" t="str">
        <f t="shared" si="24"/>
        <v/>
      </c>
      <c r="G538" s="137" t="e">
        <f>IF(A538&lt;&gt;"",IF(AND(#REF!="Padrão",$H$4=#REF!),BDI!$B$17,IF(AND(#REF!="Padrão",$H$4=#REF!),BDI!#REF!,IF(AND(#REF!="Diferenciado",$H$4=#REF!),BDI!$E$17,IF(AND(#REF!="Diferenciado",$H$4=#REF!),BDI!#REF!,IF(#REF!="ZERO",0))))),"")</f>
        <v>#REF!</v>
      </c>
      <c r="H538" s="138" t="str">
        <f t="shared" si="25"/>
        <v/>
      </c>
      <c r="I538" s="136" t="str">
        <f t="shared" si="26"/>
        <v/>
      </c>
    </row>
    <row r="539" spans="1:9" hidden="1" x14ac:dyDescent="0.25">
      <c r="A539" s="113" t="s">
        <v>2268</v>
      </c>
      <c r="B539" s="114" t="s">
        <v>2269</v>
      </c>
      <c r="C539" s="115" t="s">
        <v>93</v>
      </c>
      <c r="D539" s="115">
        <v>0</v>
      </c>
      <c r="E539" s="135" t="s">
        <v>568</v>
      </c>
      <c r="F539" s="136" t="str">
        <f t="shared" si="24"/>
        <v/>
      </c>
      <c r="G539" s="137" t="e">
        <f>IF(A539&lt;&gt;"",IF(AND(#REF!="Padrão",$H$4=#REF!),BDI!$B$17,IF(AND(#REF!="Padrão",$H$4=#REF!),BDI!#REF!,IF(AND(#REF!="Diferenciado",$H$4=#REF!),BDI!$E$17,IF(AND(#REF!="Diferenciado",$H$4=#REF!),BDI!#REF!,IF(#REF!="ZERO",0))))),"")</f>
        <v>#REF!</v>
      </c>
      <c r="H539" s="138" t="str">
        <f t="shared" si="25"/>
        <v/>
      </c>
      <c r="I539" s="136" t="str">
        <f t="shared" si="26"/>
        <v/>
      </c>
    </row>
    <row r="540" spans="1:9" hidden="1" x14ac:dyDescent="0.25">
      <c r="A540" s="113" t="s">
        <v>2270</v>
      </c>
      <c r="B540" s="114" t="s">
        <v>2271</v>
      </c>
      <c r="C540" s="115" t="s">
        <v>93</v>
      </c>
      <c r="D540" s="115">
        <v>0</v>
      </c>
      <c r="E540" s="135" t="s">
        <v>568</v>
      </c>
      <c r="F540" s="136" t="str">
        <f t="shared" si="24"/>
        <v/>
      </c>
      <c r="G540" s="137" t="e">
        <f>IF(A540&lt;&gt;"",IF(AND(#REF!="Padrão",$H$4=#REF!),BDI!$B$17,IF(AND(#REF!="Padrão",$H$4=#REF!),BDI!#REF!,IF(AND(#REF!="Diferenciado",$H$4=#REF!),BDI!$E$17,IF(AND(#REF!="Diferenciado",$H$4=#REF!),BDI!#REF!,IF(#REF!="ZERO",0))))),"")</f>
        <v>#REF!</v>
      </c>
      <c r="H540" s="138" t="str">
        <f t="shared" si="25"/>
        <v/>
      </c>
      <c r="I540" s="136" t="str">
        <f t="shared" si="26"/>
        <v/>
      </c>
    </row>
    <row r="541" spans="1:9" hidden="1" x14ac:dyDescent="0.25">
      <c r="A541" s="113" t="s">
        <v>2272</v>
      </c>
      <c r="B541" s="114" t="s">
        <v>2273</v>
      </c>
      <c r="C541" s="115" t="s">
        <v>93</v>
      </c>
      <c r="D541" s="115">
        <v>0</v>
      </c>
      <c r="E541" s="135" t="s">
        <v>568</v>
      </c>
      <c r="F541" s="136" t="str">
        <f t="shared" si="24"/>
        <v/>
      </c>
      <c r="G541" s="137" t="e">
        <f>IF(A541&lt;&gt;"",IF(AND(#REF!="Padrão",$H$4=#REF!),BDI!$B$17,IF(AND(#REF!="Padrão",$H$4=#REF!),BDI!#REF!,IF(AND(#REF!="Diferenciado",$H$4=#REF!),BDI!$E$17,IF(AND(#REF!="Diferenciado",$H$4=#REF!),BDI!#REF!,IF(#REF!="ZERO",0))))),"")</f>
        <v>#REF!</v>
      </c>
      <c r="H541" s="138" t="str">
        <f t="shared" si="25"/>
        <v/>
      </c>
      <c r="I541" s="136" t="str">
        <f t="shared" si="26"/>
        <v/>
      </c>
    </row>
    <row r="542" spans="1:9" hidden="1" x14ac:dyDescent="0.25">
      <c r="A542" s="113" t="s">
        <v>2274</v>
      </c>
      <c r="B542" s="114" t="s">
        <v>2275</v>
      </c>
      <c r="C542" s="115" t="s">
        <v>93</v>
      </c>
      <c r="D542" s="115">
        <v>0</v>
      </c>
      <c r="E542" s="135" t="s">
        <v>568</v>
      </c>
      <c r="F542" s="136" t="str">
        <f t="shared" si="24"/>
        <v/>
      </c>
      <c r="G542" s="137" t="e">
        <f>IF(A542&lt;&gt;"",IF(AND(#REF!="Padrão",$H$4=#REF!),BDI!$B$17,IF(AND(#REF!="Padrão",$H$4=#REF!),BDI!#REF!,IF(AND(#REF!="Diferenciado",$H$4=#REF!),BDI!$E$17,IF(AND(#REF!="Diferenciado",$H$4=#REF!),BDI!#REF!,IF(#REF!="ZERO",0))))),"")</f>
        <v>#REF!</v>
      </c>
      <c r="H542" s="138" t="str">
        <f t="shared" si="25"/>
        <v/>
      </c>
      <c r="I542" s="136" t="str">
        <f t="shared" si="26"/>
        <v/>
      </c>
    </row>
    <row r="543" spans="1:9" hidden="1" x14ac:dyDescent="0.25">
      <c r="A543" s="113" t="s">
        <v>2276</v>
      </c>
      <c r="B543" s="114" t="s">
        <v>2277</v>
      </c>
      <c r="C543" s="115" t="s">
        <v>20</v>
      </c>
      <c r="D543" s="115">
        <v>0</v>
      </c>
      <c r="E543" s="135" t="s">
        <v>568</v>
      </c>
      <c r="F543" s="136" t="str">
        <f t="shared" si="24"/>
        <v/>
      </c>
      <c r="G543" s="137" t="e">
        <f>IF(A543&lt;&gt;"",IF(AND(#REF!="Padrão",$H$4=#REF!),BDI!$B$17,IF(AND(#REF!="Padrão",$H$4=#REF!),BDI!#REF!,IF(AND(#REF!="Diferenciado",$H$4=#REF!),BDI!$E$17,IF(AND(#REF!="Diferenciado",$H$4=#REF!),BDI!#REF!,IF(#REF!="ZERO",0))))),"")</f>
        <v>#REF!</v>
      </c>
      <c r="H543" s="138" t="str">
        <f t="shared" si="25"/>
        <v/>
      </c>
      <c r="I543" s="136" t="str">
        <f t="shared" si="26"/>
        <v/>
      </c>
    </row>
    <row r="544" spans="1:9" hidden="1" x14ac:dyDescent="0.25">
      <c r="A544" s="113" t="s">
        <v>2278</v>
      </c>
      <c r="B544" s="114" t="s">
        <v>2279</v>
      </c>
      <c r="C544" s="115" t="s">
        <v>20</v>
      </c>
      <c r="D544" s="115">
        <v>0</v>
      </c>
      <c r="E544" s="135" t="s">
        <v>568</v>
      </c>
      <c r="F544" s="136" t="str">
        <f t="shared" si="24"/>
        <v/>
      </c>
      <c r="G544" s="137" t="e">
        <f>IF(A544&lt;&gt;"",IF(AND(#REF!="Padrão",$H$4=#REF!),BDI!$B$17,IF(AND(#REF!="Padrão",$H$4=#REF!),BDI!#REF!,IF(AND(#REF!="Diferenciado",$H$4=#REF!),BDI!$E$17,IF(AND(#REF!="Diferenciado",$H$4=#REF!),BDI!#REF!,IF(#REF!="ZERO",0))))),"")</f>
        <v>#REF!</v>
      </c>
      <c r="H544" s="138" t="str">
        <f t="shared" si="25"/>
        <v/>
      </c>
      <c r="I544" s="136" t="str">
        <f t="shared" si="26"/>
        <v/>
      </c>
    </row>
    <row r="545" spans="1:9" hidden="1" x14ac:dyDescent="0.25">
      <c r="A545" s="113" t="s">
        <v>2280</v>
      </c>
      <c r="B545" s="114" t="s">
        <v>2281</v>
      </c>
      <c r="C545" s="115" t="s">
        <v>93</v>
      </c>
      <c r="D545" s="115">
        <v>0</v>
      </c>
      <c r="E545" s="135" t="s">
        <v>568</v>
      </c>
      <c r="F545" s="136" t="str">
        <f t="shared" si="24"/>
        <v/>
      </c>
      <c r="G545" s="137" t="e">
        <f>IF(A545&lt;&gt;"",IF(AND(#REF!="Padrão",$H$4=#REF!),BDI!$B$17,IF(AND(#REF!="Padrão",$H$4=#REF!),BDI!#REF!,IF(AND(#REF!="Diferenciado",$H$4=#REF!),BDI!$E$17,IF(AND(#REF!="Diferenciado",$H$4=#REF!),BDI!#REF!,IF(#REF!="ZERO",0))))),"")</f>
        <v>#REF!</v>
      </c>
      <c r="H545" s="138" t="str">
        <f t="shared" si="25"/>
        <v/>
      </c>
      <c r="I545" s="136" t="str">
        <f t="shared" si="26"/>
        <v/>
      </c>
    </row>
    <row r="546" spans="1:9" hidden="1" x14ac:dyDescent="0.25">
      <c r="A546" s="113" t="s">
        <v>2282</v>
      </c>
      <c r="B546" s="114" t="s">
        <v>2283</v>
      </c>
      <c r="C546" s="115" t="s">
        <v>93</v>
      </c>
      <c r="D546" s="115">
        <v>0</v>
      </c>
      <c r="E546" s="135" t="s">
        <v>568</v>
      </c>
      <c r="F546" s="136" t="str">
        <f t="shared" si="24"/>
        <v/>
      </c>
      <c r="G546" s="137" t="e">
        <f>IF(A546&lt;&gt;"",IF(AND(#REF!="Padrão",$H$4=#REF!),BDI!$B$17,IF(AND(#REF!="Padrão",$H$4=#REF!),BDI!#REF!,IF(AND(#REF!="Diferenciado",$H$4=#REF!),BDI!$E$17,IF(AND(#REF!="Diferenciado",$H$4=#REF!),BDI!#REF!,IF(#REF!="ZERO",0))))),"")</f>
        <v>#REF!</v>
      </c>
      <c r="H546" s="138" t="str">
        <f t="shared" si="25"/>
        <v/>
      </c>
      <c r="I546" s="136" t="str">
        <f t="shared" si="26"/>
        <v/>
      </c>
    </row>
    <row r="547" spans="1:9" hidden="1" x14ac:dyDescent="0.25">
      <c r="A547" s="113" t="s">
        <v>2284</v>
      </c>
      <c r="B547" s="114" t="s">
        <v>2285</v>
      </c>
      <c r="C547" s="115" t="s">
        <v>93</v>
      </c>
      <c r="D547" s="115">
        <v>0</v>
      </c>
      <c r="E547" s="135" t="s">
        <v>568</v>
      </c>
      <c r="F547" s="136" t="str">
        <f t="shared" si="24"/>
        <v/>
      </c>
      <c r="G547" s="137" t="e">
        <f>IF(A547&lt;&gt;"",IF(AND(#REF!="Padrão",$H$4=#REF!),BDI!$B$17,IF(AND(#REF!="Padrão",$H$4=#REF!),BDI!#REF!,IF(AND(#REF!="Diferenciado",$H$4=#REF!),BDI!$E$17,IF(AND(#REF!="Diferenciado",$H$4=#REF!),BDI!#REF!,IF(#REF!="ZERO",0))))),"")</f>
        <v>#REF!</v>
      </c>
      <c r="H547" s="138" t="str">
        <f t="shared" si="25"/>
        <v/>
      </c>
      <c r="I547" s="136" t="str">
        <f t="shared" si="26"/>
        <v/>
      </c>
    </row>
    <row r="548" spans="1:9" hidden="1" x14ac:dyDescent="0.25">
      <c r="A548" s="113" t="s">
        <v>2286</v>
      </c>
      <c r="B548" s="114" t="s">
        <v>2287</v>
      </c>
      <c r="C548" s="115" t="s">
        <v>93</v>
      </c>
      <c r="D548" s="115">
        <v>0</v>
      </c>
      <c r="E548" s="135" t="s">
        <v>568</v>
      </c>
      <c r="F548" s="136" t="str">
        <f t="shared" si="24"/>
        <v/>
      </c>
      <c r="G548" s="137" t="e">
        <f>IF(A548&lt;&gt;"",IF(AND(#REF!="Padrão",$H$4=#REF!),BDI!$B$17,IF(AND(#REF!="Padrão",$H$4=#REF!),BDI!#REF!,IF(AND(#REF!="Diferenciado",$H$4=#REF!),BDI!$E$17,IF(AND(#REF!="Diferenciado",$H$4=#REF!),BDI!#REF!,IF(#REF!="ZERO",0))))),"")</f>
        <v>#REF!</v>
      </c>
      <c r="H548" s="138" t="str">
        <f t="shared" si="25"/>
        <v/>
      </c>
      <c r="I548" s="136" t="str">
        <f t="shared" si="26"/>
        <v/>
      </c>
    </row>
    <row r="549" spans="1:9" hidden="1" x14ac:dyDescent="0.25">
      <c r="A549" s="113" t="s">
        <v>2288</v>
      </c>
      <c r="B549" s="114" t="s">
        <v>2289</v>
      </c>
      <c r="C549" s="115" t="s">
        <v>93</v>
      </c>
      <c r="D549" s="115">
        <v>0</v>
      </c>
      <c r="E549" s="135" t="s">
        <v>568</v>
      </c>
      <c r="F549" s="136" t="str">
        <f t="shared" si="24"/>
        <v/>
      </c>
      <c r="G549" s="137" t="e">
        <f>IF(A549&lt;&gt;"",IF(AND(#REF!="Padrão",$H$4=#REF!),BDI!$B$17,IF(AND(#REF!="Padrão",$H$4=#REF!),BDI!#REF!,IF(AND(#REF!="Diferenciado",$H$4=#REF!),BDI!$E$17,IF(AND(#REF!="Diferenciado",$H$4=#REF!),BDI!#REF!,IF(#REF!="ZERO",0))))),"")</f>
        <v>#REF!</v>
      </c>
      <c r="H549" s="138" t="str">
        <f t="shared" si="25"/>
        <v/>
      </c>
      <c r="I549" s="136" t="str">
        <f t="shared" si="26"/>
        <v/>
      </c>
    </row>
    <row r="550" spans="1:9" hidden="1" x14ac:dyDescent="0.25">
      <c r="A550" s="113" t="s">
        <v>2290</v>
      </c>
      <c r="B550" s="114" t="s">
        <v>2291</v>
      </c>
      <c r="C550" s="115" t="s">
        <v>93</v>
      </c>
      <c r="D550" s="115">
        <v>0</v>
      </c>
      <c r="E550" s="135" t="s">
        <v>568</v>
      </c>
      <c r="F550" s="136" t="str">
        <f t="shared" si="24"/>
        <v/>
      </c>
      <c r="G550" s="137" t="e">
        <f>IF(A550&lt;&gt;"",IF(AND(#REF!="Padrão",$H$4=#REF!),BDI!$B$17,IF(AND(#REF!="Padrão",$H$4=#REF!),BDI!#REF!,IF(AND(#REF!="Diferenciado",$H$4=#REF!),BDI!$E$17,IF(AND(#REF!="Diferenciado",$H$4=#REF!),BDI!#REF!,IF(#REF!="ZERO",0))))),"")</f>
        <v>#REF!</v>
      </c>
      <c r="H550" s="138" t="str">
        <f t="shared" si="25"/>
        <v/>
      </c>
      <c r="I550" s="136" t="str">
        <f t="shared" si="26"/>
        <v/>
      </c>
    </row>
    <row r="551" spans="1:9" hidden="1" x14ac:dyDescent="0.25">
      <c r="A551" s="113" t="s">
        <v>2292</v>
      </c>
      <c r="B551" s="114" t="s">
        <v>2293</v>
      </c>
      <c r="C551" s="115" t="s">
        <v>93</v>
      </c>
      <c r="D551" s="115">
        <v>0</v>
      </c>
      <c r="E551" s="135" t="s">
        <v>568</v>
      </c>
      <c r="F551" s="136" t="str">
        <f t="shared" si="24"/>
        <v/>
      </c>
      <c r="G551" s="137" t="e">
        <f>IF(A551&lt;&gt;"",IF(AND(#REF!="Padrão",$H$4=#REF!),BDI!$B$17,IF(AND(#REF!="Padrão",$H$4=#REF!),BDI!#REF!,IF(AND(#REF!="Diferenciado",$H$4=#REF!),BDI!$E$17,IF(AND(#REF!="Diferenciado",$H$4=#REF!),BDI!#REF!,IF(#REF!="ZERO",0))))),"")</f>
        <v>#REF!</v>
      </c>
      <c r="H551" s="138" t="str">
        <f t="shared" si="25"/>
        <v/>
      </c>
      <c r="I551" s="136" t="str">
        <f t="shared" si="26"/>
        <v/>
      </c>
    </row>
    <row r="552" spans="1:9" hidden="1" x14ac:dyDescent="0.25">
      <c r="A552" s="113" t="s">
        <v>2294</v>
      </c>
      <c r="B552" s="114" t="s">
        <v>2295</v>
      </c>
      <c r="C552" s="115" t="s">
        <v>93</v>
      </c>
      <c r="D552" s="115">
        <v>0</v>
      </c>
      <c r="E552" s="135" t="s">
        <v>568</v>
      </c>
      <c r="F552" s="136" t="str">
        <f t="shared" si="24"/>
        <v/>
      </c>
      <c r="G552" s="137" t="e">
        <f>IF(A552&lt;&gt;"",IF(AND(#REF!="Padrão",$H$4=#REF!),BDI!$B$17,IF(AND(#REF!="Padrão",$H$4=#REF!),BDI!#REF!,IF(AND(#REF!="Diferenciado",$H$4=#REF!),BDI!$E$17,IF(AND(#REF!="Diferenciado",$H$4=#REF!),BDI!#REF!,IF(#REF!="ZERO",0))))),"")</f>
        <v>#REF!</v>
      </c>
      <c r="H552" s="138" t="str">
        <f t="shared" si="25"/>
        <v/>
      </c>
      <c r="I552" s="136" t="str">
        <f t="shared" si="26"/>
        <v/>
      </c>
    </row>
    <row r="553" spans="1:9" hidden="1" x14ac:dyDescent="0.25">
      <c r="A553" s="113" t="s">
        <v>2296</v>
      </c>
      <c r="B553" s="114" t="s">
        <v>2297</v>
      </c>
      <c r="C553" s="115" t="s">
        <v>93</v>
      </c>
      <c r="D553" s="115">
        <v>0</v>
      </c>
      <c r="E553" s="135" t="s">
        <v>568</v>
      </c>
      <c r="F553" s="136" t="str">
        <f t="shared" si="24"/>
        <v/>
      </c>
      <c r="G553" s="137" t="e">
        <f>IF(A553&lt;&gt;"",IF(AND(#REF!="Padrão",$H$4=#REF!),BDI!$B$17,IF(AND(#REF!="Padrão",$H$4=#REF!),BDI!#REF!,IF(AND(#REF!="Diferenciado",$H$4=#REF!),BDI!$E$17,IF(AND(#REF!="Diferenciado",$H$4=#REF!),BDI!#REF!,IF(#REF!="ZERO",0))))),"")</f>
        <v>#REF!</v>
      </c>
      <c r="H553" s="138" t="str">
        <f t="shared" si="25"/>
        <v/>
      </c>
      <c r="I553" s="136" t="str">
        <f t="shared" si="26"/>
        <v/>
      </c>
    </row>
    <row r="554" spans="1:9" hidden="1" x14ac:dyDescent="0.25">
      <c r="A554" s="113" t="s">
        <v>2298</v>
      </c>
      <c r="B554" s="114" t="s">
        <v>2299</v>
      </c>
      <c r="C554" s="115" t="s">
        <v>93</v>
      </c>
      <c r="D554" s="115">
        <v>0</v>
      </c>
      <c r="E554" s="135" t="s">
        <v>568</v>
      </c>
      <c r="F554" s="136" t="str">
        <f t="shared" si="24"/>
        <v/>
      </c>
      <c r="G554" s="137" t="e">
        <f>IF(A554&lt;&gt;"",IF(AND(#REF!="Padrão",$H$4=#REF!),BDI!$B$17,IF(AND(#REF!="Padrão",$H$4=#REF!),BDI!#REF!,IF(AND(#REF!="Diferenciado",$H$4=#REF!),BDI!$E$17,IF(AND(#REF!="Diferenciado",$H$4=#REF!),BDI!#REF!,IF(#REF!="ZERO",0))))),"")</f>
        <v>#REF!</v>
      </c>
      <c r="H554" s="138" t="str">
        <f t="shared" si="25"/>
        <v/>
      </c>
      <c r="I554" s="136" t="str">
        <f t="shared" si="26"/>
        <v/>
      </c>
    </row>
    <row r="555" spans="1:9" hidden="1" x14ac:dyDescent="0.25">
      <c r="A555" s="113" t="s">
        <v>2300</v>
      </c>
      <c r="B555" s="114" t="s">
        <v>2301</v>
      </c>
      <c r="C555" s="115" t="s">
        <v>93</v>
      </c>
      <c r="D555" s="115">
        <v>0</v>
      </c>
      <c r="E555" s="135" t="s">
        <v>568</v>
      </c>
      <c r="F555" s="136" t="str">
        <f t="shared" si="24"/>
        <v/>
      </c>
      <c r="G555" s="137" t="e">
        <f>IF(A555&lt;&gt;"",IF(AND(#REF!="Padrão",$H$4=#REF!),BDI!$B$17,IF(AND(#REF!="Padrão",$H$4=#REF!),BDI!#REF!,IF(AND(#REF!="Diferenciado",$H$4=#REF!),BDI!$E$17,IF(AND(#REF!="Diferenciado",$H$4=#REF!),BDI!#REF!,IF(#REF!="ZERO",0))))),"")</f>
        <v>#REF!</v>
      </c>
      <c r="H555" s="138" t="str">
        <f t="shared" si="25"/>
        <v/>
      </c>
      <c r="I555" s="136" t="str">
        <f t="shared" si="26"/>
        <v/>
      </c>
    </row>
    <row r="556" spans="1:9" hidden="1" x14ac:dyDescent="0.25">
      <c r="A556" s="113" t="s">
        <v>2302</v>
      </c>
      <c r="B556" s="114" t="s">
        <v>2303</v>
      </c>
      <c r="C556" s="115" t="s">
        <v>93</v>
      </c>
      <c r="D556" s="115">
        <v>0</v>
      </c>
      <c r="E556" s="135" t="s">
        <v>568</v>
      </c>
      <c r="F556" s="136" t="str">
        <f t="shared" si="24"/>
        <v/>
      </c>
      <c r="G556" s="137" t="e">
        <f>IF(A556&lt;&gt;"",IF(AND(#REF!="Padrão",$H$4=#REF!),BDI!$B$17,IF(AND(#REF!="Padrão",$H$4=#REF!),BDI!#REF!,IF(AND(#REF!="Diferenciado",$H$4=#REF!),BDI!$E$17,IF(AND(#REF!="Diferenciado",$H$4=#REF!),BDI!#REF!,IF(#REF!="ZERO",0))))),"")</f>
        <v>#REF!</v>
      </c>
      <c r="H556" s="138" t="str">
        <f t="shared" si="25"/>
        <v/>
      </c>
      <c r="I556" s="136" t="str">
        <f t="shared" si="26"/>
        <v/>
      </c>
    </row>
    <row r="557" spans="1:9" hidden="1" x14ac:dyDescent="0.25">
      <c r="A557" s="113" t="s">
        <v>2304</v>
      </c>
      <c r="B557" s="114" t="s">
        <v>2305</v>
      </c>
      <c r="C557" s="115" t="s">
        <v>93</v>
      </c>
      <c r="D557" s="115">
        <v>0</v>
      </c>
      <c r="E557" s="135" t="s">
        <v>568</v>
      </c>
      <c r="F557" s="136" t="str">
        <f t="shared" si="24"/>
        <v/>
      </c>
      <c r="G557" s="137" t="e">
        <f>IF(A557&lt;&gt;"",IF(AND(#REF!="Padrão",$H$4=#REF!),BDI!$B$17,IF(AND(#REF!="Padrão",$H$4=#REF!),BDI!#REF!,IF(AND(#REF!="Diferenciado",$H$4=#REF!),BDI!$E$17,IF(AND(#REF!="Diferenciado",$H$4=#REF!),BDI!#REF!,IF(#REF!="ZERO",0))))),"")</f>
        <v>#REF!</v>
      </c>
      <c r="H557" s="138" t="str">
        <f t="shared" si="25"/>
        <v/>
      </c>
      <c r="I557" s="136" t="str">
        <f t="shared" si="26"/>
        <v/>
      </c>
    </row>
    <row r="558" spans="1:9" hidden="1" x14ac:dyDescent="0.25">
      <c r="A558" s="113" t="s">
        <v>2306</v>
      </c>
      <c r="B558" s="114" t="s">
        <v>2307</v>
      </c>
      <c r="C558" s="115" t="s">
        <v>93</v>
      </c>
      <c r="D558" s="115">
        <v>0</v>
      </c>
      <c r="E558" s="135" t="s">
        <v>568</v>
      </c>
      <c r="F558" s="136" t="str">
        <f t="shared" si="24"/>
        <v/>
      </c>
      <c r="G558" s="137" t="e">
        <f>IF(A558&lt;&gt;"",IF(AND(#REF!="Padrão",$H$4=#REF!),BDI!$B$17,IF(AND(#REF!="Padrão",$H$4=#REF!),BDI!#REF!,IF(AND(#REF!="Diferenciado",$H$4=#REF!),BDI!$E$17,IF(AND(#REF!="Diferenciado",$H$4=#REF!),BDI!#REF!,IF(#REF!="ZERO",0))))),"")</f>
        <v>#REF!</v>
      </c>
      <c r="H558" s="138" t="str">
        <f t="shared" si="25"/>
        <v/>
      </c>
      <c r="I558" s="136" t="str">
        <f t="shared" si="26"/>
        <v/>
      </c>
    </row>
    <row r="559" spans="1:9" hidden="1" x14ac:dyDescent="0.25">
      <c r="A559" s="113" t="s">
        <v>2308</v>
      </c>
      <c r="B559" s="114" t="s">
        <v>2309</v>
      </c>
      <c r="C559" s="115" t="s">
        <v>93</v>
      </c>
      <c r="D559" s="115">
        <v>0</v>
      </c>
      <c r="E559" s="135" t="s">
        <v>568</v>
      </c>
      <c r="F559" s="136" t="str">
        <f t="shared" si="24"/>
        <v/>
      </c>
      <c r="G559" s="137" t="e">
        <f>IF(A559&lt;&gt;"",IF(AND(#REF!="Padrão",$H$4=#REF!),BDI!$B$17,IF(AND(#REF!="Padrão",$H$4=#REF!),BDI!#REF!,IF(AND(#REF!="Diferenciado",$H$4=#REF!),BDI!$E$17,IF(AND(#REF!="Diferenciado",$H$4=#REF!),BDI!#REF!,IF(#REF!="ZERO",0))))),"")</f>
        <v>#REF!</v>
      </c>
      <c r="H559" s="138" t="str">
        <f t="shared" si="25"/>
        <v/>
      </c>
      <c r="I559" s="136" t="str">
        <f t="shared" si="26"/>
        <v/>
      </c>
    </row>
    <row r="560" spans="1:9" hidden="1" x14ac:dyDescent="0.25">
      <c r="A560" s="113" t="s">
        <v>2310</v>
      </c>
      <c r="B560" s="114" t="s">
        <v>2311</v>
      </c>
      <c r="C560" s="115" t="s">
        <v>93</v>
      </c>
      <c r="D560" s="115">
        <v>0</v>
      </c>
      <c r="E560" s="135" t="s">
        <v>568</v>
      </c>
      <c r="F560" s="136" t="str">
        <f t="shared" si="24"/>
        <v/>
      </c>
      <c r="G560" s="137" t="e">
        <f>IF(A560&lt;&gt;"",IF(AND(#REF!="Padrão",$H$4=#REF!),BDI!$B$17,IF(AND(#REF!="Padrão",$H$4=#REF!),BDI!#REF!,IF(AND(#REF!="Diferenciado",$H$4=#REF!),BDI!$E$17,IF(AND(#REF!="Diferenciado",$H$4=#REF!),BDI!#REF!,IF(#REF!="ZERO",0))))),"")</f>
        <v>#REF!</v>
      </c>
      <c r="H560" s="138" t="str">
        <f t="shared" si="25"/>
        <v/>
      </c>
      <c r="I560" s="136" t="str">
        <f t="shared" si="26"/>
        <v/>
      </c>
    </row>
    <row r="561" spans="1:9" ht="25.5" hidden="1" x14ac:dyDescent="0.25">
      <c r="A561" s="113" t="s">
        <v>2312</v>
      </c>
      <c r="B561" s="114" t="s">
        <v>2313</v>
      </c>
      <c r="C561" s="115" t="s">
        <v>2314</v>
      </c>
      <c r="D561" s="115">
        <v>0</v>
      </c>
      <c r="E561" s="135" t="s">
        <v>568</v>
      </c>
      <c r="F561" s="136" t="str">
        <f t="shared" si="24"/>
        <v/>
      </c>
      <c r="G561" s="137" t="e">
        <f>IF(A561&lt;&gt;"",IF(AND(#REF!="Padrão",$H$4=#REF!),BDI!$B$17,IF(AND(#REF!="Padrão",$H$4=#REF!),BDI!#REF!,IF(AND(#REF!="Diferenciado",$H$4=#REF!),BDI!$E$17,IF(AND(#REF!="Diferenciado",$H$4=#REF!),BDI!#REF!,IF(#REF!="ZERO",0))))),"")</f>
        <v>#REF!</v>
      </c>
      <c r="H561" s="138" t="str">
        <f t="shared" si="25"/>
        <v/>
      </c>
      <c r="I561" s="136" t="str">
        <f t="shared" si="26"/>
        <v/>
      </c>
    </row>
    <row r="562" spans="1:9" hidden="1" x14ac:dyDescent="0.25">
      <c r="A562" s="113" t="s">
        <v>2315</v>
      </c>
      <c r="B562" s="114" t="s">
        <v>2316</v>
      </c>
      <c r="C562" s="115" t="s">
        <v>95</v>
      </c>
      <c r="D562" s="115">
        <v>0</v>
      </c>
      <c r="E562" s="135">
        <f ca="1">OFFSET(INDEX(Composições!A:J,MATCH(Orçamentária!A562,Composições!A:A,0),8),2,0)</f>
        <v>5.0444999999999993</v>
      </c>
      <c r="F562" s="136">
        <f t="shared" ca="1" si="24"/>
        <v>0</v>
      </c>
      <c r="G562" s="137" t="e">
        <f>IF(A562&lt;&gt;"",IF(AND(#REF!="Padrão",$H$4=#REF!),BDI!$B$17,IF(AND(#REF!="Padrão",$H$4=#REF!),BDI!#REF!,IF(AND(#REF!="Diferenciado",$H$4=#REF!),BDI!$E$17,IF(AND(#REF!="Diferenciado",$H$4=#REF!),BDI!#REF!,IF(#REF!="ZERO",0))))),"")</f>
        <v>#REF!</v>
      </c>
      <c r="H562" s="138" t="e">
        <f t="shared" ca="1" si="25"/>
        <v>#REF!</v>
      </c>
      <c r="I562" s="136" t="e">
        <f t="shared" ca="1" si="26"/>
        <v>#REF!</v>
      </c>
    </row>
    <row r="563" spans="1:9" hidden="1" x14ac:dyDescent="0.25">
      <c r="A563" s="113" t="s">
        <v>2317</v>
      </c>
      <c r="B563" s="114" t="s">
        <v>2318</v>
      </c>
      <c r="C563" s="115" t="s">
        <v>95</v>
      </c>
      <c r="D563" s="115">
        <v>0</v>
      </c>
      <c r="E563" s="135" t="s">
        <v>568</v>
      </c>
      <c r="F563" s="136" t="str">
        <f t="shared" si="24"/>
        <v/>
      </c>
      <c r="G563" s="137" t="e">
        <f>IF(A563&lt;&gt;"",IF(AND(#REF!="Padrão",$H$4=#REF!),BDI!$B$17,IF(AND(#REF!="Padrão",$H$4=#REF!),BDI!#REF!,IF(AND(#REF!="Diferenciado",$H$4=#REF!),BDI!$E$17,IF(AND(#REF!="Diferenciado",$H$4=#REF!),BDI!#REF!,IF(#REF!="ZERO",0))))),"")</f>
        <v>#REF!</v>
      </c>
      <c r="H563" s="138" t="str">
        <f t="shared" si="25"/>
        <v/>
      </c>
      <c r="I563" s="136" t="str">
        <f t="shared" si="26"/>
        <v/>
      </c>
    </row>
    <row r="564" spans="1:9" hidden="1" x14ac:dyDescent="0.25">
      <c r="A564" s="113" t="s">
        <v>2319</v>
      </c>
      <c r="B564" s="114" t="s">
        <v>2320</v>
      </c>
      <c r="C564" s="115" t="s">
        <v>42</v>
      </c>
      <c r="D564" s="115">
        <v>0</v>
      </c>
      <c r="E564" s="135">
        <f ca="1">OFFSET(INDEX(Composições!A:J,MATCH(Orçamentária!A564,Composições!A:A,0),8),2,0)</f>
        <v>24.766500000000001</v>
      </c>
      <c r="F564" s="136">
        <f t="shared" ca="1" si="24"/>
        <v>0</v>
      </c>
      <c r="G564" s="137" t="e">
        <f>IF(A564&lt;&gt;"",IF(AND(#REF!="Padrão",$H$4=#REF!),BDI!$B$17,IF(AND(#REF!="Padrão",$H$4=#REF!),BDI!#REF!,IF(AND(#REF!="Diferenciado",$H$4=#REF!),BDI!$E$17,IF(AND(#REF!="Diferenciado",$H$4=#REF!),BDI!#REF!,IF(#REF!="ZERO",0))))),"")</f>
        <v>#REF!</v>
      </c>
      <c r="H564" s="138" t="e">
        <f t="shared" ca="1" si="25"/>
        <v>#REF!</v>
      </c>
      <c r="I564" s="136" t="e">
        <f t="shared" ca="1" si="26"/>
        <v>#REF!</v>
      </c>
    </row>
    <row r="565" spans="1:9" hidden="1" x14ac:dyDescent="0.25">
      <c r="A565" s="113" t="s">
        <v>2321</v>
      </c>
      <c r="B565" s="114" t="s">
        <v>2322</v>
      </c>
      <c r="C565" s="115" t="s">
        <v>42</v>
      </c>
      <c r="D565" s="115">
        <v>0</v>
      </c>
      <c r="E565" s="135" t="s">
        <v>568</v>
      </c>
      <c r="F565" s="136" t="str">
        <f t="shared" si="24"/>
        <v/>
      </c>
      <c r="G565" s="137" t="e">
        <f>IF(A565&lt;&gt;"",IF(AND(#REF!="Padrão",$H$4=#REF!),BDI!$B$17,IF(AND(#REF!="Padrão",$H$4=#REF!),BDI!#REF!,IF(AND(#REF!="Diferenciado",$H$4=#REF!),BDI!$E$17,IF(AND(#REF!="Diferenciado",$H$4=#REF!),BDI!#REF!,IF(#REF!="ZERO",0))))),"")</f>
        <v>#REF!</v>
      </c>
      <c r="H565" s="138" t="str">
        <f t="shared" si="25"/>
        <v/>
      </c>
      <c r="I565" s="136" t="str">
        <f t="shared" si="26"/>
        <v/>
      </c>
    </row>
    <row r="566" spans="1:9" hidden="1" x14ac:dyDescent="0.25">
      <c r="A566" s="113" t="s">
        <v>2323</v>
      </c>
      <c r="B566" s="114" t="s">
        <v>2324</v>
      </c>
      <c r="C566" s="115" t="s">
        <v>95</v>
      </c>
      <c r="D566" s="115">
        <v>0</v>
      </c>
      <c r="E566" s="135">
        <f ca="1">OFFSET(INDEX(Composições!A:J,MATCH(Orçamentária!A566,Composições!A:A,0),8),2,0)</f>
        <v>35.909999999999997</v>
      </c>
      <c r="F566" s="136">
        <f t="shared" ca="1" si="24"/>
        <v>0</v>
      </c>
      <c r="G566" s="137" t="e">
        <f>IF(A566&lt;&gt;"",IF(AND(#REF!="Padrão",$H$4=#REF!),BDI!$B$17,IF(AND(#REF!="Padrão",$H$4=#REF!),BDI!#REF!,IF(AND(#REF!="Diferenciado",$H$4=#REF!),BDI!$E$17,IF(AND(#REF!="Diferenciado",$H$4=#REF!),BDI!#REF!,IF(#REF!="ZERO",0))))),"")</f>
        <v>#REF!</v>
      </c>
      <c r="H566" s="138" t="e">
        <f t="shared" ca="1" si="25"/>
        <v>#REF!</v>
      </c>
      <c r="I566" s="136" t="e">
        <f t="shared" ca="1" si="26"/>
        <v>#REF!</v>
      </c>
    </row>
    <row r="567" spans="1:9" hidden="1" x14ac:dyDescent="0.25">
      <c r="A567" s="113" t="s">
        <v>2325</v>
      </c>
      <c r="B567" s="114" t="s">
        <v>2326</v>
      </c>
      <c r="C567" s="115" t="s">
        <v>20</v>
      </c>
      <c r="D567" s="115">
        <v>0</v>
      </c>
      <c r="E567" s="135">
        <f ca="1">OFFSET(INDEX(Composições!A:J,MATCH(Orçamentária!A567,Composições!A:A,0),8),2,0)</f>
        <v>10.674199999999999</v>
      </c>
      <c r="F567" s="136">
        <f t="shared" ca="1" si="24"/>
        <v>0</v>
      </c>
      <c r="G567" s="137" t="e">
        <f>IF(A567&lt;&gt;"",IF(AND(#REF!="Padrão",$H$4=#REF!),BDI!$B$17,IF(AND(#REF!="Padrão",$H$4=#REF!),BDI!#REF!,IF(AND(#REF!="Diferenciado",$H$4=#REF!),BDI!$E$17,IF(AND(#REF!="Diferenciado",$H$4=#REF!),BDI!#REF!,IF(#REF!="ZERO",0))))),"")</f>
        <v>#REF!</v>
      </c>
      <c r="H567" s="138" t="e">
        <f t="shared" ca="1" si="25"/>
        <v>#REF!</v>
      </c>
      <c r="I567" s="136" t="e">
        <f t="shared" ca="1" si="26"/>
        <v>#REF!</v>
      </c>
    </row>
    <row r="568" spans="1:9" hidden="1" x14ac:dyDescent="0.25">
      <c r="A568" s="113" t="s">
        <v>796</v>
      </c>
      <c r="B568" s="114" t="s">
        <v>2327</v>
      </c>
      <c r="C568" s="115" t="s">
        <v>2328</v>
      </c>
      <c r="D568" s="115">
        <v>0</v>
      </c>
      <c r="E568" s="135">
        <f ca="1">OFFSET(INDEX(Composições!A:J,MATCH(Orçamentária!A568,Composições!A:A,0),8),2,0)</f>
        <v>17.48</v>
      </c>
      <c r="F568" s="136">
        <f t="shared" ca="1" si="24"/>
        <v>0</v>
      </c>
      <c r="G568" s="137" t="e">
        <f>IF(A568&lt;&gt;"",IF(AND(#REF!="Padrão",$H$4=#REF!),BDI!$B$17,IF(AND(#REF!="Padrão",$H$4=#REF!),BDI!#REF!,IF(AND(#REF!="Diferenciado",$H$4=#REF!),BDI!$E$17,IF(AND(#REF!="Diferenciado",$H$4=#REF!),BDI!#REF!,IF(#REF!="ZERO",0))))),"")</f>
        <v>#REF!</v>
      </c>
      <c r="H568" s="138" t="e">
        <f t="shared" ca="1" si="25"/>
        <v>#REF!</v>
      </c>
      <c r="I568" s="136" t="e">
        <f t="shared" ca="1" si="26"/>
        <v>#REF!</v>
      </c>
    </row>
    <row r="569" spans="1:9" hidden="1" x14ac:dyDescent="0.25">
      <c r="A569" s="113" t="s">
        <v>798</v>
      </c>
      <c r="B569" s="114" t="s">
        <v>2329</v>
      </c>
      <c r="C569" s="115" t="s">
        <v>2328</v>
      </c>
      <c r="D569" s="115">
        <v>0</v>
      </c>
      <c r="E569" s="135">
        <f ca="1">OFFSET(INDEX(Composições!A:J,MATCH(Orçamentária!A569,Composições!A:A,0),8),2,0)</f>
        <v>18.619999999999997</v>
      </c>
      <c r="F569" s="136">
        <f t="shared" ca="1" si="24"/>
        <v>0</v>
      </c>
      <c r="G569" s="137" t="e">
        <f>IF(A569&lt;&gt;"",IF(AND(#REF!="Padrão",$H$4=#REF!),BDI!$B$17,IF(AND(#REF!="Padrão",$H$4=#REF!),BDI!#REF!,IF(AND(#REF!="Diferenciado",$H$4=#REF!),BDI!$E$17,IF(AND(#REF!="Diferenciado",$H$4=#REF!),BDI!#REF!,IF(#REF!="ZERO",0))))),"")</f>
        <v>#REF!</v>
      </c>
      <c r="H569" s="138" t="e">
        <f t="shared" ca="1" si="25"/>
        <v>#REF!</v>
      </c>
      <c r="I569" s="136" t="e">
        <f t="shared" ca="1" si="26"/>
        <v>#REF!</v>
      </c>
    </row>
    <row r="570" spans="1:9" hidden="1" x14ac:dyDescent="0.25">
      <c r="A570" s="113" t="s">
        <v>800</v>
      </c>
      <c r="B570" s="114" t="s">
        <v>2330</v>
      </c>
      <c r="C570" s="115" t="s">
        <v>2331</v>
      </c>
      <c r="D570" s="115">
        <v>0</v>
      </c>
      <c r="E570" s="135">
        <f ca="1">OFFSET(INDEX(Composições!A:J,MATCH(Orçamentária!A570,Composições!A:A,0),8),2,0)</f>
        <v>23.75</v>
      </c>
      <c r="F570" s="136">
        <f t="shared" ca="1" si="24"/>
        <v>0</v>
      </c>
      <c r="G570" s="137" t="e">
        <f>IF(A570&lt;&gt;"",IF(AND(#REF!="Padrão",$H$4=#REF!),BDI!$B$17,IF(AND(#REF!="Padrão",$H$4=#REF!),BDI!#REF!,IF(AND(#REF!="Diferenciado",$H$4=#REF!),BDI!$E$17,IF(AND(#REF!="Diferenciado",$H$4=#REF!),BDI!#REF!,IF(#REF!="ZERO",0))))),"")</f>
        <v>#REF!</v>
      </c>
      <c r="H570" s="138" t="e">
        <f t="shared" ca="1" si="25"/>
        <v>#REF!</v>
      </c>
      <c r="I570" s="136" t="e">
        <f t="shared" ca="1" si="26"/>
        <v>#REF!</v>
      </c>
    </row>
    <row r="571" spans="1:9" hidden="1" x14ac:dyDescent="0.25">
      <c r="A571" s="113" t="s">
        <v>802</v>
      </c>
      <c r="B571" s="114" t="s">
        <v>2332</v>
      </c>
      <c r="C571" s="115" t="s">
        <v>2333</v>
      </c>
      <c r="D571" s="115">
        <v>0</v>
      </c>
      <c r="E571" s="135">
        <f ca="1">OFFSET(INDEX(Composições!A:J,MATCH(Orçamentária!A571,Composições!A:A,0),8),2,0)</f>
        <v>26.22</v>
      </c>
      <c r="F571" s="136">
        <f t="shared" ca="1" si="24"/>
        <v>0</v>
      </c>
      <c r="G571" s="137" t="e">
        <f>IF(A571&lt;&gt;"",IF(AND(#REF!="Padrão",$H$4=#REF!),BDI!$B$17,IF(AND(#REF!="Padrão",$H$4=#REF!),BDI!#REF!,IF(AND(#REF!="Diferenciado",$H$4=#REF!),BDI!$E$17,IF(AND(#REF!="Diferenciado",$H$4=#REF!),BDI!#REF!,IF(#REF!="ZERO",0))))),"")</f>
        <v>#REF!</v>
      </c>
      <c r="H571" s="138" t="e">
        <f t="shared" ca="1" si="25"/>
        <v>#REF!</v>
      </c>
      <c r="I571" s="136" t="e">
        <f t="shared" ca="1" si="26"/>
        <v>#REF!</v>
      </c>
    </row>
    <row r="572" spans="1:9" hidden="1" x14ac:dyDescent="0.25">
      <c r="A572" s="113" t="s">
        <v>803</v>
      </c>
      <c r="B572" s="114" t="s">
        <v>2334</v>
      </c>
      <c r="C572" s="115" t="s">
        <v>2328</v>
      </c>
      <c r="D572" s="115">
        <v>0</v>
      </c>
      <c r="E572" s="135">
        <f ca="1">OFFSET(INDEX(Composições!A:J,MATCH(Orçamentária!A572,Composições!A:A,0),8),2,0)</f>
        <v>13.299999999999999</v>
      </c>
      <c r="F572" s="136">
        <f t="shared" ca="1" si="24"/>
        <v>0</v>
      </c>
      <c r="G572" s="137" t="e">
        <f>IF(A572&lt;&gt;"",IF(AND(#REF!="Padrão",$H$4=#REF!),BDI!$B$17,IF(AND(#REF!="Padrão",$H$4=#REF!),BDI!#REF!,IF(AND(#REF!="Diferenciado",$H$4=#REF!),BDI!$E$17,IF(AND(#REF!="Diferenciado",$H$4=#REF!),BDI!#REF!,IF(#REF!="ZERO",0))))),"")</f>
        <v>#REF!</v>
      </c>
      <c r="H572" s="138" t="e">
        <f t="shared" ca="1" si="25"/>
        <v>#REF!</v>
      </c>
      <c r="I572" s="136" t="e">
        <f t="shared" ca="1" si="26"/>
        <v>#REF!</v>
      </c>
    </row>
    <row r="573" spans="1:9" hidden="1" x14ac:dyDescent="0.25">
      <c r="A573" s="113" t="s">
        <v>804</v>
      </c>
      <c r="B573" s="114" t="s">
        <v>2335</v>
      </c>
      <c r="C573" s="115" t="s">
        <v>111</v>
      </c>
      <c r="D573" s="115">
        <v>0</v>
      </c>
      <c r="E573" s="135">
        <f ca="1">OFFSET(INDEX(Composições!A:J,MATCH(Orçamentária!A573,Composições!A:A,0),8),2,0)</f>
        <v>120.48873655</v>
      </c>
      <c r="F573" s="136">
        <f t="shared" ca="1" si="24"/>
        <v>0</v>
      </c>
      <c r="G573" s="137" t="e">
        <f>IF(A573&lt;&gt;"",IF(AND(#REF!="Padrão",$H$4=#REF!),BDI!$B$17,IF(AND(#REF!="Padrão",$H$4=#REF!),BDI!#REF!,IF(AND(#REF!="Diferenciado",$H$4=#REF!),BDI!$E$17,IF(AND(#REF!="Diferenciado",$H$4=#REF!),BDI!#REF!,IF(#REF!="ZERO",0))))),"")</f>
        <v>#REF!</v>
      </c>
      <c r="H573" s="138" t="e">
        <f t="shared" ca="1" si="25"/>
        <v>#REF!</v>
      </c>
      <c r="I573" s="136" t="e">
        <f t="shared" ca="1" si="26"/>
        <v>#REF!</v>
      </c>
    </row>
    <row r="574" spans="1:9" hidden="1" x14ac:dyDescent="0.25">
      <c r="A574" s="113" t="s">
        <v>809</v>
      </c>
      <c r="B574" s="114" t="s">
        <v>2336</v>
      </c>
      <c r="C574" s="115" t="s">
        <v>111</v>
      </c>
      <c r="D574" s="115">
        <v>0</v>
      </c>
      <c r="E574" s="135">
        <f ca="1">OFFSET(INDEX(Composições!A:J,MATCH(Orçamentária!A574,Composições!A:A,0),8),2,0)</f>
        <v>166.05073655000001</v>
      </c>
      <c r="F574" s="136">
        <f t="shared" ca="1" si="24"/>
        <v>0</v>
      </c>
      <c r="G574" s="137" t="e">
        <f>IF(A574&lt;&gt;"",IF(AND(#REF!="Padrão",$H$4=#REF!),BDI!$B$17,IF(AND(#REF!="Padrão",$H$4=#REF!),BDI!#REF!,IF(AND(#REF!="Diferenciado",$H$4=#REF!),BDI!$E$17,IF(AND(#REF!="Diferenciado",$H$4=#REF!),BDI!#REF!,IF(#REF!="ZERO",0))))),"")</f>
        <v>#REF!</v>
      </c>
      <c r="H574" s="138" t="e">
        <f t="shared" ca="1" si="25"/>
        <v>#REF!</v>
      </c>
      <c r="I574" s="136" t="e">
        <f t="shared" ca="1" si="26"/>
        <v>#REF!</v>
      </c>
    </row>
    <row r="575" spans="1:9" hidden="1" x14ac:dyDescent="0.25">
      <c r="A575" s="113" t="s">
        <v>812</v>
      </c>
      <c r="B575" s="114" t="s">
        <v>2337</v>
      </c>
      <c r="C575" s="115" t="s">
        <v>111</v>
      </c>
      <c r="D575" s="115">
        <v>0</v>
      </c>
      <c r="E575" s="135">
        <f ca="1">OFFSET(INDEX(Composições!A:J,MATCH(Orçamentária!A575,Composições!A:A,0),8),2,0)</f>
        <v>147.87723654999999</v>
      </c>
      <c r="F575" s="136">
        <f t="shared" ca="1" si="24"/>
        <v>0</v>
      </c>
      <c r="G575" s="137" t="e">
        <f>IF(A575&lt;&gt;"",IF(AND(#REF!="Padrão",$H$4=#REF!),BDI!$B$17,IF(AND(#REF!="Padrão",$H$4=#REF!),BDI!#REF!,IF(AND(#REF!="Diferenciado",$H$4=#REF!),BDI!$E$17,IF(AND(#REF!="Diferenciado",$H$4=#REF!),BDI!#REF!,IF(#REF!="ZERO",0))))),"")</f>
        <v>#REF!</v>
      </c>
      <c r="H575" s="138" t="e">
        <f t="shared" ca="1" si="25"/>
        <v>#REF!</v>
      </c>
      <c r="I575" s="136" t="e">
        <f t="shared" ca="1" si="26"/>
        <v>#REF!</v>
      </c>
    </row>
    <row r="576" spans="1:9" hidden="1" x14ac:dyDescent="0.25">
      <c r="A576" s="113" t="s">
        <v>814</v>
      </c>
      <c r="B576" s="114" t="s">
        <v>2338</v>
      </c>
      <c r="C576" s="115" t="s">
        <v>20</v>
      </c>
      <c r="D576" s="115">
        <v>0</v>
      </c>
      <c r="E576" s="135">
        <f ca="1">OFFSET(INDEX(Composições!A:J,MATCH(Orçamentária!A576,Composições!A:A,0),8),2,0)</f>
        <v>0.75050000000000006</v>
      </c>
      <c r="F576" s="136">
        <f t="shared" ca="1" si="24"/>
        <v>0</v>
      </c>
      <c r="G576" s="137" t="e">
        <f>IF(A576&lt;&gt;"",IF(AND(#REF!="Padrão",$H$4=#REF!),BDI!$B$17,IF(AND(#REF!="Padrão",$H$4=#REF!),BDI!#REF!,IF(AND(#REF!="Diferenciado",$H$4=#REF!),BDI!$E$17,IF(AND(#REF!="Diferenciado",$H$4=#REF!),BDI!#REF!,IF(#REF!="ZERO",0))))),"")</f>
        <v>#REF!</v>
      </c>
      <c r="H576" s="138" t="e">
        <f t="shared" ca="1" si="25"/>
        <v>#REF!</v>
      </c>
      <c r="I576" s="136" t="e">
        <f t="shared" ca="1" si="26"/>
        <v>#REF!</v>
      </c>
    </row>
    <row r="577" spans="1:9" hidden="1" x14ac:dyDescent="0.25">
      <c r="A577" s="113" t="s">
        <v>815</v>
      </c>
      <c r="B577" s="114" t="s">
        <v>2339</v>
      </c>
      <c r="C577" s="115" t="s">
        <v>20</v>
      </c>
      <c r="D577" s="115">
        <v>0</v>
      </c>
      <c r="E577" s="135">
        <f ca="1">OFFSET(INDEX(Composições!A:J,MATCH(Orçamentária!A577,Composições!A:A,0),8),2,0)</f>
        <v>0.64600000000000002</v>
      </c>
      <c r="F577" s="136">
        <f t="shared" ca="1" si="24"/>
        <v>0</v>
      </c>
      <c r="G577" s="137" t="e">
        <f>IF(A577&lt;&gt;"",IF(AND(#REF!="Padrão",$H$4=#REF!),BDI!$B$17,IF(AND(#REF!="Padrão",$H$4=#REF!),BDI!#REF!,IF(AND(#REF!="Diferenciado",$H$4=#REF!),BDI!$E$17,IF(AND(#REF!="Diferenciado",$H$4=#REF!),BDI!#REF!,IF(#REF!="ZERO",0))))),"")</f>
        <v>#REF!</v>
      </c>
      <c r="H577" s="138" t="e">
        <f t="shared" ca="1" si="25"/>
        <v>#REF!</v>
      </c>
      <c r="I577" s="136" t="e">
        <f t="shared" ca="1" si="26"/>
        <v>#REF!</v>
      </c>
    </row>
    <row r="578" spans="1:9" hidden="1" x14ac:dyDescent="0.25">
      <c r="A578" s="113" t="s">
        <v>816</v>
      </c>
      <c r="B578" s="114" t="s">
        <v>2340</v>
      </c>
      <c r="C578" s="115" t="s">
        <v>20</v>
      </c>
      <c r="D578" s="115">
        <v>0</v>
      </c>
      <c r="E578" s="135">
        <f ca="1">OFFSET(INDEX(Composições!A:J,MATCH(Orçamentária!A578,Composições!A:A,0),8),2,0)</f>
        <v>2.0710000000000002</v>
      </c>
      <c r="F578" s="136">
        <f t="shared" ca="1" si="24"/>
        <v>0</v>
      </c>
      <c r="G578" s="137" t="e">
        <f>IF(A578&lt;&gt;"",IF(AND(#REF!="Padrão",$H$4=#REF!),BDI!$B$17,IF(AND(#REF!="Padrão",$H$4=#REF!),BDI!#REF!,IF(AND(#REF!="Diferenciado",$H$4=#REF!),BDI!$E$17,IF(AND(#REF!="Diferenciado",$H$4=#REF!),BDI!#REF!,IF(#REF!="ZERO",0))))),"")</f>
        <v>#REF!</v>
      </c>
      <c r="H578" s="138" t="e">
        <f t="shared" ca="1" si="25"/>
        <v>#REF!</v>
      </c>
      <c r="I578" s="136" t="e">
        <f t="shared" ca="1" si="26"/>
        <v>#REF!</v>
      </c>
    </row>
    <row r="579" spans="1:9" hidden="1" x14ac:dyDescent="0.25">
      <c r="A579" s="113" t="s">
        <v>817</v>
      </c>
      <c r="B579" s="114" t="s">
        <v>2341</v>
      </c>
      <c r="C579" s="115" t="s">
        <v>20</v>
      </c>
      <c r="D579" s="115">
        <v>0</v>
      </c>
      <c r="E579" s="135">
        <f ca="1">OFFSET(INDEX(Composições!A:J,MATCH(Orçamentária!A579,Composições!A:A,0),8),2,0)</f>
        <v>3.0590000000000002</v>
      </c>
      <c r="F579" s="136">
        <f t="shared" ca="1" si="24"/>
        <v>0</v>
      </c>
      <c r="G579" s="137" t="e">
        <f>IF(A579&lt;&gt;"",IF(AND(#REF!="Padrão",$H$4=#REF!),BDI!$B$17,IF(AND(#REF!="Padrão",$H$4=#REF!),BDI!#REF!,IF(AND(#REF!="Diferenciado",$H$4=#REF!),BDI!$E$17,IF(AND(#REF!="Diferenciado",$H$4=#REF!),BDI!#REF!,IF(#REF!="ZERO",0))))),"")</f>
        <v>#REF!</v>
      </c>
      <c r="H579" s="138" t="e">
        <f t="shared" ca="1" si="25"/>
        <v>#REF!</v>
      </c>
      <c r="I579" s="136" t="e">
        <f t="shared" ca="1" si="26"/>
        <v>#REF!</v>
      </c>
    </row>
    <row r="580" spans="1:9" hidden="1" x14ac:dyDescent="0.25">
      <c r="A580" s="113" t="s">
        <v>818</v>
      </c>
      <c r="B580" s="114" t="s">
        <v>2342</v>
      </c>
      <c r="C580" s="115" t="s">
        <v>93</v>
      </c>
      <c r="D580" s="115">
        <v>0</v>
      </c>
      <c r="E580" s="135">
        <f ca="1">OFFSET(INDEX(Composições!A:J,MATCH(Orçamentária!A580,Composições!A:A,0),8),2,0)</f>
        <v>0.64600000000000002</v>
      </c>
      <c r="F580" s="136">
        <f t="shared" ca="1" si="24"/>
        <v>0</v>
      </c>
      <c r="G580" s="137" t="e">
        <f>IF(A580&lt;&gt;"",IF(AND(#REF!="Padrão",$H$4=#REF!),BDI!$B$17,IF(AND(#REF!="Padrão",$H$4=#REF!),BDI!#REF!,IF(AND(#REF!="Diferenciado",$H$4=#REF!),BDI!$E$17,IF(AND(#REF!="Diferenciado",$H$4=#REF!),BDI!#REF!,IF(#REF!="ZERO",0))))),"")</f>
        <v>#REF!</v>
      </c>
      <c r="H580" s="138" t="e">
        <f t="shared" ca="1" si="25"/>
        <v>#REF!</v>
      </c>
      <c r="I580" s="136" t="e">
        <f t="shared" ca="1" si="26"/>
        <v>#REF!</v>
      </c>
    </row>
    <row r="581" spans="1:9" hidden="1" x14ac:dyDescent="0.25">
      <c r="A581" s="113" t="s">
        <v>819</v>
      </c>
      <c r="B581" s="114" t="s">
        <v>2343</v>
      </c>
      <c r="C581" s="115" t="s">
        <v>93</v>
      </c>
      <c r="D581" s="115">
        <v>0</v>
      </c>
      <c r="E581" s="135">
        <f ca="1">OFFSET(INDEX(Composições!A:J,MATCH(Orçamentária!A581,Composições!A:A,0),8),2,0)</f>
        <v>2.3391374999999996</v>
      </c>
      <c r="F581" s="136">
        <f t="shared" ca="1" si="24"/>
        <v>0</v>
      </c>
      <c r="G581" s="137" t="e">
        <f>IF(A581&lt;&gt;"",IF(AND(#REF!="Padrão",$H$4=#REF!),BDI!$B$17,IF(AND(#REF!="Padrão",$H$4=#REF!),BDI!#REF!,IF(AND(#REF!="Diferenciado",$H$4=#REF!),BDI!$E$17,IF(AND(#REF!="Diferenciado",$H$4=#REF!),BDI!#REF!,IF(#REF!="ZERO",0))))),"")</f>
        <v>#REF!</v>
      </c>
      <c r="H581" s="138" t="e">
        <f t="shared" ca="1" si="25"/>
        <v>#REF!</v>
      </c>
      <c r="I581" s="136" t="e">
        <f t="shared" ca="1" si="26"/>
        <v>#REF!</v>
      </c>
    </row>
    <row r="582" spans="1:9" hidden="1" x14ac:dyDescent="0.25">
      <c r="A582" s="113" t="s">
        <v>821</v>
      </c>
      <c r="B582" s="114" t="s">
        <v>2344</v>
      </c>
      <c r="C582" s="115" t="s">
        <v>93</v>
      </c>
      <c r="D582" s="115">
        <v>0</v>
      </c>
      <c r="E582" s="135">
        <f ca="1">OFFSET(INDEX(Composições!A:J,MATCH(Orçamentária!A582,Composições!A:A,0),8),2,0)</f>
        <v>3.7900249999999995</v>
      </c>
      <c r="F582" s="136">
        <f t="shared" ca="1" si="24"/>
        <v>0</v>
      </c>
      <c r="G582" s="137" t="e">
        <f>IF(A582&lt;&gt;"",IF(AND(#REF!="Padrão",$H$4=#REF!),BDI!$B$17,IF(AND(#REF!="Padrão",$H$4=#REF!),BDI!#REF!,IF(AND(#REF!="Diferenciado",$H$4=#REF!),BDI!$E$17,IF(AND(#REF!="Diferenciado",$H$4=#REF!),BDI!#REF!,IF(#REF!="ZERO",0))))),"")</f>
        <v>#REF!</v>
      </c>
      <c r="H582" s="138" t="e">
        <f t="shared" ca="1" si="25"/>
        <v>#REF!</v>
      </c>
      <c r="I582" s="136" t="e">
        <f t="shared" ca="1" si="26"/>
        <v>#REF!</v>
      </c>
    </row>
    <row r="583" spans="1:9" hidden="1" x14ac:dyDescent="0.25">
      <c r="A583" s="113" t="s">
        <v>823</v>
      </c>
      <c r="B583" s="114" t="s">
        <v>2345</v>
      </c>
      <c r="C583" s="115" t="s">
        <v>93</v>
      </c>
      <c r="D583" s="115">
        <v>0</v>
      </c>
      <c r="E583" s="135">
        <f ca="1">OFFSET(INDEX(Composições!A:J,MATCH(Orçamentária!A583,Composições!A:A,0),8),2,0)</f>
        <v>5.5801479999999994</v>
      </c>
      <c r="F583" s="136">
        <f t="shared" ref="F583:F646" ca="1" si="27">IF(ISNUMBER(E583),D583*E583,"")</f>
        <v>0</v>
      </c>
      <c r="G583" s="137" t="e">
        <f>IF(A583&lt;&gt;"",IF(AND(#REF!="Padrão",$H$4=#REF!),BDI!$B$17,IF(AND(#REF!="Padrão",$H$4=#REF!),BDI!#REF!,IF(AND(#REF!="Diferenciado",$H$4=#REF!),BDI!$E$17,IF(AND(#REF!="Diferenciado",$H$4=#REF!),BDI!#REF!,IF(#REF!="ZERO",0))))),"")</f>
        <v>#REF!</v>
      </c>
      <c r="H583" s="138" t="e">
        <f t="shared" ref="H583:H646" ca="1" si="28">IF(ISNUMBER(E583),ROUND(E583*(1+G583),2),"")</f>
        <v>#REF!</v>
      </c>
      <c r="I583" s="136" t="e">
        <f t="shared" ref="I583:I646" ca="1" si="29">IF(ISNUMBER(E583),ROUND(H583*D583,2),"")</f>
        <v>#REF!</v>
      </c>
    </row>
    <row r="584" spans="1:9" hidden="1" x14ac:dyDescent="0.25">
      <c r="A584" s="113" t="s">
        <v>825</v>
      </c>
      <c r="B584" s="114" t="s">
        <v>2346</v>
      </c>
      <c r="C584" s="115" t="s">
        <v>93</v>
      </c>
      <c r="D584" s="115">
        <v>0</v>
      </c>
      <c r="E584" s="135">
        <f ca="1">OFFSET(INDEX(Composições!A:J,MATCH(Orçamentária!A584,Composições!A:A,0),8),2,0)</f>
        <v>7.547512499999999</v>
      </c>
      <c r="F584" s="136">
        <f t="shared" ca="1" si="27"/>
        <v>0</v>
      </c>
      <c r="G584" s="137" t="e">
        <f>IF(A584&lt;&gt;"",IF(AND(#REF!="Padrão",$H$4=#REF!),BDI!$B$17,IF(AND(#REF!="Padrão",$H$4=#REF!),BDI!#REF!,IF(AND(#REF!="Diferenciado",$H$4=#REF!),BDI!$E$17,IF(AND(#REF!="Diferenciado",$H$4=#REF!),BDI!#REF!,IF(#REF!="ZERO",0))))),"")</f>
        <v>#REF!</v>
      </c>
      <c r="H584" s="138" t="e">
        <f t="shared" ca="1" si="28"/>
        <v>#REF!</v>
      </c>
      <c r="I584" s="136" t="e">
        <f t="shared" ca="1" si="29"/>
        <v>#REF!</v>
      </c>
    </row>
    <row r="585" spans="1:9" hidden="1" x14ac:dyDescent="0.25">
      <c r="A585" s="113" t="s">
        <v>827</v>
      </c>
      <c r="B585" s="114" t="s">
        <v>2347</v>
      </c>
      <c r="C585" s="115" t="s">
        <v>42</v>
      </c>
      <c r="D585" s="115">
        <v>0</v>
      </c>
      <c r="E585" s="135">
        <f ca="1">OFFSET(INDEX(Composições!A:J,MATCH(Orçamentária!A585,Composições!A:A,0),8),2,0)</f>
        <v>18.838499999999996</v>
      </c>
      <c r="F585" s="136">
        <f t="shared" ca="1" si="27"/>
        <v>0</v>
      </c>
      <c r="G585" s="137" t="e">
        <f>IF(A585&lt;&gt;"",IF(AND(#REF!="Padrão",$H$4=#REF!),BDI!$B$17,IF(AND(#REF!="Padrão",$H$4=#REF!),BDI!#REF!,IF(AND(#REF!="Diferenciado",$H$4=#REF!),BDI!$E$17,IF(AND(#REF!="Diferenciado",$H$4=#REF!),BDI!#REF!,IF(#REF!="ZERO",0))))),"")</f>
        <v>#REF!</v>
      </c>
      <c r="H585" s="138" t="e">
        <f t="shared" ca="1" si="28"/>
        <v>#REF!</v>
      </c>
      <c r="I585" s="136" t="e">
        <f t="shared" ca="1" si="29"/>
        <v>#REF!</v>
      </c>
    </row>
    <row r="586" spans="1:9" hidden="1" x14ac:dyDescent="0.25">
      <c r="A586" s="113" t="s">
        <v>828</v>
      </c>
      <c r="B586" s="114" t="s">
        <v>2348</v>
      </c>
      <c r="C586" s="115" t="s">
        <v>42</v>
      </c>
      <c r="D586" s="115">
        <v>0</v>
      </c>
      <c r="E586" s="135">
        <f ca="1">OFFSET(INDEX(Composições!A:J,MATCH(Orçamentária!A586,Composições!A:A,0),8),2,0)</f>
        <v>43.300999999999995</v>
      </c>
      <c r="F586" s="136">
        <f t="shared" ca="1" si="27"/>
        <v>0</v>
      </c>
      <c r="G586" s="137" t="e">
        <f>IF(A586&lt;&gt;"",IF(AND(#REF!="Padrão",$H$4=#REF!),BDI!$B$17,IF(AND(#REF!="Padrão",$H$4=#REF!),BDI!#REF!,IF(AND(#REF!="Diferenciado",$H$4=#REF!),BDI!$E$17,IF(AND(#REF!="Diferenciado",$H$4=#REF!),BDI!#REF!,IF(#REF!="ZERO",0))))),"")</f>
        <v>#REF!</v>
      </c>
      <c r="H586" s="138" t="e">
        <f t="shared" ca="1" si="28"/>
        <v>#REF!</v>
      </c>
      <c r="I586" s="136" t="e">
        <f t="shared" ca="1" si="29"/>
        <v>#REF!</v>
      </c>
    </row>
    <row r="587" spans="1:9" hidden="1" x14ac:dyDescent="0.25">
      <c r="A587" s="113" t="s">
        <v>2349</v>
      </c>
      <c r="B587" s="114" t="s">
        <v>2350</v>
      </c>
      <c r="C587" s="115" t="s">
        <v>20</v>
      </c>
      <c r="D587" s="115">
        <v>0</v>
      </c>
      <c r="E587" s="135" t="s">
        <v>568</v>
      </c>
      <c r="F587" s="136" t="str">
        <f t="shared" si="27"/>
        <v/>
      </c>
      <c r="G587" s="137" t="e">
        <f>IF(A587&lt;&gt;"",IF(AND(#REF!="Padrão",$H$4=#REF!),BDI!$B$17,IF(AND(#REF!="Padrão",$H$4=#REF!),BDI!#REF!,IF(AND(#REF!="Diferenciado",$H$4=#REF!),BDI!$E$17,IF(AND(#REF!="Diferenciado",$H$4=#REF!),BDI!#REF!,IF(#REF!="ZERO",0))))),"")</f>
        <v>#REF!</v>
      </c>
      <c r="H587" s="138" t="str">
        <f t="shared" si="28"/>
        <v/>
      </c>
      <c r="I587" s="136" t="str">
        <f t="shared" si="29"/>
        <v/>
      </c>
    </row>
    <row r="588" spans="1:9" hidden="1" x14ac:dyDescent="0.25">
      <c r="A588" s="113" t="s">
        <v>2351</v>
      </c>
      <c r="B588" s="114" t="s">
        <v>2352</v>
      </c>
      <c r="C588" s="115" t="s">
        <v>20</v>
      </c>
      <c r="D588" s="115">
        <v>0</v>
      </c>
      <c r="E588" s="135">
        <f ca="1">OFFSET(INDEX(Composições!A:J,MATCH(Orçamentária!A588,Composições!A:A,0),8),2,0)</f>
        <v>18.515499999999999</v>
      </c>
      <c r="F588" s="136">
        <f t="shared" ca="1" si="27"/>
        <v>0</v>
      </c>
      <c r="G588" s="137" t="e">
        <f>IF(A588&lt;&gt;"",IF(AND(#REF!="Padrão",$H$4=#REF!),BDI!$B$17,IF(AND(#REF!="Padrão",$H$4=#REF!),BDI!#REF!,IF(AND(#REF!="Diferenciado",$H$4=#REF!),BDI!$E$17,IF(AND(#REF!="Diferenciado",$H$4=#REF!),BDI!#REF!,IF(#REF!="ZERO",0))))),"")</f>
        <v>#REF!</v>
      </c>
      <c r="H588" s="138" t="e">
        <f t="shared" ca="1" si="28"/>
        <v>#REF!</v>
      </c>
      <c r="I588" s="136" t="e">
        <f t="shared" ca="1" si="29"/>
        <v>#REF!</v>
      </c>
    </row>
    <row r="589" spans="1:9" hidden="1" x14ac:dyDescent="0.25">
      <c r="A589" s="113" t="s">
        <v>2353</v>
      </c>
      <c r="B589" s="114" t="s">
        <v>2354</v>
      </c>
      <c r="C589" s="115" t="s">
        <v>93</v>
      </c>
      <c r="D589" s="115">
        <v>0</v>
      </c>
      <c r="E589" s="135" t="s">
        <v>568</v>
      </c>
      <c r="F589" s="136" t="str">
        <f t="shared" si="27"/>
        <v/>
      </c>
      <c r="G589" s="137" t="e">
        <f>IF(A589&lt;&gt;"",IF(AND(#REF!="Padrão",$H$4=#REF!),BDI!$B$17,IF(AND(#REF!="Padrão",$H$4=#REF!),BDI!#REF!,IF(AND(#REF!="Diferenciado",$H$4=#REF!),BDI!$E$17,IF(AND(#REF!="Diferenciado",$H$4=#REF!),BDI!#REF!,IF(#REF!="ZERO",0))))),"")</f>
        <v>#REF!</v>
      </c>
      <c r="H589" s="138" t="str">
        <f t="shared" si="28"/>
        <v/>
      </c>
      <c r="I589" s="136" t="str">
        <f t="shared" si="29"/>
        <v/>
      </c>
    </row>
    <row r="590" spans="1:9" hidden="1" x14ac:dyDescent="0.25">
      <c r="A590" s="113" t="s">
        <v>2355</v>
      </c>
      <c r="B590" s="114" t="s">
        <v>2356</v>
      </c>
      <c r="C590" s="115" t="s">
        <v>93</v>
      </c>
      <c r="D590" s="115">
        <v>0</v>
      </c>
      <c r="E590" s="135" t="s">
        <v>568</v>
      </c>
      <c r="F590" s="136" t="str">
        <f t="shared" si="27"/>
        <v/>
      </c>
      <c r="G590" s="137" t="e">
        <f>IF(A590&lt;&gt;"",IF(AND(#REF!="Padrão",$H$4=#REF!),BDI!$B$17,IF(AND(#REF!="Padrão",$H$4=#REF!),BDI!#REF!,IF(AND(#REF!="Diferenciado",$H$4=#REF!),BDI!$E$17,IF(AND(#REF!="Diferenciado",$H$4=#REF!),BDI!#REF!,IF(#REF!="ZERO",0))))),"")</f>
        <v>#REF!</v>
      </c>
      <c r="H590" s="138" t="str">
        <f t="shared" si="28"/>
        <v/>
      </c>
      <c r="I590" s="136" t="str">
        <f t="shared" si="29"/>
        <v/>
      </c>
    </row>
    <row r="591" spans="1:9" hidden="1" x14ac:dyDescent="0.25">
      <c r="A591" s="113" t="s">
        <v>2357</v>
      </c>
      <c r="B591" s="114" t="s">
        <v>2358</v>
      </c>
      <c r="C591" s="115" t="s">
        <v>42</v>
      </c>
      <c r="D591" s="115">
        <v>0</v>
      </c>
      <c r="E591" s="135" t="s">
        <v>568</v>
      </c>
      <c r="F591" s="136" t="str">
        <f t="shared" si="27"/>
        <v/>
      </c>
      <c r="G591" s="137" t="e">
        <f>IF(A591&lt;&gt;"",IF(AND(#REF!="Padrão",$H$4=#REF!),BDI!$B$17,IF(AND(#REF!="Padrão",$H$4=#REF!),BDI!#REF!,IF(AND(#REF!="Diferenciado",$H$4=#REF!),BDI!$E$17,IF(AND(#REF!="Diferenciado",$H$4=#REF!),BDI!#REF!,IF(#REF!="ZERO",0))))),"")</f>
        <v>#REF!</v>
      </c>
      <c r="H591" s="138" t="str">
        <f t="shared" si="28"/>
        <v/>
      </c>
      <c r="I591" s="136" t="str">
        <f t="shared" si="29"/>
        <v/>
      </c>
    </row>
    <row r="592" spans="1:9" hidden="1" x14ac:dyDescent="0.25">
      <c r="A592" s="113" t="s">
        <v>2359</v>
      </c>
      <c r="B592" s="114" t="s">
        <v>2360</v>
      </c>
      <c r="C592" s="115" t="s">
        <v>104</v>
      </c>
      <c r="D592" s="115">
        <v>0</v>
      </c>
      <c r="E592" s="135" t="s">
        <v>568</v>
      </c>
      <c r="F592" s="136" t="str">
        <f t="shared" si="27"/>
        <v/>
      </c>
      <c r="G592" s="137" t="e">
        <f>IF(A592&lt;&gt;"",IF(AND(#REF!="Padrão",$H$4=#REF!),BDI!$B$17,IF(AND(#REF!="Padrão",$H$4=#REF!),BDI!#REF!,IF(AND(#REF!="Diferenciado",$H$4=#REF!),BDI!$E$17,IF(AND(#REF!="Diferenciado",$H$4=#REF!),BDI!#REF!,IF(#REF!="ZERO",0))))),"")</f>
        <v>#REF!</v>
      </c>
      <c r="H592" s="138" t="str">
        <f t="shared" si="28"/>
        <v/>
      </c>
      <c r="I592" s="136" t="str">
        <f t="shared" si="29"/>
        <v/>
      </c>
    </row>
    <row r="593" spans="1:9" hidden="1" x14ac:dyDescent="0.25">
      <c r="A593" s="113" t="s">
        <v>830</v>
      </c>
      <c r="B593" s="114" t="s">
        <v>2361</v>
      </c>
      <c r="C593" s="115" t="s">
        <v>104</v>
      </c>
      <c r="D593" s="115">
        <v>0</v>
      </c>
      <c r="E593" s="135">
        <f ca="1">OFFSET(INDEX(Composições!A:J,MATCH(Orçamentária!A593,Composições!A:A,0),8),2,0)</f>
        <v>5.8425000000000002</v>
      </c>
      <c r="F593" s="136">
        <f t="shared" ca="1" si="27"/>
        <v>0</v>
      </c>
      <c r="G593" s="137" t="e">
        <f>IF(A593&lt;&gt;"",IF(AND(#REF!="Padrão",$H$4=#REF!),BDI!$B$17,IF(AND(#REF!="Padrão",$H$4=#REF!),BDI!#REF!,IF(AND(#REF!="Diferenciado",$H$4=#REF!),BDI!$E$17,IF(AND(#REF!="Diferenciado",$H$4=#REF!),BDI!#REF!,IF(#REF!="ZERO",0))))),"")</f>
        <v>#REF!</v>
      </c>
      <c r="H593" s="138" t="e">
        <f t="shared" ca="1" si="28"/>
        <v>#REF!</v>
      </c>
      <c r="I593" s="136" t="e">
        <f t="shared" ca="1" si="29"/>
        <v>#REF!</v>
      </c>
    </row>
    <row r="594" spans="1:9" hidden="1" x14ac:dyDescent="0.25">
      <c r="A594" s="113" t="s">
        <v>2362</v>
      </c>
      <c r="B594" s="114" t="s">
        <v>2363</v>
      </c>
      <c r="C594" s="115" t="s">
        <v>104</v>
      </c>
      <c r="D594" s="115">
        <v>0</v>
      </c>
      <c r="E594" s="135" t="s">
        <v>568</v>
      </c>
      <c r="F594" s="136" t="str">
        <f t="shared" si="27"/>
        <v/>
      </c>
      <c r="G594" s="137" t="e">
        <f>IF(A594&lt;&gt;"",IF(AND(#REF!="Padrão",$H$4=#REF!),BDI!$B$17,IF(AND(#REF!="Padrão",$H$4=#REF!),BDI!#REF!,IF(AND(#REF!="Diferenciado",$H$4=#REF!),BDI!$E$17,IF(AND(#REF!="Diferenciado",$H$4=#REF!),BDI!#REF!,IF(#REF!="ZERO",0))))),"")</f>
        <v>#REF!</v>
      </c>
      <c r="H594" s="138" t="str">
        <f t="shared" si="28"/>
        <v/>
      </c>
      <c r="I594" s="136" t="str">
        <f t="shared" si="29"/>
        <v/>
      </c>
    </row>
    <row r="595" spans="1:9" hidden="1" x14ac:dyDescent="0.25">
      <c r="A595" s="113" t="s">
        <v>2364</v>
      </c>
      <c r="B595" s="114" t="s">
        <v>2365</v>
      </c>
      <c r="C595" s="115" t="s">
        <v>93</v>
      </c>
      <c r="D595" s="115">
        <v>0</v>
      </c>
      <c r="E595" s="135" t="s">
        <v>568</v>
      </c>
      <c r="F595" s="136" t="str">
        <f t="shared" si="27"/>
        <v/>
      </c>
      <c r="G595" s="137" t="e">
        <f>IF(A595&lt;&gt;"",IF(AND(#REF!="Padrão",$H$4=#REF!),BDI!$B$17,IF(AND(#REF!="Padrão",$H$4=#REF!),BDI!#REF!,IF(AND(#REF!="Diferenciado",$H$4=#REF!),BDI!$E$17,IF(AND(#REF!="Diferenciado",$H$4=#REF!),BDI!#REF!,IF(#REF!="ZERO",0))))),"")</f>
        <v>#REF!</v>
      </c>
      <c r="H595" s="138" t="str">
        <f t="shared" si="28"/>
        <v/>
      </c>
      <c r="I595" s="136" t="str">
        <f t="shared" si="29"/>
        <v/>
      </c>
    </row>
    <row r="596" spans="1:9" hidden="1" x14ac:dyDescent="0.25">
      <c r="A596" s="113" t="s">
        <v>2366</v>
      </c>
      <c r="B596" s="114" t="s">
        <v>2367</v>
      </c>
      <c r="C596" s="115" t="s">
        <v>93</v>
      </c>
      <c r="D596" s="115">
        <v>0</v>
      </c>
      <c r="E596" s="135" t="s">
        <v>568</v>
      </c>
      <c r="F596" s="136" t="str">
        <f t="shared" si="27"/>
        <v/>
      </c>
      <c r="G596" s="137" t="e">
        <f>IF(A596&lt;&gt;"",IF(AND(#REF!="Padrão",$H$4=#REF!),BDI!$B$17,IF(AND(#REF!="Padrão",$H$4=#REF!),BDI!#REF!,IF(AND(#REF!="Diferenciado",$H$4=#REF!),BDI!$E$17,IF(AND(#REF!="Diferenciado",$H$4=#REF!),BDI!#REF!,IF(#REF!="ZERO",0))))),"")</f>
        <v>#REF!</v>
      </c>
      <c r="H596" s="138" t="str">
        <f t="shared" si="28"/>
        <v/>
      </c>
      <c r="I596" s="136" t="str">
        <f t="shared" si="29"/>
        <v/>
      </c>
    </row>
    <row r="597" spans="1:9" hidden="1" x14ac:dyDescent="0.25">
      <c r="A597" s="113" t="s">
        <v>2368</v>
      </c>
      <c r="B597" s="114" t="s">
        <v>2369</v>
      </c>
      <c r="C597" s="115" t="s">
        <v>95</v>
      </c>
      <c r="D597" s="115">
        <v>0</v>
      </c>
      <c r="E597" s="135">
        <f ca="1">OFFSET(INDEX(Composições!A:J,MATCH(Orçamentária!A597,Composições!A:A,0),8),2,0)</f>
        <v>1.0924999999999998</v>
      </c>
      <c r="F597" s="136">
        <f t="shared" ca="1" si="27"/>
        <v>0</v>
      </c>
      <c r="G597" s="137" t="e">
        <f>IF(A597&lt;&gt;"",IF(AND(#REF!="Padrão",$H$4=#REF!),BDI!$B$17,IF(AND(#REF!="Padrão",$H$4=#REF!),BDI!#REF!,IF(AND(#REF!="Diferenciado",$H$4=#REF!),BDI!$E$17,IF(AND(#REF!="Diferenciado",$H$4=#REF!),BDI!#REF!,IF(#REF!="ZERO",0))))),"")</f>
        <v>#REF!</v>
      </c>
      <c r="H597" s="138" t="e">
        <f t="shared" ca="1" si="28"/>
        <v>#REF!</v>
      </c>
      <c r="I597" s="136" t="e">
        <f t="shared" ca="1" si="29"/>
        <v>#REF!</v>
      </c>
    </row>
    <row r="598" spans="1:9" hidden="1" x14ac:dyDescent="0.25">
      <c r="A598" s="113" t="s">
        <v>2370</v>
      </c>
      <c r="B598" s="114" t="s">
        <v>2371</v>
      </c>
      <c r="C598" s="115" t="s">
        <v>20</v>
      </c>
      <c r="D598" s="115">
        <v>0</v>
      </c>
      <c r="E598" s="135" t="s">
        <v>568</v>
      </c>
      <c r="F598" s="136" t="str">
        <f t="shared" si="27"/>
        <v/>
      </c>
      <c r="G598" s="137" t="e">
        <f>IF(A598&lt;&gt;"",IF(AND(#REF!="Padrão",$H$4=#REF!),BDI!$B$17,IF(AND(#REF!="Padrão",$H$4=#REF!),BDI!#REF!,IF(AND(#REF!="Diferenciado",$H$4=#REF!),BDI!$E$17,IF(AND(#REF!="Diferenciado",$H$4=#REF!),BDI!#REF!,IF(#REF!="ZERO",0))))),"")</f>
        <v>#REF!</v>
      </c>
      <c r="H598" s="138" t="str">
        <f t="shared" si="28"/>
        <v/>
      </c>
      <c r="I598" s="136" t="str">
        <f t="shared" si="29"/>
        <v/>
      </c>
    </row>
    <row r="599" spans="1:9" hidden="1" x14ac:dyDescent="0.25">
      <c r="A599" s="113" t="s">
        <v>2372</v>
      </c>
      <c r="B599" s="114" t="s">
        <v>2373</v>
      </c>
      <c r="C599" s="115" t="s">
        <v>20</v>
      </c>
      <c r="D599" s="115">
        <v>0</v>
      </c>
      <c r="E599" s="135" t="s">
        <v>568</v>
      </c>
      <c r="F599" s="136" t="str">
        <f t="shared" si="27"/>
        <v/>
      </c>
      <c r="G599" s="137" t="e">
        <f>IF(A599&lt;&gt;"",IF(AND(#REF!="Padrão",$H$4=#REF!),BDI!$B$17,IF(AND(#REF!="Padrão",$H$4=#REF!),BDI!#REF!,IF(AND(#REF!="Diferenciado",$H$4=#REF!),BDI!$E$17,IF(AND(#REF!="Diferenciado",$H$4=#REF!),BDI!#REF!,IF(#REF!="ZERO",0))))),"")</f>
        <v>#REF!</v>
      </c>
      <c r="H599" s="138" t="str">
        <f t="shared" si="28"/>
        <v/>
      </c>
      <c r="I599" s="136" t="str">
        <f t="shared" si="29"/>
        <v/>
      </c>
    </row>
    <row r="600" spans="1:9" hidden="1" x14ac:dyDescent="0.25">
      <c r="A600" s="113" t="s">
        <v>2374</v>
      </c>
      <c r="B600" s="114" t="s">
        <v>2375</v>
      </c>
      <c r="C600" s="115" t="s">
        <v>20</v>
      </c>
      <c r="D600" s="115">
        <v>0</v>
      </c>
      <c r="E600" s="135" t="s">
        <v>568</v>
      </c>
      <c r="F600" s="136" t="str">
        <f t="shared" si="27"/>
        <v/>
      </c>
      <c r="G600" s="137" t="e">
        <f>IF(A600&lt;&gt;"",IF(AND(#REF!="Padrão",$H$4=#REF!),BDI!$B$17,IF(AND(#REF!="Padrão",$H$4=#REF!),BDI!#REF!,IF(AND(#REF!="Diferenciado",$H$4=#REF!),BDI!$E$17,IF(AND(#REF!="Diferenciado",$H$4=#REF!),BDI!#REF!,IF(#REF!="ZERO",0))))),"")</f>
        <v>#REF!</v>
      </c>
      <c r="H600" s="138" t="str">
        <f t="shared" si="28"/>
        <v/>
      </c>
      <c r="I600" s="136" t="str">
        <f t="shared" si="29"/>
        <v/>
      </c>
    </row>
    <row r="601" spans="1:9" hidden="1" x14ac:dyDescent="0.25">
      <c r="A601" s="113" t="s">
        <v>2376</v>
      </c>
      <c r="B601" s="114" t="s">
        <v>2377</v>
      </c>
      <c r="C601" s="115" t="s">
        <v>20</v>
      </c>
      <c r="D601" s="115">
        <v>0</v>
      </c>
      <c r="E601" s="135" t="s">
        <v>568</v>
      </c>
      <c r="F601" s="136" t="str">
        <f t="shared" si="27"/>
        <v/>
      </c>
      <c r="G601" s="137" t="e">
        <f>IF(A601&lt;&gt;"",IF(AND(#REF!="Padrão",$H$4=#REF!),BDI!$B$17,IF(AND(#REF!="Padrão",$H$4=#REF!),BDI!#REF!,IF(AND(#REF!="Diferenciado",$H$4=#REF!),BDI!$E$17,IF(AND(#REF!="Diferenciado",$H$4=#REF!),BDI!#REF!,IF(#REF!="ZERO",0))))),"")</f>
        <v>#REF!</v>
      </c>
      <c r="H601" s="138" t="str">
        <f t="shared" si="28"/>
        <v/>
      </c>
      <c r="I601" s="136" t="str">
        <f t="shared" si="29"/>
        <v/>
      </c>
    </row>
    <row r="602" spans="1:9" hidden="1" x14ac:dyDescent="0.25">
      <c r="A602" s="113" t="s">
        <v>2378</v>
      </c>
      <c r="B602" s="114" t="s">
        <v>2379</v>
      </c>
      <c r="C602" s="115" t="s">
        <v>20</v>
      </c>
      <c r="D602" s="115">
        <v>0</v>
      </c>
      <c r="E602" s="135" t="s">
        <v>568</v>
      </c>
      <c r="F602" s="136" t="str">
        <f t="shared" si="27"/>
        <v/>
      </c>
      <c r="G602" s="137" t="e">
        <f>IF(A602&lt;&gt;"",IF(AND(#REF!="Padrão",$H$4=#REF!),BDI!$B$17,IF(AND(#REF!="Padrão",$H$4=#REF!),BDI!#REF!,IF(AND(#REF!="Diferenciado",$H$4=#REF!),BDI!$E$17,IF(AND(#REF!="Diferenciado",$H$4=#REF!),BDI!#REF!,IF(#REF!="ZERO",0))))),"")</f>
        <v>#REF!</v>
      </c>
      <c r="H602" s="138" t="str">
        <f t="shared" si="28"/>
        <v/>
      </c>
      <c r="I602" s="136" t="str">
        <f t="shared" si="29"/>
        <v/>
      </c>
    </row>
    <row r="603" spans="1:9" hidden="1" x14ac:dyDescent="0.25">
      <c r="A603" s="113" t="s">
        <v>2380</v>
      </c>
      <c r="B603" s="114" t="s">
        <v>2381</v>
      </c>
      <c r="C603" s="115" t="s">
        <v>20</v>
      </c>
      <c r="D603" s="115">
        <v>0</v>
      </c>
      <c r="E603" s="135" t="s">
        <v>568</v>
      </c>
      <c r="F603" s="136" t="str">
        <f t="shared" si="27"/>
        <v/>
      </c>
      <c r="G603" s="137" t="e">
        <f>IF(A603&lt;&gt;"",IF(AND(#REF!="Padrão",$H$4=#REF!),BDI!$B$17,IF(AND(#REF!="Padrão",$H$4=#REF!),BDI!#REF!,IF(AND(#REF!="Diferenciado",$H$4=#REF!),BDI!$E$17,IF(AND(#REF!="Diferenciado",$H$4=#REF!),BDI!#REF!,IF(#REF!="ZERO",0))))),"")</f>
        <v>#REF!</v>
      </c>
      <c r="H603" s="138" t="str">
        <f t="shared" si="28"/>
        <v/>
      </c>
      <c r="I603" s="136" t="str">
        <f t="shared" si="29"/>
        <v/>
      </c>
    </row>
    <row r="604" spans="1:9" hidden="1" x14ac:dyDescent="0.25">
      <c r="A604" s="113" t="s">
        <v>2382</v>
      </c>
      <c r="B604" s="114" t="s">
        <v>2383</v>
      </c>
      <c r="C604" s="115" t="s">
        <v>20</v>
      </c>
      <c r="D604" s="115">
        <v>0</v>
      </c>
      <c r="E604" s="135" t="s">
        <v>568</v>
      </c>
      <c r="F604" s="136" t="str">
        <f t="shared" si="27"/>
        <v/>
      </c>
      <c r="G604" s="137" t="e">
        <f>IF(A604&lt;&gt;"",IF(AND(#REF!="Padrão",$H$4=#REF!),BDI!$B$17,IF(AND(#REF!="Padrão",$H$4=#REF!),BDI!#REF!,IF(AND(#REF!="Diferenciado",$H$4=#REF!),BDI!$E$17,IF(AND(#REF!="Diferenciado",$H$4=#REF!),BDI!#REF!,IF(#REF!="ZERO",0))))),"")</f>
        <v>#REF!</v>
      </c>
      <c r="H604" s="138" t="str">
        <f t="shared" si="28"/>
        <v/>
      </c>
      <c r="I604" s="136" t="str">
        <f t="shared" si="29"/>
        <v/>
      </c>
    </row>
    <row r="605" spans="1:9" hidden="1" x14ac:dyDescent="0.25">
      <c r="A605" s="113" t="s">
        <v>2384</v>
      </c>
      <c r="B605" s="114" t="s">
        <v>2385</v>
      </c>
      <c r="C605" s="115" t="s">
        <v>20</v>
      </c>
      <c r="D605" s="115">
        <v>0</v>
      </c>
      <c r="E605" s="135" t="s">
        <v>568</v>
      </c>
      <c r="F605" s="136" t="str">
        <f t="shared" si="27"/>
        <v/>
      </c>
      <c r="G605" s="137" t="e">
        <f>IF(A605&lt;&gt;"",IF(AND(#REF!="Padrão",$H$4=#REF!),BDI!$B$17,IF(AND(#REF!="Padrão",$H$4=#REF!),BDI!#REF!,IF(AND(#REF!="Diferenciado",$H$4=#REF!),BDI!$E$17,IF(AND(#REF!="Diferenciado",$H$4=#REF!),BDI!#REF!,IF(#REF!="ZERO",0))))),"")</f>
        <v>#REF!</v>
      </c>
      <c r="H605" s="138" t="str">
        <f t="shared" si="28"/>
        <v/>
      </c>
      <c r="I605" s="136" t="str">
        <f t="shared" si="29"/>
        <v/>
      </c>
    </row>
    <row r="606" spans="1:9" hidden="1" x14ac:dyDescent="0.25">
      <c r="A606" s="113" t="s">
        <v>2386</v>
      </c>
      <c r="B606" s="114" t="s">
        <v>2387</v>
      </c>
      <c r="C606" s="115" t="s">
        <v>20</v>
      </c>
      <c r="D606" s="115">
        <v>0</v>
      </c>
      <c r="E606" s="135" t="s">
        <v>568</v>
      </c>
      <c r="F606" s="136" t="str">
        <f t="shared" si="27"/>
        <v/>
      </c>
      <c r="G606" s="137" t="e">
        <f>IF(A606&lt;&gt;"",IF(AND(#REF!="Padrão",$H$4=#REF!),BDI!$B$17,IF(AND(#REF!="Padrão",$H$4=#REF!),BDI!#REF!,IF(AND(#REF!="Diferenciado",$H$4=#REF!),BDI!$E$17,IF(AND(#REF!="Diferenciado",$H$4=#REF!),BDI!#REF!,IF(#REF!="ZERO",0))))),"")</f>
        <v>#REF!</v>
      </c>
      <c r="H606" s="138" t="str">
        <f t="shared" si="28"/>
        <v/>
      </c>
      <c r="I606" s="136" t="str">
        <f t="shared" si="29"/>
        <v/>
      </c>
    </row>
    <row r="607" spans="1:9" hidden="1" x14ac:dyDescent="0.25">
      <c r="A607" s="113" t="s">
        <v>2388</v>
      </c>
      <c r="B607" s="114" t="s">
        <v>2389</v>
      </c>
      <c r="C607" s="115" t="s">
        <v>20</v>
      </c>
      <c r="D607" s="115">
        <v>0</v>
      </c>
      <c r="E607" s="135" t="s">
        <v>568</v>
      </c>
      <c r="F607" s="136" t="str">
        <f t="shared" si="27"/>
        <v/>
      </c>
      <c r="G607" s="137" t="e">
        <f>IF(A607&lt;&gt;"",IF(AND(#REF!="Padrão",$H$4=#REF!),BDI!$B$17,IF(AND(#REF!="Padrão",$H$4=#REF!),BDI!#REF!,IF(AND(#REF!="Diferenciado",$H$4=#REF!),BDI!$E$17,IF(AND(#REF!="Diferenciado",$H$4=#REF!),BDI!#REF!,IF(#REF!="ZERO",0))))),"")</f>
        <v>#REF!</v>
      </c>
      <c r="H607" s="138" t="str">
        <f t="shared" si="28"/>
        <v/>
      </c>
      <c r="I607" s="136" t="str">
        <f t="shared" si="29"/>
        <v/>
      </c>
    </row>
    <row r="608" spans="1:9" hidden="1" x14ac:dyDescent="0.25">
      <c r="A608" s="113" t="s">
        <v>2390</v>
      </c>
      <c r="B608" s="114" t="s">
        <v>2391</v>
      </c>
      <c r="C608" s="115" t="s">
        <v>20</v>
      </c>
      <c r="D608" s="115">
        <v>0</v>
      </c>
      <c r="E608" s="135" t="s">
        <v>568</v>
      </c>
      <c r="F608" s="136" t="str">
        <f t="shared" si="27"/>
        <v/>
      </c>
      <c r="G608" s="137" t="e">
        <f>IF(A608&lt;&gt;"",IF(AND(#REF!="Padrão",$H$4=#REF!),BDI!$B$17,IF(AND(#REF!="Padrão",$H$4=#REF!),BDI!#REF!,IF(AND(#REF!="Diferenciado",$H$4=#REF!),BDI!$E$17,IF(AND(#REF!="Diferenciado",$H$4=#REF!),BDI!#REF!,IF(#REF!="ZERO",0))))),"")</f>
        <v>#REF!</v>
      </c>
      <c r="H608" s="138" t="str">
        <f t="shared" si="28"/>
        <v/>
      </c>
      <c r="I608" s="136" t="str">
        <f t="shared" si="29"/>
        <v/>
      </c>
    </row>
    <row r="609" spans="1:9" hidden="1" x14ac:dyDescent="0.25">
      <c r="A609" s="113" t="s">
        <v>2392</v>
      </c>
      <c r="B609" s="114" t="s">
        <v>2393</v>
      </c>
      <c r="C609" s="115" t="s">
        <v>20</v>
      </c>
      <c r="D609" s="115">
        <v>0</v>
      </c>
      <c r="E609" s="135" t="s">
        <v>568</v>
      </c>
      <c r="F609" s="136" t="str">
        <f t="shared" si="27"/>
        <v/>
      </c>
      <c r="G609" s="137" t="e">
        <f>IF(A609&lt;&gt;"",IF(AND(#REF!="Padrão",$H$4=#REF!),BDI!$B$17,IF(AND(#REF!="Padrão",$H$4=#REF!),BDI!#REF!,IF(AND(#REF!="Diferenciado",$H$4=#REF!),BDI!$E$17,IF(AND(#REF!="Diferenciado",$H$4=#REF!),BDI!#REF!,IF(#REF!="ZERO",0))))),"")</f>
        <v>#REF!</v>
      </c>
      <c r="H609" s="138" t="str">
        <f t="shared" si="28"/>
        <v/>
      </c>
      <c r="I609" s="136" t="str">
        <f t="shared" si="29"/>
        <v/>
      </c>
    </row>
    <row r="610" spans="1:9" hidden="1" x14ac:dyDescent="0.25">
      <c r="A610" s="113" t="s">
        <v>2394</v>
      </c>
      <c r="B610" s="114" t="s">
        <v>2395</v>
      </c>
      <c r="C610" s="115" t="s">
        <v>20</v>
      </c>
      <c r="D610" s="115">
        <v>0</v>
      </c>
      <c r="E610" s="135" t="s">
        <v>568</v>
      </c>
      <c r="F610" s="136" t="str">
        <f t="shared" si="27"/>
        <v/>
      </c>
      <c r="G610" s="137" t="e">
        <f>IF(A610&lt;&gt;"",IF(AND(#REF!="Padrão",$H$4=#REF!),BDI!$B$17,IF(AND(#REF!="Padrão",$H$4=#REF!),BDI!#REF!,IF(AND(#REF!="Diferenciado",$H$4=#REF!),BDI!$E$17,IF(AND(#REF!="Diferenciado",$H$4=#REF!),BDI!#REF!,IF(#REF!="ZERO",0))))),"")</f>
        <v>#REF!</v>
      </c>
      <c r="H610" s="138" t="str">
        <f t="shared" si="28"/>
        <v/>
      </c>
      <c r="I610" s="136" t="str">
        <f t="shared" si="29"/>
        <v/>
      </c>
    </row>
    <row r="611" spans="1:9" hidden="1" x14ac:dyDescent="0.25">
      <c r="A611" s="113" t="s">
        <v>2396</v>
      </c>
      <c r="B611" s="114" t="s">
        <v>2397</v>
      </c>
      <c r="C611" s="115" t="s">
        <v>20</v>
      </c>
      <c r="D611" s="115">
        <v>0</v>
      </c>
      <c r="E611" s="135" t="s">
        <v>568</v>
      </c>
      <c r="F611" s="136" t="str">
        <f t="shared" si="27"/>
        <v/>
      </c>
      <c r="G611" s="137" t="e">
        <f>IF(A611&lt;&gt;"",IF(AND(#REF!="Padrão",$H$4=#REF!),BDI!$B$17,IF(AND(#REF!="Padrão",$H$4=#REF!),BDI!#REF!,IF(AND(#REF!="Diferenciado",$H$4=#REF!),BDI!$E$17,IF(AND(#REF!="Diferenciado",$H$4=#REF!),BDI!#REF!,IF(#REF!="ZERO",0))))),"")</f>
        <v>#REF!</v>
      </c>
      <c r="H611" s="138" t="str">
        <f t="shared" si="28"/>
        <v/>
      </c>
      <c r="I611" s="136" t="str">
        <f t="shared" si="29"/>
        <v/>
      </c>
    </row>
    <row r="612" spans="1:9" hidden="1" x14ac:dyDescent="0.25">
      <c r="A612" s="113" t="s">
        <v>2398</v>
      </c>
      <c r="B612" s="114" t="s">
        <v>2399</v>
      </c>
      <c r="C612" s="115" t="s">
        <v>20</v>
      </c>
      <c r="D612" s="115">
        <v>0</v>
      </c>
      <c r="E612" s="135" t="s">
        <v>568</v>
      </c>
      <c r="F612" s="136" t="str">
        <f t="shared" si="27"/>
        <v/>
      </c>
      <c r="G612" s="137" t="e">
        <f>IF(A612&lt;&gt;"",IF(AND(#REF!="Padrão",$H$4=#REF!),BDI!$B$17,IF(AND(#REF!="Padrão",$H$4=#REF!),BDI!#REF!,IF(AND(#REF!="Diferenciado",$H$4=#REF!),BDI!$E$17,IF(AND(#REF!="Diferenciado",$H$4=#REF!),BDI!#REF!,IF(#REF!="ZERO",0))))),"")</f>
        <v>#REF!</v>
      </c>
      <c r="H612" s="138" t="str">
        <f t="shared" si="28"/>
        <v/>
      </c>
      <c r="I612" s="136" t="str">
        <f t="shared" si="29"/>
        <v/>
      </c>
    </row>
    <row r="613" spans="1:9" hidden="1" x14ac:dyDescent="0.25">
      <c r="A613" s="113" t="s">
        <v>2400</v>
      </c>
      <c r="B613" s="114" t="s">
        <v>2401</v>
      </c>
      <c r="C613" s="115" t="s">
        <v>20</v>
      </c>
      <c r="D613" s="115">
        <v>0</v>
      </c>
      <c r="E613" s="135" t="s">
        <v>568</v>
      </c>
      <c r="F613" s="136" t="str">
        <f t="shared" si="27"/>
        <v/>
      </c>
      <c r="G613" s="137" t="e">
        <f>IF(A613&lt;&gt;"",IF(AND(#REF!="Padrão",$H$4=#REF!),BDI!$B$17,IF(AND(#REF!="Padrão",$H$4=#REF!),BDI!#REF!,IF(AND(#REF!="Diferenciado",$H$4=#REF!),BDI!$E$17,IF(AND(#REF!="Diferenciado",$H$4=#REF!),BDI!#REF!,IF(#REF!="ZERO",0))))),"")</f>
        <v>#REF!</v>
      </c>
      <c r="H613" s="138" t="str">
        <f t="shared" si="28"/>
        <v/>
      </c>
      <c r="I613" s="136" t="str">
        <f t="shared" si="29"/>
        <v/>
      </c>
    </row>
    <row r="614" spans="1:9" hidden="1" x14ac:dyDescent="0.25">
      <c r="A614" s="113" t="s">
        <v>2402</v>
      </c>
      <c r="B614" s="114" t="s">
        <v>2403</v>
      </c>
      <c r="C614" s="115" t="s">
        <v>20</v>
      </c>
      <c r="D614" s="115">
        <v>0</v>
      </c>
      <c r="E614" s="135" t="s">
        <v>568</v>
      </c>
      <c r="F614" s="136" t="str">
        <f t="shared" si="27"/>
        <v/>
      </c>
      <c r="G614" s="137" t="e">
        <f>IF(A614&lt;&gt;"",IF(AND(#REF!="Padrão",$H$4=#REF!),BDI!$B$17,IF(AND(#REF!="Padrão",$H$4=#REF!),BDI!#REF!,IF(AND(#REF!="Diferenciado",$H$4=#REF!),BDI!$E$17,IF(AND(#REF!="Diferenciado",$H$4=#REF!),BDI!#REF!,IF(#REF!="ZERO",0))))),"")</f>
        <v>#REF!</v>
      </c>
      <c r="H614" s="138" t="str">
        <f t="shared" si="28"/>
        <v/>
      </c>
      <c r="I614" s="136" t="str">
        <f t="shared" si="29"/>
        <v/>
      </c>
    </row>
    <row r="615" spans="1:9" hidden="1" x14ac:dyDescent="0.25">
      <c r="A615" s="113" t="s">
        <v>2404</v>
      </c>
      <c r="B615" s="114" t="s">
        <v>2405</v>
      </c>
      <c r="C615" s="115" t="s">
        <v>20</v>
      </c>
      <c r="D615" s="115">
        <v>0</v>
      </c>
      <c r="E615" s="135" t="s">
        <v>568</v>
      </c>
      <c r="F615" s="136" t="str">
        <f t="shared" si="27"/>
        <v/>
      </c>
      <c r="G615" s="137" t="e">
        <f>IF(A615&lt;&gt;"",IF(AND(#REF!="Padrão",$H$4=#REF!),BDI!$B$17,IF(AND(#REF!="Padrão",$H$4=#REF!),BDI!#REF!,IF(AND(#REF!="Diferenciado",$H$4=#REF!),BDI!$E$17,IF(AND(#REF!="Diferenciado",$H$4=#REF!),BDI!#REF!,IF(#REF!="ZERO",0))))),"")</f>
        <v>#REF!</v>
      </c>
      <c r="H615" s="138" t="str">
        <f t="shared" si="28"/>
        <v/>
      </c>
      <c r="I615" s="136" t="str">
        <f t="shared" si="29"/>
        <v/>
      </c>
    </row>
    <row r="616" spans="1:9" hidden="1" x14ac:dyDescent="0.25">
      <c r="A616" s="113" t="s">
        <v>2406</v>
      </c>
      <c r="B616" s="114" t="s">
        <v>2407</v>
      </c>
      <c r="C616" s="115" t="s">
        <v>20</v>
      </c>
      <c r="D616" s="115">
        <v>0</v>
      </c>
      <c r="E616" s="135" t="s">
        <v>568</v>
      </c>
      <c r="F616" s="136" t="str">
        <f t="shared" si="27"/>
        <v/>
      </c>
      <c r="G616" s="137" t="e">
        <f>IF(A616&lt;&gt;"",IF(AND(#REF!="Padrão",$H$4=#REF!),BDI!$B$17,IF(AND(#REF!="Padrão",$H$4=#REF!),BDI!#REF!,IF(AND(#REF!="Diferenciado",$H$4=#REF!),BDI!$E$17,IF(AND(#REF!="Diferenciado",$H$4=#REF!),BDI!#REF!,IF(#REF!="ZERO",0))))),"")</f>
        <v>#REF!</v>
      </c>
      <c r="H616" s="138" t="str">
        <f t="shared" si="28"/>
        <v/>
      </c>
      <c r="I616" s="136" t="str">
        <f t="shared" si="29"/>
        <v/>
      </c>
    </row>
    <row r="617" spans="1:9" hidden="1" x14ac:dyDescent="0.25">
      <c r="A617" s="113" t="s">
        <v>2408</v>
      </c>
      <c r="B617" s="114" t="s">
        <v>2409</v>
      </c>
      <c r="C617" s="115" t="s">
        <v>20</v>
      </c>
      <c r="D617" s="115">
        <v>0</v>
      </c>
      <c r="E617" s="135" t="s">
        <v>568</v>
      </c>
      <c r="F617" s="136" t="str">
        <f t="shared" si="27"/>
        <v/>
      </c>
      <c r="G617" s="137" t="e">
        <f>IF(A617&lt;&gt;"",IF(AND(#REF!="Padrão",$H$4=#REF!),BDI!$B$17,IF(AND(#REF!="Padrão",$H$4=#REF!),BDI!#REF!,IF(AND(#REF!="Diferenciado",$H$4=#REF!),BDI!$E$17,IF(AND(#REF!="Diferenciado",$H$4=#REF!),BDI!#REF!,IF(#REF!="ZERO",0))))),"")</f>
        <v>#REF!</v>
      </c>
      <c r="H617" s="138" t="str">
        <f t="shared" si="28"/>
        <v/>
      </c>
      <c r="I617" s="136" t="str">
        <f t="shared" si="29"/>
        <v/>
      </c>
    </row>
    <row r="618" spans="1:9" hidden="1" x14ac:dyDescent="0.25">
      <c r="A618" s="113" t="s">
        <v>2410</v>
      </c>
      <c r="B618" s="114" t="s">
        <v>2411</v>
      </c>
      <c r="C618" s="115" t="s">
        <v>20</v>
      </c>
      <c r="D618" s="115">
        <v>0</v>
      </c>
      <c r="E618" s="135" t="s">
        <v>568</v>
      </c>
      <c r="F618" s="136" t="str">
        <f t="shared" si="27"/>
        <v/>
      </c>
      <c r="G618" s="137" t="e">
        <f>IF(A618&lt;&gt;"",IF(AND(#REF!="Padrão",$H$4=#REF!),BDI!$B$17,IF(AND(#REF!="Padrão",$H$4=#REF!),BDI!#REF!,IF(AND(#REF!="Diferenciado",$H$4=#REF!),BDI!$E$17,IF(AND(#REF!="Diferenciado",$H$4=#REF!),BDI!#REF!,IF(#REF!="ZERO",0))))),"")</f>
        <v>#REF!</v>
      </c>
      <c r="H618" s="138" t="str">
        <f t="shared" si="28"/>
        <v/>
      </c>
      <c r="I618" s="136" t="str">
        <f t="shared" si="29"/>
        <v/>
      </c>
    </row>
    <row r="619" spans="1:9" hidden="1" x14ac:dyDescent="0.25">
      <c r="A619" s="113" t="s">
        <v>2412</v>
      </c>
      <c r="B619" s="114" t="s">
        <v>2413</v>
      </c>
      <c r="C619" s="115" t="s">
        <v>20</v>
      </c>
      <c r="D619" s="115">
        <v>0</v>
      </c>
      <c r="E619" s="135" t="s">
        <v>568</v>
      </c>
      <c r="F619" s="136" t="str">
        <f t="shared" si="27"/>
        <v/>
      </c>
      <c r="G619" s="137" t="e">
        <f>IF(A619&lt;&gt;"",IF(AND(#REF!="Padrão",$H$4=#REF!),BDI!$B$17,IF(AND(#REF!="Padrão",$H$4=#REF!),BDI!#REF!,IF(AND(#REF!="Diferenciado",$H$4=#REF!),BDI!$E$17,IF(AND(#REF!="Diferenciado",$H$4=#REF!),BDI!#REF!,IF(#REF!="ZERO",0))))),"")</f>
        <v>#REF!</v>
      </c>
      <c r="H619" s="138" t="str">
        <f t="shared" si="28"/>
        <v/>
      </c>
      <c r="I619" s="136" t="str">
        <f t="shared" si="29"/>
        <v/>
      </c>
    </row>
    <row r="620" spans="1:9" hidden="1" x14ac:dyDescent="0.25">
      <c r="A620" s="113" t="s">
        <v>2414</v>
      </c>
      <c r="B620" s="114" t="s">
        <v>2415</v>
      </c>
      <c r="C620" s="115" t="s">
        <v>20</v>
      </c>
      <c r="D620" s="115">
        <v>0</v>
      </c>
      <c r="E620" s="135" t="s">
        <v>568</v>
      </c>
      <c r="F620" s="136" t="str">
        <f t="shared" si="27"/>
        <v/>
      </c>
      <c r="G620" s="137" t="e">
        <f>IF(A620&lt;&gt;"",IF(AND(#REF!="Padrão",$H$4=#REF!),BDI!$B$17,IF(AND(#REF!="Padrão",$H$4=#REF!),BDI!#REF!,IF(AND(#REF!="Diferenciado",$H$4=#REF!),BDI!$E$17,IF(AND(#REF!="Diferenciado",$H$4=#REF!),BDI!#REF!,IF(#REF!="ZERO",0))))),"")</f>
        <v>#REF!</v>
      </c>
      <c r="H620" s="138" t="str">
        <f t="shared" si="28"/>
        <v/>
      </c>
      <c r="I620" s="136" t="str">
        <f t="shared" si="29"/>
        <v/>
      </c>
    </row>
    <row r="621" spans="1:9" hidden="1" x14ac:dyDescent="0.25">
      <c r="A621" s="113" t="s">
        <v>2416</v>
      </c>
      <c r="B621" s="114" t="s">
        <v>2417</v>
      </c>
      <c r="C621" s="115" t="s">
        <v>20</v>
      </c>
      <c r="D621" s="115">
        <v>0</v>
      </c>
      <c r="E621" s="135" t="s">
        <v>568</v>
      </c>
      <c r="F621" s="136" t="str">
        <f t="shared" si="27"/>
        <v/>
      </c>
      <c r="G621" s="137" t="e">
        <f>IF(A621&lt;&gt;"",IF(AND(#REF!="Padrão",$H$4=#REF!),BDI!$B$17,IF(AND(#REF!="Padrão",$H$4=#REF!),BDI!#REF!,IF(AND(#REF!="Diferenciado",$H$4=#REF!),BDI!$E$17,IF(AND(#REF!="Diferenciado",$H$4=#REF!),BDI!#REF!,IF(#REF!="ZERO",0))))),"")</f>
        <v>#REF!</v>
      </c>
      <c r="H621" s="138" t="str">
        <f t="shared" si="28"/>
        <v/>
      </c>
      <c r="I621" s="136" t="str">
        <f t="shared" si="29"/>
        <v/>
      </c>
    </row>
    <row r="622" spans="1:9" hidden="1" x14ac:dyDescent="0.25">
      <c r="A622" s="113" t="s">
        <v>2418</v>
      </c>
      <c r="B622" s="114" t="s">
        <v>2419</v>
      </c>
      <c r="C622" s="115" t="s">
        <v>20</v>
      </c>
      <c r="D622" s="115">
        <v>0</v>
      </c>
      <c r="E622" s="135" t="s">
        <v>568</v>
      </c>
      <c r="F622" s="136" t="str">
        <f t="shared" si="27"/>
        <v/>
      </c>
      <c r="G622" s="137" t="e">
        <f>IF(A622&lt;&gt;"",IF(AND(#REF!="Padrão",$H$4=#REF!),BDI!$B$17,IF(AND(#REF!="Padrão",$H$4=#REF!),BDI!#REF!,IF(AND(#REF!="Diferenciado",$H$4=#REF!),BDI!$E$17,IF(AND(#REF!="Diferenciado",$H$4=#REF!),BDI!#REF!,IF(#REF!="ZERO",0))))),"")</f>
        <v>#REF!</v>
      </c>
      <c r="H622" s="138" t="str">
        <f t="shared" si="28"/>
        <v/>
      </c>
      <c r="I622" s="136" t="str">
        <f t="shared" si="29"/>
        <v/>
      </c>
    </row>
    <row r="623" spans="1:9" hidden="1" x14ac:dyDescent="0.25">
      <c r="A623" s="113" t="s">
        <v>2420</v>
      </c>
      <c r="B623" s="114" t="s">
        <v>2421</v>
      </c>
      <c r="C623" s="115" t="s">
        <v>20</v>
      </c>
      <c r="D623" s="115">
        <v>0</v>
      </c>
      <c r="E623" s="135" t="s">
        <v>568</v>
      </c>
      <c r="F623" s="136" t="str">
        <f t="shared" si="27"/>
        <v/>
      </c>
      <c r="G623" s="137" t="e">
        <f>IF(A623&lt;&gt;"",IF(AND(#REF!="Padrão",$H$4=#REF!),BDI!$B$17,IF(AND(#REF!="Padrão",$H$4=#REF!),BDI!#REF!,IF(AND(#REF!="Diferenciado",$H$4=#REF!),BDI!$E$17,IF(AND(#REF!="Diferenciado",$H$4=#REF!),BDI!#REF!,IF(#REF!="ZERO",0))))),"")</f>
        <v>#REF!</v>
      </c>
      <c r="H623" s="138" t="str">
        <f t="shared" si="28"/>
        <v/>
      </c>
      <c r="I623" s="136" t="str">
        <f t="shared" si="29"/>
        <v/>
      </c>
    </row>
    <row r="624" spans="1:9" hidden="1" x14ac:dyDescent="0.25">
      <c r="A624" s="113" t="s">
        <v>2422</v>
      </c>
      <c r="B624" s="114" t="s">
        <v>2423</v>
      </c>
      <c r="C624" s="115" t="s">
        <v>20</v>
      </c>
      <c r="D624" s="115">
        <v>0</v>
      </c>
      <c r="E624" s="135" t="s">
        <v>568</v>
      </c>
      <c r="F624" s="136" t="str">
        <f t="shared" si="27"/>
        <v/>
      </c>
      <c r="G624" s="137" t="e">
        <f>IF(A624&lt;&gt;"",IF(AND(#REF!="Padrão",$H$4=#REF!),BDI!$B$17,IF(AND(#REF!="Padrão",$H$4=#REF!),BDI!#REF!,IF(AND(#REF!="Diferenciado",$H$4=#REF!),BDI!$E$17,IF(AND(#REF!="Diferenciado",$H$4=#REF!),BDI!#REF!,IF(#REF!="ZERO",0))))),"")</f>
        <v>#REF!</v>
      </c>
      <c r="H624" s="138" t="str">
        <f t="shared" si="28"/>
        <v/>
      </c>
      <c r="I624" s="136" t="str">
        <f t="shared" si="29"/>
        <v/>
      </c>
    </row>
    <row r="625" spans="1:9" hidden="1" x14ac:dyDescent="0.25">
      <c r="A625" s="113" t="s">
        <v>2424</v>
      </c>
      <c r="B625" s="114" t="s">
        <v>2425</v>
      </c>
      <c r="C625" s="115" t="s">
        <v>20</v>
      </c>
      <c r="D625" s="115">
        <v>0</v>
      </c>
      <c r="E625" s="135" t="s">
        <v>568</v>
      </c>
      <c r="F625" s="136" t="str">
        <f t="shared" si="27"/>
        <v/>
      </c>
      <c r="G625" s="137" t="e">
        <f>IF(A625&lt;&gt;"",IF(AND(#REF!="Padrão",$H$4=#REF!),BDI!$B$17,IF(AND(#REF!="Padrão",$H$4=#REF!),BDI!#REF!,IF(AND(#REF!="Diferenciado",$H$4=#REF!),BDI!$E$17,IF(AND(#REF!="Diferenciado",$H$4=#REF!),BDI!#REF!,IF(#REF!="ZERO",0))))),"")</f>
        <v>#REF!</v>
      </c>
      <c r="H625" s="138" t="str">
        <f t="shared" si="28"/>
        <v/>
      </c>
      <c r="I625" s="136" t="str">
        <f t="shared" si="29"/>
        <v/>
      </c>
    </row>
    <row r="626" spans="1:9" hidden="1" x14ac:dyDescent="0.25">
      <c r="A626" s="113" t="s">
        <v>2426</v>
      </c>
      <c r="B626" s="114" t="s">
        <v>2427</v>
      </c>
      <c r="C626" s="115" t="s">
        <v>20</v>
      </c>
      <c r="D626" s="115">
        <v>0</v>
      </c>
      <c r="E626" s="135" t="s">
        <v>568</v>
      </c>
      <c r="F626" s="136" t="str">
        <f t="shared" si="27"/>
        <v/>
      </c>
      <c r="G626" s="137" t="e">
        <f>IF(A626&lt;&gt;"",IF(AND(#REF!="Padrão",$H$4=#REF!),BDI!$B$17,IF(AND(#REF!="Padrão",$H$4=#REF!),BDI!#REF!,IF(AND(#REF!="Diferenciado",$H$4=#REF!),BDI!$E$17,IF(AND(#REF!="Diferenciado",$H$4=#REF!),BDI!#REF!,IF(#REF!="ZERO",0))))),"")</f>
        <v>#REF!</v>
      </c>
      <c r="H626" s="138" t="str">
        <f t="shared" si="28"/>
        <v/>
      </c>
      <c r="I626" s="136" t="str">
        <f t="shared" si="29"/>
        <v/>
      </c>
    </row>
    <row r="627" spans="1:9" hidden="1" x14ac:dyDescent="0.25">
      <c r="A627" s="113" t="s">
        <v>2428</v>
      </c>
      <c r="B627" s="114" t="s">
        <v>2429</v>
      </c>
      <c r="C627" s="115" t="s">
        <v>20</v>
      </c>
      <c r="D627" s="115">
        <v>0</v>
      </c>
      <c r="E627" s="135" t="s">
        <v>568</v>
      </c>
      <c r="F627" s="136" t="str">
        <f t="shared" si="27"/>
        <v/>
      </c>
      <c r="G627" s="137" t="e">
        <f>IF(A627&lt;&gt;"",IF(AND(#REF!="Padrão",$H$4=#REF!),BDI!$B$17,IF(AND(#REF!="Padrão",$H$4=#REF!),BDI!#REF!,IF(AND(#REF!="Diferenciado",$H$4=#REF!),BDI!$E$17,IF(AND(#REF!="Diferenciado",$H$4=#REF!),BDI!#REF!,IF(#REF!="ZERO",0))))),"")</f>
        <v>#REF!</v>
      </c>
      <c r="H627" s="138" t="str">
        <f t="shared" si="28"/>
        <v/>
      </c>
      <c r="I627" s="136" t="str">
        <f t="shared" si="29"/>
        <v/>
      </c>
    </row>
    <row r="628" spans="1:9" hidden="1" x14ac:dyDescent="0.25">
      <c r="A628" s="113" t="s">
        <v>2430</v>
      </c>
      <c r="B628" s="114" t="s">
        <v>2431</v>
      </c>
      <c r="C628" s="115" t="s">
        <v>20</v>
      </c>
      <c r="D628" s="115">
        <v>0</v>
      </c>
      <c r="E628" s="135" t="s">
        <v>568</v>
      </c>
      <c r="F628" s="136" t="str">
        <f t="shared" si="27"/>
        <v/>
      </c>
      <c r="G628" s="137" t="e">
        <f>IF(A628&lt;&gt;"",IF(AND(#REF!="Padrão",$H$4=#REF!),BDI!$B$17,IF(AND(#REF!="Padrão",$H$4=#REF!),BDI!#REF!,IF(AND(#REF!="Diferenciado",$H$4=#REF!),BDI!$E$17,IF(AND(#REF!="Diferenciado",$H$4=#REF!),BDI!#REF!,IF(#REF!="ZERO",0))))),"")</f>
        <v>#REF!</v>
      </c>
      <c r="H628" s="138" t="str">
        <f t="shared" si="28"/>
        <v/>
      </c>
      <c r="I628" s="136" t="str">
        <f t="shared" si="29"/>
        <v/>
      </c>
    </row>
    <row r="629" spans="1:9" hidden="1" x14ac:dyDescent="0.25">
      <c r="A629" s="113" t="s">
        <v>2432</v>
      </c>
      <c r="B629" s="114" t="s">
        <v>2433</v>
      </c>
      <c r="C629" s="115" t="s">
        <v>20</v>
      </c>
      <c r="D629" s="115">
        <v>0</v>
      </c>
      <c r="E629" s="135" t="s">
        <v>568</v>
      </c>
      <c r="F629" s="136" t="str">
        <f t="shared" si="27"/>
        <v/>
      </c>
      <c r="G629" s="137" t="e">
        <f>IF(A629&lt;&gt;"",IF(AND(#REF!="Padrão",$H$4=#REF!),BDI!$B$17,IF(AND(#REF!="Padrão",$H$4=#REF!),BDI!#REF!,IF(AND(#REF!="Diferenciado",$H$4=#REF!),BDI!$E$17,IF(AND(#REF!="Diferenciado",$H$4=#REF!),BDI!#REF!,IF(#REF!="ZERO",0))))),"")</f>
        <v>#REF!</v>
      </c>
      <c r="H629" s="138" t="str">
        <f t="shared" si="28"/>
        <v/>
      </c>
      <c r="I629" s="136" t="str">
        <f t="shared" si="29"/>
        <v/>
      </c>
    </row>
    <row r="630" spans="1:9" hidden="1" x14ac:dyDescent="0.25">
      <c r="A630" s="113" t="s">
        <v>2434</v>
      </c>
      <c r="B630" s="114" t="s">
        <v>2435</v>
      </c>
      <c r="C630" s="115" t="s">
        <v>20</v>
      </c>
      <c r="D630" s="115">
        <v>0</v>
      </c>
      <c r="E630" s="135" t="s">
        <v>568</v>
      </c>
      <c r="F630" s="136" t="str">
        <f t="shared" si="27"/>
        <v/>
      </c>
      <c r="G630" s="137" t="e">
        <f>IF(A630&lt;&gt;"",IF(AND(#REF!="Padrão",$H$4=#REF!),BDI!$B$17,IF(AND(#REF!="Padrão",$H$4=#REF!),BDI!#REF!,IF(AND(#REF!="Diferenciado",$H$4=#REF!),BDI!$E$17,IF(AND(#REF!="Diferenciado",$H$4=#REF!),BDI!#REF!,IF(#REF!="ZERO",0))))),"")</f>
        <v>#REF!</v>
      </c>
      <c r="H630" s="138" t="str">
        <f t="shared" si="28"/>
        <v/>
      </c>
      <c r="I630" s="136" t="str">
        <f t="shared" si="29"/>
        <v/>
      </c>
    </row>
    <row r="631" spans="1:9" hidden="1" x14ac:dyDescent="0.25">
      <c r="A631" s="113" t="s">
        <v>2436</v>
      </c>
      <c r="B631" s="114" t="s">
        <v>2437</v>
      </c>
      <c r="C631" s="115" t="s">
        <v>20</v>
      </c>
      <c r="D631" s="115">
        <v>0</v>
      </c>
      <c r="E631" s="135" t="s">
        <v>568</v>
      </c>
      <c r="F631" s="136" t="str">
        <f t="shared" si="27"/>
        <v/>
      </c>
      <c r="G631" s="137" t="e">
        <f>IF(A631&lt;&gt;"",IF(AND(#REF!="Padrão",$H$4=#REF!),BDI!$B$17,IF(AND(#REF!="Padrão",$H$4=#REF!),BDI!#REF!,IF(AND(#REF!="Diferenciado",$H$4=#REF!),BDI!$E$17,IF(AND(#REF!="Diferenciado",$H$4=#REF!),BDI!#REF!,IF(#REF!="ZERO",0))))),"")</f>
        <v>#REF!</v>
      </c>
      <c r="H631" s="138" t="str">
        <f t="shared" si="28"/>
        <v/>
      </c>
      <c r="I631" s="136" t="str">
        <f t="shared" si="29"/>
        <v/>
      </c>
    </row>
    <row r="632" spans="1:9" hidden="1" x14ac:dyDescent="0.25">
      <c r="A632" s="113" t="s">
        <v>2438</v>
      </c>
      <c r="B632" s="114" t="s">
        <v>2439</v>
      </c>
      <c r="C632" s="115" t="s">
        <v>20</v>
      </c>
      <c r="D632" s="115">
        <v>0</v>
      </c>
      <c r="E632" s="135" t="s">
        <v>568</v>
      </c>
      <c r="F632" s="136" t="str">
        <f t="shared" si="27"/>
        <v/>
      </c>
      <c r="G632" s="137" t="e">
        <f>IF(A632&lt;&gt;"",IF(AND(#REF!="Padrão",$H$4=#REF!),BDI!$B$17,IF(AND(#REF!="Padrão",$H$4=#REF!),BDI!#REF!,IF(AND(#REF!="Diferenciado",$H$4=#REF!),BDI!$E$17,IF(AND(#REF!="Diferenciado",$H$4=#REF!),BDI!#REF!,IF(#REF!="ZERO",0))))),"")</f>
        <v>#REF!</v>
      </c>
      <c r="H632" s="138" t="str">
        <f t="shared" si="28"/>
        <v/>
      </c>
      <c r="I632" s="136" t="str">
        <f t="shared" si="29"/>
        <v/>
      </c>
    </row>
    <row r="633" spans="1:9" hidden="1" x14ac:dyDescent="0.25">
      <c r="A633" s="113" t="s">
        <v>2440</v>
      </c>
      <c r="B633" s="114" t="s">
        <v>2441</v>
      </c>
      <c r="C633" s="115" t="s">
        <v>20</v>
      </c>
      <c r="D633" s="115">
        <v>0</v>
      </c>
      <c r="E633" s="135" t="s">
        <v>568</v>
      </c>
      <c r="F633" s="136" t="str">
        <f t="shared" si="27"/>
        <v/>
      </c>
      <c r="G633" s="137" t="e">
        <f>IF(A633&lt;&gt;"",IF(AND(#REF!="Padrão",$H$4=#REF!),BDI!$B$17,IF(AND(#REF!="Padrão",$H$4=#REF!),BDI!#REF!,IF(AND(#REF!="Diferenciado",$H$4=#REF!),BDI!$E$17,IF(AND(#REF!="Diferenciado",$H$4=#REF!),BDI!#REF!,IF(#REF!="ZERO",0))))),"")</f>
        <v>#REF!</v>
      </c>
      <c r="H633" s="138" t="str">
        <f t="shared" si="28"/>
        <v/>
      </c>
      <c r="I633" s="136" t="str">
        <f t="shared" si="29"/>
        <v/>
      </c>
    </row>
    <row r="634" spans="1:9" hidden="1" x14ac:dyDescent="0.25">
      <c r="A634" s="113" t="s">
        <v>2442</v>
      </c>
      <c r="B634" s="114" t="s">
        <v>2443</v>
      </c>
      <c r="C634" s="115" t="s">
        <v>20</v>
      </c>
      <c r="D634" s="115">
        <v>0</v>
      </c>
      <c r="E634" s="135" t="s">
        <v>568</v>
      </c>
      <c r="F634" s="136" t="str">
        <f t="shared" si="27"/>
        <v/>
      </c>
      <c r="G634" s="137" t="e">
        <f>IF(A634&lt;&gt;"",IF(AND(#REF!="Padrão",$H$4=#REF!),BDI!$B$17,IF(AND(#REF!="Padrão",$H$4=#REF!),BDI!#REF!,IF(AND(#REF!="Diferenciado",$H$4=#REF!),BDI!$E$17,IF(AND(#REF!="Diferenciado",$H$4=#REF!),BDI!#REF!,IF(#REF!="ZERO",0))))),"")</f>
        <v>#REF!</v>
      </c>
      <c r="H634" s="138" t="str">
        <f t="shared" si="28"/>
        <v/>
      </c>
      <c r="I634" s="136" t="str">
        <f t="shared" si="29"/>
        <v/>
      </c>
    </row>
    <row r="635" spans="1:9" hidden="1" x14ac:dyDescent="0.25">
      <c r="A635" s="113" t="s">
        <v>2444</v>
      </c>
      <c r="B635" s="114" t="s">
        <v>2445</v>
      </c>
      <c r="C635" s="115" t="s">
        <v>20</v>
      </c>
      <c r="D635" s="115">
        <v>0</v>
      </c>
      <c r="E635" s="135" t="s">
        <v>568</v>
      </c>
      <c r="F635" s="136" t="str">
        <f t="shared" si="27"/>
        <v/>
      </c>
      <c r="G635" s="137" t="e">
        <f>IF(A635&lt;&gt;"",IF(AND(#REF!="Padrão",$H$4=#REF!),BDI!$B$17,IF(AND(#REF!="Padrão",$H$4=#REF!),BDI!#REF!,IF(AND(#REF!="Diferenciado",$H$4=#REF!),BDI!$E$17,IF(AND(#REF!="Diferenciado",$H$4=#REF!),BDI!#REF!,IF(#REF!="ZERO",0))))),"")</f>
        <v>#REF!</v>
      </c>
      <c r="H635" s="138" t="str">
        <f t="shared" si="28"/>
        <v/>
      </c>
      <c r="I635" s="136" t="str">
        <f t="shared" si="29"/>
        <v/>
      </c>
    </row>
    <row r="636" spans="1:9" hidden="1" x14ac:dyDescent="0.25">
      <c r="A636" s="113" t="s">
        <v>2446</v>
      </c>
      <c r="B636" s="114" t="s">
        <v>2447</v>
      </c>
      <c r="C636" s="115" t="s">
        <v>20</v>
      </c>
      <c r="D636" s="115">
        <v>0</v>
      </c>
      <c r="E636" s="135" t="s">
        <v>568</v>
      </c>
      <c r="F636" s="136" t="str">
        <f t="shared" si="27"/>
        <v/>
      </c>
      <c r="G636" s="137" t="e">
        <f>IF(A636&lt;&gt;"",IF(AND(#REF!="Padrão",$H$4=#REF!),BDI!$B$17,IF(AND(#REF!="Padrão",$H$4=#REF!),BDI!#REF!,IF(AND(#REF!="Diferenciado",$H$4=#REF!),BDI!$E$17,IF(AND(#REF!="Diferenciado",$H$4=#REF!),BDI!#REF!,IF(#REF!="ZERO",0))))),"")</f>
        <v>#REF!</v>
      </c>
      <c r="H636" s="138" t="str">
        <f t="shared" si="28"/>
        <v/>
      </c>
      <c r="I636" s="136" t="str">
        <f t="shared" si="29"/>
        <v/>
      </c>
    </row>
    <row r="637" spans="1:9" hidden="1" x14ac:dyDescent="0.25">
      <c r="A637" s="113" t="s">
        <v>2448</v>
      </c>
      <c r="B637" s="114" t="s">
        <v>2449</v>
      </c>
      <c r="C637" s="115" t="s">
        <v>20</v>
      </c>
      <c r="D637" s="115">
        <v>0</v>
      </c>
      <c r="E637" s="135" t="s">
        <v>568</v>
      </c>
      <c r="F637" s="136" t="str">
        <f t="shared" si="27"/>
        <v/>
      </c>
      <c r="G637" s="137" t="e">
        <f>IF(A637&lt;&gt;"",IF(AND(#REF!="Padrão",$H$4=#REF!),BDI!$B$17,IF(AND(#REF!="Padrão",$H$4=#REF!),BDI!#REF!,IF(AND(#REF!="Diferenciado",$H$4=#REF!),BDI!$E$17,IF(AND(#REF!="Diferenciado",$H$4=#REF!),BDI!#REF!,IF(#REF!="ZERO",0))))),"")</f>
        <v>#REF!</v>
      </c>
      <c r="H637" s="138" t="str">
        <f t="shared" si="28"/>
        <v/>
      </c>
      <c r="I637" s="136" t="str">
        <f t="shared" si="29"/>
        <v/>
      </c>
    </row>
    <row r="638" spans="1:9" hidden="1" x14ac:dyDescent="0.25">
      <c r="A638" s="113" t="s">
        <v>2450</v>
      </c>
      <c r="B638" s="114" t="s">
        <v>2451</v>
      </c>
      <c r="C638" s="115" t="s">
        <v>20</v>
      </c>
      <c r="D638" s="115">
        <v>0</v>
      </c>
      <c r="E638" s="135" t="s">
        <v>568</v>
      </c>
      <c r="F638" s="136" t="str">
        <f t="shared" si="27"/>
        <v/>
      </c>
      <c r="G638" s="137" t="e">
        <f>IF(A638&lt;&gt;"",IF(AND(#REF!="Padrão",$H$4=#REF!),BDI!$B$17,IF(AND(#REF!="Padrão",$H$4=#REF!),BDI!#REF!,IF(AND(#REF!="Diferenciado",$H$4=#REF!),BDI!$E$17,IF(AND(#REF!="Diferenciado",$H$4=#REF!),BDI!#REF!,IF(#REF!="ZERO",0))))),"")</f>
        <v>#REF!</v>
      </c>
      <c r="H638" s="138" t="str">
        <f t="shared" si="28"/>
        <v/>
      </c>
      <c r="I638" s="136" t="str">
        <f t="shared" si="29"/>
        <v/>
      </c>
    </row>
    <row r="639" spans="1:9" hidden="1" x14ac:dyDescent="0.25">
      <c r="A639" s="113" t="s">
        <v>2452</v>
      </c>
      <c r="B639" s="114" t="s">
        <v>2453</v>
      </c>
      <c r="C639" s="115" t="s">
        <v>20</v>
      </c>
      <c r="D639" s="115">
        <v>0</v>
      </c>
      <c r="E639" s="135" t="s">
        <v>568</v>
      </c>
      <c r="F639" s="136" t="str">
        <f t="shared" si="27"/>
        <v/>
      </c>
      <c r="G639" s="137" t="e">
        <f>IF(A639&lt;&gt;"",IF(AND(#REF!="Padrão",$H$4=#REF!),BDI!$B$17,IF(AND(#REF!="Padrão",$H$4=#REF!),BDI!#REF!,IF(AND(#REF!="Diferenciado",$H$4=#REF!),BDI!$E$17,IF(AND(#REF!="Diferenciado",$H$4=#REF!),BDI!#REF!,IF(#REF!="ZERO",0))))),"")</f>
        <v>#REF!</v>
      </c>
      <c r="H639" s="138" t="str">
        <f t="shared" si="28"/>
        <v/>
      </c>
      <c r="I639" s="136" t="str">
        <f t="shared" si="29"/>
        <v/>
      </c>
    </row>
    <row r="640" spans="1:9" hidden="1" x14ac:dyDescent="0.25">
      <c r="A640" s="113" t="s">
        <v>2454</v>
      </c>
      <c r="B640" s="114" t="s">
        <v>2455</v>
      </c>
      <c r="C640" s="115" t="s">
        <v>20</v>
      </c>
      <c r="D640" s="115">
        <v>0</v>
      </c>
      <c r="E640" s="135" t="s">
        <v>568</v>
      </c>
      <c r="F640" s="136" t="str">
        <f t="shared" si="27"/>
        <v/>
      </c>
      <c r="G640" s="137" t="e">
        <f>IF(A640&lt;&gt;"",IF(AND(#REF!="Padrão",$H$4=#REF!),BDI!$B$17,IF(AND(#REF!="Padrão",$H$4=#REF!),BDI!#REF!,IF(AND(#REF!="Diferenciado",$H$4=#REF!),BDI!$E$17,IF(AND(#REF!="Diferenciado",$H$4=#REF!),BDI!#REF!,IF(#REF!="ZERO",0))))),"")</f>
        <v>#REF!</v>
      </c>
      <c r="H640" s="138" t="str">
        <f t="shared" si="28"/>
        <v/>
      </c>
      <c r="I640" s="136" t="str">
        <f t="shared" si="29"/>
        <v/>
      </c>
    </row>
    <row r="641" spans="1:9" hidden="1" x14ac:dyDescent="0.25">
      <c r="A641" s="113" t="s">
        <v>2456</v>
      </c>
      <c r="B641" s="114" t="s">
        <v>2457</v>
      </c>
      <c r="C641" s="115" t="s">
        <v>20</v>
      </c>
      <c r="D641" s="115">
        <v>0</v>
      </c>
      <c r="E641" s="135" t="s">
        <v>568</v>
      </c>
      <c r="F641" s="136" t="str">
        <f t="shared" si="27"/>
        <v/>
      </c>
      <c r="G641" s="137" t="e">
        <f>IF(A641&lt;&gt;"",IF(AND(#REF!="Padrão",$H$4=#REF!),BDI!$B$17,IF(AND(#REF!="Padrão",$H$4=#REF!),BDI!#REF!,IF(AND(#REF!="Diferenciado",$H$4=#REF!),BDI!$E$17,IF(AND(#REF!="Diferenciado",$H$4=#REF!),BDI!#REF!,IF(#REF!="ZERO",0))))),"")</f>
        <v>#REF!</v>
      </c>
      <c r="H641" s="138" t="str">
        <f t="shared" si="28"/>
        <v/>
      </c>
      <c r="I641" s="136" t="str">
        <f t="shared" si="29"/>
        <v/>
      </c>
    </row>
    <row r="642" spans="1:9" hidden="1" x14ac:dyDescent="0.25">
      <c r="A642" s="113" t="s">
        <v>2458</v>
      </c>
      <c r="B642" s="114" t="s">
        <v>2459</v>
      </c>
      <c r="C642" s="115" t="s">
        <v>20</v>
      </c>
      <c r="D642" s="115">
        <v>0</v>
      </c>
      <c r="E642" s="135" t="s">
        <v>568</v>
      </c>
      <c r="F642" s="136" t="str">
        <f t="shared" si="27"/>
        <v/>
      </c>
      <c r="G642" s="137" t="e">
        <f>IF(A642&lt;&gt;"",IF(AND(#REF!="Padrão",$H$4=#REF!),BDI!$B$17,IF(AND(#REF!="Padrão",$H$4=#REF!),BDI!#REF!,IF(AND(#REF!="Diferenciado",$H$4=#REF!),BDI!$E$17,IF(AND(#REF!="Diferenciado",$H$4=#REF!),BDI!#REF!,IF(#REF!="ZERO",0))))),"")</f>
        <v>#REF!</v>
      </c>
      <c r="H642" s="138" t="str">
        <f t="shared" si="28"/>
        <v/>
      </c>
      <c r="I642" s="136" t="str">
        <f t="shared" si="29"/>
        <v/>
      </c>
    </row>
    <row r="643" spans="1:9" hidden="1" x14ac:dyDescent="0.25">
      <c r="A643" s="113" t="s">
        <v>2460</v>
      </c>
      <c r="B643" s="114" t="s">
        <v>2461</v>
      </c>
      <c r="C643" s="115" t="s">
        <v>20</v>
      </c>
      <c r="D643" s="115">
        <v>0</v>
      </c>
      <c r="E643" s="135" t="s">
        <v>568</v>
      </c>
      <c r="F643" s="136" t="str">
        <f t="shared" si="27"/>
        <v/>
      </c>
      <c r="G643" s="137" t="e">
        <f>IF(A643&lt;&gt;"",IF(AND(#REF!="Padrão",$H$4=#REF!),BDI!$B$17,IF(AND(#REF!="Padrão",$H$4=#REF!),BDI!#REF!,IF(AND(#REF!="Diferenciado",$H$4=#REF!),BDI!$E$17,IF(AND(#REF!="Diferenciado",$H$4=#REF!),BDI!#REF!,IF(#REF!="ZERO",0))))),"")</f>
        <v>#REF!</v>
      </c>
      <c r="H643" s="138" t="str">
        <f t="shared" si="28"/>
        <v/>
      </c>
      <c r="I643" s="136" t="str">
        <f t="shared" si="29"/>
        <v/>
      </c>
    </row>
    <row r="644" spans="1:9" hidden="1" x14ac:dyDescent="0.25">
      <c r="A644" s="113" t="s">
        <v>2462</v>
      </c>
      <c r="B644" s="114" t="s">
        <v>2463</v>
      </c>
      <c r="C644" s="115" t="s">
        <v>20</v>
      </c>
      <c r="D644" s="115">
        <v>0</v>
      </c>
      <c r="E644" s="135" t="s">
        <v>568</v>
      </c>
      <c r="F644" s="136" t="str">
        <f t="shared" si="27"/>
        <v/>
      </c>
      <c r="G644" s="137" t="e">
        <f>IF(A644&lt;&gt;"",IF(AND(#REF!="Padrão",$H$4=#REF!),BDI!$B$17,IF(AND(#REF!="Padrão",$H$4=#REF!),BDI!#REF!,IF(AND(#REF!="Diferenciado",$H$4=#REF!),BDI!$E$17,IF(AND(#REF!="Diferenciado",$H$4=#REF!),BDI!#REF!,IF(#REF!="ZERO",0))))),"")</f>
        <v>#REF!</v>
      </c>
      <c r="H644" s="138" t="str">
        <f t="shared" si="28"/>
        <v/>
      </c>
      <c r="I644" s="136" t="str">
        <f t="shared" si="29"/>
        <v/>
      </c>
    </row>
    <row r="645" spans="1:9" hidden="1" x14ac:dyDescent="0.25">
      <c r="A645" s="113" t="s">
        <v>2464</v>
      </c>
      <c r="B645" s="114" t="s">
        <v>2465</v>
      </c>
      <c r="C645" s="115" t="s">
        <v>20</v>
      </c>
      <c r="D645" s="115">
        <v>0</v>
      </c>
      <c r="E645" s="135" t="s">
        <v>568</v>
      </c>
      <c r="F645" s="136" t="str">
        <f t="shared" si="27"/>
        <v/>
      </c>
      <c r="G645" s="137" t="e">
        <f>IF(A645&lt;&gt;"",IF(AND(#REF!="Padrão",$H$4=#REF!),BDI!$B$17,IF(AND(#REF!="Padrão",$H$4=#REF!),BDI!#REF!,IF(AND(#REF!="Diferenciado",$H$4=#REF!),BDI!$E$17,IF(AND(#REF!="Diferenciado",$H$4=#REF!),BDI!#REF!,IF(#REF!="ZERO",0))))),"")</f>
        <v>#REF!</v>
      </c>
      <c r="H645" s="138" t="str">
        <f t="shared" si="28"/>
        <v/>
      </c>
      <c r="I645" s="136" t="str">
        <f t="shared" si="29"/>
        <v/>
      </c>
    </row>
    <row r="646" spans="1:9" hidden="1" x14ac:dyDescent="0.25">
      <c r="A646" s="113" t="s">
        <v>2466</v>
      </c>
      <c r="B646" s="114" t="s">
        <v>2467</v>
      </c>
      <c r="C646" s="115" t="s">
        <v>20</v>
      </c>
      <c r="D646" s="115">
        <v>0</v>
      </c>
      <c r="E646" s="135" t="s">
        <v>568</v>
      </c>
      <c r="F646" s="136" t="str">
        <f t="shared" si="27"/>
        <v/>
      </c>
      <c r="G646" s="137" t="e">
        <f>IF(A646&lt;&gt;"",IF(AND(#REF!="Padrão",$H$4=#REF!),BDI!$B$17,IF(AND(#REF!="Padrão",$H$4=#REF!),BDI!#REF!,IF(AND(#REF!="Diferenciado",$H$4=#REF!),BDI!$E$17,IF(AND(#REF!="Diferenciado",$H$4=#REF!),BDI!#REF!,IF(#REF!="ZERO",0))))),"")</f>
        <v>#REF!</v>
      </c>
      <c r="H646" s="138" t="str">
        <f t="shared" si="28"/>
        <v/>
      </c>
      <c r="I646" s="136" t="str">
        <f t="shared" si="29"/>
        <v/>
      </c>
    </row>
    <row r="647" spans="1:9" hidden="1" x14ac:dyDescent="0.25">
      <c r="A647" s="113" t="s">
        <v>2468</v>
      </c>
      <c r="B647" s="114" t="s">
        <v>2469</v>
      </c>
      <c r="C647" s="115" t="s">
        <v>20</v>
      </c>
      <c r="D647" s="115">
        <v>0</v>
      </c>
      <c r="E647" s="135" t="s">
        <v>568</v>
      </c>
      <c r="F647" s="136" t="str">
        <f t="shared" ref="F647:F710" si="30">IF(ISNUMBER(E647),D647*E647,"")</f>
        <v/>
      </c>
      <c r="G647" s="137" t="e">
        <f>IF(A647&lt;&gt;"",IF(AND(#REF!="Padrão",$H$4=#REF!),BDI!$B$17,IF(AND(#REF!="Padrão",$H$4=#REF!),BDI!#REF!,IF(AND(#REF!="Diferenciado",$H$4=#REF!),BDI!$E$17,IF(AND(#REF!="Diferenciado",$H$4=#REF!),BDI!#REF!,IF(#REF!="ZERO",0))))),"")</f>
        <v>#REF!</v>
      </c>
      <c r="H647" s="138" t="str">
        <f t="shared" ref="H647:H710" si="31">IF(ISNUMBER(E647),ROUND(E647*(1+G647),2),"")</f>
        <v/>
      </c>
      <c r="I647" s="136" t="str">
        <f t="shared" ref="I647:I710" si="32">IF(ISNUMBER(E647),ROUND(H647*D647,2),"")</f>
        <v/>
      </c>
    </row>
    <row r="648" spans="1:9" hidden="1" x14ac:dyDescent="0.25">
      <c r="A648" s="113" t="s">
        <v>2470</v>
      </c>
      <c r="B648" s="114" t="s">
        <v>2471</v>
      </c>
      <c r="C648" s="115" t="s">
        <v>20</v>
      </c>
      <c r="D648" s="115">
        <v>0</v>
      </c>
      <c r="E648" s="135" t="s">
        <v>568</v>
      </c>
      <c r="F648" s="136" t="str">
        <f t="shared" si="30"/>
        <v/>
      </c>
      <c r="G648" s="137" t="e">
        <f>IF(A648&lt;&gt;"",IF(AND(#REF!="Padrão",$H$4=#REF!),BDI!$B$17,IF(AND(#REF!="Padrão",$H$4=#REF!),BDI!#REF!,IF(AND(#REF!="Diferenciado",$H$4=#REF!),BDI!$E$17,IF(AND(#REF!="Diferenciado",$H$4=#REF!),BDI!#REF!,IF(#REF!="ZERO",0))))),"")</f>
        <v>#REF!</v>
      </c>
      <c r="H648" s="138" t="str">
        <f t="shared" si="31"/>
        <v/>
      </c>
      <c r="I648" s="136" t="str">
        <f t="shared" si="32"/>
        <v/>
      </c>
    </row>
    <row r="649" spans="1:9" hidden="1" x14ac:dyDescent="0.25">
      <c r="A649" s="113" t="s">
        <v>2472</v>
      </c>
      <c r="B649" s="114" t="s">
        <v>2473</v>
      </c>
      <c r="C649" s="115" t="s">
        <v>42</v>
      </c>
      <c r="D649" s="115">
        <v>0</v>
      </c>
      <c r="E649" s="135" t="s">
        <v>568</v>
      </c>
      <c r="F649" s="136" t="str">
        <f t="shared" si="30"/>
        <v/>
      </c>
      <c r="G649" s="137" t="e">
        <f>IF(A649&lt;&gt;"",IF(AND(#REF!="Padrão",$H$4=#REF!),BDI!$B$17,IF(AND(#REF!="Padrão",$H$4=#REF!),BDI!#REF!,IF(AND(#REF!="Diferenciado",$H$4=#REF!),BDI!$E$17,IF(AND(#REF!="Diferenciado",$H$4=#REF!),BDI!#REF!,IF(#REF!="ZERO",0))))),"")</f>
        <v>#REF!</v>
      </c>
      <c r="H649" s="138" t="str">
        <f t="shared" si="31"/>
        <v/>
      </c>
      <c r="I649" s="136" t="str">
        <f t="shared" si="32"/>
        <v/>
      </c>
    </row>
    <row r="650" spans="1:9" hidden="1" x14ac:dyDescent="0.25">
      <c r="A650" s="113" t="s">
        <v>2474</v>
      </c>
      <c r="B650" s="114" t="s">
        <v>2475</v>
      </c>
      <c r="C650" s="115" t="s">
        <v>1965</v>
      </c>
      <c r="D650" s="115">
        <v>0</v>
      </c>
      <c r="E650" s="135" t="s">
        <v>568</v>
      </c>
      <c r="F650" s="136" t="str">
        <f t="shared" si="30"/>
        <v/>
      </c>
      <c r="G650" s="137" t="e">
        <f>IF(A650&lt;&gt;"",IF(AND(#REF!="Padrão",$H$4=#REF!),BDI!$B$17,IF(AND(#REF!="Padrão",$H$4=#REF!),BDI!#REF!,IF(AND(#REF!="Diferenciado",$H$4=#REF!),BDI!$E$17,IF(AND(#REF!="Diferenciado",$H$4=#REF!),BDI!#REF!,IF(#REF!="ZERO",0))))),"")</f>
        <v>#REF!</v>
      </c>
      <c r="H650" s="138" t="str">
        <f t="shared" si="31"/>
        <v/>
      </c>
      <c r="I650" s="136" t="str">
        <f t="shared" si="32"/>
        <v/>
      </c>
    </row>
    <row r="651" spans="1:9" hidden="1" x14ac:dyDescent="0.25">
      <c r="A651" s="113" t="s">
        <v>2476</v>
      </c>
      <c r="B651" s="114" t="s">
        <v>2477</v>
      </c>
      <c r="C651" s="115" t="s">
        <v>1965</v>
      </c>
      <c r="D651" s="115">
        <v>0</v>
      </c>
      <c r="E651" s="135" t="s">
        <v>568</v>
      </c>
      <c r="F651" s="136" t="str">
        <f t="shared" si="30"/>
        <v/>
      </c>
      <c r="G651" s="137" t="e">
        <f>IF(A651&lt;&gt;"",IF(AND(#REF!="Padrão",$H$4=#REF!),BDI!$B$17,IF(AND(#REF!="Padrão",$H$4=#REF!),BDI!#REF!,IF(AND(#REF!="Diferenciado",$H$4=#REF!),BDI!$E$17,IF(AND(#REF!="Diferenciado",$H$4=#REF!),BDI!#REF!,IF(#REF!="ZERO",0))))),"")</f>
        <v>#REF!</v>
      </c>
      <c r="H651" s="138" t="str">
        <f t="shared" si="31"/>
        <v/>
      </c>
      <c r="I651" s="136" t="str">
        <f t="shared" si="32"/>
        <v/>
      </c>
    </row>
    <row r="652" spans="1:9" hidden="1" x14ac:dyDescent="0.25">
      <c r="A652" s="113" t="s">
        <v>2478</v>
      </c>
      <c r="B652" s="114" t="s">
        <v>2479</v>
      </c>
      <c r="C652" s="115" t="s">
        <v>1965</v>
      </c>
      <c r="D652" s="115">
        <v>0</v>
      </c>
      <c r="E652" s="135" t="s">
        <v>568</v>
      </c>
      <c r="F652" s="136" t="str">
        <f t="shared" si="30"/>
        <v/>
      </c>
      <c r="G652" s="137" t="e">
        <f>IF(A652&lt;&gt;"",IF(AND(#REF!="Padrão",$H$4=#REF!),BDI!$B$17,IF(AND(#REF!="Padrão",$H$4=#REF!),BDI!#REF!,IF(AND(#REF!="Diferenciado",$H$4=#REF!),BDI!$E$17,IF(AND(#REF!="Diferenciado",$H$4=#REF!),BDI!#REF!,IF(#REF!="ZERO",0))))),"")</f>
        <v>#REF!</v>
      </c>
      <c r="H652" s="138" t="str">
        <f t="shared" si="31"/>
        <v/>
      </c>
      <c r="I652" s="136" t="str">
        <f t="shared" si="32"/>
        <v/>
      </c>
    </row>
    <row r="653" spans="1:9" hidden="1" x14ac:dyDescent="0.25">
      <c r="A653" s="113" t="s">
        <v>2480</v>
      </c>
      <c r="B653" s="114" t="s">
        <v>2481</v>
      </c>
      <c r="C653" s="115" t="s">
        <v>1965</v>
      </c>
      <c r="D653" s="115">
        <v>0</v>
      </c>
      <c r="E653" s="135" t="s">
        <v>568</v>
      </c>
      <c r="F653" s="136" t="str">
        <f t="shared" si="30"/>
        <v/>
      </c>
      <c r="G653" s="137" t="e">
        <f>IF(A653&lt;&gt;"",IF(AND(#REF!="Padrão",$H$4=#REF!),BDI!$B$17,IF(AND(#REF!="Padrão",$H$4=#REF!),BDI!#REF!,IF(AND(#REF!="Diferenciado",$H$4=#REF!),BDI!$E$17,IF(AND(#REF!="Diferenciado",$H$4=#REF!),BDI!#REF!,IF(#REF!="ZERO",0))))),"")</f>
        <v>#REF!</v>
      </c>
      <c r="H653" s="138" t="str">
        <f t="shared" si="31"/>
        <v/>
      </c>
      <c r="I653" s="136" t="str">
        <f t="shared" si="32"/>
        <v/>
      </c>
    </row>
    <row r="654" spans="1:9" hidden="1" x14ac:dyDescent="0.25">
      <c r="A654" s="113" t="s">
        <v>2482</v>
      </c>
      <c r="B654" s="114" t="s">
        <v>2483</v>
      </c>
      <c r="C654" s="115" t="s">
        <v>1965</v>
      </c>
      <c r="D654" s="115">
        <v>0</v>
      </c>
      <c r="E654" s="135" t="s">
        <v>568</v>
      </c>
      <c r="F654" s="136" t="str">
        <f t="shared" si="30"/>
        <v/>
      </c>
      <c r="G654" s="137" t="e">
        <f>IF(A654&lt;&gt;"",IF(AND(#REF!="Padrão",$H$4=#REF!),BDI!$B$17,IF(AND(#REF!="Padrão",$H$4=#REF!),BDI!#REF!,IF(AND(#REF!="Diferenciado",$H$4=#REF!),BDI!$E$17,IF(AND(#REF!="Diferenciado",$H$4=#REF!),BDI!#REF!,IF(#REF!="ZERO",0))))),"")</f>
        <v>#REF!</v>
      </c>
      <c r="H654" s="138" t="str">
        <f t="shared" si="31"/>
        <v/>
      </c>
      <c r="I654" s="136" t="str">
        <f t="shared" si="32"/>
        <v/>
      </c>
    </row>
    <row r="655" spans="1:9" hidden="1" x14ac:dyDescent="0.25">
      <c r="A655" s="113" t="s">
        <v>2484</v>
      </c>
      <c r="B655" s="114" t="s">
        <v>2485</v>
      </c>
      <c r="C655" s="115" t="s">
        <v>20</v>
      </c>
      <c r="D655" s="115">
        <v>0</v>
      </c>
      <c r="E655" s="135" t="s">
        <v>568</v>
      </c>
      <c r="F655" s="136" t="str">
        <f t="shared" si="30"/>
        <v/>
      </c>
      <c r="G655" s="137" t="e">
        <f>IF(A655&lt;&gt;"",IF(AND(#REF!="Padrão",$H$4=#REF!),BDI!$B$17,IF(AND(#REF!="Padrão",$H$4=#REF!),BDI!#REF!,IF(AND(#REF!="Diferenciado",$H$4=#REF!),BDI!$E$17,IF(AND(#REF!="Diferenciado",$H$4=#REF!),BDI!#REF!,IF(#REF!="ZERO",0))))),"")</f>
        <v>#REF!</v>
      </c>
      <c r="H655" s="138" t="str">
        <f t="shared" si="31"/>
        <v/>
      </c>
      <c r="I655" s="136" t="str">
        <f t="shared" si="32"/>
        <v/>
      </c>
    </row>
    <row r="656" spans="1:9" hidden="1" x14ac:dyDescent="0.25">
      <c r="A656" s="113" t="s">
        <v>2486</v>
      </c>
      <c r="B656" s="114" t="s">
        <v>2487</v>
      </c>
      <c r="C656" s="115" t="s">
        <v>42</v>
      </c>
      <c r="D656" s="115">
        <v>0</v>
      </c>
      <c r="E656" s="135" t="s">
        <v>568</v>
      </c>
      <c r="F656" s="136" t="str">
        <f t="shared" si="30"/>
        <v/>
      </c>
      <c r="G656" s="137" t="e">
        <f>IF(A656&lt;&gt;"",IF(AND(#REF!="Padrão",$H$4=#REF!),BDI!$B$17,IF(AND(#REF!="Padrão",$H$4=#REF!),BDI!#REF!,IF(AND(#REF!="Diferenciado",$H$4=#REF!),BDI!$E$17,IF(AND(#REF!="Diferenciado",$H$4=#REF!),BDI!#REF!,IF(#REF!="ZERO",0))))),"")</f>
        <v>#REF!</v>
      </c>
      <c r="H656" s="138" t="str">
        <f t="shared" si="31"/>
        <v/>
      </c>
      <c r="I656" s="136" t="str">
        <f t="shared" si="32"/>
        <v/>
      </c>
    </row>
    <row r="657" spans="1:9" hidden="1" x14ac:dyDescent="0.25">
      <c r="A657" s="113" t="s">
        <v>2488</v>
      </c>
      <c r="B657" s="114" t="s">
        <v>2489</v>
      </c>
      <c r="C657" s="115" t="s">
        <v>20</v>
      </c>
      <c r="D657" s="115">
        <v>0</v>
      </c>
      <c r="E657" s="135" t="s">
        <v>568</v>
      </c>
      <c r="F657" s="136" t="str">
        <f t="shared" si="30"/>
        <v/>
      </c>
      <c r="G657" s="137" t="e">
        <f>IF(A657&lt;&gt;"",IF(AND(#REF!="Padrão",$H$4=#REF!),BDI!$B$17,IF(AND(#REF!="Padrão",$H$4=#REF!),BDI!#REF!,IF(AND(#REF!="Diferenciado",$H$4=#REF!),BDI!$E$17,IF(AND(#REF!="Diferenciado",$H$4=#REF!),BDI!#REF!,IF(#REF!="ZERO",0))))),"")</f>
        <v>#REF!</v>
      </c>
      <c r="H657" s="138" t="str">
        <f t="shared" si="31"/>
        <v/>
      </c>
      <c r="I657" s="136" t="str">
        <f t="shared" si="32"/>
        <v/>
      </c>
    </row>
    <row r="658" spans="1:9" hidden="1" x14ac:dyDescent="0.25">
      <c r="A658" s="113" t="s">
        <v>2490</v>
      </c>
      <c r="B658" s="114" t="s">
        <v>2491</v>
      </c>
      <c r="C658" s="115" t="s">
        <v>20</v>
      </c>
      <c r="D658" s="115">
        <v>0</v>
      </c>
      <c r="E658" s="135" t="s">
        <v>568</v>
      </c>
      <c r="F658" s="136" t="str">
        <f t="shared" si="30"/>
        <v/>
      </c>
      <c r="G658" s="137" t="e">
        <f>IF(A658&lt;&gt;"",IF(AND(#REF!="Padrão",$H$4=#REF!),BDI!$B$17,IF(AND(#REF!="Padrão",$H$4=#REF!),BDI!#REF!,IF(AND(#REF!="Diferenciado",$H$4=#REF!),BDI!$E$17,IF(AND(#REF!="Diferenciado",$H$4=#REF!),BDI!#REF!,IF(#REF!="ZERO",0))))),"")</f>
        <v>#REF!</v>
      </c>
      <c r="H658" s="138" t="str">
        <f t="shared" si="31"/>
        <v/>
      </c>
      <c r="I658" s="136" t="str">
        <f t="shared" si="32"/>
        <v/>
      </c>
    </row>
    <row r="659" spans="1:9" hidden="1" x14ac:dyDescent="0.25">
      <c r="A659" s="113" t="s">
        <v>2492</v>
      </c>
      <c r="B659" s="114" t="s">
        <v>2493</v>
      </c>
      <c r="C659" s="115" t="s">
        <v>20</v>
      </c>
      <c r="D659" s="115">
        <v>0</v>
      </c>
      <c r="E659" s="135" t="s">
        <v>568</v>
      </c>
      <c r="F659" s="136" t="str">
        <f t="shared" si="30"/>
        <v/>
      </c>
      <c r="G659" s="137" t="e">
        <f>IF(A659&lt;&gt;"",IF(AND(#REF!="Padrão",$H$4=#REF!),BDI!$B$17,IF(AND(#REF!="Padrão",$H$4=#REF!),BDI!#REF!,IF(AND(#REF!="Diferenciado",$H$4=#REF!),BDI!$E$17,IF(AND(#REF!="Diferenciado",$H$4=#REF!),BDI!#REF!,IF(#REF!="ZERO",0))))),"")</f>
        <v>#REF!</v>
      </c>
      <c r="H659" s="138" t="str">
        <f t="shared" si="31"/>
        <v/>
      </c>
      <c r="I659" s="136" t="str">
        <f t="shared" si="32"/>
        <v/>
      </c>
    </row>
    <row r="660" spans="1:9" hidden="1" x14ac:dyDescent="0.25">
      <c r="A660" s="113" t="s">
        <v>2494</v>
      </c>
      <c r="B660" s="114" t="s">
        <v>2495</v>
      </c>
      <c r="C660" s="115" t="s">
        <v>20</v>
      </c>
      <c r="D660" s="115">
        <v>0</v>
      </c>
      <c r="E660" s="135" t="s">
        <v>568</v>
      </c>
      <c r="F660" s="136" t="str">
        <f t="shared" si="30"/>
        <v/>
      </c>
      <c r="G660" s="137" t="e">
        <f>IF(A660&lt;&gt;"",IF(AND(#REF!="Padrão",$H$4=#REF!),BDI!$B$17,IF(AND(#REF!="Padrão",$H$4=#REF!),BDI!#REF!,IF(AND(#REF!="Diferenciado",$H$4=#REF!),BDI!$E$17,IF(AND(#REF!="Diferenciado",$H$4=#REF!),BDI!#REF!,IF(#REF!="ZERO",0))))),"")</f>
        <v>#REF!</v>
      </c>
      <c r="H660" s="138" t="str">
        <f t="shared" si="31"/>
        <v/>
      </c>
      <c r="I660" s="136" t="str">
        <f t="shared" si="32"/>
        <v/>
      </c>
    </row>
    <row r="661" spans="1:9" hidden="1" x14ac:dyDescent="0.25">
      <c r="A661" s="113" t="s">
        <v>2496</v>
      </c>
      <c r="B661" s="114" t="s">
        <v>2497</v>
      </c>
      <c r="C661" s="115" t="s">
        <v>20</v>
      </c>
      <c r="D661" s="115">
        <v>0</v>
      </c>
      <c r="E661" s="135" t="s">
        <v>568</v>
      </c>
      <c r="F661" s="136" t="str">
        <f t="shared" si="30"/>
        <v/>
      </c>
      <c r="G661" s="137" t="e">
        <f>IF(A661&lt;&gt;"",IF(AND(#REF!="Padrão",$H$4=#REF!),BDI!$B$17,IF(AND(#REF!="Padrão",$H$4=#REF!),BDI!#REF!,IF(AND(#REF!="Diferenciado",$H$4=#REF!),BDI!$E$17,IF(AND(#REF!="Diferenciado",$H$4=#REF!),BDI!#REF!,IF(#REF!="ZERO",0))))),"")</f>
        <v>#REF!</v>
      </c>
      <c r="H661" s="138" t="str">
        <f t="shared" si="31"/>
        <v/>
      </c>
      <c r="I661" s="136" t="str">
        <f t="shared" si="32"/>
        <v/>
      </c>
    </row>
    <row r="662" spans="1:9" hidden="1" x14ac:dyDescent="0.25">
      <c r="A662" s="113" t="s">
        <v>2498</v>
      </c>
      <c r="B662" s="114" t="s">
        <v>2499</v>
      </c>
      <c r="C662" s="115" t="s">
        <v>20</v>
      </c>
      <c r="D662" s="115">
        <v>0</v>
      </c>
      <c r="E662" s="135" t="s">
        <v>568</v>
      </c>
      <c r="F662" s="136" t="str">
        <f t="shared" si="30"/>
        <v/>
      </c>
      <c r="G662" s="137" t="e">
        <f>IF(A662&lt;&gt;"",IF(AND(#REF!="Padrão",$H$4=#REF!),BDI!$B$17,IF(AND(#REF!="Padrão",$H$4=#REF!),BDI!#REF!,IF(AND(#REF!="Diferenciado",$H$4=#REF!),BDI!$E$17,IF(AND(#REF!="Diferenciado",$H$4=#REF!),BDI!#REF!,IF(#REF!="ZERO",0))))),"")</f>
        <v>#REF!</v>
      </c>
      <c r="H662" s="138" t="str">
        <f t="shared" si="31"/>
        <v/>
      </c>
      <c r="I662" s="136" t="str">
        <f t="shared" si="32"/>
        <v/>
      </c>
    </row>
    <row r="663" spans="1:9" hidden="1" x14ac:dyDescent="0.25">
      <c r="A663" s="113" t="s">
        <v>2500</v>
      </c>
      <c r="B663" s="114" t="s">
        <v>2501</v>
      </c>
      <c r="C663" s="115" t="s">
        <v>20</v>
      </c>
      <c r="D663" s="115">
        <v>0</v>
      </c>
      <c r="E663" s="135" t="s">
        <v>568</v>
      </c>
      <c r="F663" s="136" t="str">
        <f t="shared" si="30"/>
        <v/>
      </c>
      <c r="G663" s="137" t="e">
        <f>IF(A663&lt;&gt;"",IF(AND(#REF!="Padrão",$H$4=#REF!),BDI!$B$17,IF(AND(#REF!="Padrão",$H$4=#REF!),BDI!#REF!,IF(AND(#REF!="Diferenciado",$H$4=#REF!),BDI!$E$17,IF(AND(#REF!="Diferenciado",$H$4=#REF!),BDI!#REF!,IF(#REF!="ZERO",0))))),"")</f>
        <v>#REF!</v>
      </c>
      <c r="H663" s="138" t="str">
        <f t="shared" si="31"/>
        <v/>
      </c>
      <c r="I663" s="136" t="str">
        <f t="shared" si="32"/>
        <v/>
      </c>
    </row>
    <row r="664" spans="1:9" hidden="1" x14ac:dyDescent="0.25">
      <c r="A664" s="113" t="s">
        <v>2502</v>
      </c>
      <c r="B664" s="114" t="s">
        <v>2503</v>
      </c>
      <c r="C664" s="115" t="s">
        <v>20</v>
      </c>
      <c r="D664" s="115">
        <v>0</v>
      </c>
      <c r="E664" s="135" t="s">
        <v>568</v>
      </c>
      <c r="F664" s="136" t="str">
        <f t="shared" si="30"/>
        <v/>
      </c>
      <c r="G664" s="137" t="e">
        <f>IF(A664&lt;&gt;"",IF(AND(#REF!="Padrão",$H$4=#REF!),BDI!$B$17,IF(AND(#REF!="Padrão",$H$4=#REF!),BDI!#REF!,IF(AND(#REF!="Diferenciado",$H$4=#REF!),BDI!$E$17,IF(AND(#REF!="Diferenciado",$H$4=#REF!),BDI!#REF!,IF(#REF!="ZERO",0))))),"")</f>
        <v>#REF!</v>
      </c>
      <c r="H664" s="138" t="str">
        <f t="shared" si="31"/>
        <v/>
      </c>
      <c r="I664" s="136" t="str">
        <f t="shared" si="32"/>
        <v/>
      </c>
    </row>
    <row r="665" spans="1:9" hidden="1" x14ac:dyDescent="0.25">
      <c r="A665" s="113" t="s">
        <v>2504</v>
      </c>
      <c r="B665" s="114" t="s">
        <v>2505</v>
      </c>
      <c r="C665" s="115" t="s">
        <v>20</v>
      </c>
      <c r="D665" s="115">
        <v>0</v>
      </c>
      <c r="E665" s="135" t="s">
        <v>568</v>
      </c>
      <c r="F665" s="136" t="str">
        <f t="shared" si="30"/>
        <v/>
      </c>
      <c r="G665" s="137" t="e">
        <f>IF(A665&lt;&gt;"",IF(AND(#REF!="Padrão",$H$4=#REF!),BDI!$B$17,IF(AND(#REF!="Padrão",$H$4=#REF!),BDI!#REF!,IF(AND(#REF!="Diferenciado",$H$4=#REF!),BDI!$E$17,IF(AND(#REF!="Diferenciado",$H$4=#REF!),BDI!#REF!,IF(#REF!="ZERO",0))))),"")</f>
        <v>#REF!</v>
      </c>
      <c r="H665" s="138" t="str">
        <f t="shared" si="31"/>
        <v/>
      </c>
      <c r="I665" s="136" t="str">
        <f t="shared" si="32"/>
        <v/>
      </c>
    </row>
    <row r="666" spans="1:9" hidden="1" x14ac:dyDescent="0.25">
      <c r="A666" s="113" t="s">
        <v>2506</v>
      </c>
      <c r="B666" s="114" t="s">
        <v>2507</v>
      </c>
      <c r="C666" s="115" t="s">
        <v>20</v>
      </c>
      <c r="D666" s="115">
        <v>0</v>
      </c>
      <c r="E666" s="135" t="s">
        <v>568</v>
      </c>
      <c r="F666" s="136" t="str">
        <f t="shared" si="30"/>
        <v/>
      </c>
      <c r="G666" s="137" t="e">
        <f>IF(A666&lt;&gt;"",IF(AND(#REF!="Padrão",$H$4=#REF!),BDI!$B$17,IF(AND(#REF!="Padrão",$H$4=#REF!),BDI!#REF!,IF(AND(#REF!="Diferenciado",$H$4=#REF!),BDI!$E$17,IF(AND(#REF!="Diferenciado",$H$4=#REF!),BDI!#REF!,IF(#REF!="ZERO",0))))),"")</f>
        <v>#REF!</v>
      </c>
      <c r="H666" s="138" t="str">
        <f t="shared" si="31"/>
        <v/>
      </c>
      <c r="I666" s="136" t="str">
        <f t="shared" si="32"/>
        <v/>
      </c>
    </row>
    <row r="667" spans="1:9" hidden="1" x14ac:dyDescent="0.25">
      <c r="A667" s="113" t="s">
        <v>2508</v>
      </c>
      <c r="B667" s="114" t="s">
        <v>2509</v>
      </c>
      <c r="C667" s="115" t="s">
        <v>20</v>
      </c>
      <c r="D667" s="115">
        <v>0</v>
      </c>
      <c r="E667" s="135" t="s">
        <v>568</v>
      </c>
      <c r="F667" s="136" t="str">
        <f t="shared" si="30"/>
        <v/>
      </c>
      <c r="G667" s="137" t="e">
        <f>IF(A667&lt;&gt;"",IF(AND(#REF!="Padrão",$H$4=#REF!),BDI!$B$17,IF(AND(#REF!="Padrão",$H$4=#REF!),BDI!#REF!,IF(AND(#REF!="Diferenciado",$H$4=#REF!),BDI!$E$17,IF(AND(#REF!="Diferenciado",$H$4=#REF!),BDI!#REF!,IF(#REF!="ZERO",0))))),"")</f>
        <v>#REF!</v>
      </c>
      <c r="H667" s="138" t="str">
        <f t="shared" si="31"/>
        <v/>
      </c>
      <c r="I667" s="136" t="str">
        <f t="shared" si="32"/>
        <v/>
      </c>
    </row>
    <row r="668" spans="1:9" hidden="1" x14ac:dyDescent="0.25">
      <c r="A668" s="113" t="s">
        <v>2510</v>
      </c>
      <c r="B668" s="114" t="s">
        <v>2511</v>
      </c>
      <c r="C668" s="115" t="s">
        <v>20</v>
      </c>
      <c r="D668" s="115">
        <v>0</v>
      </c>
      <c r="E668" s="135" t="s">
        <v>568</v>
      </c>
      <c r="F668" s="136" t="str">
        <f t="shared" si="30"/>
        <v/>
      </c>
      <c r="G668" s="137" t="e">
        <f>IF(A668&lt;&gt;"",IF(AND(#REF!="Padrão",$H$4=#REF!),BDI!$B$17,IF(AND(#REF!="Padrão",$H$4=#REF!),BDI!#REF!,IF(AND(#REF!="Diferenciado",$H$4=#REF!),BDI!$E$17,IF(AND(#REF!="Diferenciado",$H$4=#REF!),BDI!#REF!,IF(#REF!="ZERO",0))))),"")</f>
        <v>#REF!</v>
      </c>
      <c r="H668" s="138" t="str">
        <f t="shared" si="31"/>
        <v/>
      </c>
      <c r="I668" s="136" t="str">
        <f t="shared" si="32"/>
        <v/>
      </c>
    </row>
    <row r="669" spans="1:9" hidden="1" x14ac:dyDescent="0.25">
      <c r="A669" s="113" t="s">
        <v>2512</v>
      </c>
      <c r="B669" s="114" t="s">
        <v>2513</v>
      </c>
      <c r="C669" s="115" t="s">
        <v>20</v>
      </c>
      <c r="D669" s="115">
        <v>0</v>
      </c>
      <c r="E669" s="135" t="s">
        <v>568</v>
      </c>
      <c r="F669" s="136" t="str">
        <f t="shared" si="30"/>
        <v/>
      </c>
      <c r="G669" s="137" t="e">
        <f>IF(A669&lt;&gt;"",IF(AND(#REF!="Padrão",$H$4=#REF!),BDI!$B$17,IF(AND(#REF!="Padrão",$H$4=#REF!),BDI!#REF!,IF(AND(#REF!="Diferenciado",$H$4=#REF!),BDI!$E$17,IF(AND(#REF!="Diferenciado",$H$4=#REF!),BDI!#REF!,IF(#REF!="ZERO",0))))),"")</f>
        <v>#REF!</v>
      </c>
      <c r="H669" s="138" t="str">
        <f t="shared" si="31"/>
        <v/>
      </c>
      <c r="I669" s="136" t="str">
        <f t="shared" si="32"/>
        <v/>
      </c>
    </row>
    <row r="670" spans="1:9" hidden="1" x14ac:dyDescent="0.25">
      <c r="A670" s="113" t="s">
        <v>2514</v>
      </c>
      <c r="B670" s="114" t="s">
        <v>2515</v>
      </c>
      <c r="C670" s="115" t="s">
        <v>20</v>
      </c>
      <c r="D670" s="115">
        <v>0</v>
      </c>
      <c r="E670" s="135" t="s">
        <v>568</v>
      </c>
      <c r="F670" s="136" t="str">
        <f t="shared" si="30"/>
        <v/>
      </c>
      <c r="G670" s="137" t="e">
        <f>IF(A670&lt;&gt;"",IF(AND(#REF!="Padrão",$H$4=#REF!),BDI!$B$17,IF(AND(#REF!="Padrão",$H$4=#REF!),BDI!#REF!,IF(AND(#REF!="Diferenciado",$H$4=#REF!),BDI!$E$17,IF(AND(#REF!="Diferenciado",$H$4=#REF!),BDI!#REF!,IF(#REF!="ZERO",0))))),"")</f>
        <v>#REF!</v>
      </c>
      <c r="H670" s="138" t="str">
        <f t="shared" si="31"/>
        <v/>
      </c>
      <c r="I670" s="136" t="str">
        <f t="shared" si="32"/>
        <v/>
      </c>
    </row>
    <row r="671" spans="1:9" hidden="1" x14ac:dyDescent="0.25">
      <c r="A671" s="113" t="s">
        <v>2516</v>
      </c>
      <c r="B671" s="114" t="s">
        <v>2517</v>
      </c>
      <c r="C671" s="115" t="s">
        <v>1965</v>
      </c>
      <c r="D671" s="115">
        <v>0</v>
      </c>
      <c r="E671" s="135" t="s">
        <v>568</v>
      </c>
      <c r="F671" s="136" t="str">
        <f t="shared" si="30"/>
        <v/>
      </c>
      <c r="G671" s="137" t="e">
        <f>IF(A671&lt;&gt;"",IF(AND(#REF!="Padrão",$H$4=#REF!),BDI!$B$17,IF(AND(#REF!="Padrão",$H$4=#REF!),BDI!#REF!,IF(AND(#REF!="Diferenciado",$H$4=#REF!),BDI!$E$17,IF(AND(#REF!="Diferenciado",$H$4=#REF!),BDI!#REF!,IF(#REF!="ZERO",0))))),"")</f>
        <v>#REF!</v>
      </c>
      <c r="H671" s="138" t="str">
        <f t="shared" si="31"/>
        <v/>
      </c>
      <c r="I671" s="136" t="str">
        <f t="shared" si="32"/>
        <v/>
      </c>
    </row>
    <row r="672" spans="1:9" hidden="1" x14ac:dyDescent="0.25">
      <c r="A672" s="113" t="s">
        <v>2518</v>
      </c>
      <c r="B672" s="114" t="s">
        <v>2519</v>
      </c>
      <c r="C672" s="115" t="s">
        <v>20</v>
      </c>
      <c r="D672" s="115">
        <v>0</v>
      </c>
      <c r="E672" s="135" t="s">
        <v>568</v>
      </c>
      <c r="F672" s="136" t="str">
        <f t="shared" si="30"/>
        <v/>
      </c>
      <c r="G672" s="137" t="e">
        <f>IF(A672&lt;&gt;"",IF(AND(#REF!="Padrão",$H$4=#REF!),BDI!$B$17,IF(AND(#REF!="Padrão",$H$4=#REF!),BDI!#REF!,IF(AND(#REF!="Diferenciado",$H$4=#REF!),BDI!$E$17,IF(AND(#REF!="Diferenciado",$H$4=#REF!),BDI!#REF!,IF(#REF!="ZERO",0))))),"")</f>
        <v>#REF!</v>
      </c>
      <c r="H672" s="138" t="str">
        <f t="shared" si="31"/>
        <v/>
      </c>
      <c r="I672" s="136" t="str">
        <f t="shared" si="32"/>
        <v/>
      </c>
    </row>
    <row r="673" spans="1:9" hidden="1" x14ac:dyDescent="0.25">
      <c r="A673" s="113" t="s">
        <v>2520</v>
      </c>
      <c r="B673" s="114" t="s">
        <v>2521</v>
      </c>
      <c r="C673" s="115" t="s">
        <v>20</v>
      </c>
      <c r="D673" s="115">
        <v>0</v>
      </c>
      <c r="E673" s="135" t="s">
        <v>568</v>
      </c>
      <c r="F673" s="136" t="str">
        <f t="shared" si="30"/>
        <v/>
      </c>
      <c r="G673" s="137" t="e">
        <f>IF(A673&lt;&gt;"",IF(AND(#REF!="Padrão",$H$4=#REF!),BDI!$B$17,IF(AND(#REF!="Padrão",$H$4=#REF!),BDI!#REF!,IF(AND(#REF!="Diferenciado",$H$4=#REF!),BDI!$E$17,IF(AND(#REF!="Diferenciado",$H$4=#REF!),BDI!#REF!,IF(#REF!="ZERO",0))))),"")</f>
        <v>#REF!</v>
      </c>
      <c r="H673" s="138" t="str">
        <f t="shared" si="31"/>
        <v/>
      </c>
      <c r="I673" s="136" t="str">
        <f t="shared" si="32"/>
        <v/>
      </c>
    </row>
    <row r="674" spans="1:9" hidden="1" x14ac:dyDescent="0.25">
      <c r="A674" s="113" t="s">
        <v>2522</v>
      </c>
      <c r="B674" s="114" t="s">
        <v>2523</v>
      </c>
      <c r="C674" s="115" t="s">
        <v>20</v>
      </c>
      <c r="D674" s="115">
        <v>0</v>
      </c>
      <c r="E674" s="135" t="s">
        <v>568</v>
      </c>
      <c r="F674" s="136" t="str">
        <f t="shared" si="30"/>
        <v/>
      </c>
      <c r="G674" s="137" t="e">
        <f>IF(A674&lt;&gt;"",IF(AND(#REF!="Padrão",$H$4=#REF!),BDI!$B$17,IF(AND(#REF!="Padrão",$H$4=#REF!),BDI!#REF!,IF(AND(#REF!="Diferenciado",$H$4=#REF!),BDI!$E$17,IF(AND(#REF!="Diferenciado",$H$4=#REF!),BDI!#REF!,IF(#REF!="ZERO",0))))),"")</f>
        <v>#REF!</v>
      </c>
      <c r="H674" s="138" t="str">
        <f t="shared" si="31"/>
        <v/>
      </c>
      <c r="I674" s="136" t="str">
        <f t="shared" si="32"/>
        <v/>
      </c>
    </row>
    <row r="675" spans="1:9" hidden="1" x14ac:dyDescent="0.25">
      <c r="A675" s="113" t="s">
        <v>2524</v>
      </c>
      <c r="B675" s="114" t="s">
        <v>2525</v>
      </c>
      <c r="C675" s="115" t="s">
        <v>20</v>
      </c>
      <c r="D675" s="115">
        <v>0</v>
      </c>
      <c r="E675" s="135" t="s">
        <v>568</v>
      </c>
      <c r="F675" s="136" t="str">
        <f t="shared" si="30"/>
        <v/>
      </c>
      <c r="G675" s="137" t="e">
        <f>IF(A675&lt;&gt;"",IF(AND(#REF!="Padrão",$H$4=#REF!),BDI!$B$17,IF(AND(#REF!="Padrão",$H$4=#REF!),BDI!#REF!,IF(AND(#REF!="Diferenciado",$H$4=#REF!),BDI!$E$17,IF(AND(#REF!="Diferenciado",$H$4=#REF!),BDI!#REF!,IF(#REF!="ZERO",0))))),"")</f>
        <v>#REF!</v>
      </c>
      <c r="H675" s="138" t="str">
        <f t="shared" si="31"/>
        <v/>
      </c>
      <c r="I675" s="136" t="str">
        <f t="shared" si="32"/>
        <v/>
      </c>
    </row>
    <row r="676" spans="1:9" hidden="1" x14ac:dyDescent="0.25">
      <c r="A676" s="113" t="s">
        <v>2526</v>
      </c>
      <c r="B676" s="114" t="s">
        <v>2527</v>
      </c>
      <c r="C676" s="115" t="s">
        <v>20</v>
      </c>
      <c r="D676" s="115">
        <v>0</v>
      </c>
      <c r="E676" s="135" t="s">
        <v>568</v>
      </c>
      <c r="F676" s="136" t="str">
        <f t="shared" si="30"/>
        <v/>
      </c>
      <c r="G676" s="137" t="e">
        <f>IF(A676&lt;&gt;"",IF(AND(#REF!="Padrão",$H$4=#REF!),BDI!$B$17,IF(AND(#REF!="Padrão",$H$4=#REF!),BDI!#REF!,IF(AND(#REF!="Diferenciado",$H$4=#REF!),BDI!$E$17,IF(AND(#REF!="Diferenciado",$H$4=#REF!),BDI!#REF!,IF(#REF!="ZERO",0))))),"")</f>
        <v>#REF!</v>
      </c>
      <c r="H676" s="138" t="str">
        <f t="shared" si="31"/>
        <v/>
      </c>
      <c r="I676" s="136" t="str">
        <f t="shared" si="32"/>
        <v/>
      </c>
    </row>
    <row r="677" spans="1:9" hidden="1" x14ac:dyDescent="0.25">
      <c r="A677" s="113" t="s">
        <v>2528</v>
      </c>
      <c r="B677" s="114" t="s">
        <v>2529</v>
      </c>
      <c r="C677" s="115" t="s">
        <v>20</v>
      </c>
      <c r="D677" s="115">
        <v>0</v>
      </c>
      <c r="E677" s="135" t="s">
        <v>568</v>
      </c>
      <c r="F677" s="136" t="str">
        <f t="shared" si="30"/>
        <v/>
      </c>
      <c r="G677" s="137" t="e">
        <f>IF(A677&lt;&gt;"",IF(AND(#REF!="Padrão",$H$4=#REF!),BDI!$B$17,IF(AND(#REF!="Padrão",$H$4=#REF!),BDI!#REF!,IF(AND(#REF!="Diferenciado",$H$4=#REF!),BDI!$E$17,IF(AND(#REF!="Diferenciado",$H$4=#REF!),BDI!#REF!,IF(#REF!="ZERO",0))))),"")</f>
        <v>#REF!</v>
      </c>
      <c r="H677" s="138" t="str">
        <f t="shared" si="31"/>
        <v/>
      </c>
      <c r="I677" s="136" t="str">
        <f t="shared" si="32"/>
        <v/>
      </c>
    </row>
    <row r="678" spans="1:9" hidden="1" x14ac:dyDescent="0.25">
      <c r="A678" s="113" t="s">
        <v>2530</v>
      </c>
      <c r="B678" s="114" t="s">
        <v>2531</v>
      </c>
      <c r="C678" s="115" t="s">
        <v>20</v>
      </c>
      <c r="D678" s="115">
        <v>0</v>
      </c>
      <c r="E678" s="135" t="s">
        <v>568</v>
      </c>
      <c r="F678" s="136" t="str">
        <f t="shared" si="30"/>
        <v/>
      </c>
      <c r="G678" s="137" t="e">
        <f>IF(A678&lt;&gt;"",IF(AND(#REF!="Padrão",$H$4=#REF!),BDI!$B$17,IF(AND(#REF!="Padrão",$H$4=#REF!),BDI!#REF!,IF(AND(#REF!="Diferenciado",$H$4=#REF!),BDI!$E$17,IF(AND(#REF!="Diferenciado",$H$4=#REF!),BDI!#REF!,IF(#REF!="ZERO",0))))),"")</f>
        <v>#REF!</v>
      </c>
      <c r="H678" s="138" t="str">
        <f t="shared" si="31"/>
        <v/>
      </c>
      <c r="I678" s="136" t="str">
        <f t="shared" si="32"/>
        <v/>
      </c>
    </row>
    <row r="679" spans="1:9" hidden="1" x14ac:dyDescent="0.25">
      <c r="A679" s="113" t="s">
        <v>2532</v>
      </c>
      <c r="B679" s="114" t="s">
        <v>2533</v>
      </c>
      <c r="C679" s="115" t="s">
        <v>20</v>
      </c>
      <c r="D679" s="115">
        <v>0</v>
      </c>
      <c r="E679" s="135" t="s">
        <v>568</v>
      </c>
      <c r="F679" s="136" t="str">
        <f t="shared" si="30"/>
        <v/>
      </c>
      <c r="G679" s="137" t="e">
        <f>IF(A679&lt;&gt;"",IF(AND(#REF!="Padrão",$H$4=#REF!),BDI!$B$17,IF(AND(#REF!="Padrão",$H$4=#REF!),BDI!#REF!,IF(AND(#REF!="Diferenciado",$H$4=#REF!),BDI!$E$17,IF(AND(#REF!="Diferenciado",$H$4=#REF!),BDI!#REF!,IF(#REF!="ZERO",0))))),"")</f>
        <v>#REF!</v>
      </c>
      <c r="H679" s="138" t="str">
        <f t="shared" si="31"/>
        <v/>
      </c>
      <c r="I679" s="136" t="str">
        <f t="shared" si="32"/>
        <v/>
      </c>
    </row>
    <row r="680" spans="1:9" hidden="1" x14ac:dyDescent="0.25">
      <c r="A680" s="113" t="s">
        <v>2534</v>
      </c>
      <c r="B680" s="114" t="s">
        <v>2535</v>
      </c>
      <c r="C680" s="115" t="s">
        <v>20</v>
      </c>
      <c r="D680" s="115">
        <v>0</v>
      </c>
      <c r="E680" s="135" t="s">
        <v>568</v>
      </c>
      <c r="F680" s="136" t="str">
        <f t="shared" si="30"/>
        <v/>
      </c>
      <c r="G680" s="137" t="e">
        <f>IF(A680&lt;&gt;"",IF(AND(#REF!="Padrão",$H$4=#REF!),BDI!$B$17,IF(AND(#REF!="Padrão",$H$4=#REF!),BDI!#REF!,IF(AND(#REF!="Diferenciado",$H$4=#REF!),BDI!$E$17,IF(AND(#REF!="Diferenciado",$H$4=#REF!),BDI!#REF!,IF(#REF!="ZERO",0))))),"")</f>
        <v>#REF!</v>
      </c>
      <c r="H680" s="138" t="str">
        <f t="shared" si="31"/>
        <v/>
      </c>
      <c r="I680" s="136" t="str">
        <f t="shared" si="32"/>
        <v/>
      </c>
    </row>
    <row r="681" spans="1:9" hidden="1" x14ac:dyDescent="0.25">
      <c r="A681" s="113" t="s">
        <v>2536</v>
      </c>
      <c r="B681" s="114" t="s">
        <v>2537</v>
      </c>
      <c r="C681" s="115" t="s">
        <v>20</v>
      </c>
      <c r="D681" s="115">
        <v>0</v>
      </c>
      <c r="E681" s="135" t="s">
        <v>568</v>
      </c>
      <c r="F681" s="136" t="str">
        <f t="shared" si="30"/>
        <v/>
      </c>
      <c r="G681" s="137" t="e">
        <f>IF(A681&lt;&gt;"",IF(AND(#REF!="Padrão",$H$4=#REF!),BDI!$B$17,IF(AND(#REF!="Padrão",$H$4=#REF!),BDI!#REF!,IF(AND(#REF!="Diferenciado",$H$4=#REF!),BDI!$E$17,IF(AND(#REF!="Diferenciado",$H$4=#REF!),BDI!#REF!,IF(#REF!="ZERO",0))))),"")</f>
        <v>#REF!</v>
      </c>
      <c r="H681" s="138" t="str">
        <f t="shared" si="31"/>
        <v/>
      </c>
      <c r="I681" s="136" t="str">
        <f t="shared" si="32"/>
        <v/>
      </c>
    </row>
    <row r="682" spans="1:9" hidden="1" x14ac:dyDescent="0.25">
      <c r="A682" s="113" t="s">
        <v>2538</v>
      </c>
      <c r="B682" s="114" t="s">
        <v>2539</v>
      </c>
      <c r="C682" s="115" t="s">
        <v>20</v>
      </c>
      <c r="D682" s="115">
        <v>0</v>
      </c>
      <c r="E682" s="135" t="s">
        <v>568</v>
      </c>
      <c r="F682" s="136" t="str">
        <f t="shared" si="30"/>
        <v/>
      </c>
      <c r="G682" s="137" t="e">
        <f>IF(A682&lt;&gt;"",IF(AND(#REF!="Padrão",$H$4=#REF!),BDI!$B$17,IF(AND(#REF!="Padrão",$H$4=#REF!),BDI!#REF!,IF(AND(#REF!="Diferenciado",$H$4=#REF!),BDI!$E$17,IF(AND(#REF!="Diferenciado",$H$4=#REF!),BDI!#REF!,IF(#REF!="ZERO",0))))),"")</f>
        <v>#REF!</v>
      </c>
      <c r="H682" s="138" t="str">
        <f t="shared" si="31"/>
        <v/>
      </c>
      <c r="I682" s="136" t="str">
        <f t="shared" si="32"/>
        <v/>
      </c>
    </row>
    <row r="683" spans="1:9" hidden="1" x14ac:dyDescent="0.25">
      <c r="A683" s="113" t="s">
        <v>2540</v>
      </c>
      <c r="B683" s="114" t="s">
        <v>2541</v>
      </c>
      <c r="C683" s="115" t="s">
        <v>20</v>
      </c>
      <c r="D683" s="115">
        <v>0</v>
      </c>
      <c r="E683" s="135" t="s">
        <v>568</v>
      </c>
      <c r="F683" s="136" t="str">
        <f t="shared" si="30"/>
        <v/>
      </c>
      <c r="G683" s="137" t="e">
        <f>IF(A683&lt;&gt;"",IF(AND(#REF!="Padrão",$H$4=#REF!),BDI!$B$17,IF(AND(#REF!="Padrão",$H$4=#REF!),BDI!#REF!,IF(AND(#REF!="Diferenciado",$H$4=#REF!),BDI!$E$17,IF(AND(#REF!="Diferenciado",$H$4=#REF!),BDI!#REF!,IF(#REF!="ZERO",0))))),"")</f>
        <v>#REF!</v>
      </c>
      <c r="H683" s="138" t="str">
        <f t="shared" si="31"/>
        <v/>
      </c>
      <c r="I683" s="136" t="str">
        <f t="shared" si="32"/>
        <v/>
      </c>
    </row>
    <row r="684" spans="1:9" hidden="1" x14ac:dyDescent="0.25">
      <c r="A684" s="113" t="s">
        <v>2542</v>
      </c>
      <c r="B684" s="114" t="s">
        <v>2543</v>
      </c>
      <c r="C684" s="115" t="s">
        <v>20</v>
      </c>
      <c r="D684" s="115">
        <v>0</v>
      </c>
      <c r="E684" s="135" t="s">
        <v>568</v>
      </c>
      <c r="F684" s="136" t="str">
        <f t="shared" si="30"/>
        <v/>
      </c>
      <c r="G684" s="137" t="e">
        <f>IF(A684&lt;&gt;"",IF(AND(#REF!="Padrão",$H$4=#REF!),BDI!$B$17,IF(AND(#REF!="Padrão",$H$4=#REF!),BDI!#REF!,IF(AND(#REF!="Diferenciado",$H$4=#REF!),BDI!$E$17,IF(AND(#REF!="Diferenciado",$H$4=#REF!),BDI!#REF!,IF(#REF!="ZERO",0))))),"")</f>
        <v>#REF!</v>
      </c>
      <c r="H684" s="138" t="str">
        <f t="shared" si="31"/>
        <v/>
      </c>
      <c r="I684" s="136" t="str">
        <f t="shared" si="32"/>
        <v/>
      </c>
    </row>
    <row r="685" spans="1:9" hidden="1" x14ac:dyDescent="0.25">
      <c r="A685" s="113" t="s">
        <v>2544</v>
      </c>
      <c r="B685" s="114" t="s">
        <v>2545</v>
      </c>
      <c r="C685" s="115" t="s">
        <v>20</v>
      </c>
      <c r="D685" s="115">
        <v>0</v>
      </c>
      <c r="E685" s="135" t="s">
        <v>568</v>
      </c>
      <c r="F685" s="136" t="str">
        <f t="shared" si="30"/>
        <v/>
      </c>
      <c r="G685" s="137" t="e">
        <f>IF(A685&lt;&gt;"",IF(AND(#REF!="Padrão",$H$4=#REF!),BDI!$B$17,IF(AND(#REF!="Padrão",$H$4=#REF!),BDI!#REF!,IF(AND(#REF!="Diferenciado",$H$4=#REF!),BDI!$E$17,IF(AND(#REF!="Diferenciado",$H$4=#REF!),BDI!#REF!,IF(#REF!="ZERO",0))))),"")</f>
        <v>#REF!</v>
      </c>
      <c r="H685" s="138" t="str">
        <f t="shared" si="31"/>
        <v/>
      </c>
      <c r="I685" s="136" t="str">
        <f t="shared" si="32"/>
        <v/>
      </c>
    </row>
    <row r="686" spans="1:9" hidden="1" x14ac:dyDescent="0.25">
      <c r="A686" s="113" t="s">
        <v>2546</v>
      </c>
      <c r="B686" s="114" t="s">
        <v>2547</v>
      </c>
      <c r="C686" s="115" t="s">
        <v>20</v>
      </c>
      <c r="D686" s="115">
        <v>0</v>
      </c>
      <c r="E686" s="135" t="s">
        <v>568</v>
      </c>
      <c r="F686" s="136" t="str">
        <f t="shared" si="30"/>
        <v/>
      </c>
      <c r="G686" s="137" t="e">
        <f>IF(A686&lt;&gt;"",IF(AND(#REF!="Padrão",$H$4=#REF!),BDI!$B$17,IF(AND(#REF!="Padrão",$H$4=#REF!),BDI!#REF!,IF(AND(#REF!="Diferenciado",$H$4=#REF!),BDI!$E$17,IF(AND(#REF!="Diferenciado",$H$4=#REF!),BDI!#REF!,IF(#REF!="ZERO",0))))),"")</f>
        <v>#REF!</v>
      </c>
      <c r="H686" s="138" t="str">
        <f t="shared" si="31"/>
        <v/>
      </c>
      <c r="I686" s="136" t="str">
        <f t="shared" si="32"/>
        <v/>
      </c>
    </row>
    <row r="687" spans="1:9" hidden="1" x14ac:dyDescent="0.25">
      <c r="A687" s="113" t="s">
        <v>2548</v>
      </c>
      <c r="B687" s="114" t="s">
        <v>2549</v>
      </c>
      <c r="C687" s="115" t="s">
        <v>20</v>
      </c>
      <c r="D687" s="115">
        <v>0</v>
      </c>
      <c r="E687" s="135" t="s">
        <v>568</v>
      </c>
      <c r="F687" s="136" t="str">
        <f t="shared" si="30"/>
        <v/>
      </c>
      <c r="G687" s="137" t="e">
        <f>IF(A687&lt;&gt;"",IF(AND(#REF!="Padrão",$H$4=#REF!),BDI!$B$17,IF(AND(#REF!="Padrão",$H$4=#REF!),BDI!#REF!,IF(AND(#REF!="Diferenciado",$H$4=#REF!),BDI!$E$17,IF(AND(#REF!="Diferenciado",$H$4=#REF!),BDI!#REF!,IF(#REF!="ZERO",0))))),"")</f>
        <v>#REF!</v>
      </c>
      <c r="H687" s="138" t="str">
        <f t="shared" si="31"/>
        <v/>
      </c>
      <c r="I687" s="136" t="str">
        <f t="shared" si="32"/>
        <v/>
      </c>
    </row>
    <row r="688" spans="1:9" hidden="1" x14ac:dyDescent="0.25">
      <c r="A688" s="113" t="s">
        <v>2550</v>
      </c>
      <c r="B688" s="114" t="s">
        <v>2551</v>
      </c>
      <c r="C688" s="115" t="s">
        <v>20</v>
      </c>
      <c r="D688" s="115">
        <v>0</v>
      </c>
      <c r="E688" s="135" t="s">
        <v>568</v>
      </c>
      <c r="F688" s="136" t="str">
        <f t="shared" si="30"/>
        <v/>
      </c>
      <c r="G688" s="137" t="e">
        <f>IF(A688&lt;&gt;"",IF(AND(#REF!="Padrão",$H$4=#REF!),BDI!$B$17,IF(AND(#REF!="Padrão",$H$4=#REF!),BDI!#REF!,IF(AND(#REF!="Diferenciado",$H$4=#REF!),BDI!$E$17,IF(AND(#REF!="Diferenciado",$H$4=#REF!),BDI!#REF!,IF(#REF!="ZERO",0))))),"")</f>
        <v>#REF!</v>
      </c>
      <c r="H688" s="138" t="str">
        <f t="shared" si="31"/>
        <v/>
      </c>
      <c r="I688" s="136" t="str">
        <f t="shared" si="32"/>
        <v/>
      </c>
    </row>
    <row r="689" spans="1:9" hidden="1" x14ac:dyDescent="0.25">
      <c r="A689" s="113" t="s">
        <v>2552</v>
      </c>
      <c r="B689" s="114" t="s">
        <v>2553</v>
      </c>
      <c r="C689" s="115" t="s">
        <v>20</v>
      </c>
      <c r="D689" s="115">
        <v>0</v>
      </c>
      <c r="E689" s="135" t="s">
        <v>568</v>
      </c>
      <c r="F689" s="136" t="str">
        <f t="shared" si="30"/>
        <v/>
      </c>
      <c r="G689" s="137" t="e">
        <f>IF(A689&lt;&gt;"",IF(AND(#REF!="Padrão",$H$4=#REF!),BDI!$B$17,IF(AND(#REF!="Padrão",$H$4=#REF!),BDI!#REF!,IF(AND(#REF!="Diferenciado",$H$4=#REF!),BDI!$E$17,IF(AND(#REF!="Diferenciado",$H$4=#REF!),BDI!#REF!,IF(#REF!="ZERO",0))))),"")</f>
        <v>#REF!</v>
      </c>
      <c r="H689" s="138" t="str">
        <f t="shared" si="31"/>
        <v/>
      </c>
      <c r="I689" s="136" t="str">
        <f t="shared" si="32"/>
        <v/>
      </c>
    </row>
    <row r="690" spans="1:9" hidden="1" x14ac:dyDescent="0.25">
      <c r="A690" s="113" t="s">
        <v>2554</v>
      </c>
      <c r="B690" s="114" t="s">
        <v>2555</v>
      </c>
      <c r="C690" s="115" t="s">
        <v>20</v>
      </c>
      <c r="D690" s="115">
        <v>0</v>
      </c>
      <c r="E690" s="135" t="s">
        <v>568</v>
      </c>
      <c r="F690" s="136" t="str">
        <f t="shared" si="30"/>
        <v/>
      </c>
      <c r="G690" s="137" t="e">
        <f>IF(A690&lt;&gt;"",IF(AND(#REF!="Padrão",$H$4=#REF!),BDI!$B$17,IF(AND(#REF!="Padrão",$H$4=#REF!),BDI!#REF!,IF(AND(#REF!="Diferenciado",$H$4=#REF!),BDI!$E$17,IF(AND(#REF!="Diferenciado",$H$4=#REF!),BDI!#REF!,IF(#REF!="ZERO",0))))),"")</f>
        <v>#REF!</v>
      </c>
      <c r="H690" s="138" t="str">
        <f t="shared" si="31"/>
        <v/>
      </c>
      <c r="I690" s="136" t="str">
        <f t="shared" si="32"/>
        <v/>
      </c>
    </row>
    <row r="691" spans="1:9" hidden="1" x14ac:dyDescent="0.25">
      <c r="A691" s="113" t="s">
        <v>2556</v>
      </c>
      <c r="B691" s="114" t="s">
        <v>2557</v>
      </c>
      <c r="C691" s="115" t="s">
        <v>20</v>
      </c>
      <c r="D691" s="115">
        <v>0</v>
      </c>
      <c r="E691" s="135" t="s">
        <v>568</v>
      </c>
      <c r="F691" s="136" t="str">
        <f t="shared" si="30"/>
        <v/>
      </c>
      <c r="G691" s="137" t="e">
        <f>IF(A691&lt;&gt;"",IF(AND(#REF!="Padrão",$H$4=#REF!),BDI!$B$17,IF(AND(#REF!="Padrão",$H$4=#REF!),BDI!#REF!,IF(AND(#REF!="Diferenciado",$H$4=#REF!),BDI!$E$17,IF(AND(#REF!="Diferenciado",$H$4=#REF!),BDI!#REF!,IF(#REF!="ZERO",0))))),"")</f>
        <v>#REF!</v>
      </c>
      <c r="H691" s="138" t="str">
        <f t="shared" si="31"/>
        <v/>
      </c>
      <c r="I691" s="136" t="str">
        <f t="shared" si="32"/>
        <v/>
      </c>
    </row>
    <row r="692" spans="1:9" hidden="1" x14ac:dyDescent="0.25">
      <c r="A692" s="113" t="s">
        <v>2558</v>
      </c>
      <c r="B692" s="114" t="s">
        <v>2559</v>
      </c>
      <c r="C692" s="115" t="s">
        <v>20</v>
      </c>
      <c r="D692" s="115">
        <v>0</v>
      </c>
      <c r="E692" s="135" t="s">
        <v>568</v>
      </c>
      <c r="F692" s="136" t="str">
        <f t="shared" si="30"/>
        <v/>
      </c>
      <c r="G692" s="137" t="e">
        <f>IF(A692&lt;&gt;"",IF(AND(#REF!="Padrão",$H$4=#REF!),BDI!$B$17,IF(AND(#REF!="Padrão",$H$4=#REF!),BDI!#REF!,IF(AND(#REF!="Diferenciado",$H$4=#REF!),BDI!$E$17,IF(AND(#REF!="Diferenciado",$H$4=#REF!),BDI!#REF!,IF(#REF!="ZERO",0))))),"")</f>
        <v>#REF!</v>
      </c>
      <c r="H692" s="138" t="str">
        <f t="shared" si="31"/>
        <v/>
      </c>
      <c r="I692" s="136" t="str">
        <f t="shared" si="32"/>
        <v/>
      </c>
    </row>
    <row r="693" spans="1:9" hidden="1" x14ac:dyDescent="0.25">
      <c r="A693" s="113" t="s">
        <v>2560</v>
      </c>
      <c r="B693" s="114" t="s">
        <v>2561</v>
      </c>
      <c r="C693" s="115" t="s">
        <v>20</v>
      </c>
      <c r="D693" s="115">
        <v>0</v>
      </c>
      <c r="E693" s="135" t="s">
        <v>568</v>
      </c>
      <c r="F693" s="136" t="str">
        <f t="shared" si="30"/>
        <v/>
      </c>
      <c r="G693" s="137" t="e">
        <f>IF(A693&lt;&gt;"",IF(AND(#REF!="Padrão",$H$4=#REF!),BDI!$B$17,IF(AND(#REF!="Padrão",$H$4=#REF!),BDI!#REF!,IF(AND(#REF!="Diferenciado",$H$4=#REF!),BDI!$E$17,IF(AND(#REF!="Diferenciado",$H$4=#REF!),BDI!#REF!,IF(#REF!="ZERO",0))))),"")</f>
        <v>#REF!</v>
      </c>
      <c r="H693" s="138" t="str">
        <f t="shared" si="31"/>
        <v/>
      </c>
      <c r="I693" s="136" t="str">
        <f t="shared" si="32"/>
        <v/>
      </c>
    </row>
    <row r="694" spans="1:9" hidden="1" x14ac:dyDescent="0.25">
      <c r="A694" s="113" t="s">
        <v>2562</v>
      </c>
      <c r="B694" s="114" t="s">
        <v>2563</v>
      </c>
      <c r="C694" s="115" t="s">
        <v>20</v>
      </c>
      <c r="D694" s="115">
        <v>0</v>
      </c>
      <c r="E694" s="135" t="s">
        <v>568</v>
      </c>
      <c r="F694" s="136" t="str">
        <f t="shared" si="30"/>
        <v/>
      </c>
      <c r="G694" s="137" t="e">
        <f>IF(A694&lt;&gt;"",IF(AND(#REF!="Padrão",$H$4=#REF!),BDI!$B$17,IF(AND(#REF!="Padrão",$H$4=#REF!),BDI!#REF!,IF(AND(#REF!="Diferenciado",$H$4=#REF!),BDI!$E$17,IF(AND(#REF!="Diferenciado",$H$4=#REF!),BDI!#REF!,IF(#REF!="ZERO",0))))),"")</f>
        <v>#REF!</v>
      </c>
      <c r="H694" s="138" t="str">
        <f t="shared" si="31"/>
        <v/>
      </c>
      <c r="I694" s="136" t="str">
        <f t="shared" si="32"/>
        <v/>
      </c>
    </row>
    <row r="695" spans="1:9" hidden="1" x14ac:dyDescent="0.25">
      <c r="A695" s="113" t="s">
        <v>2564</v>
      </c>
      <c r="B695" s="114" t="s">
        <v>2565</v>
      </c>
      <c r="C695" s="115" t="s">
        <v>20</v>
      </c>
      <c r="D695" s="115">
        <v>0</v>
      </c>
      <c r="E695" s="135" t="s">
        <v>568</v>
      </c>
      <c r="F695" s="136" t="str">
        <f t="shared" si="30"/>
        <v/>
      </c>
      <c r="G695" s="137" t="e">
        <f>IF(A695&lt;&gt;"",IF(AND(#REF!="Padrão",$H$4=#REF!),BDI!$B$17,IF(AND(#REF!="Padrão",$H$4=#REF!),BDI!#REF!,IF(AND(#REF!="Diferenciado",$H$4=#REF!),BDI!$E$17,IF(AND(#REF!="Diferenciado",$H$4=#REF!),BDI!#REF!,IF(#REF!="ZERO",0))))),"")</f>
        <v>#REF!</v>
      </c>
      <c r="H695" s="138" t="str">
        <f t="shared" si="31"/>
        <v/>
      </c>
      <c r="I695" s="136" t="str">
        <f t="shared" si="32"/>
        <v/>
      </c>
    </row>
    <row r="696" spans="1:9" hidden="1" x14ac:dyDescent="0.25">
      <c r="A696" s="113" t="s">
        <v>2566</v>
      </c>
      <c r="B696" s="114" t="s">
        <v>2567</v>
      </c>
      <c r="C696" s="115" t="s">
        <v>20</v>
      </c>
      <c r="D696" s="115">
        <v>0</v>
      </c>
      <c r="E696" s="135" t="s">
        <v>568</v>
      </c>
      <c r="F696" s="136" t="str">
        <f t="shared" si="30"/>
        <v/>
      </c>
      <c r="G696" s="137" t="e">
        <f>IF(A696&lt;&gt;"",IF(AND(#REF!="Padrão",$H$4=#REF!),BDI!$B$17,IF(AND(#REF!="Padrão",$H$4=#REF!),BDI!#REF!,IF(AND(#REF!="Diferenciado",$H$4=#REF!),BDI!$E$17,IF(AND(#REF!="Diferenciado",$H$4=#REF!),BDI!#REF!,IF(#REF!="ZERO",0))))),"")</f>
        <v>#REF!</v>
      </c>
      <c r="H696" s="138" t="str">
        <f t="shared" si="31"/>
        <v/>
      </c>
      <c r="I696" s="136" t="str">
        <f t="shared" si="32"/>
        <v/>
      </c>
    </row>
    <row r="697" spans="1:9" hidden="1" x14ac:dyDescent="0.25">
      <c r="A697" s="113" t="s">
        <v>2568</v>
      </c>
      <c r="B697" s="114" t="s">
        <v>2569</v>
      </c>
      <c r="C697" s="115" t="s">
        <v>20</v>
      </c>
      <c r="D697" s="115">
        <v>0</v>
      </c>
      <c r="E697" s="135" t="s">
        <v>568</v>
      </c>
      <c r="F697" s="136" t="str">
        <f t="shared" si="30"/>
        <v/>
      </c>
      <c r="G697" s="137" t="e">
        <f>IF(A697&lt;&gt;"",IF(AND(#REF!="Padrão",$H$4=#REF!),BDI!$B$17,IF(AND(#REF!="Padrão",$H$4=#REF!),BDI!#REF!,IF(AND(#REF!="Diferenciado",$H$4=#REF!),BDI!$E$17,IF(AND(#REF!="Diferenciado",$H$4=#REF!),BDI!#REF!,IF(#REF!="ZERO",0))))),"")</f>
        <v>#REF!</v>
      </c>
      <c r="H697" s="138" t="str">
        <f t="shared" si="31"/>
        <v/>
      </c>
      <c r="I697" s="136" t="str">
        <f t="shared" si="32"/>
        <v/>
      </c>
    </row>
    <row r="698" spans="1:9" hidden="1" x14ac:dyDescent="0.25">
      <c r="A698" s="113" t="s">
        <v>2570</v>
      </c>
      <c r="B698" s="114" t="s">
        <v>2571</v>
      </c>
      <c r="C698" s="115" t="s">
        <v>20</v>
      </c>
      <c r="D698" s="115">
        <v>0</v>
      </c>
      <c r="E698" s="135" t="s">
        <v>568</v>
      </c>
      <c r="F698" s="136" t="str">
        <f t="shared" si="30"/>
        <v/>
      </c>
      <c r="G698" s="137" t="e">
        <f>IF(A698&lt;&gt;"",IF(AND(#REF!="Padrão",$H$4=#REF!),BDI!$B$17,IF(AND(#REF!="Padrão",$H$4=#REF!),BDI!#REF!,IF(AND(#REF!="Diferenciado",$H$4=#REF!),BDI!$E$17,IF(AND(#REF!="Diferenciado",$H$4=#REF!),BDI!#REF!,IF(#REF!="ZERO",0))))),"")</f>
        <v>#REF!</v>
      </c>
      <c r="H698" s="138" t="str">
        <f t="shared" si="31"/>
        <v/>
      </c>
      <c r="I698" s="136" t="str">
        <f t="shared" si="32"/>
        <v/>
      </c>
    </row>
    <row r="699" spans="1:9" hidden="1" x14ac:dyDescent="0.25">
      <c r="A699" s="113" t="s">
        <v>2572</v>
      </c>
      <c r="B699" s="114" t="s">
        <v>2573</v>
      </c>
      <c r="C699" s="115" t="s">
        <v>20</v>
      </c>
      <c r="D699" s="115">
        <v>0</v>
      </c>
      <c r="E699" s="135" t="s">
        <v>568</v>
      </c>
      <c r="F699" s="136" t="str">
        <f t="shared" si="30"/>
        <v/>
      </c>
      <c r="G699" s="137" t="e">
        <f>IF(A699&lt;&gt;"",IF(AND(#REF!="Padrão",$H$4=#REF!),BDI!$B$17,IF(AND(#REF!="Padrão",$H$4=#REF!),BDI!#REF!,IF(AND(#REF!="Diferenciado",$H$4=#REF!),BDI!$E$17,IF(AND(#REF!="Diferenciado",$H$4=#REF!),BDI!#REF!,IF(#REF!="ZERO",0))))),"")</f>
        <v>#REF!</v>
      </c>
      <c r="H699" s="138" t="str">
        <f t="shared" si="31"/>
        <v/>
      </c>
      <c r="I699" s="136" t="str">
        <f t="shared" si="32"/>
        <v/>
      </c>
    </row>
    <row r="700" spans="1:9" hidden="1" x14ac:dyDescent="0.25">
      <c r="A700" s="113" t="s">
        <v>2574</v>
      </c>
      <c r="B700" s="114" t="s">
        <v>2575</v>
      </c>
      <c r="C700" s="115" t="s">
        <v>20</v>
      </c>
      <c r="D700" s="115">
        <v>0</v>
      </c>
      <c r="E700" s="135" t="s">
        <v>568</v>
      </c>
      <c r="F700" s="136" t="str">
        <f t="shared" si="30"/>
        <v/>
      </c>
      <c r="G700" s="137" t="e">
        <f>IF(A700&lt;&gt;"",IF(AND(#REF!="Padrão",$H$4=#REF!),BDI!$B$17,IF(AND(#REF!="Padrão",$H$4=#REF!),BDI!#REF!,IF(AND(#REF!="Diferenciado",$H$4=#REF!),BDI!$E$17,IF(AND(#REF!="Diferenciado",$H$4=#REF!),BDI!#REF!,IF(#REF!="ZERO",0))))),"")</f>
        <v>#REF!</v>
      </c>
      <c r="H700" s="138" t="str">
        <f t="shared" si="31"/>
        <v/>
      </c>
      <c r="I700" s="136" t="str">
        <f t="shared" si="32"/>
        <v/>
      </c>
    </row>
    <row r="701" spans="1:9" hidden="1" x14ac:dyDescent="0.25">
      <c r="A701" s="113" t="s">
        <v>2576</v>
      </c>
      <c r="B701" s="114" t="s">
        <v>2577</v>
      </c>
      <c r="C701" s="115" t="s">
        <v>20</v>
      </c>
      <c r="D701" s="115">
        <v>0</v>
      </c>
      <c r="E701" s="135" t="s">
        <v>568</v>
      </c>
      <c r="F701" s="136" t="str">
        <f t="shared" si="30"/>
        <v/>
      </c>
      <c r="G701" s="137" t="e">
        <f>IF(A701&lt;&gt;"",IF(AND(#REF!="Padrão",$H$4=#REF!),BDI!$B$17,IF(AND(#REF!="Padrão",$H$4=#REF!),BDI!#REF!,IF(AND(#REF!="Diferenciado",$H$4=#REF!),BDI!$E$17,IF(AND(#REF!="Diferenciado",$H$4=#REF!),BDI!#REF!,IF(#REF!="ZERO",0))))),"")</f>
        <v>#REF!</v>
      </c>
      <c r="H701" s="138" t="str">
        <f t="shared" si="31"/>
        <v/>
      </c>
      <c r="I701" s="136" t="str">
        <f t="shared" si="32"/>
        <v/>
      </c>
    </row>
    <row r="702" spans="1:9" hidden="1" x14ac:dyDescent="0.25">
      <c r="A702" s="113" t="s">
        <v>2578</v>
      </c>
      <c r="B702" s="114" t="s">
        <v>2579</v>
      </c>
      <c r="C702" s="115" t="s">
        <v>20</v>
      </c>
      <c r="D702" s="115">
        <v>0</v>
      </c>
      <c r="E702" s="135" t="s">
        <v>568</v>
      </c>
      <c r="F702" s="136" t="str">
        <f t="shared" si="30"/>
        <v/>
      </c>
      <c r="G702" s="137" t="e">
        <f>IF(A702&lt;&gt;"",IF(AND(#REF!="Padrão",$H$4=#REF!),BDI!$B$17,IF(AND(#REF!="Padrão",$H$4=#REF!),BDI!#REF!,IF(AND(#REF!="Diferenciado",$H$4=#REF!),BDI!$E$17,IF(AND(#REF!="Diferenciado",$H$4=#REF!),BDI!#REF!,IF(#REF!="ZERO",0))))),"")</f>
        <v>#REF!</v>
      </c>
      <c r="H702" s="138" t="str">
        <f t="shared" si="31"/>
        <v/>
      </c>
      <c r="I702" s="136" t="str">
        <f t="shared" si="32"/>
        <v/>
      </c>
    </row>
    <row r="703" spans="1:9" hidden="1" x14ac:dyDescent="0.25">
      <c r="A703" s="113" t="s">
        <v>2580</v>
      </c>
      <c r="B703" s="114" t="s">
        <v>2581</v>
      </c>
      <c r="C703" s="115" t="s">
        <v>20</v>
      </c>
      <c r="D703" s="115">
        <v>0</v>
      </c>
      <c r="E703" s="135" t="s">
        <v>568</v>
      </c>
      <c r="F703" s="136" t="str">
        <f t="shared" si="30"/>
        <v/>
      </c>
      <c r="G703" s="137" t="e">
        <f>IF(A703&lt;&gt;"",IF(AND(#REF!="Padrão",$H$4=#REF!),BDI!$B$17,IF(AND(#REF!="Padrão",$H$4=#REF!),BDI!#REF!,IF(AND(#REF!="Diferenciado",$H$4=#REF!),BDI!$E$17,IF(AND(#REF!="Diferenciado",$H$4=#REF!),BDI!#REF!,IF(#REF!="ZERO",0))))),"")</f>
        <v>#REF!</v>
      </c>
      <c r="H703" s="138" t="str">
        <f t="shared" si="31"/>
        <v/>
      </c>
      <c r="I703" s="136" t="str">
        <f t="shared" si="32"/>
        <v/>
      </c>
    </row>
    <row r="704" spans="1:9" hidden="1" x14ac:dyDescent="0.25">
      <c r="A704" s="113" t="s">
        <v>2582</v>
      </c>
      <c r="B704" s="114" t="s">
        <v>2583</v>
      </c>
      <c r="C704" s="115" t="s">
        <v>20</v>
      </c>
      <c r="D704" s="115">
        <v>0</v>
      </c>
      <c r="E704" s="135" t="s">
        <v>568</v>
      </c>
      <c r="F704" s="136" t="str">
        <f t="shared" si="30"/>
        <v/>
      </c>
      <c r="G704" s="137" t="e">
        <f>IF(A704&lt;&gt;"",IF(AND(#REF!="Padrão",$H$4=#REF!),BDI!$B$17,IF(AND(#REF!="Padrão",$H$4=#REF!),BDI!#REF!,IF(AND(#REF!="Diferenciado",$H$4=#REF!),BDI!$E$17,IF(AND(#REF!="Diferenciado",$H$4=#REF!),BDI!#REF!,IF(#REF!="ZERO",0))))),"")</f>
        <v>#REF!</v>
      </c>
      <c r="H704" s="138" t="str">
        <f t="shared" si="31"/>
        <v/>
      </c>
      <c r="I704" s="136" t="str">
        <f t="shared" si="32"/>
        <v/>
      </c>
    </row>
    <row r="705" spans="1:9" hidden="1" x14ac:dyDescent="0.25">
      <c r="A705" s="113" t="s">
        <v>2584</v>
      </c>
      <c r="B705" s="114" t="s">
        <v>2585</v>
      </c>
      <c r="C705" s="115" t="s">
        <v>20</v>
      </c>
      <c r="D705" s="115">
        <v>0</v>
      </c>
      <c r="E705" s="135" t="s">
        <v>568</v>
      </c>
      <c r="F705" s="136" t="str">
        <f t="shared" si="30"/>
        <v/>
      </c>
      <c r="G705" s="137" t="e">
        <f>IF(A705&lt;&gt;"",IF(AND(#REF!="Padrão",$H$4=#REF!),BDI!$B$17,IF(AND(#REF!="Padrão",$H$4=#REF!),BDI!#REF!,IF(AND(#REF!="Diferenciado",$H$4=#REF!),BDI!$E$17,IF(AND(#REF!="Diferenciado",$H$4=#REF!),BDI!#REF!,IF(#REF!="ZERO",0))))),"")</f>
        <v>#REF!</v>
      </c>
      <c r="H705" s="138" t="str">
        <f t="shared" si="31"/>
        <v/>
      </c>
      <c r="I705" s="136" t="str">
        <f t="shared" si="32"/>
        <v/>
      </c>
    </row>
    <row r="706" spans="1:9" hidden="1" x14ac:dyDescent="0.25">
      <c r="A706" s="113" t="s">
        <v>2586</v>
      </c>
      <c r="B706" s="114" t="s">
        <v>2587</v>
      </c>
      <c r="C706" s="115" t="s">
        <v>20</v>
      </c>
      <c r="D706" s="115">
        <v>0</v>
      </c>
      <c r="E706" s="135" t="s">
        <v>568</v>
      </c>
      <c r="F706" s="136" t="str">
        <f t="shared" si="30"/>
        <v/>
      </c>
      <c r="G706" s="137" t="e">
        <f>IF(A706&lt;&gt;"",IF(AND(#REF!="Padrão",$H$4=#REF!),BDI!$B$17,IF(AND(#REF!="Padrão",$H$4=#REF!),BDI!#REF!,IF(AND(#REF!="Diferenciado",$H$4=#REF!),BDI!$E$17,IF(AND(#REF!="Diferenciado",$H$4=#REF!),BDI!#REF!,IF(#REF!="ZERO",0))))),"")</f>
        <v>#REF!</v>
      </c>
      <c r="H706" s="138" t="str">
        <f t="shared" si="31"/>
        <v/>
      </c>
      <c r="I706" s="136" t="str">
        <f t="shared" si="32"/>
        <v/>
      </c>
    </row>
    <row r="707" spans="1:9" hidden="1" x14ac:dyDescent="0.25">
      <c r="A707" s="113" t="s">
        <v>2588</v>
      </c>
      <c r="B707" s="114" t="s">
        <v>2589</v>
      </c>
      <c r="C707" s="115" t="s">
        <v>20</v>
      </c>
      <c r="D707" s="115">
        <v>0</v>
      </c>
      <c r="E707" s="135" t="s">
        <v>568</v>
      </c>
      <c r="F707" s="136" t="str">
        <f t="shared" si="30"/>
        <v/>
      </c>
      <c r="G707" s="137" t="e">
        <f>IF(A707&lt;&gt;"",IF(AND(#REF!="Padrão",$H$4=#REF!),BDI!$B$17,IF(AND(#REF!="Padrão",$H$4=#REF!),BDI!#REF!,IF(AND(#REF!="Diferenciado",$H$4=#REF!),BDI!$E$17,IF(AND(#REF!="Diferenciado",$H$4=#REF!),BDI!#REF!,IF(#REF!="ZERO",0))))),"")</f>
        <v>#REF!</v>
      </c>
      <c r="H707" s="138" t="str">
        <f t="shared" si="31"/>
        <v/>
      </c>
      <c r="I707" s="136" t="str">
        <f t="shared" si="32"/>
        <v/>
      </c>
    </row>
    <row r="708" spans="1:9" hidden="1" x14ac:dyDescent="0.25">
      <c r="A708" s="113" t="s">
        <v>2590</v>
      </c>
      <c r="B708" s="114" t="s">
        <v>2591</v>
      </c>
      <c r="C708" s="115" t="s">
        <v>20</v>
      </c>
      <c r="D708" s="115">
        <v>0</v>
      </c>
      <c r="E708" s="135" t="s">
        <v>568</v>
      </c>
      <c r="F708" s="136" t="str">
        <f t="shared" si="30"/>
        <v/>
      </c>
      <c r="G708" s="137" t="e">
        <f>IF(A708&lt;&gt;"",IF(AND(#REF!="Padrão",$H$4=#REF!),BDI!$B$17,IF(AND(#REF!="Padrão",$H$4=#REF!),BDI!#REF!,IF(AND(#REF!="Diferenciado",$H$4=#REF!),BDI!$E$17,IF(AND(#REF!="Diferenciado",$H$4=#REF!),BDI!#REF!,IF(#REF!="ZERO",0))))),"")</f>
        <v>#REF!</v>
      </c>
      <c r="H708" s="138" t="str">
        <f t="shared" si="31"/>
        <v/>
      </c>
      <c r="I708" s="136" t="str">
        <f t="shared" si="32"/>
        <v/>
      </c>
    </row>
    <row r="709" spans="1:9" hidden="1" x14ac:dyDescent="0.25">
      <c r="A709" s="113" t="s">
        <v>2592</v>
      </c>
      <c r="B709" s="114" t="s">
        <v>2593</v>
      </c>
      <c r="C709" s="115" t="s">
        <v>20</v>
      </c>
      <c r="D709" s="115">
        <v>0</v>
      </c>
      <c r="E709" s="135" t="s">
        <v>568</v>
      </c>
      <c r="F709" s="136" t="str">
        <f t="shared" si="30"/>
        <v/>
      </c>
      <c r="G709" s="137" t="e">
        <f>IF(A709&lt;&gt;"",IF(AND(#REF!="Padrão",$H$4=#REF!),BDI!$B$17,IF(AND(#REF!="Padrão",$H$4=#REF!),BDI!#REF!,IF(AND(#REF!="Diferenciado",$H$4=#REF!),BDI!$E$17,IF(AND(#REF!="Diferenciado",$H$4=#REF!),BDI!#REF!,IF(#REF!="ZERO",0))))),"")</f>
        <v>#REF!</v>
      </c>
      <c r="H709" s="138" t="str">
        <f t="shared" si="31"/>
        <v/>
      </c>
      <c r="I709" s="136" t="str">
        <f t="shared" si="32"/>
        <v/>
      </c>
    </row>
    <row r="710" spans="1:9" hidden="1" x14ac:dyDescent="0.25">
      <c r="A710" s="113" t="s">
        <v>2594</v>
      </c>
      <c r="B710" s="114" t="s">
        <v>2595</v>
      </c>
      <c r="C710" s="115" t="s">
        <v>20</v>
      </c>
      <c r="D710" s="115">
        <v>0</v>
      </c>
      <c r="E710" s="135" t="s">
        <v>568</v>
      </c>
      <c r="F710" s="136" t="str">
        <f t="shared" si="30"/>
        <v/>
      </c>
      <c r="G710" s="137" t="e">
        <f>IF(A710&lt;&gt;"",IF(AND(#REF!="Padrão",$H$4=#REF!),BDI!$B$17,IF(AND(#REF!="Padrão",$H$4=#REF!),BDI!#REF!,IF(AND(#REF!="Diferenciado",$H$4=#REF!),BDI!$E$17,IF(AND(#REF!="Diferenciado",$H$4=#REF!),BDI!#REF!,IF(#REF!="ZERO",0))))),"")</f>
        <v>#REF!</v>
      </c>
      <c r="H710" s="138" t="str">
        <f t="shared" si="31"/>
        <v/>
      </c>
      <c r="I710" s="136" t="str">
        <f t="shared" si="32"/>
        <v/>
      </c>
    </row>
    <row r="711" spans="1:9" hidden="1" x14ac:dyDescent="0.25">
      <c r="A711" s="113" t="s">
        <v>2596</v>
      </c>
      <c r="B711" s="114" t="s">
        <v>2597</v>
      </c>
      <c r="C711" s="115" t="s">
        <v>20</v>
      </c>
      <c r="D711" s="115">
        <v>0</v>
      </c>
      <c r="E711" s="135" t="s">
        <v>568</v>
      </c>
      <c r="F711" s="136" t="str">
        <f t="shared" ref="F711:F774" si="33">IF(ISNUMBER(E711),D711*E711,"")</f>
        <v/>
      </c>
      <c r="G711" s="137" t="e">
        <f>IF(A711&lt;&gt;"",IF(AND(#REF!="Padrão",$H$4=#REF!),BDI!$B$17,IF(AND(#REF!="Padrão",$H$4=#REF!),BDI!#REF!,IF(AND(#REF!="Diferenciado",$H$4=#REF!),BDI!$E$17,IF(AND(#REF!="Diferenciado",$H$4=#REF!),BDI!#REF!,IF(#REF!="ZERO",0))))),"")</f>
        <v>#REF!</v>
      </c>
      <c r="H711" s="138" t="str">
        <f t="shared" ref="H711:H774" si="34">IF(ISNUMBER(E711),ROUND(E711*(1+G711),2),"")</f>
        <v/>
      </c>
      <c r="I711" s="136" t="str">
        <f t="shared" ref="I711:I774" si="35">IF(ISNUMBER(E711),ROUND(H711*D711,2),"")</f>
        <v/>
      </c>
    </row>
    <row r="712" spans="1:9" hidden="1" x14ac:dyDescent="0.25">
      <c r="A712" s="113" t="s">
        <v>2598</v>
      </c>
      <c r="B712" s="114" t="s">
        <v>2599</v>
      </c>
      <c r="C712" s="115" t="s">
        <v>20</v>
      </c>
      <c r="D712" s="115">
        <v>0</v>
      </c>
      <c r="E712" s="135" t="s">
        <v>568</v>
      </c>
      <c r="F712" s="136" t="str">
        <f t="shared" si="33"/>
        <v/>
      </c>
      <c r="G712" s="137" t="e">
        <f>IF(A712&lt;&gt;"",IF(AND(#REF!="Padrão",$H$4=#REF!),BDI!$B$17,IF(AND(#REF!="Padrão",$H$4=#REF!),BDI!#REF!,IF(AND(#REF!="Diferenciado",$H$4=#REF!),BDI!$E$17,IF(AND(#REF!="Diferenciado",$H$4=#REF!),BDI!#REF!,IF(#REF!="ZERO",0))))),"")</f>
        <v>#REF!</v>
      </c>
      <c r="H712" s="138" t="str">
        <f t="shared" si="34"/>
        <v/>
      </c>
      <c r="I712" s="136" t="str">
        <f t="shared" si="35"/>
        <v/>
      </c>
    </row>
    <row r="713" spans="1:9" hidden="1" x14ac:dyDescent="0.25">
      <c r="A713" s="113" t="s">
        <v>832</v>
      </c>
      <c r="B713" s="114" t="s">
        <v>2600</v>
      </c>
      <c r="C713" s="115" t="s">
        <v>2601</v>
      </c>
      <c r="D713" s="115">
        <v>0</v>
      </c>
      <c r="E713" s="135">
        <f ca="1">OFFSET(INDEX(Composições!A:J,MATCH(Orçamentária!A713,Composições!A:A,0),8),2,0)</f>
        <v>10369.976856400001</v>
      </c>
      <c r="F713" s="136">
        <f t="shared" ca="1" si="33"/>
        <v>0</v>
      </c>
      <c r="G713" s="137" t="e">
        <f>IF(A713&lt;&gt;"",IF(AND(#REF!="Padrão",$H$4=#REF!),BDI!$B$17,IF(AND(#REF!="Padrão",$H$4=#REF!),BDI!#REF!,IF(AND(#REF!="Diferenciado",$H$4=#REF!),BDI!$E$17,IF(AND(#REF!="Diferenciado",$H$4=#REF!),BDI!#REF!,IF(#REF!="ZERO",0))))),"")</f>
        <v>#REF!</v>
      </c>
      <c r="H713" s="138" t="e">
        <f t="shared" ca="1" si="34"/>
        <v>#REF!</v>
      </c>
      <c r="I713" s="136" t="e">
        <f t="shared" ca="1" si="35"/>
        <v>#REF!</v>
      </c>
    </row>
    <row r="714" spans="1:9" hidden="1" x14ac:dyDescent="0.25">
      <c r="A714" s="113" t="s">
        <v>835</v>
      </c>
      <c r="B714" s="114" t="s">
        <v>2602</v>
      </c>
      <c r="C714" s="115" t="s">
        <v>2601</v>
      </c>
      <c r="D714" s="115">
        <v>0</v>
      </c>
      <c r="E714" s="135">
        <f ca="1">OFFSET(INDEX(Composições!A:J,MATCH(Orçamentária!A714,Composições!A:A,0),8),2,0)</f>
        <v>2693.3857131999998</v>
      </c>
      <c r="F714" s="136">
        <f t="shared" ca="1" si="33"/>
        <v>0</v>
      </c>
      <c r="G714" s="137" t="e">
        <f>IF(A714&lt;&gt;"",IF(AND(#REF!="Padrão",$H$4=#REF!),BDI!$B$17,IF(AND(#REF!="Padrão",$H$4=#REF!),BDI!#REF!,IF(AND(#REF!="Diferenciado",$H$4=#REF!),BDI!$E$17,IF(AND(#REF!="Diferenciado",$H$4=#REF!),BDI!#REF!,IF(#REF!="ZERO",0))))),"")</f>
        <v>#REF!</v>
      </c>
      <c r="H714" s="138" t="e">
        <f t="shared" ca="1" si="34"/>
        <v>#REF!</v>
      </c>
      <c r="I714" s="136" t="e">
        <f t="shared" ca="1" si="35"/>
        <v>#REF!</v>
      </c>
    </row>
    <row r="715" spans="1:9" hidden="1" x14ac:dyDescent="0.25">
      <c r="A715" s="113" t="s">
        <v>837</v>
      </c>
      <c r="B715" s="114" t="s">
        <v>2603</v>
      </c>
      <c r="C715" s="115" t="s">
        <v>2601</v>
      </c>
      <c r="D715" s="115">
        <v>0</v>
      </c>
      <c r="E715" s="135">
        <f ca="1">OFFSET(INDEX(Composições!A:J,MATCH(Orçamentária!A715,Composições!A:A,0),8),2,0)</f>
        <v>1685.9435908000003</v>
      </c>
      <c r="F715" s="136">
        <f t="shared" ca="1" si="33"/>
        <v>0</v>
      </c>
      <c r="G715" s="137" t="e">
        <f>IF(A715&lt;&gt;"",IF(AND(#REF!="Padrão",$H$4=#REF!),BDI!$B$17,IF(AND(#REF!="Padrão",$H$4=#REF!),BDI!#REF!,IF(AND(#REF!="Diferenciado",$H$4=#REF!),BDI!$E$17,IF(AND(#REF!="Diferenciado",$H$4=#REF!),BDI!#REF!,IF(#REF!="ZERO",0))))),"")</f>
        <v>#REF!</v>
      </c>
      <c r="H715" s="138" t="e">
        <f t="shared" ca="1" si="34"/>
        <v>#REF!</v>
      </c>
      <c r="I715" s="136" t="e">
        <f t="shared" ca="1" si="35"/>
        <v>#REF!</v>
      </c>
    </row>
    <row r="716" spans="1:9" hidden="1" x14ac:dyDescent="0.25">
      <c r="A716" s="113" t="s">
        <v>838</v>
      </c>
      <c r="B716" s="114" t="s">
        <v>2604</v>
      </c>
      <c r="C716" s="115" t="s">
        <v>2601</v>
      </c>
      <c r="D716" s="115">
        <v>0</v>
      </c>
      <c r="E716" s="135">
        <f ca="1">OFFSET(INDEX(Composições!A:J,MATCH(Orçamentária!A716,Composições!A:A,0),8),2,0)</f>
        <v>1908.8377055999999</v>
      </c>
      <c r="F716" s="136">
        <f t="shared" ca="1" si="33"/>
        <v>0</v>
      </c>
      <c r="G716" s="137" t="e">
        <f>IF(A716&lt;&gt;"",IF(AND(#REF!="Padrão",$H$4=#REF!),BDI!$B$17,IF(AND(#REF!="Padrão",$H$4=#REF!),BDI!#REF!,IF(AND(#REF!="Diferenciado",$H$4=#REF!),BDI!$E$17,IF(AND(#REF!="Diferenciado",$H$4=#REF!),BDI!#REF!,IF(#REF!="ZERO",0))))),"")</f>
        <v>#REF!</v>
      </c>
      <c r="H716" s="138" t="e">
        <f t="shared" ca="1" si="34"/>
        <v>#REF!</v>
      </c>
      <c r="I716" s="136" t="e">
        <f t="shared" ca="1" si="35"/>
        <v>#REF!</v>
      </c>
    </row>
    <row r="717" spans="1:9" hidden="1" x14ac:dyDescent="0.25">
      <c r="A717" s="113" t="s">
        <v>840</v>
      </c>
      <c r="B717" s="114" t="s">
        <v>2605</v>
      </c>
      <c r="C717" s="115" t="s">
        <v>2601</v>
      </c>
      <c r="D717" s="115">
        <v>0</v>
      </c>
      <c r="E717" s="135">
        <f ca="1">OFFSET(INDEX(Composições!A:J,MATCH(Orçamentária!A717,Composições!A:A,0),8),2,0)</f>
        <v>1849.9229616</v>
      </c>
      <c r="F717" s="136">
        <f t="shared" ca="1" si="33"/>
        <v>0</v>
      </c>
      <c r="G717" s="137" t="e">
        <f>IF(A717&lt;&gt;"",IF(AND(#REF!="Padrão",$H$4=#REF!),BDI!$B$17,IF(AND(#REF!="Padrão",$H$4=#REF!),BDI!#REF!,IF(AND(#REF!="Diferenciado",$H$4=#REF!),BDI!$E$17,IF(AND(#REF!="Diferenciado",$H$4=#REF!),BDI!#REF!,IF(#REF!="ZERO",0))))),"")</f>
        <v>#REF!</v>
      </c>
      <c r="H717" s="138" t="e">
        <f t="shared" ca="1" si="34"/>
        <v>#REF!</v>
      </c>
      <c r="I717" s="136" t="e">
        <f t="shared" ca="1" si="35"/>
        <v>#REF!</v>
      </c>
    </row>
    <row r="718" spans="1:9" hidden="1" x14ac:dyDescent="0.25">
      <c r="A718" s="113" t="s">
        <v>842</v>
      </c>
      <c r="B718" s="114" t="s">
        <v>2606</v>
      </c>
      <c r="C718" s="115" t="s">
        <v>2601</v>
      </c>
      <c r="D718" s="115">
        <v>0</v>
      </c>
      <c r="E718" s="135">
        <f ca="1">OFFSET(INDEX(Composições!A:J,MATCH(Orçamentária!A718,Composições!A:A,0),8),2,0)</f>
        <v>2301.6026655999999</v>
      </c>
      <c r="F718" s="136">
        <f t="shared" ca="1" si="33"/>
        <v>0</v>
      </c>
      <c r="G718" s="137" t="e">
        <f>IF(A718&lt;&gt;"",IF(AND(#REF!="Padrão",$H$4=#REF!),BDI!$B$17,IF(AND(#REF!="Padrão",$H$4=#REF!),BDI!#REF!,IF(AND(#REF!="Diferenciado",$H$4=#REF!),BDI!$E$17,IF(AND(#REF!="Diferenciado",$H$4=#REF!),BDI!#REF!,IF(#REF!="ZERO",0))))),"")</f>
        <v>#REF!</v>
      </c>
      <c r="H718" s="138" t="e">
        <f t="shared" ca="1" si="34"/>
        <v>#REF!</v>
      </c>
      <c r="I718" s="136" t="e">
        <f t="shared" ca="1" si="35"/>
        <v>#REF!</v>
      </c>
    </row>
    <row r="719" spans="1:9" hidden="1" x14ac:dyDescent="0.25">
      <c r="A719" s="113" t="s">
        <v>843</v>
      </c>
      <c r="B719" s="114" t="s">
        <v>2607</v>
      </c>
      <c r="C719" s="115" t="s">
        <v>2601</v>
      </c>
      <c r="D719" s="115">
        <v>0</v>
      </c>
      <c r="E719" s="135">
        <f ca="1">OFFSET(INDEX(Composições!A:J,MATCH(Orçamentária!A719,Composições!A:A,0),8),2,0)</f>
        <v>2301.6026655999999</v>
      </c>
      <c r="F719" s="136">
        <f t="shared" ca="1" si="33"/>
        <v>0</v>
      </c>
      <c r="G719" s="137" t="e">
        <f>IF(A719&lt;&gt;"",IF(AND(#REF!="Padrão",$H$4=#REF!),BDI!$B$17,IF(AND(#REF!="Padrão",$H$4=#REF!),BDI!#REF!,IF(AND(#REF!="Diferenciado",$H$4=#REF!),BDI!$E$17,IF(AND(#REF!="Diferenciado",$H$4=#REF!),BDI!#REF!,IF(#REF!="ZERO",0))))),"")</f>
        <v>#REF!</v>
      </c>
      <c r="H719" s="138" t="e">
        <f t="shared" ca="1" si="34"/>
        <v>#REF!</v>
      </c>
      <c r="I719" s="136" t="e">
        <f t="shared" ca="1" si="35"/>
        <v>#REF!</v>
      </c>
    </row>
    <row r="720" spans="1:9" hidden="1" x14ac:dyDescent="0.25">
      <c r="A720" s="113" t="s">
        <v>844</v>
      </c>
      <c r="B720" s="114" t="s">
        <v>2608</v>
      </c>
      <c r="C720" s="115" t="s">
        <v>2601</v>
      </c>
      <c r="D720" s="115">
        <v>0</v>
      </c>
      <c r="E720" s="135">
        <f ca="1">OFFSET(INDEX(Composições!A:J,MATCH(Orçamentária!A720,Composições!A:A,0),8),2,0)</f>
        <v>2271.1633812</v>
      </c>
      <c r="F720" s="136">
        <f t="shared" ca="1" si="33"/>
        <v>0</v>
      </c>
      <c r="G720" s="137" t="e">
        <f>IF(A720&lt;&gt;"",IF(AND(#REF!="Padrão",$H$4=#REF!),BDI!$B$17,IF(AND(#REF!="Padrão",$H$4=#REF!),BDI!#REF!,IF(AND(#REF!="Diferenciado",$H$4=#REF!),BDI!$E$17,IF(AND(#REF!="Diferenciado",$H$4=#REF!),BDI!#REF!,IF(#REF!="ZERO",0))))),"")</f>
        <v>#REF!</v>
      </c>
      <c r="H720" s="138" t="e">
        <f t="shared" ca="1" si="34"/>
        <v>#REF!</v>
      </c>
      <c r="I720" s="136" t="e">
        <f t="shared" ca="1" si="35"/>
        <v>#REF!</v>
      </c>
    </row>
    <row r="721" spans="1:9" hidden="1" x14ac:dyDescent="0.25">
      <c r="A721" s="113" t="s">
        <v>845</v>
      </c>
      <c r="B721" s="114" t="s">
        <v>2609</v>
      </c>
      <c r="C721" s="115" t="s">
        <v>2601</v>
      </c>
      <c r="D721" s="115">
        <v>0</v>
      </c>
      <c r="E721" s="135">
        <f ca="1">OFFSET(INDEX(Composições!A:J,MATCH(Orçamentária!A721,Composições!A:A,0),8),2,0)</f>
        <v>2713.0239611999996</v>
      </c>
      <c r="F721" s="136">
        <f t="shared" ca="1" si="33"/>
        <v>0</v>
      </c>
      <c r="G721" s="137" t="e">
        <f>IF(A721&lt;&gt;"",IF(AND(#REF!="Padrão",$H$4=#REF!),BDI!$B$17,IF(AND(#REF!="Padrão",$H$4=#REF!),BDI!#REF!,IF(AND(#REF!="Diferenciado",$H$4=#REF!),BDI!$E$17,IF(AND(#REF!="Diferenciado",$H$4=#REF!),BDI!#REF!,IF(#REF!="ZERO",0))))),"")</f>
        <v>#REF!</v>
      </c>
      <c r="H721" s="138" t="e">
        <f t="shared" ca="1" si="34"/>
        <v>#REF!</v>
      </c>
      <c r="I721" s="136" t="e">
        <f t="shared" ca="1" si="35"/>
        <v>#REF!</v>
      </c>
    </row>
    <row r="722" spans="1:9" hidden="1" x14ac:dyDescent="0.25">
      <c r="A722" s="113" t="s">
        <v>846</v>
      </c>
      <c r="B722" s="114" t="s">
        <v>2610</v>
      </c>
      <c r="C722" s="115" t="s">
        <v>2601</v>
      </c>
      <c r="D722" s="115">
        <v>0</v>
      </c>
      <c r="E722" s="135">
        <f ca="1">OFFSET(INDEX(Composições!A:J,MATCH(Orçamentária!A722,Composições!A:A,0),8),2,0)</f>
        <v>2282.9463299999998</v>
      </c>
      <c r="F722" s="136">
        <f t="shared" ca="1" si="33"/>
        <v>0</v>
      </c>
      <c r="G722" s="137" t="e">
        <f>IF(A722&lt;&gt;"",IF(AND(#REF!="Padrão",$H$4=#REF!),BDI!$B$17,IF(AND(#REF!="Padrão",$H$4=#REF!),BDI!#REF!,IF(AND(#REF!="Diferenciado",$H$4=#REF!),BDI!$E$17,IF(AND(#REF!="Diferenciado",$H$4=#REF!),BDI!#REF!,IF(#REF!="ZERO",0))))),"")</f>
        <v>#REF!</v>
      </c>
      <c r="H722" s="138" t="e">
        <f t="shared" ca="1" si="34"/>
        <v>#REF!</v>
      </c>
      <c r="I722" s="136" t="e">
        <f t="shared" ca="1" si="35"/>
        <v>#REF!</v>
      </c>
    </row>
    <row r="723" spans="1:9" hidden="1" x14ac:dyDescent="0.25">
      <c r="A723" s="113" t="s">
        <v>2611</v>
      </c>
      <c r="B723" s="114" t="s">
        <v>2612</v>
      </c>
      <c r="C723" s="115" t="s">
        <v>20</v>
      </c>
      <c r="D723" s="115">
        <v>0</v>
      </c>
      <c r="E723" s="135" t="s">
        <v>568</v>
      </c>
      <c r="F723" s="136" t="str">
        <f t="shared" si="33"/>
        <v/>
      </c>
      <c r="G723" s="137" t="e">
        <f>IF(A723&lt;&gt;"",IF(AND(#REF!="Padrão",$H$4=#REF!),BDI!$B$17,IF(AND(#REF!="Padrão",$H$4=#REF!),BDI!#REF!,IF(AND(#REF!="Diferenciado",$H$4=#REF!),BDI!$E$17,IF(AND(#REF!="Diferenciado",$H$4=#REF!),BDI!#REF!,IF(#REF!="ZERO",0))))),"")</f>
        <v>#REF!</v>
      </c>
      <c r="H723" s="138" t="str">
        <f t="shared" si="34"/>
        <v/>
      </c>
      <c r="I723" s="136" t="str">
        <f t="shared" si="35"/>
        <v/>
      </c>
    </row>
    <row r="724" spans="1:9" hidden="1" x14ac:dyDescent="0.25">
      <c r="A724" s="113" t="s">
        <v>2613</v>
      </c>
      <c r="B724" s="114" t="s">
        <v>2614</v>
      </c>
      <c r="C724" s="115" t="s">
        <v>20</v>
      </c>
      <c r="D724" s="115">
        <v>0</v>
      </c>
      <c r="E724" s="135" t="s">
        <v>568</v>
      </c>
      <c r="F724" s="136" t="str">
        <f t="shared" si="33"/>
        <v/>
      </c>
      <c r="G724" s="137" t="e">
        <f>IF(A724&lt;&gt;"",IF(AND(#REF!="Padrão",$H$4=#REF!),BDI!$B$17,IF(AND(#REF!="Padrão",$H$4=#REF!),BDI!#REF!,IF(AND(#REF!="Diferenciado",$H$4=#REF!),BDI!$E$17,IF(AND(#REF!="Diferenciado",$H$4=#REF!),BDI!#REF!,IF(#REF!="ZERO",0))))),"")</f>
        <v>#REF!</v>
      </c>
      <c r="H724" s="138" t="str">
        <f t="shared" si="34"/>
        <v/>
      </c>
      <c r="I724" s="136" t="str">
        <f t="shared" si="35"/>
        <v/>
      </c>
    </row>
    <row r="725" spans="1:9" hidden="1" x14ac:dyDescent="0.25">
      <c r="A725" s="113" t="s">
        <v>2615</v>
      </c>
      <c r="B725" s="114" t="s">
        <v>2616</v>
      </c>
      <c r="C725" s="115" t="s">
        <v>20</v>
      </c>
      <c r="D725" s="115">
        <v>0</v>
      </c>
      <c r="E725" s="135" t="s">
        <v>568</v>
      </c>
      <c r="F725" s="136" t="str">
        <f t="shared" si="33"/>
        <v/>
      </c>
      <c r="G725" s="137" t="e">
        <f>IF(A725&lt;&gt;"",IF(AND(#REF!="Padrão",$H$4=#REF!),BDI!$B$17,IF(AND(#REF!="Padrão",$H$4=#REF!),BDI!#REF!,IF(AND(#REF!="Diferenciado",$H$4=#REF!),BDI!$E$17,IF(AND(#REF!="Diferenciado",$H$4=#REF!),BDI!#REF!,IF(#REF!="ZERO",0))))),"")</f>
        <v>#REF!</v>
      </c>
      <c r="H725" s="138" t="str">
        <f t="shared" si="34"/>
        <v/>
      </c>
      <c r="I725" s="136" t="str">
        <f t="shared" si="35"/>
        <v/>
      </c>
    </row>
    <row r="726" spans="1:9" hidden="1" x14ac:dyDescent="0.25">
      <c r="A726" s="113" t="s">
        <v>2617</v>
      </c>
      <c r="B726" s="114" t="s">
        <v>3483</v>
      </c>
      <c r="C726" s="115" t="s">
        <v>20</v>
      </c>
      <c r="D726" s="115">
        <v>0</v>
      </c>
      <c r="E726" s="135" t="s">
        <v>568</v>
      </c>
      <c r="F726" s="136" t="str">
        <f t="shared" si="33"/>
        <v/>
      </c>
      <c r="G726" s="137" t="e">
        <f>IF(A726&lt;&gt;"",IF(AND(#REF!="Padrão",$H$4=#REF!),BDI!$B$17,IF(AND(#REF!="Padrão",$H$4=#REF!),BDI!#REF!,IF(AND(#REF!="Diferenciado",$H$4=#REF!),BDI!$E$17,IF(AND(#REF!="Diferenciado",$H$4=#REF!),BDI!#REF!,IF(#REF!="ZERO",0))))),"")</f>
        <v>#REF!</v>
      </c>
      <c r="H726" s="138" t="str">
        <f t="shared" si="34"/>
        <v/>
      </c>
      <c r="I726" s="136" t="str">
        <f t="shared" si="35"/>
        <v/>
      </c>
    </row>
    <row r="727" spans="1:9" hidden="1" x14ac:dyDescent="0.25">
      <c r="A727" s="113" t="s">
        <v>2618</v>
      </c>
      <c r="B727" s="114" t="s">
        <v>2619</v>
      </c>
      <c r="C727" s="115" t="s">
        <v>20</v>
      </c>
      <c r="D727" s="115">
        <v>0</v>
      </c>
      <c r="E727" s="135" t="s">
        <v>568</v>
      </c>
      <c r="F727" s="136" t="str">
        <f t="shared" si="33"/>
        <v/>
      </c>
      <c r="G727" s="137" t="e">
        <f>IF(A727&lt;&gt;"",IF(AND(#REF!="Padrão",$H$4=#REF!),BDI!$B$17,IF(AND(#REF!="Padrão",$H$4=#REF!),BDI!#REF!,IF(AND(#REF!="Diferenciado",$H$4=#REF!),BDI!$E$17,IF(AND(#REF!="Diferenciado",$H$4=#REF!),BDI!#REF!,IF(#REF!="ZERO",0))))),"")</f>
        <v>#REF!</v>
      </c>
      <c r="H727" s="138" t="str">
        <f t="shared" si="34"/>
        <v/>
      </c>
      <c r="I727" s="136" t="str">
        <f t="shared" si="35"/>
        <v/>
      </c>
    </row>
    <row r="728" spans="1:9" hidden="1" x14ac:dyDescent="0.25">
      <c r="A728" s="113" t="s">
        <v>2620</v>
      </c>
      <c r="B728" s="114" t="s">
        <v>2621</v>
      </c>
      <c r="C728" s="115" t="s">
        <v>20</v>
      </c>
      <c r="D728" s="115">
        <v>0</v>
      </c>
      <c r="E728" s="135" t="s">
        <v>568</v>
      </c>
      <c r="F728" s="136" t="str">
        <f t="shared" si="33"/>
        <v/>
      </c>
      <c r="G728" s="137" t="e">
        <f>IF(A728&lt;&gt;"",IF(AND(#REF!="Padrão",$H$4=#REF!),BDI!$B$17,IF(AND(#REF!="Padrão",$H$4=#REF!),BDI!#REF!,IF(AND(#REF!="Diferenciado",$H$4=#REF!),BDI!$E$17,IF(AND(#REF!="Diferenciado",$H$4=#REF!),BDI!#REF!,IF(#REF!="ZERO",0))))),"")</f>
        <v>#REF!</v>
      </c>
      <c r="H728" s="138" t="str">
        <f t="shared" si="34"/>
        <v/>
      </c>
      <c r="I728" s="136" t="str">
        <f t="shared" si="35"/>
        <v/>
      </c>
    </row>
    <row r="729" spans="1:9" hidden="1" x14ac:dyDescent="0.25">
      <c r="A729" s="113" t="s">
        <v>2622</v>
      </c>
      <c r="B729" s="114" t="s">
        <v>2623</v>
      </c>
      <c r="C729" s="115" t="s">
        <v>20</v>
      </c>
      <c r="D729" s="115">
        <v>0</v>
      </c>
      <c r="E729" s="135" t="s">
        <v>568</v>
      </c>
      <c r="F729" s="136" t="str">
        <f t="shared" si="33"/>
        <v/>
      </c>
      <c r="G729" s="137" t="e">
        <f>IF(A729&lt;&gt;"",IF(AND(#REF!="Padrão",$H$4=#REF!),BDI!$B$17,IF(AND(#REF!="Padrão",$H$4=#REF!),BDI!#REF!,IF(AND(#REF!="Diferenciado",$H$4=#REF!),BDI!$E$17,IF(AND(#REF!="Diferenciado",$H$4=#REF!),BDI!#REF!,IF(#REF!="ZERO",0))))),"")</f>
        <v>#REF!</v>
      </c>
      <c r="H729" s="138" t="str">
        <f t="shared" si="34"/>
        <v/>
      </c>
      <c r="I729" s="136" t="str">
        <f t="shared" si="35"/>
        <v/>
      </c>
    </row>
    <row r="730" spans="1:9" hidden="1" x14ac:dyDescent="0.25">
      <c r="A730" s="113" t="s">
        <v>2624</v>
      </c>
      <c r="B730" s="114" t="s">
        <v>2625</v>
      </c>
      <c r="C730" s="115" t="s">
        <v>20</v>
      </c>
      <c r="D730" s="115">
        <v>0</v>
      </c>
      <c r="E730" s="135" t="s">
        <v>568</v>
      </c>
      <c r="F730" s="136" t="str">
        <f t="shared" si="33"/>
        <v/>
      </c>
      <c r="G730" s="137" t="e">
        <f>IF(A730&lt;&gt;"",IF(AND(#REF!="Padrão",$H$4=#REF!),BDI!$B$17,IF(AND(#REF!="Padrão",$H$4=#REF!),BDI!#REF!,IF(AND(#REF!="Diferenciado",$H$4=#REF!),BDI!$E$17,IF(AND(#REF!="Diferenciado",$H$4=#REF!),BDI!#REF!,IF(#REF!="ZERO",0))))),"")</f>
        <v>#REF!</v>
      </c>
      <c r="H730" s="138" t="str">
        <f t="shared" si="34"/>
        <v/>
      </c>
      <c r="I730" s="136" t="str">
        <f t="shared" si="35"/>
        <v/>
      </c>
    </row>
    <row r="731" spans="1:9" hidden="1" x14ac:dyDescent="0.25">
      <c r="A731" s="113" t="s">
        <v>2626</v>
      </c>
      <c r="B731" s="114" t="s">
        <v>2627</v>
      </c>
      <c r="C731" s="115" t="s">
        <v>20</v>
      </c>
      <c r="D731" s="115">
        <v>0</v>
      </c>
      <c r="E731" s="135" t="s">
        <v>568</v>
      </c>
      <c r="F731" s="136" t="str">
        <f t="shared" si="33"/>
        <v/>
      </c>
      <c r="G731" s="137" t="e">
        <f>IF(A731&lt;&gt;"",IF(AND(#REF!="Padrão",$H$4=#REF!),BDI!$B$17,IF(AND(#REF!="Padrão",$H$4=#REF!),BDI!#REF!,IF(AND(#REF!="Diferenciado",$H$4=#REF!),BDI!$E$17,IF(AND(#REF!="Diferenciado",$H$4=#REF!),BDI!#REF!,IF(#REF!="ZERO",0))))),"")</f>
        <v>#REF!</v>
      </c>
      <c r="H731" s="138" t="str">
        <f t="shared" si="34"/>
        <v/>
      </c>
      <c r="I731" s="136" t="str">
        <f t="shared" si="35"/>
        <v/>
      </c>
    </row>
    <row r="732" spans="1:9" hidden="1" x14ac:dyDescent="0.25">
      <c r="A732" s="113" t="s">
        <v>2628</v>
      </c>
      <c r="B732" s="114" t="s">
        <v>2629</v>
      </c>
      <c r="C732" s="115" t="s">
        <v>20</v>
      </c>
      <c r="D732" s="115">
        <v>0</v>
      </c>
      <c r="E732" s="135" t="s">
        <v>568</v>
      </c>
      <c r="F732" s="136" t="str">
        <f t="shared" si="33"/>
        <v/>
      </c>
      <c r="G732" s="137" t="e">
        <f>IF(A732&lt;&gt;"",IF(AND(#REF!="Padrão",$H$4=#REF!),BDI!$B$17,IF(AND(#REF!="Padrão",$H$4=#REF!),BDI!#REF!,IF(AND(#REF!="Diferenciado",$H$4=#REF!),BDI!$E$17,IF(AND(#REF!="Diferenciado",$H$4=#REF!),BDI!#REF!,IF(#REF!="ZERO",0))))),"")</f>
        <v>#REF!</v>
      </c>
      <c r="H732" s="138" t="str">
        <f t="shared" si="34"/>
        <v/>
      </c>
      <c r="I732" s="136" t="str">
        <f t="shared" si="35"/>
        <v/>
      </c>
    </row>
    <row r="733" spans="1:9" hidden="1" x14ac:dyDescent="0.25">
      <c r="A733" s="113" t="s">
        <v>2630</v>
      </c>
      <c r="B733" s="114" t="s">
        <v>2631</v>
      </c>
      <c r="C733" s="115" t="s">
        <v>20</v>
      </c>
      <c r="D733" s="115">
        <v>0</v>
      </c>
      <c r="E733" s="135" t="s">
        <v>568</v>
      </c>
      <c r="F733" s="136" t="str">
        <f t="shared" si="33"/>
        <v/>
      </c>
      <c r="G733" s="137" t="e">
        <f>IF(A733&lt;&gt;"",IF(AND(#REF!="Padrão",$H$4=#REF!),BDI!$B$17,IF(AND(#REF!="Padrão",$H$4=#REF!),BDI!#REF!,IF(AND(#REF!="Diferenciado",$H$4=#REF!),BDI!$E$17,IF(AND(#REF!="Diferenciado",$H$4=#REF!),BDI!#REF!,IF(#REF!="ZERO",0))))),"")</f>
        <v>#REF!</v>
      </c>
      <c r="H733" s="138" t="str">
        <f t="shared" si="34"/>
        <v/>
      </c>
      <c r="I733" s="136" t="str">
        <f t="shared" si="35"/>
        <v/>
      </c>
    </row>
    <row r="734" spans="1:9" hidden="1" x14ac:dyDescent="0.25">
      <c r="A734" s="113" t="s">
        <v>2632</v>
      </c>
      <c r="B734" s="114" t="s">
        <v>2633</v>
      </c>
      <c r="C734" s="115" t="s">
        <v>20</v>
      </c>
      <c r="D734" s="115">
        <v>0</v>
      </c>
      <c r="E734" s="135" t="s">
        <v>568</v>
      </c>
      <c r="F734" s="136" t="str">
        <f t="shared" si="33"/>
        <v/>
      </c>
      <c r="G734" s="137" t="e">
        <f>IF(A734&lt;&gt;"",IF(AND(#REF!="Padrão",$H$4=#REF!),BDI!$B$17,IF(AND(#REF!="Padrão",$H$4=#REF!),BDI!#REF!,IF(AND(#REF!="Diferenciado",$H$4=#REF!),BDI!$E$17,IF(AND(#REF!="Diferenciado",$H$4=#REF!),BDI!#REF!,IF(#REF!="ZERO",0))))),"")</f>
        <v>#REF!</v>
      </c>
      <c r="H734" s="138" t="str">
        <f t="shared" si="34"/>
        <v/>
      </c>
      <c r="I734" s="136" t="str">
        <f t="shared" si="35"/>
        <v/>
      </c>
    </row>
    <row r="735" spans="1:9" hidden="1" x14ac:dyDescent="0.25">
      <c r="A735" s="113" t="s">
        <v>2634</v>
      </c>
      <c r="B735" s="114" t="s">
        <v>2635</v>
      </c>
      <c r="C735" s="115" t="s">
        <v>20</v>
      </c>
      <c r="D735" s="115">
        <v>0</v>
      </c>
      <c r="E735" s="135" t="s">
        <v>568</v>
      </c>
      <c r="F735" s="136" t="str">
        <f t="shared" si="33"/>
        <v/>
      </c>
      <c r="G735" s="137" t="e">
        <f>IF(A735&lt;&gt;"",IF(AND(#REF!="Padrão",$H$4=#REF!),BDI!$B$17,IF(AND(#REF!="Padrão",$H$4=#REF!),BDI!#REF!,IF(AND(#REF!="Diferenciado",$H$4=#REF!),BDI!$E$17,IF(AND(#REF!="Diferenciado",$H$4=#REF!),BDI!#REF!,IF(#REF!="ZERO",0))))),"")</f>
        <v>#REF!</v>
      </c>
      <c r="H735" s="138" t="str">
        <f t="shared" si="34"/>
        <v/>
      </c>
      <c r="I735" s="136" t="str">
        <f t="shared" si="35"/>
        <v/>
      </c>
    </row>
    <row r="736" spans="1:9" hidden="1" x14ac:dyDescent="0.25">
      <c r="A736" s="113" t="s">
        <v>2636</v>
      </c>
      <c r="B736" s="114" t="s">
        <v>2637</v>
      </c>
      <c r="C736" s="115" t="s">
        <v>20</v>
      </c>
      <c r="D736" s="115">
        <v>0</v>
      </c>
      <c r="E736" s="135" t="s">
        <v>568</v>
      </c>
      <c r="F736" s="136" t="str">
        <f t="shared" si="33"/>
        <v/>
      </c>
      <c r="G736" s="137" t="e">
        <f>IF(A736&lt;&gt;"",IF(AND(#REF!="Padrão",$H$4=#REF!),BDI!$B$17,IF(AND(#REF!="Padrão",$H$4=#REF!),BDI!#REF!,IF(AND(#REF!="Diferenciado",$H$4=#REF!),BDI!$E$17,IF(AND(#REF!="Diferenciado",$H$4=#REF!),BDI!#REF!,IF(#REF!="ZERO",0))))),"")</f>
        <v>#REF!</v>
      </c>
      <c r="H736" s="138" t="str">
        <f t="shared" si="34"/>
        <v/>
      </c>
      <c r="I736" s="136" t="str">
        <f t="shared" si="35"/>
        <v/>
      </c>
    </row>
    <row r="737" spans="1:9" hidden="1" x14ac:dyDescent="0.25">
      <c r="A737" s="113" t="s">
        <v>2638</v>
      </c>
      <c r="B737" s="114" t="s">
        <v>2639</v>
      </c>
      <c r="C737" s="115" t="s">
        <v>20</v>
      </c>
      <c r="D737" s="115">
        <v>0</v>
      </c>
      <c r="E737" s="135" t="s">
        <v>568</v>
      </c>
      <c r="F737" s="136" t="str">
        <f t="shared" si="33"/>
        <v/>
      </c>
      <c r="G737" s="137" t="e">
        <f>IF(A737&lt;&gt;"",IF(AND(#REF!="Padrão",$H$4=#REF!),BDI!$B$17,IF(AND(#REF!="Padrão",$H$4=#REF!),BDI!#REF!,IF(AND(#REF!="Diferenciado",$H$4=#REF!),BDI!$E$17,IF(AND(#REF!="Diferenciado",$H$4=#REF!),BDI!#REF!,IF(#REF!="ZERO",0))))),"")</f>
        <v>#REF!</v>
      </c>
      <c r="H737" s="138" t="str">
        <f t="shared" si="34"/>
        <v/>
      </c>
      <c r="I737" s="136" t="str">
        <f t="shared" si="35"/>
        <v/>
      </c>
    </row>
    <row r="738" spans="1:9" hidden="1" x14ac:dyDescent="0.25">
      <c r="A738" s="113" t="s">
        <v>2640</v>
      </c>
      <c r="B738" s="114" t="s">
        <v>2641</v>
      </c>
      <c r="C738" s="115" t="s">
        <v>20</v>
      </c>
      <c r="D738" s="115">
        <v>0</v>
      </c>
      <c r="E738" s="135" t="s">
        <v>568</v>
      </c>
      <c r="F738" s="136" t="str">
        <f t="shared" si="33"/>
        <v/>
      </c>
      <c r="G738" s="137" t="e">
        <f>IF(A738&lt;&gt;"",IF(AND(#REF!="Padrão",$H$4=#REF!),BDI!$B$17,IF(AND(#REF!="Padrão",$H$4=#REF!),BDI!#REF!,IF(AND(#REF!="Diferenciado",$H$4=#REF!),BDI!$E$17,IF(AND(#REF!="Diferenciado",$H$4=#REF!),BDI!#REF!,IF(#REF!="ZERO",0))))),"")</f>
        <v>#REF!</v>
      </c>
      <c r="H738" s="138" t="str">
        <f t="shared" si="34"/>
        <v/>
      </c>
      <c r="I738" s="136" t="str">
        <f t="shared" si="35"/>
        <v/>
      </c>
    </row>
    <row r="739" spans="1:9" hidden="1" x14ac:dyDescent="0.25">
      <c r="A739" s="113" t="s">
        <v>2642</v>
      </c>
      <c r="B739" s="114" t="s">
        <v>2643</v>
      </c>
      <c r="C739" s="115" t="s">
        <v>20</v>
      </c>
      <c r="D739" s="115">
        <v>0</v>
      </c>
      <c r="E739" s="135" t="s">
        <v>568</v>
      </c>
      <c r="F739" s="136" t="str">
        <f t="shared" si="33"/>
        <v/>
      </c>
      <c r="G739" s="137" t="e">
        <f>IF(A739&lt;&gt;"",IF(AND(#REF!="Padrão",$H$4=#REF!),BDI!$B$17,IF(AND(#REF!="Padrão",$H$4=#REF!),BDI!#REF!,IF(AND(#REF!="Diferenciado",$H$4=#REF!),BDI!$E$17,IF(AND(#REF!="Diferenciado",$H$4=#REF!),BDI!#REF!,IF(#REF!="ZERO",0))))),"")</f>
        <v>#REF!</v>
      </c>
      <c r="H739" s="138" t="str">
        <f t="shared" si="34"/>
        <v/>
      </c>
      <c r="I739" s="136" t="str">
        <f t="shared" si="35"/>
        <v/>
      </c>
    </row>
    <row r="740" spans="1:9" hidden="1" x14ac:dyDescent="0.25">
      <c r="A740" s="113" t="s">
        <v>2644</v>
      </c>
      <c r="B740" s="114" t="s">
        <v>2645</v>
      </c>
      <c r="C740" s="115" t="s">
        <v>20</v>
      </c>
      <c r="D740" s="115">
        <v>0</v>
      </c>
      <c r="E740" s="135" t="s">
        <v>568</v>
      </c>
      <c r="F740" s="136" t="str">
        <f t="shared" si="33"/>
        <v/>
      </c>
      <c r="G740" s="137" t="e">
        <f>IF(A740&lt;&gt;"",IF(AND(#REF!="Padrão",$H$4=#REF!),BDI!$B$17,IF(AND(#REF!="Padrão",$H$4=#REF!),BDI!#REF!,IF(AND(#REF!="Diferenciado",$H$4=#REF!),BDI!$E$17,IF(AND(#REF!="Diferenciado",$H$4=#REF!),BDI!#REF!,IF(#REF!="ZERO",0))))),"")</f>
        <v>#REF!</v>
      </c>
      <c r="H740" s="138" t="str">
        <f t="shared" si="34"/>
        <v/>
      </c>
      <c r="I740" s="136" t="str">
        <f t="shared" si="35"/>
        <v/>
      </c>
    </row>
    <row r="741" spans="1:9" hidden="1" x14ac:dyDescent="0.25">
      <c r="A741" s="113" t="s">
        <v>2646</v>
      </c>
      <c r="B741" s="114" t="s">
        <v>2647</v>
      </c>
      <c r="C741" s="115" t="s">
        <v>20</v>
      </c>
      <c r="D741" s="115">
        <v>0</v>
      </c>
      <c r="E741" s="135" t="s">
        <v>568</v>
      </c>
      <c r="F741" s="136" t="str">
        <f t="shared" si="33"/>
        <v/>
      </c>
      <c r="G741" s="137" t="e">
        <f>IF(A741&lt;&gt;"",IF(AND(#REF!="Padrão",$H$4=#REF!),BDI!$B$17,IF(AND(#REF!="Padrão",$H$4=#REF!),BDI!#REF!,IF(AND(#REF!="Diferenciado",$H$4=#REF!),BDI!$E$17,IF(AND(#REF!="Diferenciado",$H$4=#REF!),BDI!#REF!,IF(#REF!="ZERO",0))))),"")</f>
        <v>#REF!</v>
      </c>
      <c r="H741" s="138" t="str">
        <f t="shared" si="34"/>
        <v/>
      </c>
      <c r="I741" s="136" t="str">
        <f t="shared" si="35"/>
        <v/>
      </c>
    </row>
    <row r="742" spans="1:9" hidden="1" x14ac:dyDescent="0.25">
      <c r="A742" s="113" t="s">
        <v>2648</v>
      </c>
      <c r="B742" s="114" t="s">
        <v>2649</v>
      </c>
      <c r="C742" s="115" t="s">
        <v>20</v>
      </c>
      <c r="D742" s="115">
        <v>0</v>
      </c>
      <c r="E742" s="135" t="s">
        <v>568</v>
      </c>
      <c r="F742" s="136" t="str">
        <f t="shared" si="33"/>
        <v/>
      </c>
      <c r="G742" s="137" t="e">
        <f>IF(A742&lt;&gt;"",IF(AND(#REF!="Padrão",$H$4=#REF!),BDI!$B$17,IF(AND(#REF!="Padrão",$H$4=#REF!),BDI!#REF!,IF(AND(#REF!="Diferenciado",$H$4=#REF!),BDI!$E$17,IF(AND(#REF!="Diferenciado",$H$4=#REF!),BDI!#REF!,IF(#REF!="ZERO",0))))),"")</f>
        <v>#REF!</v>
      </c>
      <c r="H742" s="138" t="str">
        <f t="shared" si="34"/>
        <v/>
      </c>
      <c r="I742" s="136" t="str">
        <f t="shared" si="35"/>
        <v/>
      </c>
    </row>
    <row r="743" spans="1:9" hidden="1" x14ac:dyDescent="0.25">
      <c r="A743" s="113" t="s">
        <v>2650</v>
      </c>
      <c r="B743" s="114" t="s">
        <v>2651</v>
      </c>
      <c r="C743" s="115" t="s">
        <v>20</v>
      </c>
      <c r="D743" s="115">
        <v>0</v>
      </c>
      <c r="E743" s="135" t="s">
        <v>568</v>
      </c>
      <c r="F743" s="136" t="str">
        <f t="shared" si="33"/>
        <v/>
      </c>
      <c r="G743" s="137" t="e">
        <f>IF(A743&lt;&gt;"",IF(AND(#REF!="Padrão",$H$4=#REF!),BDI!$B$17,IF(AND(#REF!="Padrão",$H$4=#REF!),BDI!#REF!,IF(AND(#REF!="Diferenciado",$H$4=#REF!),BDI!$E$17,IF(AND(#REF!="Diferenciado",$H$4=#REF!),BDI!#REF!,IF(#REF!="ZERO",0))))),"")</f>
        <v>#REF!</v>
      </c>
      <c r="H743" s="138" t="str">
        <f t="shared" si="34"/>
        <v/>
      </c>
      <c r="I743" s="136" t="str">
        <f t="shared" si="35"/>
        <v/>
      </c>
    </row>
    <row r="744" spans="1:9" hidden="1" x14ac:dyDescent="0.25">
      <c r="A744" s="113" t="s">
        <v>2652</v>
      </c>
      <c r="B744" s="114" t="s">
        <v>2653</v>
      </c>
      <c r="C744" s="115" t="s">
        <v>20</v>
      </c>
      <c r="D744" s="115">
        <v>0</v>
      </c>
      <c r="E744" s="135" t="s">
        <v>568</v>
      </c>
      <c r="F744" s="136" t="str">
        <f t="shared" si="33"/>
        <v/>
      </c>
      <c r="G744" s="137" t="e">
        <f>IF(A744&lt;&gt;"",IF(AND(#REF!="Padrão",$H$4=#REF!),BDI!$B$17,IF(AND(#REF!="Padrão",$H$4=#REF!),BDI!#REF!,IF(AND(#REF!="Diferenciado",$H$4=#REF!),BDI!$E$17,IF(AND(#REF!="Diferenciado",$H$4=#REF!),BDI!#REF!,IF(#REF!="ZERO",0))))),"")</f>
        <v>#REF!</v>
      </c>
      <c r="H744" s="138" t="str">
        <f t="shared" si="34"/>
        <v/>
      </c>
      <c r="I744" s="136" t="str">
        <f t="shared" si="35"/>
        <v/>
      </c>
    </row>
    <row r="745" spans="1:9" hidden="1" x14ac:dyDescent="0.25">
      <c r="A745" s="113" t="s">
        <v>2654</v>
      </c>
      <c r="B745" s="114" t="s">
        <v>2655</v>
      </c>
      <c r="C745" s="115" t="s">
        <v>20</v>
      </c>
      <c r="D745" s="115">
        <v>0</v>
      </c>
      <c r="E745" s="135" t="s">
        <v>568</v>
      </c>
      <c r="F745" s="136" t="str">
        <f t="shared" si="33"/>
        <v/>
      </c>
      <c r="G745" s="137" t="e">
        <f>IF(A745&lt;&gt;"",IF(AND(#REF!="Padrão",$H$4=#REF!),BDI!$B$17,IF(AND(#REF!="Padrão",$H$4=#REF!),BDI!#REF!,IF(AND(#REF!="Diferenciado",$H$4=#REF!),BDI!$E$17,IF(AND(#REF!="Diferenciado",$H$4=#REF!),BDI!#REF!,IF(#REF!="ZERO",0))))),"")</f>
        <v>#REF!</v>
      </c>
      <c r="H745" s="138" t="str">
        <f t="shared" si="34"/>
        <v/>
      </c>
      <c r="I745" s="136" t="str">
        <f t="shared" si="35"/>
        <v/>
      </c>
    </row>
    <row r="746" spans="1:9" hidden="1" x14ac:dyDescent="0.25">
      <c r="A746" s="113" t="s">
        <v>2656</v>
      </c>
      <c r="B746" s="114" t="s">
        <v>2657</v>
      </c>
      <c r="C746" s="115" t="s">
        <v>20</v>
      </c>
      <c r="D746" s="115">
        <v>0</v>
      </c>
      <c r="E746" s="135" t="s">
        <v>568</v>
      </c>
      <c r="F746" s="136" t="str">
        <f t="shared" si="33"/>
        <v/>
      </c>
      <c r="G746" s="137" t="e">
        <f>IF(A746&lt;&gt;"",IF(AND(#REF!="Padrão",$H$4=#REF!),BDI!$B$17,IF(AND(#REF!="Padrão",$H$4=#REF!),BDI!#REF!,IF(AND(#REF!="Diferenciado",$H$4=#REF!),BDI!$E$17,IF(AND(#REF!="Diferenciado",$H$4=#REF!),BDI!#REF!,IF(#REF!="ZERO",0))))),"")</f>
        <v>#REF!</v>
      </c>
      <c r="H746" s="138" t="str">
        <f t="shared" si="34"/>
        <v/>
      </c>
      <c r="I746" s="136" t="str">
        <f t="shared" si="35"/>
        <v/>
      </c>
    </row>
    <row r="747" spans="1:9" hidden="1" x14ac:dyDescent="0.25">
      <c r="A747" s="113" t="s">
        <v>2658</v>
      </c>
      <c r="B747" s="114" t="s">
        <v>2659</v>
      </c>
      <c r="C747" s="115" t="s">
        <v>20</v>
      </c>
      <c r="D747" s="115">
        <v>0</v>
      </c>
      <c r="E747" s="135" t="s">
        <v>568</v>
      </c>
      <c r="F747" s="136" t="str">
        <f t="shared" si="33"/>
        <v/>
      </c>
      <c r="G747" s="137" t="e">
        <f>IF(A747&lt;&gt;"",IF(AND(#REF!="Padrão",$H$4=#REF!),BDI!$B$17,IF(AND(#REF!="Padrão",$H$4=#REF!),BDI!#REF!,IF(AND(#REF!="Diferenciado",$H$4=#REF!),BDI!$E$17,IF(AND(#REF!="Diferenciado",$H$4=#REF!),BDI!#REF!,IF(#REF!="ZERO",0))))),"")</f>
        <v>#REF!</v>
      </c>
      <c r="H747" s="138" t="str">
        <f t="shared" si="34"/>
        <v/>
      </c>
      <c r="I747" s="136" t="str">
        <f t="shared" si="35"/>
        <v/>
      </c>
    </row>
    <row r="748" spans="1:9" hidden="1" x14ac:dyDescent="0.25">
      <c r="A748" s="113" t="s">
        <v>2660</v>
      </c>
      <c r="B748" s="114" t="s">
        <v>2661</v>
      </c>
      <c r="C748" s="115" t="s">
        <v>20</v>
      </c>
      <c r="D748" s="115">
        <v>0</v>
      </c>
      <c r="E748" s="135" t="s">
        <v>568</v>
      </c>
      <c r="F748" s="136" t="str">
        <f t="shared" si="33"/>
        <v/>
      </c>
      <c r="G748" s="137" t="e">
        <f>IF(A748&lt;&gt;"",IF(AND(#REF!="Padrão",$H$4=#REF!),BDI!$B$17,IF(AND(#REF!="Padrão",$H$4=#REF!),BDI!#REF!,IF(AND(#REF!="Diferenciado",$H$4=#REF!),BDI!$E$17,IF(AND(#REF!="Diferenciado",$H$4=#REF!),BDI!#REF!,IF(#REF!="ZERO",0))))),"")</f>
        <v>#REF!</v>
      </c>
      <c r="H748" s="138" t="str">
        <f t="shared" si="34"/>
        <v/>
      </c>
      <c r="I748" s="136" t="str">
        <f t="shared" si="35"/>
        <v/>
      </c>
    </row>
    <row r="749" spans="1:9" hidden="1" x14ac:dyDescent="0.25">
      <c r="A749" s="113" t="s">
        <v>2662</v>
      </c>
      <c r="B749" s="114" t="s">
        <v>2663</v>
      </c>
      <c r="C749" s="115" t="s">
        <v>20</v>
      </c>
      <c r="D749" s="115">
        <v>0</v>
      </c>
      <c r="E749" s="135" t="s">
        <v>568</v>
      </c>
      <c r="F749" s="136" t="str">
        <f t="shared" si="33"/>
        <v/>
      </c>
      <c r="G749" s="137" t="e">
        <f>IF(A749&lt;&gt;"",IF(AND(#REF!="Padrão",$H$4=#REF!),BDI!$B$17,IF(AND(#REF!="Padrão",$H$4=#REF!),BDI!#REF!,IF(AND(#REF!="Diferenciado",$H$4=#REF!),BDI!$E$17,IF(AND(#REF!="Diferenciado",$H$4=#REF!),BDI!#REF!,IF(#REF!="ZERO",0))))),"")</f>
        <v>#REF!</v>
      </c>
      <c r="H749" s="138" t="str">
        <f t="shared" si="34"/>
        <v/>
      </c>
      <c r="I749" s="136" t="str">
        <f t="shared" si="35"/>
        <v/>
      </c>
    </row>
    <row r="750" spans="1:9" hidden="1" x14ac:dyDescent="0.25">
      <c r="A750" s="113" t="s">
        <v>2664</v>
      </c>
      <c r="B750" s="114" t="s">
        <v>2665</v>
      </c>
      <c r="C750" s="115" t="s">
        <v>20</v>
      </c>
      <c r="D750" s="115">
        <v>0</v>
      </c>
      <c r="E750" s="135" t="s">
        <v>568</v>
      </c>
      <c r="F750" s="136" t="str">
        <f t="shared" si="33"/>
        <v/>
      </c>
      <c r="G750" s="137" t="e">
        <f>IF(A750&lt;&gt;"",IF(AND(#REF!="Padrão",$H$4=#REF!),BDI!$B$17,IF(AND(#REF!="Padrão",$H$4=#REF!),BDI!#REF!,IF(AND(#REF!="Diferenciado",$H$4=#REF!),BDI!$E$17,IF(AND(#REF!="Diferenciado",$H$4=#REF!),BDI!#REF!,IF(#REF!="ZERO",0))))),"")</f>
        <v>#REF!</v>
      </c>
      <c r="H750" s="138" t="str">
        <f t="shared" si="34"/>
        <v/>
      </c>
      <c r="I750" s="136" t="str">
        <f t="shared" si="35"/>
        <v/>
      </c>
    </row>
    <row r="751" spans="1:9" hidden="1" x14ac:dyDescent="0.25">
      <c r="A751" s="113" t="s">
        <v>2666</v>
      </c>
      <c r="B751" s="114" t="s">
        <v>2667</v>
      </c>
      <c r="C751" s="115" t="s">
        <v>20</v>
      </c>
      <c r="D751" s="115">
        <v>0</v>
      </c>
      <c r="E751" s="135" t="s">
        <v>568</v>
      </c>
      <c r="F751" s="136" t="str">
        <f t="shared" si="33"/>
        <v/>
      </c>
      <c r="G751" s="137" t="e">
        <f>IF(A751&lt;&gt;"",IF(AND(#REF!="Padrão",$H$4=#REF!),BDI!$B$17,IF(AND(#REF!="Padrão",$H$4=#REF!),BDI!#REF!,IF(AND(#REF!="Diferenciado",$H$4=#REF!),BDI!$E$17,IF(AND(#REF!="Diferenciado",$H$4=#REF!),BDI!#REF!,IF(#REF!="ZERO",0))))),"")</f>
        <v>#REF!</v>
      </c>
      <c r="H751" s="138" t="str">
        <f t="shared" si="34"/>
        <v/>
      </c>
      <c r="I751" s="136" t="str">
        <f t="shared" si="35"/>
        <v/>
      </c>
    </row>
    <row r="752" spans="1:9" hidden="1" x14ac:dyDescent="0.25">
      <c r="A752" s="113" t="s">
        <v>2668</v>
      </c>
      <c r="B752" s="114" t="s">
        <v>2669</v>
      </c>
      <c r="C752" s="115" t="s">
        <v>20</v>
      </c>
      <c r="D752" s="115">
        <v>0</v>
      </c>
      <c r="E752" s="135" t="s">
        <v>568</v>
      </c>
      <c r="F752" s="136" t="str">
        <f t="shared" si="33"/>
        <v/>
      </c>
      <c r="G752" s="137" t="e">
        <f>IF(A752&lt;&gt;"",IF(AND(#REF!="Padrão",$H$4=#REF!),BDI!$B$17,IF(AND(#REF!="Padrão",$H$4=#REF!),BDI!#REF!,IF(AND(#REF!="Diferenciado",$H$4=#REF!),BDI!$E$17,IF(AND(#REF!="Diferenciado",$H$4=#REF!),BDI!#REF!,IF(#REF!="ZERO",0))))),"")</f>
        <v>#REF!</v>
      </c>
      <c r="H752" s="138" t="str">
        <f t="shared" si="34"/>
        <v/>
      </c>
      <c r="I752" s="136" t="str">
        <f t="shared" si="35"/>
        <v/>
      </c>
    </row>
    <row r="753" spans="1:9" hidden="1" x14ac:dyDescent="0.25">
      <c r="A753" s="113" t="s">
        <v>2670</v>
      </c>
      <c r="B753" s="114" t="s">
        <v>2671</v>
      </c>
      <c r="C753" s="115" t="s">
        <v>20</v>
      </c>
      <c r="D753" s="115">
        <v>0</v>
      </c>
      <c r="E753" s="135" t="s">
        <v>568</v>
      </c>
      <c r="F753" s="136" t="str">
        <f t="shared" si="33"/>
        <v/>
      </c>
      <c r="G753" s="137" t="e">
        <f>IF(A753&lt;&gt;"",IF(AND(#REF!="Padrão",$H$4=#REF!),BDI!$B$17,IF(AND(#REF!="Padrão",$H$4=#REF!),BDI!#REF!,IF(AND(#REF!="Diferenciado",$H$4=#REF!),BDI!$E$17,IF(AND(#REF!="Diferenciado",$H$4=#REF!),BDI!#REF!,IF(#REF!="ZERO",0))))),"")</f>
        <v>#REF!</v>
      </c>
      <c r="H753" s="138" t="str">
        <f t="shared" si="34"/>
        <v/>
      </c>
      <c r="I753" s="136" t="str">
        <f t="shared" si="35"/>
        <v/>
      </c>
    </row>
    <row r="754" spans="1:9" hidden="1" x14ac:dyDescent="0.25">
      <c r="A754" s="113" t="s">
        <v>2672</v>
      </c>
      <c r="B754" s="114" t="s">
        <v>2673</v>
      </c>
      <c r="C754" s="115" t="s">
        <v>20</v>
      </c>
      <c r="D754" s="115">
        <v>0</v>
      </c>
      <c r="E754" s="135" t="s">
        <v>568</v>
      </c>
      <c r="F754" s="136" t="str">
        <f t="shared" si="33"/>
        <v/>
      </c>
      <c r="G754" s="137" t="e">
        <f>IF(A754&lt;&gt;"",IF(AND(#REF!="Padrão",$H$4=#REF!),BDI!$B$17,IF(AND(#REF!="Padrão",$H$4=#REF!),BDI!#REF!,IF(AND(#REF!="Diferenciado",$H$4=#REF!),BDI!$E$17,IF(AND(#REF!="Diferenciado",$H$4=#REF!),BDI!#REF!,IF(#REF!="ZERO",0))))),"")</f>
        <v>#REF!</v>
      </c>
      <c r="H754" s="138" t="str">
        <f t="shared" si="34"/>
        <v/>
      </c>
      <c r="I754" s="136" t="str">
        <f t="shared" si="35"/>
        <v/>
      </c>
    </row>
    <row r="755" spans="1:9" hidden="1" x14ac:dyDescent="0.25">
      <c r="A755" s="113" t="s">
        <v>2674</v>
      </c>
      <c r="B755" s="114" t="s">
        <v>2675</v>
      </c>
      <c r="C755" s="115" t="s">
        <v>20</v>
      </c>
      <c r="D755" s="115">
        <v>0</v>
      </c>
      <c r="E755" s="135" t="s">
        <v>568</v>
      </c>
      <c r="F755" s="136" t="str">
        <f t="shared" si="33"/>
        <v/>
      </c>
      <c r="G755" s="137" t="e">
        <f>IF(A755&lt;&gt;"",IF(AND(#REF!="Padrão",$H$4=#REF!),BDI!$B$17,IF(AND(#REF!="Padrão",$H$4=#REF!),BDI!#REF!,IF(AND(#REF!="Diferenciado",$H$4=#REF!),BDI!$E$17,IF(AND(#REF!="Diferenciado",$H$4=#REF!),BDI!#REF!,IF(#REF!="ZERO",0))))),"")</f>
        <v>#REF!</v>
      </c>
      <c r="H755" s="138" t="str">
        <f t="shared" si="34"/>
        <v/>
      </c>
      <c r="I755" s="136" t="str">
        <f t="shared" si="35"/>
        <v/>
      </c>
    </row>
    <row r="756" spans="1:9" hidden="1" x14ac:dyDescent="0.25">
      <c r="A756" s="113" t="s">
        <v>2676</v>
      </c>
      <c r="B756" s="114" t="s">
        <v>2677</v>
      </c>
      <c r="C756" s="115" t="s">
        <v>20</v>
      </c>
      <c r="D756" s="115">
        <v>0</v>
      </c>
      <c r="E756" s="135" t="s">
        <v>568</v>
      </c>
      <c r="F756" s="136" t="str">
        <f t="shared" si="33"/>
        <v/>
      </c>
      <c r="G756" s="137" t="e">
        <f>IF(A756&lt;&gt;"",IF(AND(#REF!="Padrão",$H$4=#REF!),BDI!$B$17,IF(AND(#REF!="Padrão",$H$4=#REF!),BDI!#REF!,IF(AND(#REF!="Diferenciado",$H$4=#REF!),BDI!$E$17,IF(AND(#REF!="Diferenciado",$H$4=#REF!),BDI!#REF!,IF(#REF!="ZERO",0))))),"")</f>
        <v>#REF!</v>
      </c>
      <c r="H756" s="138" t="str">
        <f t="shared" si="34"/>
        <v/>
      </c>
      <c r="I756" s="136" t="str">
        <f t="shared" si="35"/>
        <v/>
      </c>
    </row>
    <row r="757" spans="1:9" hidden="1" x14ac:dyDescent="0.25">
      <c r="A757" s="113" t="s">
        <v>2678</v>
      </c>
      <c r="B757" s="114" t="s">
        <v>2679</v>
      </c>
      <c r="C757" s="115" t="s">
        <v>20</v>
      </c>
      <c r="D757" s="115">
        <v>0</v>
      </c>
      <c r="E757" s="135" t="s">
        <v>568</v>
      </c>
      <c r="F757" s="136" t="str">
        <f t="shared" si="33"/>
        <v/>
      </c>
      <c r="G757" s="137" t="e">
        <f>IF(A757&lt;&gt;"",IF(AND(#REF!="Padrão",$H$4=#REF!),BDI!$B$17,IF(AND(#REF!="Padrão",$H$4=#REF!),BDI!#REF!,IF(AND(#REF!="Diferenciado",$H$4=#REF!),BDI!$E$17,IF(AND(#REF!="Diferenciado",$H$4=#REF!),BDI!#REF!,IF(#REF!="ZERO",0))))),"")</f>
        <v>#REF!</v>
      </c>
      <c r="H757" s="138" t="str">
        <f t="shared" si="34"/>
        <v/>
      </c>
      <c r="I757" s="136" t="str">
        <f t="shared" si="35"/>
        <v/>
      </c>
    </row>
    <row r="758" spans="1:9" hidden="1" x14ac:dyDescent="0.25">
      <c r="A758" s="113" t="s">
        <v>2680</v>
      </c>
      <c r="B758" s="114" t="s">
        <v>2681</v>
      </c>
      <c r="C758" s="115" t="s">
        <v>20</v>
      </c>
      <c r="D758" s="115">
        <v>0</v>
      </c>
      <c r="E758" s="135" t="s">
        <v>568</v>
      </c>
      <c r="F758" s="136" t="str">
        <f t="shared" si="33"/>
        <v/>
      </c>
      <c r="G758" s="137" t="e">
        <f>IF(A758&lt;&gt;"",IF(AND(#REF!="Padrão",$H$4=#REF!),BDI!$B$17,IF(AND(#REF!="Padrão",$H$4=#REF!),BDI!#REF!,IF(AND(#REF!="Diferenciado",$H$4=#REF!),BDI!$E$17,IF(AND(#REF!="Diferenciado",$H$4=#REF!),BDI!#REF!,IF(#REF!="ZERO",0))))),"")</f>
        <v>#REF!</v>
      </c>
      <c r="H758" s="138" t="str">
        <f t="shared" si="34"/>
        <v/>
      </c>
      <c r="I758" s="136" t="str">
        <f t="shared" si="35"/>
        <v/>
      </c>
    </row>
    <row r="759" spans="1:9" hidden="1" x14ac:dyDescent="0.25">
      <c r="A759" s="113" t="s">
        <v>2682</v>
      </c>
      <c r="B759" s="114" t="s">
        <v>2683</v>
      </c>
      <c r="C759" s="115" t="s">
        <v>20</v>
      </c>
      <c r="D759" s="115">
        <v>0</v>
      </c>
      <c r="E759" s="135" t="s">
        <v>568</v>
      </c>
      <c r="F759" s="136" t="str">
        <f t="shared" si="33"/>
        <v/>
      </c>
      <c r="G759" s="137" t="e">
        <f>IF(A759&lt;&gt;"",IF(AND(#REF!="Padrão",$H$4=#REF!),BDI!$B$17,IF(AND(#REF!="Padrão",$H$4=#REF!),BDI!#REF!,IF(AND(#REF!="Diferenciado",$H$4=#REF!),BDI!$E$17,IF(AND(#REF!="Diferenciado",$H$4=#REF!),BDI!#REF!,IF(#REF!="ZERO",0))))),"")</f>
        <v>#REF!</v>
      </c>
      <c r="H759" s="138" t="str">
        <f t="shared" si="34"/>
        <v/>
      </c>
      <c r="I759" s="136" t="str">
        <f t="shared" si="35"/>
        <v/>
      </c>
    </row>
    <row r="760" spans="1:9" hidden="1" x14ac:dyDescent="0.25">
      <c r="A760" s="113" t="s">
        <v>2684</v>
      </c>
      <c r="B760" s="114" t="s">
        <v>2685</v>
      </c>
      <c r="C760" s="115" t="s">
        <v>20</v>
      </c>
      <c r="D760" s="115">
        <v>0</v>
      </c>
      <c r="E760" s="135" t="s">
        <v>568</v>
      </c>
      <c r="F760" s="136" t="str">
        <f t="shared" si="33"/>
        <v/>
      </c>
      <c r="G760" s="137" t="e">
        <f>IF(A760&lt;&gt;"",IF(AND(#REF!="Padrão",$H$4=#REF!),BDI!$B$17,IF(AND(#REF!="Padrão",$H$4=#REF!),BDI!#REF!,IF(AND(#REF!="Diferenciado",$H$4=#REF!),BDI!$E$17,IF(AND(#REF!="Diferenciado",$H$4=#REF!),BDI!#REF!,IF(#REF!="ZERO",0))))),"")</f>
        <v>#REF!</v>
      </c>
      <c r="H760" s="138" t="str">
        <f t="shared" si="34"/>
        <v/>
      </c>
      <c r="I760" s="136" t="str">
        <f t="shared" si="35"/>
        <v/>
      </c>
    </row>
    <row r="761" spans="1:9" hidden="1" x14ac:dyDescent="0.25">
      <c r="A761" s="113" t="s">
        <v>2686</v>
      </c>
      <c r="B761" s="114" t="s">
        <v>2687</v>
      </c>
      <c r="C761" s="115" t="s">
        <v>20</v>
      </c>
      <c r="D761" s="115">
        <v>0</v>
      </c>
      <c r="E761" s="135" t="s">
        <v>568</v>
      </c>
      <c r="F761" s="136" t="str">
        <f t="shared" si="33"/>
        <v/>
      </c>
      <c r="G761" s="137" t="e">
        <f>IF(A761&lt;&gt;"",IF(AND(#REF!="Padrão",$H$4=#REF!),BDI!$B$17,IF(AND(#REF!="Padrão",$H$4=#REF!),BDI!#REF!,IF(AND(#REF!="Diferenciado",$H$4=#REF!),BDI!$E$17,IF(AND(#REF!="Diferenciado",$H$4=#REF!),BDI!#REF!,IF(#REF!="ZERO",0))))),"")</f>
        <v>#REF!</v>
      </c>
      <c r="H761" s="138" t="str">
        <f t="shared" si="34"/>
        <v/>
      </c>
      <c r="I761" s="136" t="str">
        <f t="shared" si="35"/>
        <v/>
      </c>
    </row>
    <row r="762" spans="1:9" hidden="1" x14ac:dyDescent="0.25">
      <c r="A762" s="113" t="s">
        <v>2688</v>
      </c>
      <c r="B762" s="114" t="s">
        <v>2689</v>
      </c>
      <c r="C762" s="115" t="s">
        <v>20</v>
      </c>
      <c r="D762" s="115">
        <v>0</v>
      </c>
      <c r="E762" s="135" t="s">
        <v>568</v>
      </c>
      <c r="F762" s="136" t="str">
        <f t="shared" si="33"/>
        <v/>
      </c>
      <c r="G762" s="137" t="e">
        <f>IF(A762&lt;&gt;"",IF(AND(#REF!="Padrão",$H$4=#REF!),BDI!$B$17,IF(AND(#REF!="Padrão",$H$4=#REF!),BDI!#REF!,IF(AND(#REF!="Diferenciado",$H$4=#REF!),BDI!$E$17,IF(AND(#REF!="Diferenciado",$H$4=#REF!),BDI!#REF!,IF(#REF!="ZERO",0))))),"")</f>
        <v>#REF!</v>
      </c>
      <c r="H762" s="138" t="str">
        <f t="shared" si="34"/>
        <v/>
      </c>
      <c r="I762" s="136" t="str">
        <f t="shared" si="35"/>
        <v/>
      </c>
    </row>
    <row r="763" spans="1:9" hidden="1" x14ac:dyDescent="0.25">
      <c r="A763" s="113" t="s">
        <v>2690</v>
      </c>
      <c r="B763" s="114" t="s">
        <v>2691</v>
      </c>
      <c r="C763" s="115" t="s">
        <v>20</v>
      </c>
      <c r="D763" s="115">
        <v>0</v>
      </c>
      <c r="E763" s="135" t="s">
        <v>568</v>
      </c>
      <c r="F763" s="136" t="str">
        <f t="shared" si="33"/>
        <v/>
      </c>
      <c r="G763" s="137" t="e">
        <f>IF(A763&lt;&gt;"",IF(AND(#REF!="Padrão",$H$4=#REF!),BDI!$B$17,IF(AND(#REF!="Padrão",$H$4=#REF!),BDI!#REF!,IF(AND(#REF!="Diferenciado",$H$4=#REF!),BDI!$E$17,IF(AND(#REF!="Diferenciado",$H$4=#REF!),BDI!#REF!,IF(#REF!="ZERO",0))))),"")</f>
        <v>#REF!</v>
      </c>
      <c r="H763" s="138" t="str">
        <f t="shared" si="34"/>
        <v/>
      </c>
      <c r="I763" s="136" t="str">
        <f t="shared" si="35"/>
        <v/>
      </c>
    </row>
    <row r="764" spans="1:9" hidden="1" x14ac:dyDescent="0.25">
      <c r="A764" s="113" t="s">
        <v>2692</v>
      </c>
      <c r="B764" s="114" t="s">
        <v>2693</v>
      </c>
      <c r="C764" s="115" t="s">
        <v>20</v>
      </c>
      <c r="D764" s="115">
        <v>0</v>
      </c>
      <c r="E764" s="135" t="s">
        <v>568</v>
      </c>
      <c r="F764" s="136" t="str">
        <f t="shared" si="33"/>
        <v/>
      </c>
      <c r="G764" s="137" t="e">
        <f>IF(A764&lt;&gt;"",IF(AND(#REF!="Padrão",$H$4=#REF!),BDI!$B$17,IF(AND(#REF!="Padrão",$H$4=#REF!),BDI!#REF!,IF(AND(#REF!="Diferenciado",$H$4=#REF!),BDI!$E$17,IF(AND(#REF!="Diferenciado",$H$4=#REF!),BDI!#REF!,IF(#REF!="ZERO",0))))),"")</f>
        <v>#REF!</v>
      </c>
      <c r="H764" s="138" t="str">
        <f t="shared" si="34"/>
        <v/>
      </c>
      <c r="I764" s="136" t="str">
        <f t="shared" si="35"/>
        <v/>
      </c>
    </row>
    <row r="765" spans="1:9" hidden="1" x14ac:dyDescent="0.25">
      <c r="A765" s="113" t="s">
        <v>2694</v>
      </c>
      <c r="B765" s="114" t="s">
        <v>2695</v>
      </c>
      <c r="C765" s="115" t="s">
        <v>20</v>
      </c>
      <c r="D765" s="115">
        <v>0</v>
      </c>
      <c r="E765" s="135" t="s">
        <v>568</v>
      </c>
      <c r="F765" s="136" t="str">
        <f t="shared" si="33"/>
        <v/>
      </c>
      <c r="G765" s="137" t="e">
        <f>IF(A765&lt;&gt;"",IF(AND(#REF!="Padrão",$H$4=#REF!),BDI!$B$17,IF(AND(#REF!="Padrão",$H$4=#REF!),BDI!#REF!,IF(AND(#REF!="Diferenciado",$H$4=#REF!),BDI!$E$17,IF(AND(#REF!="Diferenciado",$H$4=#REF!),BDI!#REF!,IF(#REF!="ZERO",0))))),"")</f>
        <v>#REF!</v>
      </c>
      <c r="H765" s="138" t="str">
        <f t="shared" si="34"/>
        <v/>
      </c>
      <c r="I765" s="136" t="str">
        <f t="shared" si="35"/>
        <v/>
      </c>
    </row>
    <row r="766" spans="1:9" hidden="1" x14ac:dyDescent="0.25">
      <c r="A766" s="113" t="s">
        <v>2696</v>
      </c>
      <c r="B766" s="114" t="s">
        <v>2697</v>
      </c>
      <c r="C766" s="115" t="s">
        <v>20</v>
      </c>
      <c r="D766" s="115">
        <v>0</v>
      </c>
      <c r="E766" s="135" t="s">
        <v>568</v>
      </c>
      <c r="F766" s="136" t="str">
        <f t="shared" si="33"/>
        <v/>
      </c>
      <c r="G766" s="137" t="e">
        <f>IF(A766&lt;&gt;"",IF(AND(#REF!="Padrão",$H$4=#REF!),BDI!$B$17,IF(AND(#REF!="Padrão",$H$4=#REF!),BDI!#REF!,IF(AND(#REF!="Diferenciado",$H$4=#REF!),BDI!$E$17,IF(AND(#REF!="Diferenciado",$H$4=#REF!),BDI!#REF!,IF(#REF!="ZERO",0))))),"")</f>
        <v>#REF!</v>
      </c>
      <c r="H766" s="138" t="str">
        <f t="shared" si="34"/>
        <v/>
      </c>
      <c r="I766" s="136" t="str">
        <f t="shared" si="35"/>
        <v/>
      </c>
    </row>
    <row r="767" spans="1:9" hidden="1" x14ac:dyDescent="0.25">
      <c r="A767" s="113" t="s">
        <v>2698</v>
      </c>
      <c r="B767" s="114" t="s">
        <v>2699</v>
      </c>
      <c r="C767" s="115" t="s">
        <v>20</v>
      </c>
      <c r="D767" s="115">
        <v>0</v>
      </c>
      <c r="E767" s="135" t="s">
        <v>568</v>
      </c>
      <c r="F767" s="136" t="str">
        <f t="shared" si="33"/>
        <v/>
      </c>
      <c r="G767" s="137" t="e">
        <f>IF(A767&lt;&gt;"",IF(AND(#REF!="Padrão",$H$4=#REF!),BDI!$B$17,IF(AND(#REF!="Padrão",$H$4=#REF!),BDI!#REF!,IF(AND(#REF!="Diferenciado",$H$4=#REF!),BDI!$E$17,IF(AND(#REF!="Diferenciado",$H$4=#REF!),BDI!#REF!,IF(#REF!="ZERO",0))))),"")</f>
        <v>#REF!</v>
      </c>
      <c r="H767" s="138" t="str">
        <f t="shared" si="34"/>
        <v/>
      </c>
      <c r="I767" s="136" t="str">
        <f t="shared" si="35"/>
        <v/>
      </c>
    </row>
    <row r="768" spans="1:9" hidden="1" x14ac:dyDescent="0.25">
      <c r="A768" s="113" t="s">
        <v>2700</v>
      </c>
      <c r="B768" s="114" t="s">
        <v>2701</v>
      </c>
      <c r="C768" s="115" t="s">
        <v>20</v>
      </c>
      <c r="D768" s="115">
        <v>0</v>
      </c>
      <c r="E768" s="135" t="s">
        <v>568</v>
      </c>
      <c r="F768" s="136" t="str">
        <f t="shared" si="33"/>
        <v/>
      </c>
      <c r="G768" s="137" t="e">
        <f>IF(A768&lt;&gt;"",IF(AND(#REF!="Padrão",$H$4=#REF!),BDI!$B$17,IF(AND(#REF!="Padrão",$H$4=#REF!),BDI!#REF!,IF(AND(#REF!="Diferenciado",$H$4=#REF!),BDI!$E$17,IF(AND(#REF!="Diferenciado",$H$4=#REF!),BDI!#REF!,IF(#REF!="ZERO",0))))),"")</f>
        <v>#REF!</v>
      </c>
      <c r="H768" s="138" t="str">
        <f t="shared" si="34"/>
        <v/>
      </c>
      <c r="I768" s="136" t="str">
        <f t="shared" si="35"/>
        <v/>
      </c>
    </row>
    <row r="769" spans="1:9" hidden="1" x14ac:dyDescent="0.25">
      <c r="A769" s="113" t="s">
        <v>2702</v>
      </c>
      <c r="B769" s="114" t="s">
        <v>2703</v>
      </c>
      <c r="C769" s="115" t="s">
        <v>20</v>
      </c>
      <c r="D769" s="115">
        <v>0</v>
      </c>
      <c r="E769" s="135" t="s">
        <v>568</v>
      </c>
      <c r="F769" s="136" t="str">
        <f t="shared" si="33"/>
        <v/>
      </c>
      <c r="G769" s="137" t="e">
        <f>IF(A769&lt;&gt;"",IF(AND(#REF!="Padrão",$H$4=#REF!),BDI!$B$17,IF(AND(#REF!="Padrão",$H$4=#REF!),BDI!#REF!,IF(AND(#REF!="Diferenciado",$H$4=#REF!),BDI!$E$17,IF(AND(#REF!="Diferenciado",$H$4=#REF!),BDI!#REF!,IF(#REF!="ZERO",0))))),"")</f>
        <v>#REF!</v>
      </c>
      <c r="H769" s="138" t="str">
        <f t="shared" si="34"/>
        <v/>
      </c>
      <c r="I769" s="136" t="str">
        <f t="shared" si="35"/>
        <v/>
      </c>
    </row>
    <row r="770" spans="1:9" hidden="1" x14ac:dyDescent="0.25">
      <c r="A770" s="113" t="s">
        <v>2704</v>
      </c>
      <c r="B770" s="114" t="s">
        <v>2705</v>
      </c>
      <c r="C770" s="115" t="s">
        <v>20</v>
      </c>
      <c r="D770" s="115">
        <v>0</v>
      </c>
      <c r="E770" s="135" t="s">
        <v>568</v>
      </c>
      <c r="F770" s="136" t="str">
        <f t="shared" si="33"/>
        <v/>
      </c>
      <c r="G770" s="137" t="e">
        <f>IF(A770&lt;&gt;"",IF(AND(#REF!="Padrão",$H$4=#REF!),BDI!$B$17,IF(AND(#REF!="Padrão",$H$4=#REF!),BDI!#REF!,IF(AND(#REF!="Diferenciado",$H$4=#REF!),BDI!$E$17,IF(AND(#REF!="Diferenciado",$H$4=#REF!),BDI!#REF!,IF(#REF!="ZERO",0))))),"")</f>
        <v>#REF!</v>
      </c>
      <c r="H770" s="138" t="str">
        <f t="shared" si="34"/>
        <v/>
      </c>
      <c r="I770" s="136" t="str">
        <f t="shared" si="35"/>
        <v/>
      </c>
    </row>
    <row r="771" spans="1:9" hidden="1" x14ac:dyDescent="0.25">
      <c r="A771" s="113" t="s">
        <v>2706</v>
      </c>
      <c r="B771" s="114" t="s">
        <v>2707</v>
      </c>
      <c r="C771" s="115" t="s">
        <v>20</v>
      </c>
      <c r="D771" s="115">
        <v>0</v>
      </c>
      <c r="E771" s="135" t="s">
        <v>568</v>
      </c>
      <c r="F771" s="136" t="str">
        <f t="shared" si="33"/>
        <v/>
      </c>
      <c r="G771" s="137" t="e">
        <f>IF(A771&lt;&gt;"",IF(AND(#REF!="Padrão",$H$4=#REF!),BDI!$B$17,IF(AND(#REF!="Padrão",$H$4=#REF!),BDI!#REF!,IF(AND(#REF!="Diferenciado",$H$4=#REF!),BDI!$E$17,IF(AND(#REF!="Diferenciado",$H$4=#REF!),BDI!#REF!,IF(#REF!="ZERO",0))))),"")</f>
        <v>#REF!</v>
      </c>
      <c r="H771" s="138" t="str">
        <f t="shared" si="34"/>
        <v/>
      </c>
      <c r="I771" s="136" t="str">
        <f t="shared" si="35"/>
        <v/>
      </c>
    </row>
    <row r="772" spans="1:9" hidden="1" x14ac:dyDescent="0.25">
      <c r="A772" s="113" t="s">
        <v>2708</v>
      </c>
      <c r="B772" s="114" t="s">
        <v>2709</v>
      </c>
      <c r="C772" s="115" t="s">
        <v>20</v>
      </c>
      <c r="D772" s="115">
        <v>0</v>
      </c>
      <c r="E772" s="135" t="s">
        <v>568</v>
      </c>
      <c r="F772" s="136" t="str">
        <f t="shared" si="33"/>
        <v/>
      </c>
      <c r="G772" s="137" t="e">
        <f>IF(A772&lt;&gt;"",IF(AND(#REF!="Padrão",$H$4=#REF!),BDI!$B$17,IF(AND(#REF!="Padrão",$H$4=#REF!),BDI!#REF!,IF(AND(#REF!="Diferenciado",$H$4=#REF!),BDI!$E$17,IF(AND(#REF!="Diferenciado",$H$4=#REF!),BDI!#REF!,IF(#REF!="ZERO",0))))),"")</f>
        <v>#REF!</v>
      </c>
      <c r="H772" s="138" t="str">
        <f t="shared" si="34"/>
        <v/>
      </c>
      <c r="I772" s="136" t="str">
        <f t="shared" si="35"/>
        <v/>
      </c>
    </row>
    <row r="773" spans="1:9" hidden="1" x14ac:dyDescent="0.25">
      <c r="A773" s="113" t="s">
        <v>2710</v>
      </c>
      <c r="B773" s="114" t="s">
        <v>2711</v>
      </c>
      <c r="C773" s="115" t="s">
        <v>20</v>
      </c>
      <c r="D773" s="115">
        <v>0</v>
      </c>
      <c r="E773" s="135" t="s">
        <v>568</v>
      </c>
      <c r="F773" s="136" t="str">
        <f t="shared" si="33"/>
        <v/>
      </c>
      <c r="G773" s="137" t="e">
        <f>IF(A773&lt;&gt;"",IF(AND(#REF!="Padrão",$H$4=#REF!),BDI!$B$17,IF(AND(#REF!="Padrão",$H$4=#REF!),BDI!#REF!,IF(AND(#REF!="Diferenciado",$H$4=#REF!),BDI!$E$17,IF(AND(#REF!="Diferenciado",$H$4=#REF!),BDI!#REF!,IF(#REF!="ZERO",0))))),"")</f>
        <v>#REF!</v>
      </c>
      <c r="H773" s="138" t="str">
        <f t="shared" si="34"/>
        <v/>
      </c>
      <c r="I773" s="136" t="str">
        <f t="shared" si="35"/>
        <v/>
      </c>
    </row>
    <row r="774" spans="1:9" hidden="1" x14ac:dyDescent="0.25">
      <c r="A774" s="113" t="s">
        <v>2712</v>
      </c>
      <c r="B774" s="114" t="s">
        <v>2713</v>
      </c>
      <c r="C774" s="115" t="s">
        <v>20</v>
      </c>
      <c r="D774" s="115">
        <v>0</v>
      </c>
      <c r="E774" s="135" t="s">
        <v>568</v>
      </c>
      <c r="F774" s="136" t="str">
        <f t="shared" si="33"/>
        <v/>
      </c>
      <c r="G774" s="137" t="e">
        <f>IF(A774&lt;&gt;"",IF(AND(#REF!="Padrão",$H$4=#REF!),BDI!$B$17,IF(AND(#REF!="Padrão",$H$4=#REF!),BDI!#REF!,IF(AND(#REF!="Diferenciado",$H$4=#REF!),BDI!$E$17,IF(AND(#REF!="Diferenciado",$H$4=#REF!),BDI!#REF!,IF(#REF!="ZERO",0))))),"")</f>
        <v>#REF!</v>
      </c>
      <c r="H774" s="138" t="str">
        <f t="shared" si="34"/>
        <v/>
      </c>
      <c r="I774" s="136" t="str">
        <f t="shared" si="35"/>
        <v/>
      </c>
    </row>
    <row r="775" spans="1:9" hidden="1" x14ac:dyDescent="0.25">
      <c r="A775" s="113" t="s">
        <v>2714</v>
      </c>
      <c r="B775" s="114" t="s">
        <v>2715</v>
      </c>
      <c r="C775" s="115" t="s">
        <v>20</v>
      </c>
      <c r="D775" s="115">
        <v>0</v>
      </c>
      <c r="E775" s="135" t="s">
        <v>568</v>
      </c>
      <c r="F775" s="136" t="str">
        <f t="shared" ref="F775:F838" si="36">IF(ISNUMBER(E775),D775*E775,"")</f>
        <v/>
      </c>
      <c r="G775" s="137" t="e">
        <f>IF(A775&lt;&gt;"",IF(AND(#REF!="Padrão",$H$4=#REF!),BDI!$B$17,IF(AND(#REF!="Padrão",$H$4=#REF!),BDI!#REF!,IF(AND(#REF!="Diferenciado",$H$4=#REF!),BDI!$E$17,IF(AND(#REF!="Diferenciado",$H$4=#REF!),BDI!#REF!,IF(#REF!="ZERO",0))))),"")</f>
        <v>#REF!</v>
      </c>
      <c r="H775" s="138" t="str">
        <f t="shared" ref="H775:H838" si="37">IF(ISNUMBER(E775),ROUND(E775*(1+G775),2),"")</f>
        <v/>
      </c>
      <c r="I775" s="136" t="str">
        <f t="shared" ref="I775:I838" si="38">IF(ISNUMBER(E775),ROUND(H775*D775,2),"")</f>
        <v/>
      </c>
    </row>
    <row r="776" spans="1:9" hidden="1" x14ac:dyDescent="0.25">
      <c r="A776" s="113" t="s">
        <v>2716</v>
      </c>
      <c r="B776" s="114" t="s">
        <v>2717</v>
      </c>
      <c r="C776" s="115" t="s">
        <v>20</v>
      </c>
      <c r="D776" s="115">
        <v>0</v>
      </c>
      <c r="E776" s="135" t="s">
        <v>568</v>
      </c>
      <c r="F776" s="136" t="str">
        <f t="shared" si="36"/>
        <v/>
      </c>
      <c r="G776" s="137" t="e">
        <f>IF(A776&lt;&gt;"",IF(AND(#REF!="Padrão",$H$4=#REF!),BDI!$B$17,IF(AND(#REF!="Padrão",$H$4=#REF!),BDI!#REF!,IF(AND(#REF!="Diferenciado",$H$4=#REF!),BDI!$E$17,IF(AND(#REF!="Diferenciado",$H$4=#REF!),BDI!#REF!,IF(#REF!="ZERO",0))))),"")</f>
        <v>#REF!</v>
      </c>
      <c r="H776" s="138" t="str">
        <f t="shared" si="37"/>
        <v/>
      </c>
      <c r="I776" s="136" t="str">
        <f t="shared" si="38"/>
        <v/>
      </c>
    </row>
    <row r="777" spans="1:9" hidden="1" x14ac:dyDescent="0.25">
      <c r="A777" s="113" t="s">
        <v>2718</v>
      </c>
      <c r="B777" s="114" t="s">
        <v>2719</v>
      </c>
      <c r="C777" s="115" t="s">
        <v>20</v>
      </c>
      <c r="D777" s="115">
        <v>0</v>
      </c>
      <c r="E777" s="135" t="s">
        <v>568</v>
      </c>
      <c r="F777" s="136" t="str">
        <f t="shared" si="36"/>
        <v/>
      </c>
      <c r="G777" s="137" t="e">
        <f>IF(A777&lt;&gt;"",IF(AND(#REF!="Padrão",$H$4=#REF!),BDI!$B$17,IF(AND(#REF!="Padrão",$H$4=#REF!),BDI!#REF!,IF(AND(#REF!="Diferenciado",$H$4=#REF!),BDI!$E$17,IF(AND(#REF!="Diferenciado",$H$4=#REF!),BDI!#REF!,IF(#REF!="ZERO",0))))),"")</f>
        <v>#REF!</v>
      </c>
      <c r="H777" s="138" t="str">
        <f t="shared" si="37"/>
        <v/>
      </c>
      <c r="I777" s="136" t="str">
        <f t="shared" si="38"/>
        <v/>
      </c>
    </row>
    <row r="778" spans="1:9" hidden="1" x14ac:dyDescent="0.25">
      <c r="A778" s="113" t="s">
        <v>2720</v>
      </c>
      <c r="B778" s="114" t="s">
        <v>2721</v>
      </c>
      <c r="C778" s="115" t="s">
        <v>20</v>
      </c>
      <c r="D778" s="115">
        <v>0</v>
      </c>
      <c r="E778" s="135" t="s">
        <v>568</v>
      </c>
      <c r="F778" s="136" t="str">
        <f t="shared" si="36"/>
        <v/>
      </c>
      <c r="G778" s="137" t="e">
        <f>IF(A778&lt;&gt;"",IF(AND(#REF!="Padrão",$H$4=#REF!),BDI!$B$17,IF(AND(#REF!="Padrão",$H$4=#REF!),BDI!#REF!,IF(AND(#REF!="Diferenciado",$H$4=#REF!),BDI!$E$17,IF(AND(#REF!="Diferenciado",$H$4=#REF!),BDI!#REF!,IF(#REF!="ZERO",0))))),"")</f>
        <v>#REF!</v>
      </c>
      <c r="H778" s="138" t="str">
        <f t="shared" si="37"/>
        <v/>
      </c>
      <c r="I778" s="136" t="str">
        <f t="shared" si="38"/>
        <v/>
      </c>
    </row>
    <row r="779" spans="1:9" hidden="1" x14ac:dyDescent="0.25">
      <c r="A779" s="113" t="s">
        <v>2722</v>
      </c>
      <c r="B779" s="114" t="s">
        <v>2723</v>
      </c>
      <c r="C779" s="115" t="s">
        <v>20</v>
      </c>
      <c r="D779" s="115">
        <v>0</v>
      </c>
      <c r="E779" s="135" t="s">
        <v>568</v>
      </c>
      <c r="F779" s="136" t="str">
        <f t="shared" si="36"/>
        <v/>
      </c>
      <c r="G779" s="137" t="e">
        <f>IF(A779&lt;&gt;"",IF(AND(#REF!="Padrão",$H$4=#REF!),BDI!$B$17,IF(AND(#REF!="Padrão",$H$4=#REF!),BDI!#REF!,IF(AND(#REF!="Diferenciado",$H$4=#REF!),BDI!$E$17,IF(AND(#REF!="Diferenciado",$H$4=#REF!),BDI!#REF!,IF(#REF!="ZERO",0))))),"")</f>
        <v>#REF!</v>
      </c>
      <c r="H779" s="138" t="str">
        <f t="shared" si="37"/>
        <v/>
      </c>
      <c r="I779" s="136" t="str">
        <f t="shared" si="38"/>
        <v/>
      </c>
    </row>
    <row r="780" spans="1:9" hidden="1" x14ac:dyDescent="0.25">
      <c r="A780" s="113" t="s">
        <v>2724</v>
      </c>
      <c r="B780" s="114" t="s">
        <v>2725</v>
      </c>
      <c r="C780" s="115" t="s">
        <v>20</v>
      </c>
      <c r="D780" s="115">
        <v>0</v>
      </c>
      <c r="E780" s="135" t="s">
        <v>568</v>
      </c>
      <c r="F780" s="136" t="str">
        <f t="shared" si="36"/>
        <v/>
      </c>
      <c r="G780" s="137" t="e">
        <f>IF(A780&lt;&gt;"",IF(AND(#REF!="Padrão",$H$4=#REF!),BDI!$B$17,IF(AND(#REF!="Padrão",$H$4=#REF!),BDI!#REF!,IF(AND(#REF!="Diferenciado",$H$4=#REF!),BDI!$E$17,IF(AND(#REF!="Diferenciado",$H$4=#REF!),BDI!#REF!,IF(#REF!="ZERO",0))))),"")</f>
        <v>#REF!</v>
      </c>
      <c r="H780" s="138" t="str">
        <f t="shared" si="37"/>
        <v/>
      </c>
      <c r="I780" s="136" t="str">
        <f t="shared" si="38"/>
        <v/>
      </c>
    </row>
    <row r="781" spans="1:9" hidden="1" x14ac:dyDescent="0.25">
      <c r="A781" s="113" t="s">
        <v>2726</v>
      </c>
      <c r="B781" s="114" t="s">
        <v>2727</v>
      </c>
      <c r="C781" s="115" t="s">
        <v>20</v>
      </c>
      <c r="D781" s="115">
        <v>0</v>
      </c>
      <c r="E781" s="135" t="s">
        <v>568</v>
      </c>
      <c r="F781" s="136" t="str">
        <f t="shared" si="36"/>
        <v/>
      </c>
      <c r="G781" s="137" t="e">
        <f>IF(A781&lt;&gt;"",IF(AND(#REF!="Padrão",$H$4=#REF!),BDI!$B$17,IF(AND(#REF!="Padrão",$H$4=#REF!),BDI!#REF!,IF(AND(#REF!="Diferenciado",$H$4=#REF!),BDI!$E$17,IF(AND(#REF!="Diferenciado",$H$4=#REF!),BDI!#REF!,IF(#REF!="ZERO",0))))),"")</f>
        <v>#REF!</v>
      </c>
      <c r="H781" s="138" t="str">
        <f t="shared" si="37"/>
        <v/>
      </c>
      <c r="I781" s="136" t="str">
        <f t="shared" si="38"/>
        <v/>
      </c>
    </row>
    <row r="782" spans="1:9" hidden="1" x14ac:dyDescent="0.25">
      <c r="A782" s="113" t="s">
        <v>2728</v>
      </c>
      <c r="B782" s="114" t="s">
        <v>2729</v>
      </c>
      <c r="C782" s="115" t="s">
        <v>20</v>
      </c>
      <c r="D782" s="115">
        <v>0</v>
      </c>
      <c r="E782" s="135" t="s">
        <v>568</v>
      </c>
      <c r="F782" s="136" t="str">
        <f t="shared" si="36"/>
        <v/>
      </c>
      <c r="G782" s="137" t="e">
        <f>IF(A782&lt;&gt;"",IF(AND(#REF!="Padrão",$H$4=#REF!),BDI!$B$17,IF(AND(#REF!="Padrão",$H$4=#REF!),BDI!#REF!,IF(AND(#REF!="Diferenciado",$H$4=#REF!),BDI!$E$17,IF(AND(#REF!="Diferenciado",$H$4=#REF!),BDI!#REF!,IF(#REF!="ZERO",0))))),"")</f>
        <v>#REF!</v>
      </c>
      <c r="H782" s="138" t="str">
        <f t="shared" si="37"/>
        <v/>
      </c>
      <c r="I782" s="136" t="str">
        <f t="shared" si="38"/>
        <v/>
      </c>
    </row>
    <row r="783" spans="1:9" hidden="1" x14ac:dyDescent="0.25">
      <c r="A783" s="113" t="s">
        <v>2730</v>
      </c>
      <c r="B783" s="114" t="s">
        <v>2731</v>
      </c>
      <c r="C783" s="115" t="s">
        <v>20</v>
      </c>
      <c r="D783" s="115">
        <v>0</v>
      </c>
      <c r="E783" s="135" t="s">
        <v>568</v>
      </c>
      <c r="F783" s="136" t="str">
        <f t="shared" si="36"/>
        <v/>
      </c>
      <c r="G783" s="137" t="e">
        <f>IF(A783&lt;&gt;"",IF(AND(#REF!="Padrão",$H$4=#REF!),BDI!$B$17,IF(AND(#REF!="Padrão",$H$4=#REF!),BDI!#REF!,IF(AND(#REF!="Diferenciado",$H$4=#REF!),BDI!$E$17,IF(AND(#REF!="Diferenciado",$H$4=#REF!),BDI!#REF!,IF(#REF!="ZERO",0))))),"")</f>
        <v>#REF!</v>
      </c>
      <c r="H783" s="138" t="str">
        <f t="shared" si="37"/>
        <v/>
      </c>
      <c r="I783" s="136" t="str">
        <f t="shared" si="38"/>
        <v/>
      </c>
    </row>
    <row r="784" spans="1:9" hidden="1" x14ac:dyDescent="0.25">
      <c r="A784" s="113" t="s">
        <v>2732</v>
      </c>
      <c r="B784" s="114" t="s">
        <v>2733</v>
      </c>
      <c r="C784" s="115" t="s">
        <v>20</v>
      </c>
      <c r="D784" s="115">
        <v>0</v>
      </c>
      <c r="E784" s="135" t="s">
        <v>568</v>
      </c>
      <c r="F784" s="136" t="str">
        <f t="shared" si="36"/>
        <v/>
      </c>
      <c r="G784" s="137" t="e">
        <f>IF(A784&lt;&gt;"",IF(AND(#REF!="Padrão",$H$4=#REF!),BDI!$B$17,IF(AND(#REF!="Padrão",$H$4=#REF!),BDI!#REF!,IF(AND(#REF!="Diferenciado",$H$4=#REF!),BDI!$E$17,IF(AND(#REF!="Diferenciado",$H$4=#REF!),BDI!#REF!,IF(#REF!="ZERO",0))))),"")</f>
        <v>#REF!</v>
      </c>
      <c r="H784" s="138" t="str">
        <f t="shared" si="37"/>
        <v/>
      </c>
      <c r="I784" s="136" t="str">
        <f t="shared" si="38"/>
        <v/>
      </c>
    </row>
    <row r="785" spans="1:9" hidden="1" x14ac:dyDescent="0.25">
      <c r="A785" s="113" t="s">
        <v>2734</v>
      </c>
      <c r="B785" s="114" t="s">
        <v>2735</v>
      </c>
      <c r="C785" s="115" t="s">
        <v>20</v>
      </c>
      <c r="D785" s="115">
        <v>0</v>
      </c>
      <c r="E785" s="135" t="s">
        <v>568</v>
      </c>
      <c r="F785" s="136" t="str">
        <f t="shared" si="36"/>
        <v/>
      </c>
      <c r="G785" s="137" t="e">
        <f>IF(A785&lt;&gt;"",IF(AND(#REF!="Padrão",$H$4=#REF!),BDI!$B$17,IF(AND(#REF!="Padrão",$H$4=#REF!),BDI!#REF!,IF(AND(#REF!="Diferenciado",$H$4=#REF!),BDI!$E$17,IF(AND(#REF!="Diferenciado",$H$4=#REF!),BDI!#REF!,IF(#REF!="ZERO",0))))),"")</f>
        <v>#REF!</v>
      </c>
      <c r="H785" s="138" t="str">
        <f t="shared" si="37"/>
        <v/>
      </c>
      <c r="I785" s="136" t="str">
        <f t="shared" si="38"/>
        <v/>
      </c>
    </row>
    <row r="786" spans="1:9" hidden="1" x14ac:dyDescent="0.25">
      <c r="A786" s="113" t="s">
        <v>2736</v>
      </c>
      <c r="B786" s="114" t="s">
        <v>2737</v>
      </c>
      <c r="C786" s="115" t="s">
        <v>20</v>
      </c>
      <c r="D786" s="115">
        <v>0</v>
      </c>
      <c r="E786" s="135" t="s">
        <v>568</v>
      </c>
      <c r="F786" s="136" t="str">
        <f t="shared" si="36"/>
        <v/>
      </c>
      <c r="G786" s="137" t="e">
        <f>IF(A786&lt;&gt;"",IF(AND(#REF!="Padrão",$H$4=#REF!),BDI!$B$17,IF(AND(#REF!="Padrão",$H$4=#REF!),BDI!#REF!,IF(AND(#REF!="Diferenciado",$H$4=#REF!),BDI!$E$17,IF(AND(#REF!="Diferenciado",$H$4=#REF!),BDI!#REF!,IF(#REF!="ZERO",0))))),"")</f>
        <v>#REF!</v>
      </c>
      <c r="H786" s="138" t="str">
        <f t="shared" si="37"/>
        <v/>
      </c>
      <c r="I786" s="136" t="str">
        <f t="shared" si="38"/>
        <v/>
      </c>
    </row>
    <row r="787" spans="1:9" hidden="1" x14ac:dyDescent="0.25">
      <c r="A787" s="113" t="s">
        <v>2738</v>
      </c>
      <c r="B787" s="114" t="s">
        <v>2739</v>
      </c>
      <c r="C787" s="115" t="s">
        <v>20</v>
      </c>
      <c r="D787" s="115">
        <v>0</v>
      </c>
      <c r="E787" s="135" t="s">
        <v>568</v>
      </c>
      <c r="F787" s="136" t="str">
        <f t="shared" si="36"/>
        <v/>
      </c>
      <c r="G787" s="137" t="e">
        <f>IF(A787&lt;&gt;"",IF(AND(#REF!="Padrão",$H$4=#REF!),BDI!$B$17,IF(AND(#REF!="Padrão",$H$4=#REF!),BDI!#REF!,IF(AND(#REF!="Diferenciado",$H$4=#REF!),BDI!$E$17,IF(AND(#REF!="Diferenciado",$H$4=#REF!),BDI!#REF!,IF(#REF!="ZERO",0))))),"")</f>
        <v>#REF!</v>
      </c>
      <c r="H787" s="138" t="str">
        <f t="shared" si="37"/>
        <v/>
      </c>
      <c r="I787" s="136" t="str">
        <f t="shared" si="38"/>
        <v/>
      </c>
    </row>
    <row r="788" spans="1:9" hidden="1" x14ac:dyDescent="0.25">
      <c r="A788" s="113" t="s">
        <v>2740</v>
      </c>
      <c r="B788" s="114" t="s">
        <v>2741</v>
      </c>
      <c r="C788" s="115" t="s">
        <v>20</v>
      </c>
      <c r="D788" s="115">
        <v>0</v>
      </c>
      <c r="E788" s="135" t="s">
        <v>568</v>
      </c>
      <c r="F788" s="136" t="str">
        <f t="shared" si="36"/>
        <v/>
      </c>
      <c r="G788" s="137" t="e">
        <f>IF(A788&lt;&gt;"",IF(AND(#REF!="Padrão",$H$4=#REF!),BDI!$B$17,IF(AND(#REF!="Padrão",$H$4=#REF!),BDI!#REF!,IF(AND(#REF!="Diferenciado",$H$4=#REF!),BDI!$E$17,IF(AND(#REF!="Diferenciado",$H$4=#REF!),BDI!#REF!,IF(#REF!="ZERO",0))))),"")</f>
        <v>#REF!</v>
      </c>
      <c r="H788" s="138" t="str">
        <f t="shared" si="37"/>
        <v/>
      </c>
      <c r="I788" s="136" t="str">
        <f t="shared" si="38"/>
        <v/>
      </c>
    </row>
    <row r="789" spans="1:9" hidden="1" x14ac:dyDescent="0.25">
      <c r="A789" s="113" t="s">
        <v>2742</v>
      </c>
      <c r="B789" s="114" t="s">
        <v>2743</v>
      </c>
      <c r="C789" s="115" t="s">
        <v>20</v>
      </c>
      <c r="D789" s="115">
        <v>0</v>
      </c>
      <c r="E789" s="135" t="s">
        <v>568</v>
      </c>
      <c r="F789" s="136" t="str">
        <f t="shared" si="36"/>
        <v/>
      </c>
      <c r="G789" s="137" t="e">
        <f>IF(A789&lt;&gt;"",IF(AND(#REF!="Padrão",$H$4=#REF!),BDI!$B$17,IF(AND(#REF!="Padrão",$H$4=#REF!),BDI!#REF!,IF(AND(#REF!="Diferenciado",$H$4=#REF!),BDI!$E$17,IF(AND(#REF!="Diferenciado",$H$4=#REF!),BDI!#REF!,IF(#REF!="ZERO",0))))),"")</f>
        <v>#REF!</v>
      </c>
      <c r="H789" s="138" t="str">
        <f t="shared" si="37"/>
        <v/>
      </c>
      <c r="I789" s="136" t="str">
        <f t="shared" si="38"/>
        <v/>
      </c>
    </row>
    <row r="790" spans="1:9" hidden="1" x14ac:dyDescent="0.25">
      <c r="A790" s="113" t="s">
        <v>2744</v>
      </c>
      <c r="B790" s="114" t="s">
        <v>2745</v>
      </c>
      <c r="C790" s="115" t="s">
        <v>20</v>
      </c>
      <c r="D790" s="115">
        <v>0</v>
      </c>
      <c r="E790" s="135" t="s">
        <v>568</v>
      </c>
      <c r="F790" s="136" t="str">
        <f t="shared" si="36"/>
        <v/>
      </c>
      <c r="G790" s="137" t="e">
        <f>IF(A790&lt;&gt;"",IF(AND(#REF!="Padrão",$H$4=#REF!),BDI!$B$17,IF(AND(#REF!="Padrão",$H$4=#REF!),BDI!#REF!,IF(AND(#REF!="Diferenciado",$H$4=#REF!),BDI!$E$17,IF(AND(#REF!="Diferenciado",$H$4=#REF!),BDI!#REF!,IF(#REF!="ZERO",0))))),"")</f>
        <v>#REF!</v>
      </c>
      <c r="H790" s="138" t="str">
        <f t="shared" si="37"/>
        <v/>
      </c>
      <c r="I790" s="136" t="str">
        <f t="shared" si="38"/>
        <v/>
      </c>
    </row>
    <row r="791" spans="1:9" hidden="1" x14ac:dyDescent="0.25">
      <c r="A791" s="113" t="s">
        <v>2746</v>
      </c>
      <c r="B791" s="114" t="s">
        <v>2747</v>
      </c>
      <c r="C791" s="115" t="s">
        <v>20</v>
      </c>
      <c r="D791" s="115">
        <v>0</v>
      </c>
      <c r="E791" s="135" t="s">
        <v>568</v>
      </c>
      <c r="F791" s="136" t="str">
        <f t="shared" si="36"/>
        <v/>
      </c>
      <c r="G791" s="137" t="e">
        <f>IF(A791&lt;&gt;"",IF(AND(#REF!="Padrão",$H$4=#REF!),BDI!$B$17,IF(AND(#REF!="Padrão",$H$4=#REF!),BDI!#REF!,IF(AND(#REF!="Diferenciado",$H$4=#REF!),BDI!$E$17,IF(AND(#REF!="Diferenciado",$H$4=#REF!),BDI!#REF!,IF(#REF!="ZERO",0))))),"")</f>
        <v>#REF!</v>
      </c>
      <c r="H791" s="138" t="str">
        <f t="shared" si="37"/>
        <v/>
      </c>
      <c r="I791" s="136" t="str">
        <f t="shared" si="38"/>
        <v/>
      </c>
    </row>
    <row r="792" spans="1:9" hidden="1" x14ac:dyDescent="0.25">
      <c r="A792" s="113" t="s">
        <v>2748</v>
      </c>
      <c r="B792" s="114" t="s">
        <v>2749</v>
      </c>
      <c r="C792" s="115" t="s">
        <v>20</v>
      </c>
      <c r="D792" s="115">
        <v>0</v>
      </c>
      <c r="E792" s="135" t="s">
        <v>568</v>
      </c>
      <c r="F792" s="136" t="str">
        <f t="shared" si="36"/>
        <v/>
      </c>
      <c r="G792" s="137" t="e">
        <f>IF(A792&lt;&gt;"",IF(AND(#REF!="Padrão",$H$4=#REF!),BDI!$B$17,IF(AND(#REF!="Padrão",$H$4=#REF!),BDI!#REF!,IF(AND(#REF!="Diferenciado",$H$4=#REF!),BDI!$E$17,IF(AND(#REF!="Diferenciado",$H$4=#REF!),BDI!#REF!,IF(#REF!="ZERO",0))))),"")</f>
        <v>#REF!</v>
      </c>
      <c r="H792" s="138" t="str">
        <f t="shared" si="37"/>
        <v/>
      </c>
      <c r="I792" s="136" t="str">
        <f t="shared" si="38"/>
        <v/>
      </c>
    </row>
    <row r="793" spans="1:9" hidden="1" x14ac:dyDescent="0.25">
      <c r="A793" s="113" t="s">
        <v>2750</v>
      </c>
      <c r="B793" s="114" t="s">
        <v>2751</v>
      </c>
      <c r="C793" s="115" t="s">
        <v>20</v>
      </c>
      <c r="D793" s="115">
        <v>0</v>
      </c>
      <c r="E793" s="135" t="s">
        <v>568</v>
      </c>
      <c r="F793" s="136" t="str">
        <f t="shared" si="36"/>
        <v/>
      </c>
      <c r="G793" s="137" t="e">
        <f>IF(A793&lt;&gt;"",IF(AND(#REF!="Padrão",$H$4=#REF!),BDI!$B$17,IF(AND(#REF!="Padrão",$H$4=#REF!),BDI!#REF!,IF(AND(#REF!="Diferenciado",$H$4=#REF!),BDI!$E$17,IF(AND(#REF!="Diferenciado",$H$4=#REF!),BDI!#REF!,IF(#REF!="ZERO",0))))),"")</f>
        <v>#REF!</v>
      </c>
      <c r="H793" s="138" t="str">
        <f t="shared" si="37"/>
        <v/>
      </c>
      <c r="I793" s="136" t="str">
        <f t="shared" si="38"/>
        <v/>
      </c>
    </row>
    <row r="794" spans="1:9" hidden="1" x14ac:dyDescent="0.25">
      <c r="A794" s="113" t="s">
        <v>2752</v>
      </c>
      <c r="B794" s="114" t="s">
        <v>2753</v>
      </c>
      <c r="C794" s="115" t="s">
        <v>20</v>
      </c>
      <c r="D794" s="115">
        <v>0</v>
      </c>
      <c r="E794" s="135" t="s">
        <v>568</v>
      </c>
      <c r="F794" s="136" t="str">
        <f t="shared" si="36"/>
        <v/>
      </c>
      <c r="G794" s="137" t="e">
        <f>IF(A794&lt;&gt;"",IF(AND(#REF!="Padrão",$H$4=#REF!),BDI!$B$17,IF(AND(#REF!="Padrão",$H$4=#REF!),BDI!#REF!,IF(AND(#REF!="Diferenciado",$H$4=#REF!),BDI!$E$17,IF(AND(#REF!="Diferenciado",$H$4=#REF!),BDI!#REF!,IF(#REF!="ZERO",0))))),"")</f>
        <v>#REF!</v>
      </c>
      <c r="H794" s="138" t="str">
        <f t="shared" si="37"/>
        <v/>
      </c>
      <c r="I794" s="136" t="str">
        <f t="shared" si="38"/>
        <v/>
      </c>
    </row>
    <row r="795" spans="1:9" hidden="1" x14ac:dyDescent="0.25">
      <c r="A795" s="113" t="s">
        <v>2754</v>
      </c>
      <c r="B795" s="114" t="s">
        <v>2755</v>
      </c>
      <c r="C795" s="115" t="s">
        <v>20</v>
      </c>
      <c r="D795" s="115">
        <v>0</v>
      </c>
      <c r="E795" s="135" t="s">
        <v>568</v>
      </c>
      <c r="F795" s="136" t="str">
        <f t="shared" si="36"/>
        <v/>
      </c>
      <c r="G795" s="137" t="e">
        <f>IF(A795&lt;&gt;"",IF(AND(#REF!="Padrão",$H$4=#REF!),BDI!$B$17,IF(AND(#REF!="Padrão",$H$4=#REF!),BDI!#REF!,IF(AND(#REF!="Diferenciado",$H$4=#REF!),BDI!$E$17,IF(AND(#REF!="Diferenciado",$H$4=#REF!),BDI!#REF!,IF(#REF!="ZERO",0))))),"")</f>
        <v>#REF!</v>
      </c>
      <c r="H795" s="138" t="str">
        <f t="shared" si="37"/>
        <v/>
      </c>
      <c r="I795" s="136" t="str">
        <f t="shared" si="38"/>
        <v/>
      </c>
    </row>
    <row r="796" spans="1:9" hidden="1" x14ac:dyDescent="0.25">
      <c r="A796" s="113" t="s">
        <v>2756</v>
      </c>
      <c r="B796" s="114" t="s">
        <v>2757</v>
      </c>
      <c r="C796" s="115" t="s">
        <v>20</v>
      </c>
      <c r="D796" s="115">
        <v>0</v>
      </c>
      <c r="E796" s="135" t="s">
        <v>568</v>
      </c>
      <c r="F796" s="136" t="str">
        <f t="shared" si="36"/>
        <v/>
      </c>
      <c r="G796" s="137" t="e">
        <f>IF(A796&lt;&gt;"",IF(AND(#REF!="Padrão",$H$4=#REF!),BDI!$B$17,IF(AND(#REF!="Padrão",$H$4=#REF!),BDI!#REF!,IF(AND(#REF!="Diferenciado",$H$4=#REF!),BDI!$E$17,IF(AND(#REF!="Diferenciado",$H$4=#REF!),BDI!#REF!,IF(#REF!="ZERO",0))))),"")</f>
        <v>#REF!</v>
      </c>
      <c r="H796" s="138" t="str">
        <f t="shared" si="37"/>
        <v/>
      </c>
      <c r="I796" s="136" t="str">
        <f t="shared" si="38"/>
        <v/>
      </c>
    </row>
    <row r="797" spans="1:9" hidden="1" x14ac:dyDescent="0.25">
      <c r="A797" s="113" t="s">
        <v>2758</v>
      </c>
      <c r="B797" s="114" t="s">
        <v>2759</v>
      </c>
      <c r="C797" s="115" t="s">
        <v>20</v>
      </c>
      <c r="D797" s="115">
        <v>0</v>
      </c>
      <c r="E797" s="135" t="s">
        <v>568</v>
      </c>
      <c r="F797" s="136" t="str">
        <f t="shared" si="36"/>
        <v/>
      </c>
      <c r="G797" s="137" t="e">
        <f>IF(A797&lt;&gt;"",IF(AND(#REF!="Padrão",$H$4=#REF!),BDI!$B$17,IF(AND(#REF!="Padrão",$H$4=#REF!),BDI!#REF!,IF(AND(#REF!="Diferenciado",$H$4=#REF!),BDI!$E$17,IF(AND(#REF!="Diferenciado",$H$4=#REF!),BDI!#REF!,IF(#REF!="ZERO",0))))),"")</f>
        <v>#REF!</v>
      </c>
      <c r="H797" s="138" t="str">
        <f t="shared" si="37"/>
        <v/>
      </c>
      <c r="I797" s="136" t="str">
        <f t="shared" si="38"/>
        <v/>
      </c>
    </row>
    <row r="798" spans="1:9" hidden="1" x14ac:dyDescent="0.25">
      <c r="A798" s="113" t="s">
        <v>2760</v>
      </c>
      <c r="B798" s="114" t="s">
        <v>2761</v>
      </c>
      <c r="C798" s="115" t="s">
        <v>20</v>
      </c>
      <c r="D798" s="115">
        <v>0</v>
      </c>
      <c r="E798" s="135" t="s">
        <v>568</v>
      </c>
      <c r="F798" s="136" t="str">
        <f t="shared" si="36"/>
        <v/>
      </c>
      <c r="G798" s="137" t="e">
        <f>IF(A798&lt;&gt;"",IF(AND(#REF!="Padrão",$H$4=#REF!),BDI!$B$17,IF(AND(#REF!="Padrão",$H$4=#REF!),BDI!#REF!,IF(AND(#REF!="Diferenciado",$H$4=#REF!),BDI!$E$17,IF(AND(#REF!="Diferenciado",$H$4=#REF!),BDI!#REF!,IF(#REF!="ZERO",0))))),"")</f>
        <v>#REF!</v>
      </c>
      <c r="H798" s="138" t="str">
        <f t="shared" si="37"/>
        <v/>
      </c>
      <c r="I798" s="136" t="str">
        <f t="shared" si="38"/>
        <v/>
      </c>
    </row>
    <row r="799" spans="1:9" hidden="1" x14ac:dyDescent="0.25">
      <c r="A799" s="113" t="s">
        <v>2762</v>
      </c>
      <c r="B799" s="114" t="s">
        <v>2763</v>
      </c>
      <c r="C799" s="115" t="s">
        <v>20</v>
      </c>
      <c r="D799" s="115">
        <v>0</v>
      </c>
      <c r="E799" s="135" t="s">
        <v>568</v>
      </c>
      <c r="F799" s="136" t="str">
        <f t="shared" si="36"/>
        <v/>
      </c>
      <c r="G799" s="137" t="e">
        <f>IF(A799&lt;&gt;"",IF(AND(#REF!="Padrão",$H$4=#REF!),BDI!$B$17,IF(AND(#REF!="Padrão",$H$4=#REF!),BDI!#REF!,IF(AND(#REF!="Diferenciado",$H$4=#REF!),BDI!$E$17,IF(AND(#REF!="Diferenciado",$H$4=#REF!),BDI!#REF!,IF(#REF!="ZERO",0))))),"")</f>
        <v>#REF!</v>
      </c>
      <c r="H799" s="138" t="str">
        <f t="shared" si="37"/>
        <v/>
      </c>
      <c r="I799" s="136" t="str">
        <f t="shared" si="38"/>
        <v/>
      </c>
    </row>
    <row r="800" spans="1:9" hidden="1" x14ac:dyDescent="0.25">
      <c r="A800" s="113" t="s">
        <v>2764</v>
      </c>
      <c r="B800" s="114" t="s">
        <v>2765</v>
      </c>
      <c r="C800" s="115" t="s">
        <v>20</v>
      </c>
      <c r="D800" s="115">
        <v>0</v>
      </c>
      <c r="E800" s="135" t="s">
        <v>568</v>
      </c>
      <c r="F800" s="136" t="str">
        <f t="shared" si="36"/>
        <v/>
      </c>
      <c r="G800" s="137" t="e">
        <f>IF(A800&lt;&gt;"",IF(AND(#REF!="Padrão",$H$4=#REF!),BDI!$B$17,IF(AND(#REF!="Padrão",$H$4=#REF!),BDI!#REF!,IF(AND(#REF!="Diferenciado",$H$4=#REF!),BDI!$E$17,IF(AND(#REF!="Diferenciado",$H$4=#REF!),BDI!#REF!,IF(#REF!="ZERO",0))))),"")</f>
        <v>#REF!</v>
      </c>
      <c r="H800" s="138" t="str">
        <f t="shared" si="37"/>
        <v/>
      </c>
      <c r="I800" s="136" t="str">
        <f t="shared" si="38"/>
        <v/>
      </c>
    </row>
    <row r="801" spans="1:9" hidden="1" x14ac:dyDescent="0.25">
      <c r="A801" s="113" t="s">
        <v>2766</v>
      </c>
      <c r="B801" s="114" t="s">
        <v>2767</v>
      </c>
      <c r="C801" s="115" t="s">
        <v>20</v>
      </c>
      <c r="D801" s="115">
        <v>0</v>
      </c>
      <c r="E801" s="135" t="s">
        <v>568</v>
      </c>
      <c r="F801" s="136" t="str">
        <f t="shared" si="36"/>
        <v/>
      </c>
      <c r="G801" s="137" t="e">
        <f>IF(A801&lt;&gt;"",IF(AND(#REF!="Padrão",$H$4=#REF!),BDI!$B$17,IF(AND(#REF!="Padrão",$H$4=#REF!),BDI!#REF!,IF(AND(#REF!="Diferenciado",$H$4=#REF!),BDI!$E$17,IF(AND(#REF!="Diferenciado",$H$4=#REF!),BDI!#REF!,IF(#REF!="ZERO",0))))),"")</f>
        <v>#REF!</v>
      </c>
      <c r="H801" s="138" t="str">
        <f t="shared" si="37"/>
        <v/>
      </c>
      <c r="I801" s="136" t="str">
        <f t="shared" si="38"/>
        <v/>
      </c>
    </row>
    <row r="802" spans="1:9" hidden="1" x14ac:dyDescent="0.25">
      <c r="A802" s="113" t="s">
        <v>2768</v>
      </c>
      <c r="B802" s="114" t="s">
        <v>2769</v>
      </c>
      <c r="C802" s="115" t="s">
        <v>20</v>
      </c>
      <c r="D802" s="115">
        <v>0</v>
      </c>
      <c r="E802" s="135" t="s">
        <v>568</v>
      </c>
      <c r="F802" s="136" t="str">
        <f t="shared" si="36"/>
        <v/>
      </c>
      <c r="G802" s="137" t="e">
        <f>IF(A802&lt;&gt;"",IF(AND(#REF!="Padrão",$H$4=#REF!),BDI!$B$17,IF(AND(#REF!="Padrão",$H$4=#REF!),BDI!#REF!,IF(AND(#REF!="Diferenciado",$H$4=#REF!),BDI!$E$17,IF(AND(#REF!="Diferenciado",$H$4=#REF!),BDI!#REF!,IF(#REF!="ZERO",0))))),"")</f>
        <v>#REF!</v>
      </c>
      <c r="H802" s="138" t="str">
        <f t="shared" si="37"/>
        <v/>
      </c>
      <c r="I802" s="136" t="str">
        <f t="shared" si="38"/>
        <v/>
      </c>
    </row>
    <row r="803" spans="1:9" hidden="1" x14ac:dyDescent="0.25">
      <c r="A803" s="113" t="s">
        <v>2770</v>
      </c>
      <c r="B803" s="114" t="s">
        <v>2771</v>
      </c>
      <c r="C803" s="115" t="s">
        <v>20</v>
      </c>
      <c r="D803" s="115">
        <v>0</v>
      </c>
      <c r="E803" s="135" t="s">
        <v>568</v>
      </c>
      <c r="F803" s="136" t="str">
        <f t="shared" si="36"/>
        <v/>
      </c>
      <c r="G803" s="137" t="e">
        <f>IF(A803&lt;&gt;"",IF(AND(#REF!="Padrão",$H$4=#REF!),BDI!$B$17,IF(AND(#REF!="Padrão",$H$4=#REF!),BDI!#REF!,IF(AND(#REF!="Diferenciado",$H$4=#REF!),BDI!$E$17,IF(AND(#REF!="Diferenciado",$H$4=#REF!),BDI!#REF!,IF(#REF!="ZERO",0))))),"")</f>
        <v>#REF!</v>
      </c>
      <c r="H803" s="138" t="str">
        <f t="shared" si="37"/>
        <v/>
      </c>
      <c r="I803" s="136" t="str">
        <f t="shared" si="38"/>
        <v/>
      </c>
    </row>
    <row r="804" spans="1:9" hidden="1" x14ac:dyDescent="0.25">
      <c r="A804" s="113" t="s">
        <v>2772</v>
      </c>
      <c r="B804" s="114" t="s">
        <v>2773</v>
      </c>
      <c r="C804" s="115" t="s">
        <v>20</v>
      </c>
      <c r="D804" s="115">
        <v>0</v>
      </c>
      <c r="E804" s="135" t="s">
        <v>568</v>
      </c>
      <c r="F804" s="136" t="str">
        <f t="shared" si="36"/>
        <v/>
      </c>
      <c r="G804" s="137" t="e">
        <f>IF(A804&lt;&gt;"",IF(AND(#REF!="Padrão",$H$4=#REF!),BDI!$B$17,IF(AND(#REF!="Padrão",$H$4=#REF!),BDI!#REF!,IF(AND(#REF!="Diferenciado",$H$4=#REF!),BDI!$E$17,IF(AND(#REF!="Diferenciado",$H$4=#REF!),BDI!#REF!,IF(#REF!="ZERO",0))))),"")</f>
        <v>#REF!</v>
      </c>
      <c r="H804" s="138" t="str">
        <f t="shared" si="37"/>
        <v/>
      </c>
      <c r="I804" s="136" t="str">
        <f t="shared" si="38"/>
        <v/>
      </c>
    </row>
    <row r="805" spans="1:9" hidden="1" x14ac:dyDescent="0.25">
      <c r="A805" s="113" t="s">
        <v>2774</v>
      </c>
      <c r="B805" s="114" t="s">
        <v>2775</v>
      </c>
      <c r="C805" s="115" t="s">
        <v>20</v>
      </c>
      <c r="D805" s="115">
        <v>0</v>
      </c>
      <c r="E805" s="135" t="s">
        <v>568</v>
      </c>
      <c r="F805" s="136" t="str">
        <f t="shared" si="36"/>
        <v/>
      </c>
      <c r="G805" s="137" t="e">
        <f>IF(A805&lt;&gt;"",IF(AND(#REF!="Padrão",$H$4=#REF!),BDI!$B$17,IF(AND(#REF!="Padrão",$H$4=#REF!),BDI!#REF!,IF(AND(#REF!="Diferenciado",$H$4=#REF!),BDI!$E$17,IF(AND(#REF!="Diferenciado",$H$4=#REF!),BDI!#REF!,IF(#REF!="ZERO",0))))),"")</f>
        <v>#REF!</v>
      </c>
      <c r="H805" s="138" t="str">
        <f t="shared" si="37"/>
        <v/>
      </c>
      <c r="I805" s="136" t="str">
        <f t="shared" si="38"/>
        <v/>
      </c>
    </row>
    <row r="806" spans="1:9" hidden="1" x14ac:dyDescent="0.25">
      <c r="A806" s="113" t="s">
        <v>2776</v>
      </c>
      <c r="B806" s="114" t="s">
        <v>2777</v>
      </c>
      <c r="C806" s="115" t="s">
        <v>20</v>
      </c>
      <c r="D806" s="115">
        <v>0</v>
      </c>
      <c r="E806" s="135" t="s">
        <v>568</v>
      </c>
      <c r="F806" s="136" t="str">
        <f t="shared" si="36"/>
        <v/>
      </c>
      <c r="G806" s="137" t="e">
        <f>IF(A806&lt;&gt;"",IF(AND(#REF!="Padrão",$H$4=#REF!),BDI!$B$17,IF(AND(#REF!="Padrão",$H$4=#REF!),BDI!#REF!,IF(AND(#REF!="Diferenciado",$H$4=#REF!),BDI!$E$17,IF(AND(#REF!="Diferenciado",$H$4=#REF!),BDI!#REF!,IF(#REF!="ZERO",0))))),"")</f>
        <v>#REF!</v>
      </c>
      <c r="H806" s="138" t="str">
        <f t="shared" si="37"/>
        <v/>
      </c>
      <c r="I806" s="136" t="str">
        <f t="shared" si="38"/>
        <v/>
      </c>
    </row>
    <row r="807" spans="1:9" hidden="1" x14ac:dyDescent="0.25">
      <c r="A807" s="113" t="s">
        <v>2778</v>
      </c>
      <c r="B807" s="114" t="s">
        <v>2779</v>
      </c>
      <c r="C807" s="115" t="s">
        <v>20</v>
      </c>
      <c r="D807" s="115">
        <v>0</v>
      </c>
      <c r="E807" s="135" t="s">
        <v>568</v>
      </c>
      <c r="F807" s="136" t="str">
        <f t="shared" si="36"/>
        <v/>
      </c>
      <c r="G807" s="137" t="e">
        <f>IF(A807&lt;&gt;"",IF(AND(#REF!="Padrão",$H$4=#REF!),BDI!$B$17,IF(AND(#REF!="Padrão",$H$4=#REF!),BDI!#REF!,IF(AND(#REF!="Diferenciado",$H$4=#REF!),BDI!$E$17,IF(AND(#REF!="Diferenciado",$H$4=#REF!),BDI!#REF!,IF(#REF!="ZERO",0))))),"")</f>
        <v>#REF!</v>
      </c>
      <c r="H807" s="138" t="str">
        <f t="shared" si="37"/>
        <v/>
      </c>
      <c r="I807" s="136" t="str">
        <f t="shared" si="38"/>
        <v/>
      </c>
    </row>
    <row r="808" spans="1:9" hidden="1" x14ac:dyDescent="0.25">
      <c r="A808" s="113" t="s">
        <v>2780</v>
      </c>
      <c r="B808" s="114" t="s">
        <v>2781</v>
      </c>
      <c r="C808" s="115" t="s">
        <v>20</v>
      </c>
      <c r="D808" s="115">
        <v>0</v>
      </c>
      <c r="E808" s="135" t="s">
        <v>568</v>
      </c>
      <c r="F808" s="136" t="str">
        <f t="shared" si="36"/>
        <v/>
      </c>
      <c r="G808" s="137" t="e">
        <f>IF(A808&lt;&gt;"",IF(AND(#REF!="Padrão",$H$4=#REF!),BDI!$B$17,IF(AND(#REF!="Padrão",$H$4=#REF!),BDI!#REF!,IF(AND(#REF!="Diferenciado",$H$4=#REF!),BDI!$E$17,IF(AND(#REF!="Diferenciado",$H$4=#REF!),BDI!#REF!,IF(#REF!="ZERO",0))))),"")</f>
        <v>#REF!</v>
      </c>
      <c r="H808" s="138" t="str">
        <f t="shared" si="37"/>
        <v/>
      </c>
      <c r="I808" s="136" t="str">
        <f t="shared" si="38"/>
        <v/>
      </c>
    </row>
    <row r="809" spans="1:9" hidden="1" x14ac:dyDescent="0.25">
      <c r="A809" s="113" t="s">
        <v>2782</v>
      </c>
      <c r="B809" s="114" t="s">
        <v>2783</v>
      </c>
      <c r="C809" s="115" t="s">
        <v>20</v>
      </c>
      <c r="D809" s="115">
        <v>0</v>
      </c>
      <c r="E809" s="135" t="s">
        <v>568</v>
      </c>
      <c r="F809" s="136" t="str">
        <f t="shared" si="36"/>
        <v/>
      </c>
      <c r="G809" s="137" t="e">
        <f>IF(A809&lt;&gt;"",IF(AND(#REF!="Padrão",$H$4=#REF!),BDI!$B$17,IF(AND(#REF!="Padrão",$H$4=#REF!),BDI!#REF!,IF(AND(#REF!="Diferenciado",$H$4=#REF!),BDI!$E$17,IF(AND(#REF!="Diferenciado",$H$4=#REF!),BDI!#REF!,IF(#REF!="ZERO",0))))),"")</f>
        <v>#REF!</v>
      </c>
      <c r="H809" s="138" t="str">
        <f t="shared" si="37"/>
        <v/>
      </c>
      <c r="I809" s="136" t="str">
        <f t="shared" si="38"/>
        <v/>
      </c>
    </row>
    <row r="810" spans="1:9" hidden="1" x14ac:dyDescent="0.25">
      <c r="A810" s="113" t="s">
        <v>2784</v>
      </c>
      <c r="B810" s="114" t="s">
        <v>2785</v>
      </c>
      <c r="C810" s="115" t="s">
        <v>20</v>
      </c>
      <c r="D810" s="115">
        <v>0</v>
      </c>
      <c r="E810" s="135" t="s">
        <v>568</v>
      </c>
      <c r="F810" s="136" t="str">
        <f t="shared" si="36"/>
        <v/>
      </c>
      <c r="G810" s="137" t="e">
        <f>IF(A810&lt;&gt;"",IF(AND(#REF!="Padrão",$H$4=#REF!),BDI!$B$17,IF(AND(#REF!="Padrão",$H$4=#REF!),BDI!#REF!,IF(AND(#REF!="Diferenciado",$H$4=#REF!),BDI!$E$17,IF(AND(#REF!="Diferenciado",$H$4=#REF!),BDI!#REF!,IF(#REF!="ZERO",0))))),"")</f>
        <v>#REF!</v>
      </c>
      <c r="H810" s="138" t="str">
        <f t="shared" si="37"/>
        <v/>
      </c>
      <c r="I810" s="136" t="str">
        <f t="shared" si="38"/>
        <v/>
      </c>
    </row>
    <row r="811" spans="1:9" hidden="1" x14ac:dyDescent="0.25">
      <c r="A811" s="113" t="s">
        <v>2786</v>
      </c>
      <c r="B811" s="114" t="s">
        <v>2787</v>
      </c>
      <c r="C811" s="115" t="s">
        <v>20</v>
      </c>
      <c r="D811" s="115">
        <v>0</v>
      </c>
      <c r="E811" s="135" t="s">
        <v>568</v>
      </c>
      <c r="F811" s="136" t="str">
        <f t="shared" si="36"/>
        <v/>
      </c>
      <c r="G811" s="137" t="e">
        <f>IF(A811&lt;&gt;"",IF(AND(#REF!="Padrão",$H$4=#REF!),BDI!$B$17,IF(AND(#REF!="Padrão",$H$4=#REF!),BDI!#REF!,IF(AND(#REF!="Diferenciado",$H$4=#REF!),BDI!$E$17,IF(AND(#REF!="Diferenciado",$H$4=#REF!),BDI!#REF!,IF(#REF!="ZERO",0))))),"")</f>
        <v>#REF!</v>
      </c>
      <c r="H811" s="138" t="str">
        <f t="shared" si="37"/>
        <v/>
      </c>
      <c r="I811" s="136" t="str">
        <f t="shared" si="38"/>
        <v/>
      </c>
    </row>
    <row r="812" spans="1:9" hidden="1" x14ac:dyDescent="0.25">
      <c r="A812" s="113" t="s">
        <v>2788</v>
      </c>
      <c r="B812" s="114" t="s">
        <v>2789</v>
      </c>
      <c r="C812" s="115" t="s">
        <v>20</v>
      </c>
      <c r="D812" s="115">
        <v>0</v>
      </c>
      <c r="E812" s="135" t="s">
        <v>568</v>
      </c>
      <c r="F812" s="136" t="str">
        <f t="shared" si="36"/>
        <v/>
      </c>
      <c r="G812" s="137" t="e">
        <f>IF(A812&lt;&gt;"",IF(AND(#REF!="Padrão",$H$4=#REF!),BDI!$B$17,IF(AND(#REF!="Padrão",$H$4=#REF!),BDI!#REF!,IF(AND(#REF!="Diferenciado",$H$4=#REF!),BDI!$E$17,IF(AND(#REF!="Diferenciado",$H$4=#REF!),BDI!#REF!,IF(#REF!="ZERO",0))))),"")</f>
        <v>#REF!</v>
      </c>
      <c r="H812" s="138" t="str">
        <f t="shared" si="37"/>
        <v/>
      </c>
      <c r="I812" s="136" t="str">
        <f t="shared" si="38"/>
        <v/>
      </c>
    </row>
    <row r="813" spans="1:9" hidden="1" x14ac:dyDescent="0.25">
      <c r="A813" s="113" t="s">
        <v>2790</v>
      </c>
      <c r="B813" s="114" t="s">
        <v>2791</v>
      </c>
      <c r="C813" s="115" t="s">
        <v>20</v>
      </c>
      <c r="D813" s="115">
        <v>0</v>
      </c>
      <c r="E813" s="135" t="s">
        <v>568</v>
      </c>
      <c r="F813" s="136" t="str">
        <f t="shared" si="36"/>
        <v/>
      </c>
      <c r="G813" s="137" t="e">
        <f>IF(A813&lt;&gt;"",IF(AND(#REF!="Padrão",$H$4=#REF!),BDI!$B$17,IF(AND(#REF!="Padrão",$H$4=#REF!),BDI!#REF!,IF(AND(#REF!="Diferenciado",$H$4=#REF!),BDI!$E$17,IF(AND(#REF!="Diferenciado",$H$4=#REF!),BDI!#REF!,IF(#REF!="ZERO",0))))),"")</f>
        <v>#REF!</v>
      </c>
      <c r="H813" s="138" t="str">
        <f t="shared" si="37"/>
        <v/>
      </c>
      <c r="I813" s="136" t="str">
        <f t="shared" si="38"/>
        <v/>
      </c>
    </row>
    <row r="814" spans="1:9" hidden="1" x14ac:dyDescent="0.25">
      <c r="A814" s="113" t="s">
        <v>2792</v>
      </c>
      <c r="B814" s="114" t="s">
        <v>2793</v>
      </c>
      <c r="C814" s="115" t="s">
        <v>20</v>
      </c>
      <c r="D814" s="115">
        <v>0</v>
      </c>
      <c r="E814" s="135" t="s">
        <v>568</v>
      </c>
      <c r="F814" s="136" t="str">
        <f t="shared" si="36"/>
        <v/>
      </c>
      <c r="G814" s="137" t="e">
        <f>IF(A814&lt;&gt;"",IF(AND(#REF!="Padrão",$H$4=#REF!),BDI!$B$17,IF(AND(#REF!="Padrão",$H$4=#REF!),BDI!#REF!,IF(AND(#REF!="Diferenciado",$H$4=#REF!),BDI!$E$17,IF(AND(#REF!="Diferenciado",$H$4=#REF!),BDI!#REF!,IF(#REF!="ZERO",0))))),"")</f>
        <v>#REF!</v>
      </c>
      <c r="H814" s="138" t="str">
        <f t="shared" si="37"/>
        <v/>
      </c>
      <c r="I814" s="136" t="str">
        <f t="shared" si="38"/>
        <v/>
      </c>
    </row>
    <row r="815" spans="1:9" hidden="1" x14ac:dyDescent="0.25">
      <c r="A815" s="113" t="s">
        <v>2794</v>
      </c>
      <c r="B815" s="114" t="s">
        <v>2795</v>
      </c>
      <c r="C815" s="115" t="s">
        <v>20</v>
      </c>
      <c r="D815" s="115">
        <v>0</v>
      </c>
      <c r="E815" s="135" t="s">
        <v>568</v>
      </c>
      <c r="F815" s="136" t="str">
        <f t="shared" si="36"/>
        <v/>
      </c>
      <c r="G815" s="137" t="e">
        <f>IF(A815&lt;&gt;"",IF(AND(#REF!="Padrão",$H$4=#REF!),BDI!$B$17,IF(AND(#REF!="Padrão",$H$4=#REF!),BDI!#REF!,IF(AND(#REF!="Diferenciado",$H$4=#REF!),BDI!$E$17,IF(AND(#REF!="Diferenciado",$H$4=#REF!),BDI!#REF!,IF(#REF!="ZERO",0))))),"")</f>
        <v>#REF!</v>
      </c>
      <c r="H815" s="138" t="str">
        <f t="shared" si="37"/>
        <v/>
      </c>
      <c r="I815" s="136" t="str">
        <f t="shared" si="38"/>
        <v/>
      </c>
    </row>
    <row r="816" spans="1:9" hidden="1" x14ac:dyDescent="0.25">
      <c r="A816" s="113" t="s">
        <v>2796</v>
      </c>
      <c r="B816" s="114" t="s">
        <v>2797</v>
      </c>
      <c r="C816" s="115" t="s">
        <v>20</v>
      </c>
      <c r="D816" s="115">
        <v>0</v>
      </c>
      <c r="E816" s="135" t="s">
        <v>568</v>
      </c>
      <c r="F816" s="136" t="str">
        <f t="shared" si="36"/>
        <v/>
      </c>
      <c r="G816" s="137" t="e">
        <f>IF(A816&lt;&gt;"",IF(AND(#REF!="Padrão",$H$4=#REF!),BDI!$B$17,IF(AND(#REF!="Padrão",$H$4=#REF!),BDI!#REF!,IF(AND(#REF!="Diferenciado",$H$4=#REF!),BDI!$E$17,IF(AND(#REF!="Diferenciado",$H$4=#REF!),BDI!#REF!,IF(#REF!="ZERO",0))))),"")</f>
        <v>#REF!</v>
      </c>
      <c r="H816" s="138" t="str">
        <f t="shared" si="37"/>
        <v/>
      </c>
      <c r="I816" s="136" t="str">
        <f t="shared" si="38"/>
        <v/>
      </c>
    </row>
    <row r="817" spans="1:9" hidden="1" x14ac:dyDescent="0.25">
      <c r="A817" s="113" t="s">
        <v>2798</v>
      </c>
      <c r="B817" s="114" t="s">
        <v>2799</v>
      </c>
      <c r="C817" s="115" t="s">
        <v>20</v>
      </c>
      <c r="D817" s="115">
        <v>0</v>
      </c>
      <c r="E817" s="135" t="s">
        <v>568</v>
      </c>
      <c r="F817" s="136" t="str">
        <f t="shared" si="36"/>
        <v/>
      </c>
      <c r="G817" s="137" t="e">
        <f>IF(A817&lt;&gt;"",IF(AND(#REF!="Padrão",$H$4=#REF!),BDI!$B$17,IF(AND(#REF!="Padrão",$H$4=#REF!),BDI!#REF!,IF(AND(#REF!="Diferenciado",$H$4=#REF!),BDI!$E$17,IF(AND(#REF!="Diferenciado",$H$4=#REF!),BDI!#REF!,IF(#REF!="ZERO",0))))),"")</f>
        <v>#REF!</v>
      </c>
      <c r="H817" s="138" t="str">
        <f t="shared" si="37"/>
        <v/>
      </c>
      <c r="I817" s="136" t="str">
        <f t="shared" si="38"/>
        <v/>
      </c>
    </row>
    <row r="818" spans="1:9" hidden="1" x14ac:dyDescent="0.25">
      <c r="A818" s="113" t="s">
        <v>2800</v>
      </c>
      <c r="B818" s="114" t="s">
        <v>2801</v>
      </c>
      <c r="C818" s="115" t="s">
        <v>20</v>
      </c>
      <c r="D818" s="115">
        <v>0</v>
      </c>
      <c r="E818" s="135" t="s">
        <v>568</v>
      </c>
      <c r="F818" s="136" t="str">
        <f t="shared" si="36"/>
        <v/>
      </c>
      <c r="G818" s="137" t="e">
        <f>IF(A818&lt;&gt;"",IF(AND(#REF!="Padrão",$H$4=#REF!),BDI!$B$17,IF(AND(#REF!="Padrão",$H$4=#REF!),BDI!#REF!,IF(AND(#REF!="Diferenciado",$H$4=#REF!),BDI!$E$17,IF(AND(#REF!="Diferenciado",$H$4=#REF!),BDI!#REF!,IF(#REF!="ZERO",0))))),"")</f>
        <v>#REF!</v>
      </c>
      <c r="H818" s="138" t="str">
        <f t="shared" si="37"/>
        <v/>
      </c>
      <c r="I818" s="136" t="str">
        <f t="shared" si="38"/>
        <v/>
      </c>
    </row>
    <row r="819" spans="1:9" hidden="1" x14ac:dyDescent="0.25">
      <c r="A819" s="113" t="s">
        <v>2802</v>
      </c>
      <c r="B819" s="114" t="s">
        <v>2803</v>
      </c>
      <c r="C819" s="115" t="s">
        <v>20</v>
      </c>
      <c r="D819" s="115">
        <v>0</v>
      </c>
      <c r="E819" s="135" t="s">
        <v>568</v>
      </c>
      <c r="F819" s="136" t="str">
        <f t="shared" si="36"/>
        <v/>
      </c>
      <c r="G819" s="137" t="e">
        <f>IF(A819&lt;&gt;"",IF(AND(#REF!="Padrão",$H$4=#REF!),BDI!$B$17,IF(AND(#REF!="Padrão",$H$4=#REF!),BDI!#REF!,IF(AND(#REF!="Diferenciado",$H$4=#REF!),BDI!$E$17,IF(AND(#REF!="Diferenciado",$H$4=#REF!),BDI!#REF!,IF(#REF!="ZERO",0))))),"")</f>
        <v>#REF!</v>
      </c>
      <c r="H819" s="138" t="str">
        <f t="shared" si="37"/>
        <v/>
      </c>
      <c r="I819" s="136" t="str">
        <f t="shared" si="38"/>
        <v/>
      </c>
    </row>
    <row r="820" spans="1:9" hidden="1" x14ac:dyDescent="0.25">
      <c r="A820" s="113" t="s">
        <v>2804</v>
      </c>
      <c r="B820" s="114" t="s">
        <v>2805</v>
      </c>
      <c r="C820" s="115" t="s">
        <v>20</v>
      </c>
      <c r="D820" s="115">
        <v>0</v>
      </c>
      <c r="E820" s="135" t="s">
        <v>568</v>
      </c>
      <c r="F820" s="136" t="str">
        <f t="shared" si="36"/>
        <v/>
      </c>
      <c r="G820" s="137" t="e">
        <f>IF(A820&lt;&gt;"",IF(AND(#REF!="Padrão",$H$4=#REF!),BDI!$B$17,IF(AND(#REF!="Padrão",$H$4=#REF!),BDI!#REF!,IF(AND(#REF!="Diferenciado",$H$4=#REF!),BDI!$E$17,IF(AND(#REF!="Diferenciado",$H$4=#REF!),BDI!#REF!,IF(#REF!="ZERO",0))))),"")</f>
        <v>#REF!</v>
      </c>
      <c r="H820" s="138" t="str">
        <f t="shared" si="37"/>
        <v/>
      </c>
      <c r="I820" s="136" t="str">
        <f t="shared" si="38"/>
        <v/>
      </c>
    </row>
    <row r="821" spans="1:9" hidden="1" x14ac:dyDescent="0.25">
      <c r="A821" s="113" t="s">
        <v>2806</v>
      </c>
      <c r="B821" s="114" t="s">
        <v>2807</v>
      </c>
      <c r="C821" s="115" t="s">
        <v>20</v>
      </c>
      <c r="D821" s="115">
        <v>0</v>
      </c>
      <c r="E821" s="135" t="s">
        <v>568</v>
      </c>
      <c r="F821" s="136" t="str">
        <f t="shared" si="36"/>
        <v/>
      </c>
      <c r="G821" s="137" t="e">
        <f>IF(A821&lt;&gt;"",IF(AND(#REF!="Padrão",$H$4=#REF!),BDI!$B$17,IF(AND(#REF!="Padrão",$H$4=#REF!),BDI!#REF!,IF(AND(#REF!="Diferenciado",$H$4=#REF!),BDI!$E$17,IF(AND(#REF!="Diferenciado",$H$4=#REF!),BDI!#REF!,IF(#REF!="ZERO",0))))),"")</f>
        <v>#REF!</v>
      </c>
      <c r="H821" s="138" t="str">
        <f t="shared" si="37"/>
        <v/>
      </c>
      <c r="I821" s="136" t="str">
        <f t="shared" si="38"/>
        <v/>
      </c>
    </row>
    <row r="822" spans="1:9" hidden="1" x14ac:dyDescent="0.25">
      <c r="A822" s="113" t="s">
        <v>2808</v>
      </c>
      <c r="B822" s="114" t="s">
        <v>2809</v>
      </c>
      <c r="C822" s="115" t="s">
        <v>20</v>
      </c>
      <c r="D822" s="115">
        <v>0</v>
      </c>
      <c r="E822" s="135" t="s">
        <v>568</v>
      </c>
      <c r="F822" s="136" t="str">
        <f t="shared" si="36"/>
        <v/>
      </c>
      <c r="G822" s="137" t="e">
        <f>IF(A822&lt;&gt;"",IF(AND(#REF!="Padrão",$H$4=#REF!),BDI!$B$17,IF(AND(#REF!="Padrão",$H$4=#REF!),BDI!#REF!,IF(AND(#REF!="Diferenciado",$H$4=#REF!),BDI!$E$17,IF(AND(#REF!="Diferenciado",$H$4=#REF!),BDI!#REF!,IF(#REF!="ZERO",0))))),"")</f>
        <v>#REF!</v>
      </c>
      <c r="H822" s="138" t="str">
        <f t="shared" si="37"/>
        <v/>
      </c>
      <c r="I822" s="136" t="str">
        <f t="shared" si="38"/>
        <v/>
      </c>
    </row>
    <row r="823" spans="1:9" hidden="1" x14ac:dyDescent="0.25">
      <c r="A823" s="113" t="s">
        <v>2810</v>
      </c>
      <c r="B823" s="114" t="s">
        <v>2811</v>
      </c>
      <c r="C823" s="115" t="s">
        <v>20</v>
      </c>
      <c r="D823" s="115">
        <v>0</v>
      </c>
      <c r="E823" s="135" t="s">
        <v>568</v>
      </c>
      <c r="F823" s="136" t="str">
        <f t="shared" si="36"/>
        <v/>
      </c>
      <c r="G823" s="137" t="e">
        <f>IF(A823&lt;&gt;"",IF(AND(#REF!="Padrão",$H$4=#REF!),BDI!$B$17,IF(AND(#REF!="Padrão",$H$4=#REF!),BDI!#REF!,IF(AND(#REF!="Diferenciado",$H$4=#REF!),BDI!$E$17,IF(AND(#REF!="Diferenciado",$H$4=#REF!),BDI!#REF!,IF(#REF!="ZERO",0))))),"")</f>
        <v>#REF!</v>
      </c>
      <c r="H823" s="138" t="str">
        <f t="shared" si="37"/>
        <v/>
      </c>
      <c r="I823" s="136" t="str">
        <f t="shared" si="38"/>
        <v/>
      </c>
    </row>
    <row r="824" spans="1:9" hidden="1" x14ac:dyDescent="0.25">
      <c r="A824" s="113" t="s">
        <v>2812</v>
      </c>
      <c r="B824" s="114" t="s">
        <v>2813</v>
      </c>
      <c r="C824" s="115" t="s">
        <v>20</v>
      </c>
      <c r="D824" s="115">
        <v>0</v>
      </c>
      <c r="E824" s="135" t="s">
        <v>568</v>
      </c>
      <c r="F824" s="136" t="str">
        <f t="shared" si="36"/>
        <v/>
      </c>
      <c r="G824" s="137" t="e">
        <f>IF(A824&lt;&gt;"",IF(AND(#REF!="Padrão",$H$4=#REF!),BDI!$B$17,IF(AND(#REF!="Padrão",$H$4=#REF!),BDI!#REF!,IF(AND(#REF!="Diferenciado",$H$4=#REF!),BDI!$E$17,IF(AND(#REF!="Diferenciado",$H$4=#REF!),BDI!#REF!,IF(#REF!="ZERO",0))))),"")</f>
        <v>#REF!</v>
      </c>
      <c r="H824" s="138" t="str">
        <f t="shared" si="37"/>
        <v/>
      </c>
      <c r="I824" s="136" t="str">
        <f t="shared" si="38"/>
        <v/>
      </c>
    </row>
    <row r="825" spans="1:9" hidden="1" x14ac:dyDescent="0.25">
      <c r="A825" s="113" t="s">
        <v>2814</v>
      </c>
      <c r="B825" s="114" t="s">
        <v>2815</v>
      </c>
      <c r="C825" s="115" t="s">
        <v>20</v>
      </c>
      <c r="D825" s="115">
        <v>0</v>
      </c>
      <c r="E825" s="135" t="s">
        <v>568</v>
      </c>
      <c r="F825" s="136" t="str">
        <f t="shared" si="36"/>
        <v/>
      </c>
      <c r="G825" s="137" t="e">
        <f>IF(A825&lt;&gt;"",IF(AND(#REF!="Padrão",$H$4=#REF!),BDI!$B$17,IF(AND(#REF!="Padrão",$H$4=#REF!),BDI!#REF!,IF(AND(#REF!="Diferenciado",$H$4=#REF!),BDI!$E$17,IF(AND(#REF!="Diferenciado",$H$4=#REF!),BDI!#REF!,IF(#REF!="ZERO",0))))),"")</f>
        <v>#REF!</v>
      </c>
      <c r="H825" s="138" t="str">
        <f t="shared" si="37"/>
        <v/>
      </c>
      <c r="I825" s="136" t="str">
        <f t="shared" si="38"/>
        <v/>
      </c>
    </row>
    <row r="826" spans="1:9" hidden="1" x14ac:dyDescent="0.25">
      <c r="A826" s="113" t="s">
        <v>2816</v>
      </c>
      <c r="B826" s="114" t="s">
        <v>2817</v>
      </c>
      <c r="C826" s="115" t="s">
        <v>2818</v>
      </c>
      <c r="D826" s="115">
        <v>0</v>
      </c>
      <c r="E826" s="135" t="s">
        <v>568</v>
      </c>
      <c r="F826" s="136" t="str">
        <f t="shared" si="36"/>
        <v/>
      </c>
      <c r="G826" s="137" t="e">
        <f>IF(A826&lt;&gt;"",IF(AND(#REF!="Padrão",$H$4=#REF!),BDI!$B$17,IF(AND(#REF!="Padrão",$H$4=#REF!),BDI!#REF!,IF(AND(#REF!="Diferenciado",$H$4=#REF!),BDI!$E$17,IF(AND(#REF!="Diferenciado",$H$4=#REF!),BDI!#REF!,IF(#REF!="ZERO",0))))),"")</f>
        <v>#REF!</v>
      </c>
      <c r="H826" s="138" t="str">
        <f t="shared" si="37"/>
        <v/>
      </c>
      <c r="I826" s="136" t="str">
        <f t="shared" si="38"/>
        <v/>
      </c>
    </row>
    <row r="827" spans="1:9" hidden="1" x14ac:dyDescent="0.25">
      <c r="A827" s="113" t="s">
        <v>2819</v>
      </c>
      <c r="B827" s="114" t="s">
        <v>2820</v>
      </c>
      <c r="C827" s="115" t="s">
        <v>20</v>
      </c>
      <c r="D827" s="115">
        <v>0</v>
      </c>
      <c r="E827" s="135" t="s">
        <v>568</v>
      </c>
      <c r="F827" s="136" t="str">
        <f t="shared" si="36"/>
        <v/>
      </c>
      <c r="G827" s="137" t="e">
        <f>IF(A827&lt;&gt;"",IF(AND(#REF!="Padrão",$H$4=#REF!),BDI!$B$17,IF(AND(#REF!="Padrão",$H$4=#REF!),BDI!#REF!,IF(AND(#REF!="Diferenciado",$H$4=#REF!),BDI!$E$17,IF(AND(#REF!="Diferenciado",$H$4=#REF!),BDI!#REF!,IF(#REF!="ZERO",0))))),"")</f>
        <v>#REF!</v>
      </c>
      <c r="H827" s="138" t="str">
        <f t="shared" si="37"/>
        <v/>
      </c>
      <c r="I827" s="136" t="str">
        <f t="shared" si="38"/>
        <v/>
      </c>
    </row>
    <row r="828" spans="1:9" ht="25.5" hidden="1" x14ac:dyDescent="0.25">
      <c r="A828" s="113" t="s">
        <v>2821</v>
      </c>
      <c r="B828" s="114" t="s">
        <v>2822</v>
      </c>
      <c r="C828" s="115" t="s">
        <v>2823</v>
      </c>
      <c r="D828" s="115">
        <v>0</v>
      </c>
      <c r="E828" s="135" t="s">
        <v>568</v>
      </c>
      <c r="F828" s="136" t="str">
        <f t="shared" si="36"/>
        <v/>
      </c>
      <c r="G828" s="137" t="e">
        <f>IF(A828&lt;&gt;"",IF(AND(#REF!="Padrão",$H$4=#REF!),BDI!$B$17,IF(AND(#REF!="Padrão",$H$4=#REF!),BDI!#REF!,IF(AND(#REF!="Diferenciado",$H$4=#REF!),BDI!$E$17,IF(AND(#REF!="Diferenciado",$H$4=#REF!),BDI!#REF!,IF(#REF!="ZERO",0))))),"")</f>
        <v>#REF!</v>
      </c>
      <c r="H828" s="138" t="str">
        <f t="shared" si="37"/>
        <v/>
      </c>
      <c r="I828" s="136" t="str">
        <f t="shared" si="38"/>
        <v/>
      </c>
    </row>
    <row r="829" spans="1:9" ht="25.5" hidden="1" x14ac:dyDescent="0.25">
      <c r="A829" s="113" t="s">
        <v>2824</v>
      </c>
      <c r="B829" s="114" t="s">
        <v>2825</v>
      </c>
      <c r="C829" s="115" t="s">
        <v>2823</v>
      </c>
      <c r="D829" s="115">
        <v>0</v>
      </c>
      <c r="E829" s="135" t="s">
        <v>568</v>
      </c>
      <c r="F829" s="136" t="str">
        <f t="shared" si="36"/>
        <v/>
      </c>
      <c r="G829" s="137" t="e">
        <f>IF(A829&lt;&gt;"",IF(AND(#REF!="Padrão",$H$4=#REF!),BDI!$B$17,IF(AND(#REF!="Padrão",$H$4=#REF!),BDI!#REF!,IF(AND(#REF!="Diferenciado",$H$4=#REF!),BDI!$E$17,IF(AND(#REF!="Diferenciado",$H$4=#REF!),BDI!#REF!,IF(#REF!="ZERO",0))))),"")</f>
        <v>#REF!</v>
      </c>
      <c r="H829" s="138" t="str">
        <f t="shared" si="37"/>
        <v/>
      </c>
      <c r="I829" s="136" t="str">
        <f t="shared" si="38"/>
        <v/>
      </c>
    </row>
    <row r="830" spans="1:9" hidden="1" x14ac:dyDescent="0.25">
      <c r="A830" s="113" t="s">
        <v>2826</v>
      </c>
      <c r="B830" s="114" t="s">
        <v>2827</v>
      </c>
      <c r="C830" s="115" t="s">
        <v>2823</v>
      </c>
      <c r="D830" s="115">
        <v>0</v>
      </c>
      <c r="E830" s="135" t="s">
        <v>568</v>
      </c>
      <c r="F830" s="136" t="str">
        <f t="shared" si="36"/>
        <v/>
      </c>
      <c r="G830" s="137" t="e">
        <f>IF(A830&lt;&gt;"",IF(AND(#REF!="Padrão",$H$4=#REF!),BDI!$B$17,IF(AND(#REF!="Padrão",$H$4=#REF!),BDI!#REF!,IF(AND(#REF!="Diferenciado",$H$4=#REF!),BDI!$E$17,IF(AND(#REF!="Diferenciado",$H$4=#REF!),BDI!#REF!,IF(#REF!="ZERO",0))))),"")</f>
        <v>#REF!</v>
      </c>
      <c r="H830" s="138" t="str">
        <f t="shared" si="37"/>
        <v/>
      </c>
      <c r="I830" s="136" t="str">
        <f t="shared" si="38"/>
        <v/>
      </c>
    </row>
    <row r="831" spans="1:9" hidden="1" x14ac:dyDescent="0.25">
      <c r="A831" s="113" t="s">
        <v>2828</v>
      </c>
      <c r="B831" s="114" t="s">
        <v>2829</v>
      </c>
      <c r="C831" s="115" t="s">
        <v>2823</v>
      </c>
      <c r="D831" s="115">
        <v>0</v>
      </c>
      <c r="E831" s="135" t="s">
        <v>568</v>
      </c>
      <c r="F831" s="136" t="str">
        <f t="shared" si="36"/>
        <v/>
      </c>
      <c r="G831" s="137" t="e">
        <f>IF(A831&lt;&gt;"",IF(AND(#REF!="Padrão",$H$4=#REF!),BDI!$B$17,IF(AND(#REF!="Padrão",$H$4=#REF!),BDI!#REF!,IF(AND(#REF!="Diferenciado",$H$4=#REF!),BDI!$E$17,IF(AND(#REF!="Diferenciado",$H$4=#REF!),BDI!#REF!,IF(#REF!="ZERO",0))))),"")</f>
        <v>#REF!</v>
      </c>
      <c r="H831" s="138" t="str">
        <f t="shared" si="37"/>
        <v/>
      </c>
      <c r="I831" s="136" t="str">
        <f t="shared" si="38"/>
        <v/>
      </c>
    </row>
    <row r="832" spans="1:9" hidden="1" x14ac:dyDescent="0.25">
      <c r="A832" s="113" t="s">
        <v>2830</v>
      </c>
      <c r="B832" s="114" t="s">
        <v>2831</v>
      </c>
      <c r="C832" s="115" t="s">
        <v>2061</v>
      </c>
      <c r="D832" s="115">
        <v>0</v>
      </c>
      <c r="E832" s="135" t="s">
        <v>568</v>
      </c>
      <c r="F832" s="136" t="str">
        <f t="shared" si="36"/>
        <v/>
      </c>
      <c r="G832" s="137" t="e">
        <f>IF(A832&lt;&gt;"",IF(AND(#REF!="Padrão",$H$4=#REF!),BDI!$B$17,IF(AND(#REF!="Padrão",$H$4=#REF!),BDI!#REF!,IF(AND(#REF!="Diferenciado",$H$4=#REF!),BDI!$E$17,IF(AND(#REF!="Diferenciado",$H$4=#REF!),BDI!#REF!,IF(#REF!="ZERO",0))))),"")</f>
        <v>#REF!</v>
      </c>
      <c r="H832" s="138" t="str">
        <f t="shared" si="37"/>
        <v/>
      </c>
      <c r="I832" s="136" t="str">
        <f t="shared" si="38"/>
        <v/>
      </c>
    </row>
    <row r="833" spans="1:9" hidden="1" x14ac:dyDescent="0.25">
      <c r="A833" s="113" t="s">
        <v>2832</v>
      </c>
      <c r="B833" s="114" t="s">
        <v>2833</v>
      </c>
      <c r="C833" s="115" t="s">
        <v>2061</v>
      </c>
      <c r="D833" s="115">
        <v>0</v>
      </c>
      <c r="E833" s="135" t="s">
        <v>568</v>
      </c>
      <c r="F833" s="136" t="str">
        <f t="shared" si="36"/>
        <v/>
      </c>
      <c r="G833" s="137" t="e">
        <f>IF(A833&lt;&gt;"",IF(AND(#REF!="Padrão",$H$4=#REF!),BDI!$B$17,IF(AND(#REF!="Padrão",$H$4=#REF!),BDI!#REF!,IF(AND(#REF!="Diferenciado",$H$4=#REF!),BDI!$E$17,IF(AND(#REF!="Diferenciado",$H$4=#REF!),BDI!#REF!,IF(#REF!="ZERO",0))))),"")</f>
        <v>#REF!</v>
      </c>
      <c r="H833" s="138" t="str">
        <f t="shared" si="37"/>
        <v/>
      </c>
      <c r="I833" s="136" t="str">
        <f t="shared" si="38"/>
        <v/>
      </c>
    </row>
    <row r="834" spans="1:9" hidden="1" x14ac:dyDescent="0.25">
      <c r="A834" s="113" t="s">
        <v>2834</v>
      </c>
      <c r="B834" s="114" t="s">
        <v>2835</v>
      </c>
      <c r="C834" s="115" t="s">
        <v>2823</v>
      </c>
      <c r="D834" s="115">
        <v>0</v>
      </c>
      <c r="E834" s="135" t="s">
        <v>568</v>
      </c>
      <c r="F834" s="136" t="str">
        <f t="shared" si="36"/>
        <v/>
      </c>
      <c r="G834" s="137" t="e">
        <f>IF(A834&lt;&gt;"",IF(AND(#REF!="Padrão",$H$4=#REF!),BDI!$B$17,IF(AND(#REF!="Padrão",$H$4=#REF!),BDI!#REF!,IF(AND(#REF!="Diferenciado",$H$4=#REF!),BDI!$E$17,IF(AND(#REF!="Diferenciado",$H$4=#REF!),BDI!#REF!,IF(#REF!="ZERO",0))))),"")</f>
        <v>#REF!</v>
      </c>
      <c r="H834" s="138" t="str">
        <f t="shared" si="37"/>
        <v/>
      </c>
      <c r="I834" s="136" t="str">
        <f t="shared" si="38"/>
        <v/>
      </c>
    </row>
    <row r="835" spans="1:9" hidden="1" x14ac:dyDescent="0.25">
      <c r="A835" s="113" t="s">
        <v>2836</v>
      </c>
      <c r="B835" s="114" t="s">
        <v>2837</v>
      </c>
      <c r="C835" s="115" t="s">
        <v>2823</v>
      </c>
      <c r="D835" s="115">
        <v>0</v>
      </c>
      <c r="E835" s="135" t="s">
        <v>568</v>
      </c>
      <c r="F835" s="136" t="str">
        <f t="shared" si="36"/>
        <v/>
      </c>
      <c r="G835" s="137" t="e">
        <f>IF(A835&lt;&gt;"",IF(AND(#REF!="Padrão",$H$4=#REF!),BDI!$B$17,IF(AND(#REF!="Padrão",$H$4=#REF!),BDI!#REF!,IF(AND(#REF!="Diferenciado",$H$4=#REF!),BDI!$E$17,IF(AND(#REF!="Diferenciado",$H$4=#REF!),BDI!#REF!,IF(#REF!="ZERO",0))))),"")</f>
        <v>#REF!</v>
      </c>
      <c r="H835" s="138" t="str">
        <f t="shared" si="37"/>
        <v/>
      </c>
      <c r="I835" s="136" t="str">
        <f t="shared" si="38"/>
        <v/>
      </c>
    </row>
    <row r="836" spans="1:9" hidden="1" x14ac:dyDescent="0.25">
      <c r="A836" s="113" t="s">
        <v>2838</v>
      </c>
      <c r="B836" s="114" t="s">
        <v>2839</v>
      </c>
      <c r="C836" s="115" t="s">
        <v>2823</v>
      </c>
      <c r="D836" s="115">
        <v>0</v>
      </c>
      <c r="E836" s="135" t="s">
        <v>568</v>
      </c>
      <c r="F836" s="136" t="str">
        <f t="shared" si="36"/>
        <v/>
      </c>
      <c r="G836" s="137" t="e">
        <f>IF(A836&lt;&gt;"",IF(AND(#REF!="Padrão",$H$4=#REF!),BDI!$B$17,IF(AND(#REF!="Padrão",$H$4=#REF!),BDI!#REF!,IF(AND(#REF!="Diferenciado",$H$4=#REF!),BDI!$E$17,IF(AND(#REF!="Diferenciado",$H$4=#REF!),BDI!#REF!,IF(#REF!="ZERO",0))))),"")</f>
        <v>#REF!</v>
      </c>
      <c r="H836" s="138" t="str">
        <f t="shared" si="37"/>
        <v/>
      </c>
      <c r="I836" s="136" t="str">
        <f t="shared" si="38"/>
        <v/>
      </c>
    </row>
    <row r="837" spans="1:9" hidden="1" x14ac:dyDescent="0.25">
      <c r="A837" s="113" t="s">
        <v>2840</v>
      </c>
      <c r="B837" s="114" t="s">
        <v>2841</v>
      </c>
      <c r="C837" s="115" t="s">
        <v>2823</v>
      </c>
      <c r="D837" s="115">
        <v>0</v>
      </c>
      <c r="E837" s="135" t="s">
        <v>568</v>
      </c>
      <c r="F837" s="136" t="str">
        <f t="shared" si="36"/>
        <v/>
      </c>
      <c r="G837" s="137" t="e">
        <f>IF(A837&lt;&gt;"",IF(AND(#REF!="Padrão",$H$4=#REF!),BDI!$B$17,IF(AND(#REF!="Padrão",$H$4=#REF!),BDI!#REF!,IF(AND(#REF!="Diferenciado",$H$4=#REF!),BDI!$E$17,IF(AND(#REF!="Diferenciado",$H$4=#REF!),BDI!#REF!,IF(#REF!="ZERO",0))))),"")</f>
        <v>#REF!</v>
      </c>
      <c r="H837" s="138" t="str">
        <f t="shared" si="37"/>
        <v/>
      </c>
      <c r="I837" s="136" t="str">
        <f t="shared" si="38"/>
        <v/>
      </c>
    </row>
    <row r="838" spans="1:9" hidden="1" x14ac:dyDescent="0.25">
      <c r="A838" s="113" t="s">
        <v>2842</v>
      </c>
      <c r="B838" s="114" t="s">
        <v>2843</v>
      </c>
      <c r="C838" s="115" t="s">
        <v>2823</v>
      </c>
      <c r="D838" s="115">
        <v>0</v>
      </c>
      <c r="E838" s="135" t="s">
        <v>568</v>
      </c>
      <c r="F838" s="136" t="str">
        <f t="shared" si="36"/>
        <v/>
      </c>
      <c r="G838" s="137" t="e">
        <f>IF(A838&lt;&gt;"",IF(AND(#REF!="Padrão",$H$4=#REF!),BDI!$B$17,IF(AND(#REF!="Padrão",$H$4=#REF!),BDI!#REF!,IF(AND(#REF!="Diferenciado",$H$4=#REF!),BDI!$E$17,IF(AND(#REF!="Diferenciado",$H$4=#REF!),BDI!#REF!,IF(#REF!="ZERO",0))))),"")</f>
        <v>#REF!</v>
      </c>
      <c r="H838" s="138" t="str">
        <f t="shared" si="37"/>
        <v/>
      </c>
      <c r="I838" s="136" t="str">
        <f t="shared" si="38"/>
        <v/>
      </c>
    </row>
    <row r="839" spans="1:9" hidden="1" x14ac:dyDescent="0.25">
      <c r="A839" s="113" t="s">
        <v>2844</v>
      </c>
      <c r="B839" s="114" t="s">
        <v>2845</v>
      </c>
      <c r="C839" s="115" t="s">
        <v>2061</v>
      </c>
      <c r="D839" s="115">
        <v>0</v>
      </c>
      <c r="E839" s="135" t="s">
        <v>568</v>
      </c>
      <c r="F839" s="136" t="str">
        <f t="shared" ref="F839:F902" si="39">IF(ISNUMBER(E839),D839*E839,"")</f>
        <v/>
      </c>
      <c r="G839" s="137" t="e">
        <f>IF(A839&lt;&gt;"",IF(AND(#REF!="Padrão",$H$4=#REF!),BDI!$B$17,IF(AND(#REF!="Padrão",$H$4=#REF!),BDI!#REF!,IF(AND(#REF!="Diferenciado",$H$4=#REF!),BDI!$E$17,IF(AND(#REF!="Diferenciado",$H$4=#REF!),BDI!#REF!,IF(#REF!="ZERO",0))))),"")</f>
        <v>#REF!</v>
      </c>
      <c r="H839" s="138" t="str">
        <f t="shared" ref="H839:H902" si="40">IF(ISNUMBER(E839),ROUND(E839*(1+G839),2),"")</f>
        <v/>
      </c>
      <c r="I839" s="136" t="str">
        <f t="shared" ref="I839:I902" si="41">IF(ISNUMBER(E839),ROUND(H839*D839,2),"")</f>
        <v/>
      </c>
    </row>
    <row r="840" spans="1:9" hidden="1" x14ac:dyDescent="0.25">
      <c r="A840" s="113" t="s">
        <v>2846</v>
      </c>
      <c r="B840" s="114" t="s">
        <v>2847</v>
      </c>
      <c r="C840" s="115" t="s">
        <v>2823</v>
      </c>
      <c r="D840" s="115">
        <v>0</v>
      </c>
      <c r="E840" s="135" t="s">
        <v>568</v>
      </c>
      <c r="F840" s="136" t="str">
        <f t="shared" si="39"/>
        <v/>
      </c>
      <c r="G840" s="137" t="e">
        <f>IF(A840&lt;&gt;"",IF(AND(#REF!="Padrão",$H$4=#REF!),BDI!$B$17,IF(AND(#REF!="Padrão",$H$4=#REF!),BDI!#REF!,IF(AND(#REF!="Diferenciado",$H$4=#REF!),BDI!$E$17,IF(AND(#REF!="Diferenciado",$H$4=#REF!),BDI!#REF!,IF(#REF!="ZERO",0))))),"")</f>
        <v>#REF!</v>
      </c>
      <c r="H840" s="138" t="str">
        <f t="shared" si="40"/>
        <v/>
      </c>
      <c r="I840" s="136" t="str">
        <f t="shared" si="41"/>
        <v/>
      </c>
    </row>
    <row r="841" spans="1:9" hidden="1" x14ac:dyDescent="0.25">
      <c r="A841" s="113" t="s">
        <v>2848</v>
      </c>
      <c r="B841" s="114" t="s">
        <v>2849</v>
      </c>
      <c r="C841" s="115" t="s">
        <v>2823</v>
      </c>
      <c r="D841" s="115">
        <v>0</v>
      </c>
      <c r="E841" s="135" t="s">
        <v>568</v>
      </c>
      <c r="F841" s="136" t="str">
        <f t="shared" si="39"/>
        <v/>
      </c>
      <c r="G841" s="137" t="e">
        <f>IF(A841&lt;&gt;"",IF(AND(#REF!="Padrão",$H$4=#REF!),BDI!$B$17,IF(AND(#REF!="Padrão",$H$4=#REF!),BDI!#REF!,IF(AND(#REF!="Diferenciado",$H$4=#REF!),BDI!$E$17,IF(AND(#REF!="Diferenciado",$H$4=#REF!),BDI!#REF!,IF(#REF!="ZERO",0))))),"")</f>
        <v>#REF!</v>
      </c>
      <c r="H841" s="138" t="str">
        <f t="shared" si="40"/>
        <v/>
      </c>
      <c r="I841" s="136" t="str">
        <f t="shared" si="41"/>
        <v/>
      </c>
    </row>
    <row r="842" spans="1:9" hidden="1" x14ac:dyDescent="0.25">
      <c r="A842" s="113" t="s">
        <v>2850</v>
      </c>
      <c r="B842" s="114" t="s">
        <v>2851</v>
      </c>
      <c r="C842" s="115" t="s">
        <v>2823</v>
      </c>
      <c r="D842" s="115">
        <v>0</v>
      </c>
      <c r="E842" s="135" t="s">
        <v>568</v>
      </c>
      <c r="F842" s="136" t="str">
        <f t="shared" si="39"/>
        <v/>
      </c>
      <c r="G842" s="137" t="e">
        <f>IF(A842&lt;&gt;"",IF(AND(#REF!="Padrão",$H$4=#REF!),BDI!$B$17,IF(AND(#REF!="Padrão",$H$4=#REF!),BDI!#REF!,IF(AND(#REF!="Diferenciado",$H$4=#REF!),BDI!$E$17,IF(AND(#REF!="Diferenciado",$H$4=#REF!),BDI!#REF!,IF(#REF!="ZERO",0))))),"")</f>
        <v>#REF!</v>
      </c>
      <c r="H842" s="138" t="str">
        <f t="shared" si="40"/>
        <v/>
      </c>
      <c r="I842" s="136" t="str">
        <f t="shared" si="41"/>
        <v/>
      </c>
    </row>
    <row r="843" spans="1:9" hidden="1" x14ac:dyDescent="0.25">
      <c r="A843" s="113" t="s">
        <v>2852</v>
      </c>
      <c r="B843" s="114" t="s">
        <v>2853</v>
      </c>
      <c r="C843" s="115" t="s">
        <v>2823</v>
      </c>
      <c r="D843" s="115">
        <v>0</v>
      </c>
      <c r="E843" s="135" t="s">
        <v>568</v>
      </c>
      <c r="F843" s="136" t="str">
        <f t="shared" si="39"/>
        <v/>
      </c>
      <c r="G843" s="137" t="e">
        <f>IF(A843&lt;&gt;"",IF(AND(#REF!="Padrão",$H$4=#REF!),BDI!$B$17,IF(AND(#REF!="Padrão",$H$4=#REF!),BDI!#REF!,IF(AND(#REF!="Diferenciado",$H$4=#REF!),BDI!$E$17,IF(AND(#REF!="Diferenciado",$H$4=#REF!),BDI!#REF!,IF(#REF!="ZERO",0))))),"")</f>
        <v>#REF!</v>
      </c>
      <c r="H843" s="138" t="str">
        <f t="shared" si="40"/>
        <v/>
      </c>
      <c r="I843" s="136" t="str">
        <f t="shared" si="41"/>
        <v/>
      </c>
    </row>
    <row r="844" spans="1:9" hidden="1" x14ac:dyDescent="0.25">
      <c r="A844" s="113" t="s">
        <v>2854</v>
      </c>
      <c r="B844" s="114" t="s">
        <v>2855</v>
      </c>
      <c r="C844" s="115" t="s">
        <v>2823</v>
      </c>
      <c r="D844" s="115">
        <v>0</v>
      </c>
      <c r="E844" s="135" t="s">
        <v>568</v>
      </c>
      <c r="F844" s="136" t="str">
        <f t="shared" si="39"/>
        <v/>
      </c>
      <c r="G844" s="137" t="e">
        <f>IF(A844&lt;&gt;"",IF(AND(#REF!="Padrão",$H$4=#REF!),BDI!$B$17,IF(AND(#REF!="Padrão",$H$4=#REF!),BDI!#REF!,IF(AND(#REF!="Diferenciado",$H$4=#REF!),BDI!$E$17,IF(AND(#REF!="Diferenciado",$H$4=#REF!),BDI!#REF!,IF(#REF!="ZERO",0))))),"")</f>
        <v>#REF!</v>
      </c>
      <c r="H844" s="138" t="str">
        <f t="shared" si="40"/>
        <v/>
      </c>
      <c r="I844" s="136" t="str">
        <f t="shared" si="41"/>
        <v/>
      </c>
    </row>
    <row r="845" spans="1:9" hidden="1" x14ac:dyDescent="0.25">
      <c r="A845" s="113" t="s">
        <v>2856</v>
      </c>
      <c r="B845" s="114" t="s">
        <v>2857</v>
      </c>
      <c r="C845" s="115" t="s">
        <v>2823</v>
      </c>
      <c r="D845" s="115">
        <v>0</v>
      </c>
      <c r="E845" s="135" t="s">
        <v>568</v>
      </c>
      <c r="F845" s="136" t="str">
        <f t="shared" si="39"/>
        <v/>
      </c>
      <c r="G845" s="137" t="e">
        <f>IF(A845&lt;&gt;"",IF(AND(#REF!="Padrão",$H$4=#REF!),BDI!$B$17,IF(AND(#REF!="Padrão",$H$4=#REF!),BDI!#REF!,IF(AND(#REF!="Diferenciado",$H$4=#REF!),BDI!$E$17,IF(AND(#REF!="Diferenciado",$H$4=#REF!),BDI!#REF!,IF(#REF!="ZERO",0))))),"")</f>
        <v>#REF!</v>
      </c>
      <c r="H845" s="138" t="str">
        <f t="shared" si="40"/>
        <v/>
      </c>
      <c r="I845" s="136" t="str">
        <f t="shared" si="41"/>
        <v/>
      </c>
    </row>
    <row r="846" spans="1:9" hidden="1" x14ac:dyDescent="0.25">
      <c r="A846" s="113" t="s">
        <v>2858</v>
      </c>
      <c r="B846" s="114" t="s">
        <v>2859</v>
      </c>
      <c r="C846" s="115" t="s">
        <v>2823</v>
      </c>
      <c r="D846" s="115">
        <v>0</v>
      </c>
      <c r="E846" s="135" t="s">
        <v>568</v>
      </c>
      <c r="F846" s="136" t="str">
        <f t="shared" si="39"/>
        <v/>
      </c>
      <c r="G846" s="137" t="e">
        <f>IF(A846&lt;&gt;"",IF(AND(#REF!="Padrão",$H$4=#REF!),BDI!$B$17,IF(AND(#REF!="Padrão",$H$4=#REF!),BDI!#REF!,IF(AND(#REF!="Diferenciado",$H$4=#REF!),BDI!$E$17,IF(AND(#REF!="Diferenciado",$H$4=#REF!),BDI!#REF!,IF(#REF!="ZERO",0))))),"")</f>
        <v>#REF!</v>
      </c>
      <c r="H846" s="138" t="str">
        <f t="shared" si="40"/>
        <v/>
      </c>
      <c r="I846" s="136" t="str">
        <f t="shared" si="41"/>
        <v/>
      </c>
    </row>
    <row r="847" spans="1:9" hidden="1" x14ac:dyDescent="0.25">
      <c r="A847" s="113" t="s">
        <v>2860</v>
      </c>
      <c r="B847" s="114" t="s">
        <v>2861</v>
      </c>
      <c r="C847" s="115" t="s">
        <v>2823</v>
      </c>
      <c r="D847" s="115">
        <v>0</v>
      </c>
      <c r="E847" s="135" t="s">
        <v>568</v>
      </c>
      <c r="F847" s="136" t="str">
        <f t="shared" si="39"/>
        <v/>
      </c>
      <c r="G847" s="137" t="e">
        <f>IF(A847&lt;&gt;"",IF(AND(#REF!="Padrão",$H$4=#REF!),BDI!$B$17,IF(AND(#REF!="Padrão",$H$4=#REF!),BDI!#REF!,IF(AND(#REF!="Diferenciado",$H$4=#REF!),BDI!$E$17,IF(AND(#REF!="Diferenciado",$H$4=#REF!),BDI!#REF!,IF(#REF!="ZERO",0))))),"")</f>
        <v>#REF!</v>
      </c>
      <c r="H847" s="138" t="str">
        <f t="shared" si="40"/>
        <v/>
      </c>
      <c r="I847" s="136" t="str">
        <f t="shared" si="41"/>
        <v/>
      </c>
    </row>
    <row r="848" spans="1:9" hidden="1" x14ac:dyDescent="0.25">
      <c r="A848" s="113" t="s">
        <v>2862</v>
      </c>
      <c r="B848" s="114" t="s">
        <v>2863</v>
      </c>
      <c r="C848" s="115" t="s">
        <v>2823</v>
      </c>
      <c r="D848" s="115">
        <v>0</v>
      </c>
      <c r="E848" s="135" t="s">
        <v>568</v>
      </c>
      <c r="F848" s="136" t="str">
        <f t="shared" si="39"/>
        <v/>
      </c>
      <c r="G848" s="137" t="e">
        <f>IF(A848&lt;&gt;"",IF(AND(#REF!="Padrão",$H$4=#REF!),BDI!$B$17,IF(AND(#REF!="Padrão",$H$4=#REF!),BDI!#REF!,IF(AND(#REF!="Diferenciado",$H$4=#REF!),BDI!$E$17,IF(AND(#REF!="Diferenciado",$H$4=#REF!),BDI!#REF!,IF(#REF!="ZERO",0))))),"")</f>
        <v>#REF!</v>
      </c>
      <c r="H848" s="138" t="str">
        <f t="shared" si="40"/>
        <v/>
      </c>
      <c r="I848" s="136" t="str">
        <f t="shared" si="41"/>
        <v/>
      </c>
    </row>
    <row r="849" spans="1:9" hidden="1" x14ac:dyDescent="0.25">
      <c r="A849" s="113" t="s">
        <v>847</v>
      </c>
      <c r="B849" s="114" t="s">
        <v>2864</v>
      </c>
      <c r="C849" s="115" t="s">
        <v>95</v>
      </c>
      <c r="D849" s="115">
        <v>0</v>
      </c>
      <c r="E849" s="135">
        <f ca="1">OFFSET(INDEX(Composições!A:J,MATCH(Orçamentária!A849,Composições!A:A,0),8),2,0)</f>
        <v>36.835300000000004</v>
      </c>
      <c r="F849" s="136">
        <f t="shared" ca="1" si="39"/>
        <v>0</v>
      </c>
      <c r="G849" s="137" t="e">
        <f>IF(A849&lt;&gt;"",IF(AND(#REF!="Padrão",$H$4=#REF!),BDI!$B$17,IF(AND(#REF!="Padrão",$H$4=#REF!),BDI!#REF!,IF(AND(#REF!="Diferenciado",$H$4=#REF!),BDI!$E$17,IF(AND(#REF!="Diferenciado",$H$4=#REF!),BDI!#REF!,IF(#REF!="ZERO",0))))),"")</f>
        <v>#REF!</v>
      </c>
      <c r="H849" s="138" t="e">
        <f t="shared" ca="1" si="40"/>
        <v>#REF!</v>
      </c>
      <c r="I849" s="136" t="e">
        <f t="shared" ca="1" si="41"/>
        <v>#REF!</v>
      </c>
    </row>
    <row r="850" spans="1:9" hidden="1" x14ac:dyDescent="0.25">
      <c r="A850" s="113" t="s">
        <v>849</v>
      </c>
      <c r="B850" s="114" t="s">
        <v>2865</v>
      </c>
      <c r="C850" s="115" t="s">
        <v>95</v>
      </c>
      <c r="D850" s="115">
        <v>0</v>
      </c>
      <c r="E850" s="135">
        <f ca="1">OFFSET(INDEX(Composições!A:J,MATCH(Orçamentária!A850,Composições!A:A,0),8),2,0)</f>
        <v>160.12725</v>
      </c>
      <c r="F850" s="136">
        <f t="shared" ca="1" si="39"/>
        <v>0</v>
      </c>
      <c r="G850" s="137" t="e">
        <f>IF(A850&lt;&gt;"",IF(AND(#REF!="Padrão",$H$4=#REF!),BDI!$B$17,IF(AND(#REF!="Padrão",$H$4=#REF!),BDI!#REF!,IF(AND(#REF!="Diferenciado",$H$4=#REF!),BDI!$E$17,IF(AND(#REF!="Diferenciado",$H$4=#REF!),BDI!#REF!,IF(#REF!="ZERO",0))))),"")</f>
        <v>#REF!</v>
      </c>
      <c r="H850" s="138" t="e">
        <f t="shared" ca="1" si="40"/>
        <v>#REF!</v>
      </c>
      <c r="I850" s="136" t="e">
        <f t="shared" ca="1" si="41"/>
        <v>#REF!</v>
      </c>
    </row>
    <row r="851" spans="1:9" hidden="1" x14ac:dyDescent="0.25">
      <c r="A851" s="113" t="s">
        <v>851</v>
      </c>
      <c r="B851" s="114" t="s">
        <v>2866</v>
      </c>
      <c r="C851" s="115" t="s">
        <v>95</v>
      </c>
      <c r="D851" s="115">
        <v>0</v>
      </c>
      <c r="E851" s="135">
        <f ca="1">OFFSET(INDEX(Composições!A:J,MATCH(Orçamentária!A851,Composições!A:A,0),8),2,0)</f>
        <v>156.53530000000001</v>
      </c>
      <c r="F851" s="136">
        <f t="shared" ca="1" si="39"/>
        <v>0</v>
      </c>
      <c r="G851" s="137" t="e">
        <f>IF(A851&lt;&gt;"",IF(AND(#REF!="Padrão",$H$4=#REF!),BDI!$B$17,IF(AND(#REF!="Padrão",$H$4=#REF!),BDI!#REF!,IF(AND(#REF!="Diferenciado",$H$4=#REF!),BDI!$E$17,IF(AND(#REF!="Diferenciado",$H$4=#REF!),BDI!#REF!,IF(#REF!="ZERO",0))))),"")</f>
        <v>#REF!</v>
      </c>
      <c r="H851" s="138" t="e">
        <f t="shared" ca="1" si="40"/>
        <v>#REF!</v>
      </c>
      <c r="I851" s="136" t="e">
        <f t="shared" ca="1" si="41"/>
        <v>#REF!</v>
      </c>
    </row>
    <row r="852" spans="1:9" hidden="1" x14ac:dyDescent="0.25">
      <c r="A852" s="113" t="s">
        <v>2867</v>
      </c>
      <c r="B852" s="114" t="s">
        <v>2868</v>
      </c>
      <c r="C852" s="115" t="s">
        <v>93</v>
      </c>
      <c r="D852" s="115">
        <v>0</v>
      </c>
      <c r="E852" s="135">
        <f ca="1">OFFSET(INDEX(Composições!A:J,MATCH(Orçamentária!A852,Composições!A:A,0),8),2,0)</f>
        <v>18.425250000000002</v>
      </c>
      <c r="F852" s="136">
        <f t="shared" ca="1" si="39"/>
        <v>0</v>
      </c>
      <c r="G852" s="137" t="e">
        <f>IF(A852&lt;&gt;"",IF(AND(#REF!="Padrão",$H$4=#REF!),BDI!$B$17,IF(AND(#REF!="Padrão",$H$4=#REF!),BDI!#REF!,IF(AND(#REF!="Diferenciado",$H$4=#REF!),BDI!$E$17,IF(AND(#REF!="Diferenciado",$H$4=#REF!),BDI!#REF!,IF(#REF!="ZERO",0))))),"")</f>
        <v>#REF!</v>
      </c>
      <c r="H852" s="138" t="e">
        <f t="shared" ca="1" si="40"/>
        <v>#REF!</v>
      </c>
      <c r="I852" s="136" t="e">
        <f t="shared" ca="1" si="41"/>
        <v>#REF!</v>
      </c>
    </row>
    <row r="853" spans="1:9" hidden="1" x14ac:dyDescent="0.25">
      <c r="A853" s="113" t="s">
        <v>2869</v>
      </c>
      <c r="B853" s="114" t="s">
        <v>2870</v>
      </c>
      <c r="C853" s="115" t="s">
        <v>93</v>
      </c>
      <c r="D853" s="115">
        <v>0</v>
      </c>
      <c r="E853" s="135">
        <f ca="1">OFFSET(INDEX(Composições!A:J,MATCH(Orçamentária!A853,Composições!A:A,0),8),2,0)</f>
        <v>27.637875000000001</v>
      </c>
      <c r="F853" s="136">
        <f t="shared" ca="1" si="39"/>
        <v>0</v>
      </c>
      <c r="G853" s="137" t="e">
        <f>IF(A853&lt;&gt;"",IF(AND(#REF!="Padrão",$H$4=#REF!),BDI!$B$17,IF(AND(#REF!="Padrão",$H$4=#REF!),BDI!#REF!,IF(AND(#REF!="Diferenciado",$H$4=#REF!),BDI!$E$17,IF(AND(#REF!="Diferenciado",$H$4=#REF!),BDI!#REF!,IF(#REF!="ZERO",0))))),"")</f>
        <v>#REF!</v>
      </c>
      <c r="H853" s="138" t="e">
        <f t="shared" ca="1" si="40"/>
        <v>#REF!</v>
      </c>
      <c r="I853" s="136" t="e">
        <f t="shared" ca="1" si="41"/>
        <v>#REF!</v>
      </c>
    </row>
    <row r="854" spans="1:9" hidden="1" x14ac:dyDescent="0.25">
      <c r="A854" s="113" t="s">
        <v>853</v>
      </c>
      <c r="B854" s="114" t="s">
        <v>2871</v>
      </c>
      <c r="C854" s="115" t="s">
        <v>95</v>
      </c>
      <c r="D854" s="115">
        <v>0</v>
      </c>
      <c r="E854" s="135">
        <f ca="1">OFFSET(INDEX(Composições!A:J,MATCH(Orçamentária!A854,Composições!A:A,0),8),2,0)</f>
        <v>199.46674999999999</v>
      </c>
      <c r="F854" s="136">
        <f t="shared" ca="1" si="39"/>
        <v>0</v>
      </c>
      <c r="G854" s="137" t="e">
        <f>IF(A854&lt;&gt;"",IF(AND(#REF!="Padrão",$H$4=#REF!),BDI!$B$17,IF(AND(#REF!="Padrão",$H$4=#REF!),BDI!#REF!,IF(AND(#REF!="Diferenciado",$H$4=#REF!),BDI!$E$17,IF(AND(#REF!="Diferenciado",$H$4=#REF!),BDI!#REF!,IF(#REF!="ZERO",0))))),"")</f>
        <v>#REF!</v>
      </c>
      <c r="H854" s="138" t="e">
        <f t="shared" ca="1" si="40"/>
        <v>#REF!</v>
      </c>
      <c r="I854" s="136" t="e">
        <f t="shared" ca="1" si="41"/>
        <v>#REF!</v>
      </c>
    </row>
    <row r="855" spans="1:9" hidden="1" x14ac:dyDescent="0.25">
      <c r="A855" s="113" t="s">
        <v>855</v>
      </c>
      <c r="B855" s="114" t="s">
        <v>2872</v>
      </c>
      <c r="C855" s="115" t="s">
        <v>20</v>
      </c>
      <c r="D855" s="115">
        <v>0</v>
      </c>
      <c r="E855" s="135">
        <f ca="1">OFFSET(INDEX(Composições!A:J,MATCH(Orçamentária!A855,Composições!A:A,0),8),2,0)</f>
        <v>4.03085</v>
      </c>
      <c r="F855" s="136">
        <f t="shared" ca="1" si="39"/>
        <v>0</v>
      </c>
      <c r="G855" s="137" t="e">
        <f>IF(A855&lt;&gt;"",IF(AND(#REF!="Padrão",$H$4=#REF!),BDI!$B$17,IF(AND(#REF!="Padrão",$H$4=#REF!),BDI!#REF!,IF(AND(#REF!="Diferenciado",$H$4=#REF!),BDI!$E$17,IF(AND(#REF!="Diferenciado",$H$4=#REF!),BDI!#REF!,IF(#REF!="ZERO",0))))),"")</f>
        <v>#REF!</v>
      </c>
      <c r="H855" s="138" t="e">
        <f t="shared" ca="1" si="40"/>
        <v>#REF!</v>
      </c>
      <c r="I855" s="136" t="e">
        <f t="shared" ca="1" si="41"/>
        <v>#REF!</v>
      </c>
    </row>
    <row r="856" spans="1:9" hidden="1" x14ac:dyDescent="0.25">
      <c r="A856" s="113" t="s">
        <v>857</v>
      </c>
      <c r="B856" s="114" t="s">
        <v>2873</v>
      </c>
      <c r="C856" s="115" t="s">
        <v>20</v>
      </c>
      <c r="D856" s="115">
        <v>0</v>
      </c>
      <c r="E856" s="135">
        <f ca="1">OFFSET(INDEX(Composições!A:J,MATCH(Orçamentária!A856,Composições!A:A,0),8),2,0)</f>
        <v>6.1617000000000006</v>
      </c>
      <c r="F856" s="136">
        <f t="shared" ca="1" si="39"/>
        <v>0</v>
      </c>
      <c r="G856" s="137" t="e">
        <f>IF(A856&lt;&gt;"",IF(AND(#REF!="Padrão",$H$4=#REF!),BDI!$B$17,IF(AND(#REF!="Padrão",$H$4=#REF!),BDI!#REF!,IF(AND(#REF!="Diferenciado",$H$4=#REF!),BDI!$E$17,IF(AND(#REF!="Diferenciado",$H$4=#REF!),BDI!#REF!,IF(#REF!="ZERO",0))))),"")</f>
        <v>#REF!</v>
      </c>
      <c r="H856" s="138" t="e">
        <f t="shared" ca="1" si="40"/>
        <v>#REF!</v>
      </c>
      <c r="I856" s="136" t="e">
        <f t="shared" ca="1" si="41"/>
        <v>#REF!</v>
      </c>
    </row>
    <row r="857" spans="1:9" hidden="1" x14ac:dyDescent="0.25">
      <c r="A857" s="113" t="s">
        <v>859</v>
      </c>
      <c r="B857" s="114" t="s">
        <v>2874</v>
      </c>
      <c r="C857" s="115" t="s">
        <v>20</v>
      </c>
      <c r="D857" s="115">
        <v>0</v>
      </c>
      <c r="E857" s="135">
        <f ca="1">OFFSET(INDEX(Composições!A:J,MATCH(Orçamentária!A857,Composições!A:A,0),8),2,0)</f>
        <v>3.0808500000000003</v>
      </c>
      <c r="F857" s="136">
        <f t="shared" ca="1" si="39"/>
        <v>0</v>
      </c>
      <c r="G857" s="137" t="e">
        <f>IF(A857&lt;&gt;"",IF(AND(#REF!="Padrão",$H$4=#REF!),BDI!$B$17,IF(AND(#REF!="Padrão",$H$4=#REF!),BDI!#REF!,IF(AND(#REF!="Diferenciado",$H$4=#REF!),BDI!$E$17,IF(AND(#REF!="Diferenciado",$H$4=#REF!),BDI!#REF!,IF(#REF!="ZERO",0))))),"")</f>
        <v>#REF!</v>
      </c>
      <c r="H857" s="138" t="e">
        <f t="shared" ca="1" si="40"/>
        <v>#REF!</v>
      </c>
      <c r="I857" s="136" t="e">
        <f t="shared" ca="1" si="41"/>
        <v>#REF!</v>
      </c>
    </row>
    <row r="858" spans="1:9" hidden="1" x14ac:dyDescent="0.25">
      <c r="A858" s="113" t="s">
        <v>861</v>
      </c>
      <c r="B858" s="114" t="s">
        <v>2875</v>
      </c>
      <c r="C858" s="115" t="s">
        <v>20</v>
      </c>
      <c r="D858" s="115">
        <v>0</v>
      </c>
      <c r="E858" s="135">
        <f ca="1">OFFSET(INDEX(Composições!A:J,MATCH(Orçamentária!A858,Composições!A:A,0),8),2,0)</f>
        <v>6.1617000000000006</v>
      </c>
      <c r="F858" s="136">
        <f t="shared" ca="1" si="39"/>
        <v>0</v>
      </c>
      <c r="G858" s="137" t="e">
        <f>IF(A858&lt;&gt;"",IF(AND(#REF!="Padrão",$H$4=#REF!),BDI!$B$17,IF(AND(#REF!="Padrão",$H$4=#REF!),BDI!#REF!,IF(AND(#REF!="Diferenciado",$H$4=#REF!),BDI!$E$17,IF(AND(#REF!="Diferenciado",$H$4=#REF!),BDI!#REF!,IF(#REF!="ZERO",0))))),"")</f>
        <v>#REF!</v>
      </c>
      <c r="H858" s="138" t="e">
        <f t="shared" ca="1" si="40"/>
        <v>#REF!</v>
      </c>
      <c r="I858" s="136" t="e">
        <f t="shared" ca="1" si="41"/>
        <v>#REF!</v>
      </c>
    </row>
    <row r="859" spans="1:9" hidden="1" x14ac:dyDescent="0.25">
      <c r="A859" s="113" t="s">
        <v>864</v>
      </c>
      <c r="B859" s="114" t="s">
        <v>2876</v>
      </c>
      <c r="C859" s="115" t="s">
        <v>20</v>
      </c>
      <c r="D859" s="115">
        <v>0</v>
      </c>
      <c r="E859" s="135">
        <f ca="1">OFFSET(INDEX(Composições!A:J,MATCH(Orçamentária!A859,Composições!A:A,0),8),2,0)</f>
        <v>3.0808500000000003</v>
      </c>
      <c r="F859" s="136">
        <f t="shared" ca="1" si="39"/>
        <v>0</v>
      </c>
      <c r="G859" s="137" t="e">
        <f>IF(A859&lt;&gt;"",IF(AND(#REF!="Padrão",$H$4=#REF!),BDI!$B$17,IF(AND(#REF!="Padrão",$H$4=#REF!),BDI!#REF!,IF(AND(#REF!="Diferenciado",$H$4=#REF!),BDI!$E$17,IF(AND(#REF!="Diferenciado",$H$4=#REF!),BDI!#REF!,IF(#REF!="ZERO",0))))),"")</f>
        <v>#REF!</v>
      </c>
      <c r="H859" s="138" t="e">
        <f t="shared" ca="1" si="40"/>
        <v>#REF!</v>
      </c>
      <c r="I859" s="136" t="e">
        <f t="shared" ca="1" si="41"/>
        <v>#REF!</v>
      </c>
    </row>
    <row r="860" spans="1:9" hidden="1" x14ac:dyDescent="0.25">
      <c r="A860" s="113" t="s">
        <v>866</v>
      </c>
      <c r="B860" s="114" t="s">
        <v>2877</v>
      </c>
      <c r="C860" s="115" t="s">
        <v>20</v>
      </c>
      <c r="D860" s="115">
        <v>0</v>
      </c>
      <c r="E860" s="135">
        <f ca="1">OFFSET(INDEX(Composições!A:J,MATCH(Orçamentária!A860,Composições!A:A,0),8),2,0)</f>
        <v>8.2156000000000002</v>
      </c>
      <c r="F860" s="136">
        <f t="shared" ca="1" si="39"/>
        <v>0</v>
      </c>
      <c r="G860" s="137" t="e">
        <f>IF(A860&lt;&gt;"",IF(AND(#REF!="Padrão",$H$4=#REF!),BDI!$B$17,IF(AND(#REF!="Padrão",$H$4=#REF!),BDI!#REF!,IF(AND(#REF!="Diferenciado",$H$4=#REF!),BDI!$E$17,IF(AND(#REF!="Diferenciado",$H$4=#REF!),BDI!#REF!,IF(#REF!="ZERO",0))))),"")</f>
        <v>#REF!</v>
      </c>
      <c r="H860" s="138" t="e">
        <f t="shared" ca="1" si="40"/>
        <v>#REF!</v>
      </c>
      <c r="I860" s="136" t="e">
        <f t="shared" ca="1" si="41"/>
        <v>#REF!</v>
      </c>
    </row>
    <row r="861" spans="1:9" hidden="1" x14ac:dyDescent="0.25">
      <c r="A861" s="113" t="s">
        <v>868</v>
      </c>
      <c r="B861" s="114" t="s">
        <v>2878</v>
      </c>
      <c r="C861" s="115" t="s">
        <v>20</v>
      </c>
      <c r="D861" s="115">
        <v>0</v>
      </c>
      <c r="E861" s="135">
        <f ca="1">OFFSET(INDEX(Composições!A:J,MATCH(Orçamentária!A861,Composições!A:A,0),8),2,0)</f>
        <v>8.2156000000000002</v>
      </c>
      <c r="F861" s="136">
        <f t="shared" ca="1" si="39"/>
        <v>0</v>
      </c>
      <c r="G861" s="137" t="e">
        <f>IF(A861&lt;&gt;"",IF(AND(#REF!="Padrão",$H$4=#REF!),BDI!$B$17,IF(AND(#REF!="Padrão",$H$4=#REF!),BDI!#REF!,IF(AND(#REF!="Diferenciado",$H$4=#REF!),BDI!$E$17,IF(AND(#REF!="Diferenciado",$H$4=#REF!),BDI!#REF!,IF(#REF!="ZERO",0))))),"")</f>
        <v>#REF!</v>
      </c>
      <c r="H861" s="138" t="e">
        <f t="shared" ca="1" si="40"/>
        <v>#REF!</v>
      </c>
      <c r="I861" s="136" t="e">
        <f t="shared" ca="1" si="41"/>
        <v>#REF!</v>
      </c>
    </row>
    <row r="862" spans="1:9" hidden="1" x14ac:dyDescent="0.25">
      <c r="A862" s="113" t="s">
        <v>870</v>
      </c>
      <c r="B862" s="114" t="s">
        <v>2879</v>
      </c>
      <c r="C862" s="115" t="s">
        <v>20</v>
      </c>
      <c r="D862" s="115">
        <v>0</v>
      </c>
      <c r="E862" s="135">
        <f ca="1">OFFSET(INDEX(Composições!A:J,MATCH(Orçamentária!A862,Composições!A:A,0),8),2,0)</f>
        <v>8.2156000000000002</v>
      </c>
      <c r="F862" s="136">
        <f t="shared" ca="1" si="39"/>
        <v>0</v>
      </c>
      <c r="G862" s="137" t="e">
        <f>IF(A862&lt;&gt;"",IF(AND(#REF!="Padrão",$H$4=#REF!),BDI!$B$17,IF(AND(#REF!="Padrão",$H$4=#REF!),BDI!#REF!,IF(AND(#REF!="Diferenciado",$H$4=#REF!),BDI!$E$17,IF(AND(#REF!="Diferenciado",$H$4=#REF!),BDI!#REF!,IF(#REF!="ZERO",0))))),"")</f>
        <v>#REF!</v>
      </c>
      <c r="H862" s="138" t="e">
        <f t="shared" ca="1" si="40"/>
        <v>#REF!</v>
      </c>
      <c r="I862" s="136" t="e">
        <f t="shared" ca="1" si="41"/>
        <v>#REF!</v>
      </c>
    </row>
    <row r="863" spans="1:9" hidden="1" x14ac:dyDescent="0.25">
      <c r="A863" s="113" t="s">
        <v>872</v>
      </c>
      <c r="B863" s="114" t="s">
        <v>2880</v>
      </c>
      <c r="C863" s="115" t="s">
        <v>20</v>
      </c>
      <c r="D863" s="115">
        <v>0</v>
      </c>
      <c r="E863" s="135">
        <f ca="1">OFFSET(INDEX(Composições!A:J,MATCH(Orçamentária!A863,Composições!A:A,0),8),2,0)</f>
        <v>5.1347500000000004</v>
      </c>
      <c r="F863" s="136">
        <f t="shared" ca="1" si="39"/>
        <v>0</v>
      </c>
      <c r="G863" s="137" t="e">
        <f>IF(A863&lt;&gt;"",IF(AND(#REF!="Padrão",$H$4=#REF!),BDI!$B$17,IF(AND(#REF!="Padrão",$H$4=#REF!),BDI!#REF!,IF(AND(#REF!="Diferenciado",$H$4=#REF!),BDI!$E$17,IF(AND(#REF!="Diferenciado",$H$4=#REF!),BDI!#REF!,IF(#REF!="ZERO",0))))),"")</f>
        <v>#REF!</v>
      </c>
      <c r="H863" s="138" t="e">
        <f t="shared" ca="1" si="40"/>
        <v>#REF!</v>
      </c>
      <c r="I863" s="136" t="e">
        <f t="shared" ca="1" si="41"/>
        <v>#REF!</v>
      </c>
    </row>
    <row r="864" spans="1:9" hidden="1" x14ac:dyDescent="0.25">
      <c r="A864" s="113" t="s">
        <v>874</v>
      </c>
      <c r="B864" s="114" t="s">
        <v>2881</v>
      </c>
      <c r="C864" s="115" t="s">
        <v>20</v>
      </c>
      <c r="D864" s="115">
        <v>0</v>
      </c>
      <c r="E864" s="135">
        <f ca="1">OFFSET(INDEX(Composições!A:J,MATCH(Orçamentária!A864,Composições!A:A,0),8),2,0)</f>
        <v>5.1347500000000004</v>
      </c>
      <c r="F864" s="136">
        <f t="shared" ca="1" si="39"/>
        <v>0</v>
      </c>
      <c r="G864" s="137" t="e">
        <f>IF(A864&lt;&gt;"",IF(AND(#REF!="Padrão",$H$4=#REF!),BDI!$B$17,IF(AND(#REF!="Padrão",$H$4=#REF!),BDI!#REF!,IF(AND(#REF!="Diferenciado",$H$4=#REF!),BDI!$E$17,IF(AND(#REF!="Diferenciado",$H$4=#REF!),BDI!#REF!,IF(#REF!="ZERO",0))))),"")</f>
        <v>#REF!</v>
      </c>
      <c r="H864" s="138" t="e">
        <f t="shared" ca="1" si="40"/>
        <v>#REF!</v>
      </c>
      <c r="I864" s="136" t="e">
        <f t="shared" ca="1" si="41"/>
        <v>#REF!</v>
      </c>
    </row>
    <row r="865" spans="1:9" hidden="1" x14ac:dyDescent="0.25">
      <c r="A865" s="113" t="s">
        <v>876</v>
      </c>
      <c r="B865" s="114" t="s">
        <v>2882</v>
      </c>
      <c r="C865" s="115" t="s">
        <v>20</v>
      </c>
      <c r="D865" s="115">
        <v>0</v>
      </c>
      <c r="E865" s="135">
        <f ca="1">OFFSET(INDEX(Composições!A:J,MATCH(Orçamentária!A865,Composições!A:A,0),8),2,0)</f>
        <v>5.1347500000000004</v>
      </c>
      <c r="F865" s="136">
        <f t="shared" ca="1" si="39"/>
        <v>0</v>
      </c>
      <c r="G865" s="137" t="e">
        <f>IF(A865&lt;&gt;"",IF(AND(#REF!="Padrão",$H$4=#REF!),BDI!$B$17,IF(AND(#REF!="Padrão",$H$4=#REF!),BDI!#REF!,IF(AND(#REF!="Diferenciado",$H$4=#REF!),BDI!$E$17,IF(AND(#REF!="Diferenciado",$H$4=#REF!),BDI!#REF!,IF(#REF!="ZERO",0))))),"")</f>
        <v>#REF!</v>
      </c>
      <c r="H865" s="138" t="e">
        <f t="shared" ca="1" si="40"/>
        <v>#REF!</v>
      </c>
      <c r="I865" s="136" t="e">
        <f t="shared" ca="1" si="41"/>
        <v>#REF!</v>
      </c>
    </row>
    <row r="866" spans="1:9" hidden="1" x14ac:dyDescent="0.25">
      <c r="A866" s="113" t="s">
        <v>878</v>
      </c>
      <c r="B866" s="114" t="s">
        <v>2883</v>
      </c>
      <c r="C866" s="115" t="s">
        <v>20</v>
      </c>
      <c r="D866" s="115">
        <v>0</v>
      </c>
      <c r="E866" s="135">
        <f ca="1">OFFSET(INDEX(Composições!A:J,MATCH(Orçamentária!A866,Composições!A:A,0),8),2,0)</f>
        <v>5.1347500000000004</v>
      </c>
      <c r="F866" s="136">
        <f t="shared" ca="1" si="39"/>
        <v>0</v>
      </c>
      <c r="G866" s="137" t="e">
        <f>IF(A866&lt;&gt;"",IF(AND(#REF!="Padrão",$H$4=#REF!),BDI!$B$17,IF(AND(#REF!="Padrão",$H$4=#REF!),BDI!#REF!,IF(AND(#REF!="Diferenciado",$H$4=#REF!),BDI!$E$17,IF(AND(#REF!="Diferenciado",$H$4=#REF!),BDI!#REF!,IF(#REF!="ZERO",0))))),"")</f>
        <v>#REF!</v>
      </c>
      <c r="H866" s="138" t="e">
        <f t="shared" ca="1" si="40"/>
        <v>#REF!</v>
      </c>
      <c r="I866" s="136" t="e">
        <f t="shared" ca="1" si="41"/>
        <v>#REF!</v>
      </c>
    </row>
    <row r="867" spans="1:9" hidden="1" x14ac:dyDescent="0.25">
      <c r="A867" s="113" t="s">
        <v>880</v>
      </c>
      <c r="B867" s="114" t="s">
        <v>2884</v>
      </c>
      <c r="C867" s="115" t="s">
        <v>20</v>
      </c>
      <c r="D867" s="115">
        <v>0</v>
      </c>
      <c r="E867" s="135">
        <f ca="1">OFFSET(INDEX(Composições!A:J,MATCH(Orçamentária!A867,Composições!A:A,0),8),2,0)</f>
        <v>43.031124000000005</v>
      </c>
      <c r="F867" s="136">
        <f t="shared" ca="1" si="39"/>
        <v>0</v>
      </c>
      <c r="G867" s="137" t="e">
        <f>IF(A867&lt;&gt;"",IF(AND(#REF!="Padrão",$H$4=#REF!),BDI!$B$17,IF(AND(#REF!="Padrão",$H$4=#REF!),BDI!#REF!,IF(AND(#REF!="Diferenciado",$H$4=#REF!),BDI!$E$17,IF(AND(#REF!="Diferenciado",$H$4=#REF!),BDI!#REF!,IF(#REF!="ZERO",0))))),"")</f>
        <v>#REF!</v>
      </c>
      <c r="H867" s="138" t="e">
        <f t="shared" ca="1" si="40"/>
        <v>#REF!</v>
      </c>
      <c r="I867" s="136" t="e">
        <f t="shared" ca="1" si="41"/>
        <v>#REF!</v>
      </c>
    </row>
    <row r="868" spans="1:9" hidden="1" x14ac:dyDescent="0.25">
      <c r="A868" s="113" t="s">
        <v>882</v>
      </c>
      <c r="B868" s="114" t="s">
        <v>2885</v>
      </c>
      <c r="C868" s="115" t="s">
        <v>20</v>
      </c>
      <c r="D868" s="115">
        <v>0</v>
      </c>
      <c r="E868" s="135">
        <f ca="1">OFFSET(INDEX(Composições!A:J,MATCH(Orçamentária!A868,Composições!A:A,0),8),2,0)</f>
        <v>4.1078000000000001</v>
      </c>
      <c r="F868" s="136">
        <f t="shared" ca="1" si="39"/>
        <v>0</v>
      </c>
      <c r="G868" s="137" t="e">
        <f>IF(A868&lt;&gt;"",IF(AND(#REF!="Padrão",$H$4=#REF!),BDI!$B$17,IF(AND(#REF!="Padrão",$H$4=#REF!),BDI!#REF!,IF(AND(#REF!="Diferenciado",$H$4=#REF!),BDI!$E$17,IF(AND(#REF!="Diferenciado",$H$4=#REF!),BDI!#REF!,IF(#REF!="ZERO",0))))),"")</f>
        <v>#REF!</v>
      </c>
      <c r="H868" s="138" t="e">
        <f t="shared" ca="1" si="40"/>
        <v>#REF!</v>
      </c>
      <c r="I868" s="136" t="e">
        <f t="shared" ca="1" si="41"/>
        <v>#REF!</v>
      </c>
    </row>
    <row r="869" spans="1:9" hidden="1" x14ac:dyDescent="0.25">
      <c r="A869" s="113" t="s">
        <v>884</v>
      </c>
      <c r="B869" s="114" t="s">
        <v>2886</v>
      </c>
      <c r="C869" s="115" t="s">
        <v>20</v>
      </c>
      <c r="D869" s="115">
        <v>0</v>
      </c>
      <c r="E869" s="135">
        <f ca="1">OFFSET(INDEX(Composições!A:J,MATCH(Orçamentária!A869,Composições!A:A,0),8),2,0)</f>
        <v>8.2156000000000002</v>
      </c>
      <c r="F869" s="136">
        <f t="shared" ca="1" si="39"/>
        <v>0</v>
      </c>
      <c r="G869" s="137" t="e">
        <f>IF(A869&lt;&gt;"",IF(AND(#REF!="Padrão",$H$4=#REF!),BDI!$B$17,IF(AND(#REF!="Padrão",$H$4=#REF!),BDI!#REF!,IF(AND(#REF!="Diferenciado",$H$4=#REF!),BDI!$E$17,IF(AND(#REF!="Diferenciado",$H$4=#REF!),BDI!#REF!,IF(#REF!="ZERO",0))))),"")</f>
        <v>#REF!</v>
      </c>
      <c r="H869" s="138" t="e">
        <f t="shared" ca="1" si="40"/>
        <v>#REF!</v>
      </c>
      <c r="I869" s="136" t="e">
        <f t="shared" ca="1" si="41"/>
        <v>#REF!</v>
      </c>
    </row>
    <row r="870" spans="1:9" hidden="1" x14ac:dyDescent="0.25">
      <c r="A870" s="113" t="s">
        <v>886</v>
      </c>
      <c r="B870" s="114" t="s">
        <v>2887</v>
      </c>
      <c r="C870" s="115" t="s">
        <v>20</v>
      </c>
      <c r="D870" s="115">
        <v>0</v>
      </c>
      <c r="E870" s="135">
        <f ca="1">OFFSET(INDEX(Composições!A:J,MATCH(Orçamentária!A870,Composições!A:A,0),8),2,0)</f>
        <v>6.1617000000000006</v>
      </c>
      <c r="F870" s="136">
        <f t="shared" ca="1" si="39"/>
        <v>0</v>
      </c>
      <c r="G870" s="137" t="e">
        <f>IF(A870&lt;&gt;"",IF(AND(#REF!="Padrão",$H$4=#REF!),BDI!$B$17,IF(AND(#REF!="Padrão",$H$4=#REF!),BDI!#REF!,IF(AND(#REF!="Diferenciado",$H$4=#REF!),BDI!$E$17,IF(AND(#REF!="Diferenciado",$H$4=#REF!),BDI!#REF!,IF(#REF!="ZERO",0))))),"")</f>
        <v>#REF!</v>
      </c>
      <c r="H870" s="138" t="e">
        <f t="shared" ca="1" si="40"/>
        <v>#REF!</v>
      </c>
      <c r="I870" s="136" t="e">
        <f t="shared" ca="1" si="41"/>
        <v>#REF!</v>
      </c>
    </row>
    <row r="871" spans="1:9" hidden="1" x14ac:dyDescent="0.25">
      <c r="A871" s="113" t="s">
        <v>888</v>
      </c>
      <c r="B871" s="114" t="s">
        <v>2888</v>
      </c>
      <c r="C871" s="115" t="s">
        <v>93</v>
      </c>
      <c r="D871" s="115">
        <v>0</v>
      </c>
      <c r="E871" s="135">
        <f ca="1">OFFSET(INDEX(Composições!A:J,MATCH(Orçamentária!A871,Composições!A:A,0),8),2,0)</f>
        <v>10.972215</v>
      </c>
      <c r="F871" s="136">
        <f t="shared" ca="1" si="39"/>
        <v>0</v>
      </c>
      <c r="G871" s="137" t="e">
        <f>IF(A871&lt;&gt;"",IF(AND(#REF!="Padrão",$H$4=#REF!),BDI!$B$17,IF(AND(#REF!="Padrão",$H$4=#REF!),BDI!#REF!,IF(AND(#REF!="Diferenciado",$H$4=#REF!),BDI!$E$17,IF(AND(#REF!="Diferenciado",$H$4=#REF!),BDI!#REF!,IF(#REF!="ZERO",0))))),"")</f>
        <v>#REF!</v>
      </c>
      <c r="H871" s="138" t="e">
        <f t="shared" ca="1" si="40"/>
        <v>#REF!</v>
      </c>
      <c r="I871" s="136" t="e">
        <f t="shared" ca="1" si="41"/>
        <v>#REF!</v>
      </c>
    </row>
    <row r="872" spans="1:9" hidden="1" x14ac:dyDescent="0.25">
      <c r="A872" s="113" t="s">
        <v>892</v>
      </c>
      <c r="B872" s="114" t="s">
        <v>2889</v>
      </c>
      <c r="C872" s="115" t="s">
        <v>93</v>
      </c>
      <c r="D872" s="115">
        <v>0</v>
      </c>
      <c r="E872" s="135">
        <f ca="1">OFFSET(INDEX(Composições!A:J,MATCH(Orçamentária!A872,Composições!A:A,0),8),2,0)</f>
        <v>34.089030500000007</v>
      </c>
      <c r="F872" s="136">
        <f t="shared" ca="1" si="39"/>
        <v>0</v>
      </c>
      <c r="G872" s="137" t="e">
        <f>IF(A872&lt;&gt;"",IF(AND(#REF!="Padrão",$H$4=#REF!),BDI!$B$17,IF(AND(#REF!="Padrão",$H$4=#REF!),BDI!#REF!,IF(AND(#REF!="Diferenciado",$H$4=#REF!),BDI!$E$17,IF(AND(#REF!="Diferenciado",$H$4=#REF!),BDI!#REF!,IF(#REF!="ZERO",0))))),"")</f>
        <v>#REF!</v>
      </c>
      <c r="H872" s="138" t="e">
        <f t="shared" ca="1" si="40"/>
        <v>#REF!</v>
      </c>
      <c r="I872" s="136" t="e">
        <f t="shared" ca="1" si="41"/>
        <v>#REF!</v>
      </c>
    </row>
    <row r="873" spans="1:9" hidden="1" x14ac:dyDescent="0.25">
      <c r="A873" s="113" t="s">
        <v>895</v>
      </c>
      <c r="B873" s="114" t="s">
        <v>2890</v>
      </c>
      <c r="C873" s="115" t="s">
        <v>93</v>
      </c>
      <c r="D873" s="115">
        <v>0</v>
      </c>
      <c r="E873" s="135">
        <f ca="1">OFFSET(INDEX(Composições!A:J,MATCH(Orçamentária!A873,Composições!A:A,0),8),2,0)</f>
        <v>14.259908500000002</v>
      </c>
      <c r="F873" s="136">
        <f t="shared" ca="1" si="39"/>
        <v>0</v>
      </c>
      <c r="G873" s="137" t="e">
        <f>IF(A873&lt;&gt;"",IF(AND(#REF!="Padrão",$H$4=#REF!),BDI!$B$17,IF(AND(#REF!="Padrão",$H$4=#REF!),BDI!#REF!,IF(AND(#REF!="Diferenciado",$H$4=#REF!),BDI!$E$17,IF(AND(#REF!="Diferenciado",$H$4=#REF!),BDI!#REF!,IF(#REF!="ZERO",0))))),"")</f>
        <v>#REF!</v>
      </c>
      <c r="H873" s="138" t="e">
        <f t="shared" ca="1" si="40"/>
        <v>#REF!</v>
      </c>
      <c r="I873" s="136" t="e">
        <f t="shared" ca="1" si="41"/>
        <v>#REF!</v>
      </c>
    </row>
    <row r="874" spans="1:9" hidden="1" x14ac:dyDescent="0.25">
      <c r="A874" s="113" t="s">
        <v>897</v>
      </c>
      <c r="B874" s="114" t="s">
        <v>2891</v>
      </c>
      <c r="C874" s="115" t="s">
        <v>93</v>
      </c>
      <c r="D874" s="115">
        <v>0</v>
      </c>
      <c r="E874" s="135">
        <f ca="1">OFFSET(INDEX(Composições!A:J,MATCH(Orçamentária!A874,Composições!A:A,0),8),2,0)</f>
        <v>22.4556535</v>
      </c>
      <c r="F874" s="136">
        <f t="shared" ca="1" si="39"/>
        <v>0</v>
      </c>
      <c r="G874" s="137" t="e">
        <f>IF(A874&lt;&gt;"",IF(AND(#REF!="Padrão",$H$4=#REF!),BDI!$B$17,IF(AND(#REF!="Padrão",$H$4=#REF!),BDI!#REF!,IF(AND(#REF!="Diferenciado",$H$4=#REF!),BDI!$E$17,IF(AND(#REF!="Diferenciado",$H$4=#REF!),BDI!#REF!,IF(#REF!="ZERO",0))))),"")</f>
        <v>#REF!</v>
      </c>
      <c r="H874" s="138" t="e">
        <f t="shared" ca="1" si="40"/>
        <v>#REF!</v>
      </c>
      <c r="I874" s="136" t="e">
        <f t="shared" ca="1" si="41"/>
        <v>#REF!</v>
      </c>
    </row>
    <row r="875" spans="1:9" hidden="1" x14ac:dyDescent="0.25">
      <c r="A875" s="113" t="s">
        <v>898</v>
      </c>
      <c r="B875" s="114" t="s">
        <v>2892</v>
      </c>
      <c r="C875" s="115" t="s">
        <v>93</v>
      </c>
      <c r="D875" s="115">
        <v>0</v>
      </c>
      <c r="E875" s="135">
        <f ca="1">OFFSET(INDEX(Composições!A:J,MATCH(Orçamentária!A875,Composições!A:A,0),8),2,0)</f>
        <v>7.0549850000000003</v>
      </c>
      <c r="F875" s="136">
        <f t="shared" ca="1" si="39"/>
        <v>0</v>
      </c>
      <c r="G875" s="137" t="e">
        <f>IF(A875&lt;&gt;"",IF(AND(#REF!="Padrão",$H$4=#REF!),BDI!$B$17,IF(AND(#REF!="Padrão",$H$4=#REF!),BDI!#REF!,IF(AND(#REF!="Diferenciado",$H$4=#REF!),BDI!$E$17,IF(AND(#REF!="Diferenciado",$H$4=#REF!),BDI!#REF!,IF(#REF!="ZERO",0))))),"")</f>
        <v>#REF!</v>
      </c>
      <c r="H875" s="138" t="e">
        <f t="shared" ca="1" si="40"/>
        <v>#REF!</v>
      </c>
      <c r="I875" s="136" t="e">
        <f t="shared" ca="1" si="41"/>
        <v>#REF!</v>
      </c>
    </row>
    <row r="876" spans="1:9" hidden="1" x14ac:dyDescent="0.25">
      <c r="A876" s="113" t="s">
        <v>900</v>
      </c>
      <c r="B876" s="114" t="s">
        <v>2893</v>
      </c>
      <c r="C876" s="115" t="s">
        <v>20</v>
      </c>
      <c r="D876" s="115">
        <v>0</v>
      </c>
      <c r="E876" s="135">
        <f ca="1">OFFSET(INDEX(Composições!A:J,MATCH(Orçamentária!A876,Composições!A:A,0),8),2,0)</f>
        <v>6.1617000000000006</v>
      </c>
      <c r="F876" s="136">
        <f t="shared" ca="1" si="39"/>
        <v>0</v>
      </c>
      <c r="G876" s="137" t="e">
        <f>IF(A876&lt;&gt;"",IF(AND(#REF!="Padrão",$H$4=#REF!),BDI!$B$17,IF(AND(#REF!="Padrão",$H$4=#REF!),BDI!#REF!,IF(AND(#REF!="Diferenciado",$H$4=#REF!),BDI!$E$17,IF(AND(#REF!="Diferenciado",$H$4=#REF!),BDI!#REF!,IF(#REF!="ZERO",0))))),"")</f>
        <v>#REF!</v>
      </c>
      <c r="H876" s="138" t="e">
        <f t="shared" ca="1" si="40"/>
        <v>#REF!</v>
      </c>
      <c r="I876" s="136" t="e">
        <f t="shared" ca="1" si="41"/>
        <v>#REF!</v>
      </c>
    </row>
    <row r="877" spans="1:9" hidden="1" x14ac:dyDescent="0.25">
      <c r="A877" s="113" t="s">
        <v>902</v>
      </c>
      <c r="B877" s="114" t="s">
        <v>2894</v>
      </c>
      <c r="C877" s="115" t="s">
        <v>93</v>
      </c>
      <c r="D877" s="115">
        <v>0</v>
      </c>
      <c r="E877" s="135">
        <f ca="1">OFFSET(INDEX(Composições!A:J,MATCH(Orçamentária!A877,Composições!A:A,0),8),2,0)</f>
        <v>6.1617000000000006</v>
      </c>
      <c r="F877" s="136">
        <f t="shared" ca="1" si="39"/>
        <v>0</v>
      </c>
      <c r="G877" s="137" t="e">
        <f>IF(A877&lt;&gt;"",IF(AND(#REF!="Padrão",$H$4=#REF!),BDI!$B$17,IF(AND(#REF!="Padrão",$H$4=#REF!),BDI!#REF!,IF(AND(#REF!="Diferenciado",$H$4=#REF!),BDI!$E$17,IF(AND(#REF!="Diferenciado",$H$4=#REF!),BDI!#REF!,IF(#REF!="ZERO",0))))),"")</f>
        <v>#REF!</v>
      </c>
      <c r="H877" s="138" t="e">
        <f t="shared" ca="1" si="40"/>
        <v>#REF!</v>
      </c>
      <c r="I877" s="136" t="e">
        <f t="shared" ca="1" si="41"/>
        <v>#REF!</v>
      </c>
    </row>
    <row r="878" spans="1:9" hidden="1" x14ac:dyDescent="0.25">
      <c r="A878" s="113" t="s">
        <v>904</v>
      </c>
      <c r="B878" s="114" t="s">
        <v>2895</v>
      </c>
      <c r="C878" s="115" t="s">
        <v>20</v>
      </c>
      <c r="D878" s="115">
        <v>0</v>
      </c>
      <c r="E878" s="135">
        <f ca="1">OFFSET(INDEX(Composições!A:J,MATCH(Orçamentária!A878,Composições!A:A,0),8),2,0)</f>
        <v>3.0808500000000003</v>
      </c>
      <c r="F878" s="136">
        <f t="shared" ca="1" si="39"/>
        <v>0</v>
      </c>
      <c r="G878" s="137" t="e">
        <f>IF(A878&lt;&gt;"",IF(AND(#REF!="Padrão",$H$4=#REF!),BDI!$B$17,IF(AND(#REF!="Padrão",$H$4=#REF!),BDI!#REF!,IF(AND(#REF!="Diferenciado",$H$4=#REF!),BDI!$E$17,IF(AND(#REF!="Diferenciado",$H$4=#REF!),BDI!#REF!,IF(#REF!="ZERO",0))))),"")</f>
        <v>#REF!</v>
      </c>
      <c r="H878" s="138" t="e">
        <f t="shared" ca="1" si="40"/>
        <v>#REF!</v>
      </c>
      <c r="I878" s="136" t="e">
        <f t="shared" ca="1" si="41"/>
        <v>#REF!</v>
      </c>
    </row>
    <row r="879" spans="1:9" hidden="1" x14ac:dyDescent="0.25">
      <c r="A879" s="113" t="s">
        <v>906</v>
      </c>
      <c r="B879" s="114" t="s">
        <v>2896</v>
      </c>
      <c r="C879" s="115" t="s">
        <v>20</v>
      </c>
      <c r="D879" s="115">
        <v>0</v>
      </c>
      <c r="E879" s="135">
        <f ca="1">OFFSET(INDEX(Composições!A:J,MATCH(Orçamentária!A879,Composições!A:A,0),8),2,0)</f>
        <v>3.0808500000000003</v>
      </c>
      <c r="F879" s="136">
        <f t="shared" ca="1" si="39"/>
        <v>0</v>
      </c>
      <c r="G879" s="137" t="e">
        <f>IF(A879&lt;&gt;"",IF(AND(#REF!="Padrão",$H$4=#REF!),BDI!$B$17,IF(AND(#REF!="Padrão",$H$4=#REF!),BDI!#REF!,IF(AND(#REF!="Diferenciado",$H$4=#REF!),BDI!$E$17,IF(AND(#REF!="Diferenciado",$H$4=#REF!),BDI!#REF!,IF(#REF!="ZERO",0))))),"")</f>
        <v>#REF!</v>
      </c>
      <c r="H879" s="138" t="e">
        <f t="shared" ca="1" si="40"/>
        <v>#REF!</v>
      </c>
      <c r="I879" s="136" t="e">
        <f t="shared" ca="1" si="41"/>
        <v>#REF!</v>
      </c>
    </row>
    <row r="880" spans="1:9" hidden="1" x14ac:dyDescent="0.25">
      <c r="A880" s="113" t="s">
        <v>908</v>
      </c>
      <c r="B880" s="114" t="s">
        <v>2897</v>
      </c>
      <c r="C880" s="115" t="s">
        <v>20</v>
      </c>
      <c r="D880" s="115">
        <v>0</v>
      </c>
      <c r="E880" s="135">
        <f ca="1">OFFSET(INDEX(Composições!A:J,MATCH(Orçamentária!A880,Composições!A:A,0),8),2,0)</f>
        <v>2.0539000000000001</v>
      </c>
      <c r="F880" s="136">
        <f t="shared" ca="1" si="39"/>
        <v>0</v>
      </c>
      <c r="G880" s="137" t="e">
        <f>IF(A880&lt;&gt;"",IF(AND(#REF!="Padrão",$H$4=#REF!),BDI!$B$17,IF(AND(#REF!="Padrão",$H$4=#REF!),BDI!#REF!,IF(AND(#REF!="Diferenciado",$H$4=#REF!),BDI!$E$17,IF(AND(#REF!="Diferenciado",$H$4=#REF!),BDI!#REF!,IF(#REF!="ZERO",0))))),"")</f>
        <v>#REF!</v>
      </c>
      <c r="H880" s="138" t="e">
        <f t="shared" ca="1" si="40"/>
        <v>#REF!</v>
      </c>
      <c r="I880" s="136" t="e">
        <f t="shared" ca="1" si="41"/>
        <v>#REF!</v>
      </c>
    </row>
    <row r="881" spans="1:9" hidden="1" x14ac:dyDescent="0.25">
      <c r="A881" s="113" t="s">
        <v>910</v>
      </c>
      <c r="B881" s="114" t="s">
        <v>2898</v>
      </c>
      <c r="C881" s="115" t="s">
        <v>20</v>
      </c>
      <c r="D881" s="115">
        <v>0</v>
      </c>
      <c r="E881" s="135">
        <f ca="1">OFFSET(INDEX(Composições!A:J,MATCH(Orçamentária!A881,Composições!A:A,0),8),2,0)</f>
        <v>8.2156000000000002</v>
      </c>
      <c r="F881" s="136">
        <f t="shared" ca="1" si="39"/>
        <v>0</v>
      </c>
      <c r="G881" s="137" t="e">
        <f>IF(A881&lt;&gt;"",IF(AND(#REF!="Padrão",$H$4=#REF!),BDI!$B$17,IF(AND(#REF!="Padrão",$H$4=#REF!),BDI!#REF!,IF(AND(#REF!="Diferenciado",$H$4=#REF!),BDI!$E$17,IF(AND(#REF!="Diferenciado",$H$4=#REF!),BDI!#REF!,IF(#REF!="ZERO",0))))),"")</f>
        <v>#REF!</v>
      </c>
      <c r="H881" s="138" t="e">
        <f t="shared" ca="1" si="40"/>
        <v>#REF!</v>
      </c>
      <c r="I881" s="136" t="e">
        <f t="shared" ca="1" si="41"/>
        <v>#REF!</v>
      </c>
    </row>
    <row r="882" spans="1:9" hidden="1" x14ac:dyDescent="0.25">
      <c r="A882" s="113" t="s">
        <v>912</v>
      </c>
      <c r="B882" s="114" t="s">
        <v>2899</v>
      </c>
      <c r="C882" s="115" t="s">
        <v>20</v>
      </c>
      <c r="D882" s="115">
        <v>0</v>
      </c>
      <c r="E882" s="135">
        <f ca="1">OFFSET(INDEX(Composições!A:J,MATCH(Orçamentária!A882,Composições!A:A,0),8),2,0)</f>
        <v>8.2156000000000002</v>
      </c>
      <c r="F882" s="136">
        <f t="shared" ca="1" si="39"/>
        <v>0</v>
      </c>
      <c r="G882" s="137" t="e">
        <f>IF(A882&lt;&gt;"",IF(AND(#REF!="Padrão",$H$4=#REF!),BDI!$B$17,IF(AND(#REF!="Padrão",$H$4=#REF!),BDI!#REF!,IF(AND(#REF!="Diferenciado",$H$4=#REF!),BDI!$E$17,IF(AND(#REF!="Diferenciado",$H$4=#REF!),BDI!#REF!,IF(#REF!="ZERO",0))))),"")</f>
        <v>#REF!</v>
      </c>
      <c r="H882" s="138" t="e">
        <f t="shared" ca="1" si="40"/>
        <v>#REF!</v>
      </c>
      <c r="I882" s="136" t="e">
        <f t="shared" ca="1" si="41"/>
        <v>#REF!</v>
      </c>
    </row>
    <row r="883" spans="1:9" hidden="1" x14ac:dyDescent="0.25">
      <c r="A883" s="113" t="s">
        <v>914</v>
      </c>
      <c r="B883" s="114" t="s">
        <v>2900</v>
      </c>
      <c r="C883" s="115" t="s">
        <v>20</v>
      </c>
      <c r="D883" s="115">
        <v>0</v>
      </c>
      <c r="E883" s="135">
        <f ca="1">OFFSET(INDEX(Composições!A:J,MATCH(Orçamentária!A883,Composições!A:A,0),8),2,0)</f>
        <v>6.1617000000000006</v>
      </c>
      <c r="F883" s="136">
        <f t="shared" ca="1" si="39"/>
        <v>0</v>
      </c>
      <c r="G883" s="137" t="e">
        <f>IF(A883&lt;&gt;"",IF(AND(#REF!="Padrão",$H$4=#REF!),BDI!$B$17,IF(AND(#REF!="Padrão",$H$4=#REF!),BDI!#REF!,IF(AND(#REF!="Diferenciado",$H$4=#REF!),BDI!$E$17,IF(AND(#REF!="Diferenciado",$H$4=#REF!),BDI!#REF!,IF(#REF!="ZERO",0))))),"")</f>
        <v>#REF!</v>
      </c>
      <c r="H883" s="138" t="e">
        <f t="shared" ca="1" si="40"/>
        <v>#REF!</v>
      </c>
      <c r="I883" s="136" t="e">
        <f t="shared" ca="1" si="41"/>
        <v>#REF!</v>
      </c>
    </row>
    <row r="884" spans="1:9" hidden="1" x14ac:dyDescent="0.25">
      <c r="A884" s="113" t="s">
        <v>916</v>
      </c>
      <c r="B884" s="114" t="s">
        <v>2901</v>
      </c>
      <c r="C884" s="115" t="s">
        <v>20</v>
      </c>
      <c r="D884" s="115">
        <v>0</v>
      </c>
      <c r="E884" s="135">
        <f ca="1">OFFSET(INDEX(Composições!A:J,MATCH(Orçamentária!A884,Composições!A:A,0),8),2,0)</f>
        <v>4.1078000000000001</v>
      </c>
      <c r="F884" s="136">
        <f t="shared" ca="1" si="39"/>
        <v>0</v>
      </c>
      <c r="G884" s="137" t="e">
        <f>IF(A884&lt;&gt;"",IF(AND(#REF!="Padrão",$H$4=#REF!),BDI!$B$17,IF(AND(#REF!="Padrão",$H$4=#REF!),BDI!#REF!,IF(AND(#REF!="Diferenciado",$H$4=#REF!),BDI!$E$17,IF(AND(#REF!="Diferenciado",$H$4=#REF!),BDI!#REF!,IF(#REF!="ZERO",0))))),"")</f>
        <v>#REF!</v>
      </c>
      <c r="H884" s="138" t="e">
        <f t="shared" ca="1" si="40"/>
        <v>#REF!</v>
      </c>
      <c r="I884" s="136" t="e">
        <f t="shared" ca="1" si="41"/>
        <v>#REF!</v>
      </c>
    </row>
    <row r="885" spans="1:9" hidden="1" x14ac:dyDescent="0.25">
      <c r="A885" s="113" t="s">
        <v>918</v>
      </c>
      <c r="B885" s="114" t="s">
        <v>2902</v>
      </c>
      <c r="C885" s="115" t="s">
        <v>20</v>
      </c>
      <c r="D885" s="115">
        <v>0</v>
      </c>
      <c r="E885" s="135">
        <f ca="1">OFFSET(INDEX(Composições!A:J,MATCH(Orçamentária!A885,Composições!A:A,0),8),2,0)</f>
        <v>4.1078000000000001</v>
      </c>
      <c r="F885" s="136">
        <f t="shared" ca="1" si="39"/>
        <v>0</v>
      </c>
      <c r="G885" s="137" t="e">
        <f>IF(A885&lt;&gt;"",IF(AND(#REF!="Padrão",$H$4=#REF!),BDI!$B$17,IF(AND(#REF!="Padrão",$H$4=#REF!),BDI!#REF!,IF(AND(#REF!="Diferenciado",$H$4=#REF!),BDI!$E$17,IF(AND(#REF!="Diferenciado",$H$4=#REF!),BDI!#REF!,IF(#REF!="ZERO",0))))),"")</f>
        <v>#REF!</v>
      </c>
      <c r="H885" s="138" t="e">
        <f t="shared" ca="1" si="40"/>
        <v>#REF!</v>
      </c>
      <c r="I885" s="136" t="e">
        <f t="shared" ca="1" si="41"/>
        <v>#REF!</v>
      </c>
    </row>
    <row r="886" spans="1:9" hidden="1" x14ac:dyDescent="0.25">
      <c r="A886" s="113" t="s">
        <v>920</v>
      </c>
      <c r="B886" s="114" t="s">
        <v>921</v>
      </c>
      <c r="C886" s="115" t="s">
        <v>95</v>
      </c>
      <c r="D886" s="115">
        <v>0</v>
      </c>
      <c r="E886" s="135">
        <f ca="1">OFFSET(INDEX(Composições!A:J,MATCH(Orçamentária!A886,Composições!A:A,0),8),2,0)</f>
        <v>28.200750000000003</v>
      </c>
      <c r="F886" s="136">
        <f t="shared" ca="1" si="39"/>
        <v>0</v>
      </c>
      <c r="G886" s="137" t="e">
        <f>IF(A886&lt;&gt;"",IF(AND(#REF!="Padrão",$H$4=#REF!),BDI!$B$17,IF(AND(#REF!="Padrão",$H$4=#REF!),BDI!#REF!,IF(AND(#REF!="Diferenciado",$H$4=#REF!),BDI!$E$17,IF(AND(#REF!="Diferenciado",$H$4=#REF!),BDI!#REF!,IF(#REF!="ZERO",0))))),"")</f>
        <v>#REF!</v>
      </c>
      <c r="H886" s="138" t="e">
        <f t="shared" ca="1" si="40"/>
        <v>#REF!</v>
      </c>
      <c r="I886" s="136" t="e">
        <f t="shared" ca="1" si="41"/>
        <v>#REF!</v>
      </c>
    </row>
    <row r="887" spans="1:9" hidden="1" x14ac:dyDescent="0.25">
      <c r="A887" s="113" t="s">
        <v>2903</v>
      </c>
      <c r="B887" s="114" t="s">
        <v>2904</v>
      </c>
      <c r="C887" s="115" t="s">
        <v>20</v>
      </c>
      <c r="D887" s="115">
        <v>0</v>
      </c>
      <c r="E887" s="135" t="s">
        <v>568</v>
      </c>
      <c r="F887" s="136" t="str">
        <f t="shared" si="39"/>
        <v/>
      </c>
      <c r="G887" s="137" t="e">
        <f>IF(A887&lt;&gt;"",IF(AND(#REF!="Padrão",$H$4=#REF!),BDI!$B$17,IF(AND(#REF!="Padrão",$H$4=#REF!),BDI!#REF!,IF(AND(#REF!="Diferenciado",$H$4=#REF!),BDI!$E$17,IF(AND(#REF!="Diferenciado",$H$4=#REF!),BDI!#REF!,IF(#REF!="ZERO",0))))),"")</f>
        <v>#REF!</v>
      </c>
      <c r="H887" s="138" t="str">
        <f t="shared" si="40"/>
        <v/>
      </c>
      <c r="I887" s="136" t="str">
        <f t="shared" si="41"/>
        <v/>
      </c>
    </row>
    <row r="888" spans="1:9" hidden="1" x14ac:dyDescent="0.25">
      <c r="A888" s="113" t="s">
        <v>922</v>
      </c>
      <c r="B888" s="114" t="s">
        <v>2905</v>
      </c>
      <c r="C888" s="115" t="s">
        <v>20</v>
      </c>
      <c r="D888" s="115">
        <v>0</v>
      </c>
      <c r="E888" s="135">
        <f ca="1">OFFSET(INDEX(Composições!A:J,MATCH(Orçamentária!A888,Composições!A:A,0),8),2,0)</f>
        <v>4.1078000000000001</v>
      </c>
      <c r="F888" s="136">
        <f t="shared" ca="1" si="39"/>
        <v>0</v>
      </c>
      <c r="G888" s="137" t="e">
        <f>IF(A888&lt;&gt;"",IF(AND(#REF!="Padrão",$H$4=#REF!),BDI!$B$17,IF(AND(#REF!="Padrão",$H$4=#REF!),BDI!#REF!,IF(AND(#REF!="Diferenciado",$H$4=#REF!),BDI!$E$17,IF(AND(#REF!="Diferenciado",$H$4=#REF!),BDI!#REF!,IF(#REF!="ZERO",0))))),"")</f>
        <v>#REF!</v>
      </c>
      <c r="H888" s="138" t="e">
        <f t="shared" ca="1" si="40"/>
        <v>#REF!</v>
      </c>
      <c r="I888" s="136" t="e">
        <f t="shared" ca="1" si="41"/>
        <v>#REF!</v>
      </c>
    </row>
    <row r="889" spans="1:9" hidden="1" x14ac:dyDescent="0.25">
      <c r="A889" s="113" t="s">
        <v>924</v>
      </c>
      <c r="B889" s="114" t="s">
        <v>2906</v>
      </c>
      <c r="C889" s="115" t="s">
        <v>20</v>
      </c>
      <c r="D889" s="115">
        <v>0</v>
      </c>
      <c r="E889" s="135">
        <f ca="1">OFFSET(INDEX(Composições!A:J,MATCH(Orçamentária!A889,Composições!A:A,0),8),2,0)</f>
        <v>4.1078000000000001</v>
      </c>
      <c r="F889" s="136">
        <f t="shared" ca="1" si="39"/>
        <v>0</v>
      </c>
      <c r="G889" s="137" t="e">
        <f>IF(A889&lt;&gt;"",IF(AND(#REF!="Padrão",$H$4=#REF!),BDI!$B$17,IF(AND(#REF!="Padrão",$H$4=#REF!),BDI!#REF!,IF(AND(#REF!="Diferenciado",$H$4=#REF!),BDI!$E$17,IF(AND(#REF!="Diferenciado",$H$4=#REF!),BDI!#REF!,IF(#REF!="ZERO",0))))),"")</f>
        <v>#REF!</v>
      </c>
      <c r="H889" s="138" t="e">
        <f t="shared" ca="1" si="40"/>
        <v>#REF!</v>
      </c>
      <c r="I889" s="136" t="e">
        <f t="shared" ca="1" si="41"/>
        <v>#REF!</v>
      </c>
    </row>
    <row r="890" spans="1:9" hidden="1" x14ac:dyDescent="0.25">
      <c r="A890" s="113" t="s">
        <v>926</v>
      </c>
      <c r="B890" s="114" t="s">
        <v>2907</v>
      </c>
      <c r="C890" s="115" t="s">
        <v>20</v>
      </c>
      <c r="D890" s="115">
        <v>0</v>
      </c>
      <c r="E890" s="135">
        <f ca="1">OFFSET(INDEX(Composições!A:J,MATCH(Orçamentária!A890,Composições!A:A,0),8),2,0)</f>
        <v>4.1078000000000001</v>
      </c>
      <c r="F890" s="136">
        <f t="shared" ca="1" si="39"/>
        <v>0</v>
      </c>
      <c r="G890" s="137" t="e">
        <f>IF(A890&lt;&gt;"",IF(AND(#REF!="Padrão",$H$4=#REF!),BDI!$B$17,IF(AND(#REF!="Padrão",$H$4=#REF!),BDI!#REF!,IF(AND(#REF!="Diferenciado",$H$4=#REF!),BDI!$E$17,IF(AND(#REF!="Diferenciado",$H$4=#REF!),BDI!#REF!,IF(#REF!="ZERO",0))))),"")</f>
        <v>#REF!</v>
      </c>
      <c r="H890" s="138" t="e">
        <f t="shared" ca="1" si="40"/>
        <v>#REF!</v>
      </c>
      <c r="I890" s="136" t="e">
        <f t="shared" ca="1" si="41"/>
        <v>#REF!</v>
      </c>
    </row>
    <row r="891" spans="1:9" hidden="1" x14ac:dyDescent="0.25">
      <c r="A891" s="113" t="s">
        <v>928</v>
      </c>
      <c r="B891" s="114" t="s">
        <v>2908</v>
      </c>
      <c r="C891" s="115" t="s">
        <v>20</v>
      </c>
      <c r="D891" s="115">
        <v>0</v>
      </c>
      <c r="E891" s="135">
        <f ca="1">OFFSET(INDEX(Composições!A:J,MATCH(Orçamentária!A891,Composições!A:A,0),8),2,0)</f>
        <v>30.808500000000002</v>
      </c>
      <c r="F891" s="136">
        <f t="shared" ca="1" si="39"/>
        <v>0</v>
      </c>
      <c r="G891" s="137" t="e">
        <f>IF(A891&lt;&gt;"",IF(AND(#REF!="Padrão",$H$4=#REF!),BDI!$B$17,IF(AND(#REF!="Padrão",$H$4=#REF!),BDI!#REF!,IF(AND(#REF!="Diferenciado",$H$4=#REF!),BDI!$E$17,IF(AND(#REF!="Diferenciado",$H$4=#REF!),BDI!#REF!,IF(#REF!="ZERO",0))))),"")</f>
        <v>#REF!</v>
      </c>
      <c r="H891" s="138" t="e">
        <f t="shared" ca="1" si="40"/>
        <v>#REF!</v>
      </c>
      <c r="I891" s="136" t="e">
        <f t="shared" ca="1" si="41"/>
        <v>#REF!</v>
      </c>
    </row>
    <row r="892" spans="1:9" hidden="1" x14ac:dyDescent="0.25">
      <c r="A892" s="113" t="s">
        <v>930</v>
      </c>
      <c r="B892" s="114" t="s">
        <v>2909</v>
      </c>
      <c r="C892" s="115" t="s">
        <v>20</v>
      </c>
      <c r="D892" s="115">
        <v>0</v>
      </c>
      <c r="E892" s="135">
        <f ca="1">OFFSET(INDEX(Composições!A:J,MATCH(Orçamentária!A892,Composições!A:A,0),8),2,0)</f>
        <v>30.808500000000002</v>
      </c>
      <c r="F892" s="136">
        <f t="shared" ca="1" si="39"/>
        <v>0</v>
      </c>
      <c r="G892" s="137" t="e">
        <f>IF(A892&lt;&gt;"",IF(AND(#REF!="Padrão",$H$4=#REF!),BDI!$B$17,IF(AND(#REF!="Padrão",$H$4=#REF!),BDI!#REF!,IF(AND(#REF!="Diferenciado",$H$4=#REF!),BDI!$E$17,IF(AND(#REF!="Diferenciado",$H$4=#REF!),BDI!#REF!,IF(#REF!="ZERO",0))))),"")</f>
        <v>#REF!</v>
      </c>
      <c r="H892" s="138" t="e">
        <f t="shared" ca="1" si="40"/>
        <v>#REF!</v>
      </c>
      <c r="I892" s="136" t="e">
        <f t="shared" ca="1" si="41"/>
        <v>#REF!</v>
      </c>
    </row>
    <row r="893" spans="1:9" hidden="1" x14ac:dyDescent="0.25">
      <c r="A893" s="113" t="s">
        <v>932</v>
      </c>
      <c r="B893" s="114" t="s">
        <v>2910</v>
      </c>
      <c r="C893" s="115" t="s">
        <v>20</v>
      </c>
      <c r="D893" s="115">
        <v>0</v>
      </c>
      <c r="E893" s="135">
        <f ca="1">OFFSET(INDEX(Composições!A:J,MATCH(Orçamentária!A893,Composições!A:A,0),8),2,0)</f>
        <v>20.539000000000001</v>
      </c>
      <c r="F893" s="136">
        <f t="shared" ca="1" si="39"/>
        <v>0</v>
      </c>
      <c r="G893" s="137" t="e">
        <f>IF(A893&lt;&gt;"",IF(AND(#REF!="Padrão",$H$4=#REF!),BDI!$B$17,IF(AND(#REF!="Padrão",$H$4=#REF!),BDI!#REF!,IF(AND(#REF!="Diferenciado",$H$4=#REF!),BDI!$E$17,IF(AND(#REF!="Diferenciado",$H$4=#REF!),BDI!#REF!,IF(#REF!="ZERO",0))))),"")</f>
        <v>#REF!</v>
      </c>
      <c r="H893" s="138" t="e">
        <f t="shared" ca="1" si="40"/>
        <v>#REF!</v>
      </c>
      <c r="I893" s="136" t="e">
        <f t="shared" ca="1" si="41"/>
        <v>#REF!</v>
      </c>
    </row>
    <row r="894" spans="1:9" hidden="1" x14ac:dyDescent="0.25">
      <c r="A894" s="113" t="s">
        <v>934</v>
      </c>
      <c r="B894" s="114" t="s">
        <v>2911</v>
      </c>
      <c r="C894" s="115" t="s">
        <v>20</v>
      </c>
      <c r="D894" s="115">
        <v>0</v>
      </c>
      <c r="E894" s="135">
        <f ca="1">OFFSET(INDEX(Composições!A:J,MATCH(Orçamentária!A894,Composições!A:A,0),8),2,0)</f>
        <v>2.0539000000000001</v>
      </c>
      <c r="F894" s="136">
        <f t="shared" ca="1" si="39"/>
        <v>0</v>
      </c>
      <c r="G894" s="137" t="e">
        <f>IF(A894&lt;&gt;"",IF(AND(#REF!="Padrão",$H$4=#REF!),BDI!$B$17,IF(AND(#REF!="Padrão",$H$4=#REF!),BDI!#REF!,IF(AND(#REF!="Diferenciado",$H$4=#REF!),BDI!$E$17,IF(AND(#REF!="Diferenciado",$H$4=#REF!),BDI!#REF!,IF(#REF!="ZERO",0))))),"")</f>
        <v>#REF!</v>
      </c>
      <c r="H894" s="138" t="e">
        <f t="shared" ca="1" si="40"/>
        <v>#REF!</v>
      </c>
      <c r="I894" s="136" t="e">
        <f t="shared" ca="1" si="41"/>
        <v>#REF!</v>
      </c>
    </row>
    <row r="895" spans="1:9" hidden="1" x14ac:dyDescent="0.25">
      <c r="A895" s="113" t="s">
        <v>936</v>
      </c>
      <c r="B895" s="114" t="s">
        <v>2912</v>
      </c>
      <c r="C895" s="115" t="s">
        <v>20</v>
      </c>
      <c r="D895" s="115">
        <v>0</v>
      </c>
      <c r="E895" s="135">
        <f ca="1">OFFSET(INDEX(Composições!A:J,MATCH(Orçamentária!A895,Composições!A:A,0),8),2,0)</f>
        <v>4.1078000000000001</v>
      </c>
      <c r="F895" s="136">
        <f t="shared" ca="1" si="39"/>
        <v>0</v>
      </c>
      <c r="G895" s="137" t="e">
        <f>IF(A895&lt;&gt;"",IF(AND(#REF!="Padrão",$H$4=#REF!),BDI!$B$17,IF(AND(#REF!="Padrão",$H$4=#REF!),BDI!#REF!,IF(AND(#REF!="Diferenciado",$H$4=#REF!),BDI!$E$17,IF(AND(#REF!="Diferenciado",$H$4=#REF!),BDI!#REF!,IF(#REF!="ZERO",0))))),"")</f>
        <v>#REF!</v>
      </c>
      <c r="H895" s="138" t="e">
        <f t="shared" ca="1" si="40"/>
        <v>#REF!</v>
      </c>
      <c r="I895" s="136" t="e">
        <f t="shared" ca="1" si="41"/>
        <v>#REF!</v>
      </c>
    </row>
    <row r="896" spans="1:9" hidden="1" x14ac:dyDescent="0.25">
      <c r="A896" s="113" t="s">
        <v>938</v>
      </c>
      <c r="B896" s="114" t="s">
        <v>2913</v>
      </c>
      <c r="C896" s="115" t="s">
        <v>20</v>
      </c>
      <c r="D896" s="115">
        <v>0</v>
      </c>
      <c r="E896" s="135">
        <f ca="1">OFFSET(INDEX(Composições!A:J,MATCH(Orçamentária!A896,Composições!A:A,0),8),2,0)</f>
        <v>4.1078000000000001</v>
      </c>
      <c r="F896" s="136">
        <f t="shared" ca="1" si="39"/>
        <v>0</v>
      </c>
      <c r="G896" s="137" t="e">
        <f>IF(A896&lt;&gt;"",IF(AND(#REF!="Padrão",$H$4=#REF!),BDI!$B$17,IF(AND(#REF!="Padrão",$H$4=#REF!),BDI!#REF!,IF(AND(#REF!="Diferenciado",$H$4=#REF!),BDI!$E$17,IF(AND(#REF!="Diferenciado",$H$4=#REF!),BDI!#REF!,IF(#REF!="ZERO",0))))),"")</f>
        <v>#REF!</v>
      </c>
      <c r="H896" s="138" t="e">
        <f t="shared" ca="1" si="40"/>
        <v>#REF!</v>
      </c>
      <c r="I896" s="136" t="e">
        <f t="shared" ca="1" si="41"/>
        <v>#REF!</v>
      </c>
    </row>
    <row r="897" spans="1:9" hidden="1" x14ac:dyDescent="0.25">
      <c r="A897" s="113" t="s">
        <v>940</v>
      </c>
      <c r="B897" s="114" t="s">
        <v>2914</v>
      </c>
      <c r="C897" s="115" t="s">
        <v>93</v>
      </c>
      <c r="D897" s="115">
        <v>0</v>
      </c>
      <c r="E897" s="135">
        <f ca="1">OFFSET(INDEX(Composições!A:J,MATCH(Orçamentária!A897,Composições!A:A,0),8),2,0)</f>
        <v>35.952360499999998</v>
      </c>
      <c r="F897" s="136">
        <f t="shared" ca="1" si="39"/>
        <v>0</v>
      </c>
      <c r="G897" s="137" t="e">
        <f>IF(A897&lt;&gt;"",IF(AND(#REF!="Padrão",$H$4=#REF!),BDI!$B$17,IF(AND(#REF!="Padrão",$H$4=#REF!),BDI!#REF!,IF(AND(#REF!="Diferenciado",$H$4=#REF!),BDI!$E$17,IF(AND(#REF!="Diferenciado",$H$4=#REF!),BDI!#REF!,IF(#REF!="ZERO",0))))),"")</f>
        <v>#REF!</v>
      </c>
      <c r="H897" s="138" t="e">
        <f t="shared" ca="1" si="40"/>
        <v>#REF!</v>
      </c>
      <c r="I897" s="136" t="e">
        <f t="shared" ca="1" si="41"/>
        <v>#REF!</v>
      </c>
    </row>
    <row r="898" spans="1:9" hidden="1" x14ac:dyDescent="0.25">
      <c r="A898" s="113" t="s">
        <v>942</v>
      </c>
      <c r="B898" s="114" t="s">
        <v>2915</v>
      </c>
      <c r="C898" s="115" t="s">
        <v>93</v>
      </c>
      <c r="D898" s="115">
        <v>0</v>
      </c>
      <c r="E898" s="135">
        <f ca="1">OFFSET(INDEX(Composições!A:J,MATCH(Orçamentária!A898,Composições!A:A,0),8),2,0)</f>
        <v>4.1078000000000001</v>
      </c>
      <c r="F898" s="136">
        <f t="shared" ca="1" si="39"/>
        <v>0</v>
      </c>
      <c r="G898" s="137" t="e">
        <f>IF(A898&lt;&gt;"",IF(AND(#REF!="Padrão",$H$4=#REF!),BDI!$B$17,IF(AND(#REF!="Padrão",$H$4=#REF!),BDI!#REF!,IF(AND(#REF!="Diferenciado",$H$4=#REF!),BDI!$E$17,IF(AND(#REF!="Diferenciado",$H$4=#REF!),BDI!#REF!,IF(#REF!="ZERO",0))))),"")</f>
        <v>#REF!</v>
      </c>
      <c r="H898" s="138" t="e">
        <f t="shared" ca="1" si="40"/>
        <v>#REF!</v>
      </c>
      <c r="I898" s="136" t="e">
        <f t="shared" ca="1" si="41"/>
        <v>#REF!</v>
      </c>
    </row>
    <row r="899" spans="1:9" hidden="1" x14ac:dyDescent="0.25">
      <c r="A899" s="113" t="s">
        <v>944</v>
      </c>
      <c r="B899" s="114" t="s">
        <v>2916</v>
      </c>
      <c r="C899" s="115" t="s">
        <v>93</v>
      </c>
      <c r="D899" s="115">
        <v>0</v>
      </c>
      <c r="E899" s="135">
        <f ca="1">OFFSET(INDEX(Composições!A:J,MATCH(Orçamentária!A899,Composições!A:A,0),8),2,0)</f>
        <v>10.4609915</v>
      </c>
      <c r="F899" s="136">
        <f t="shared" ca="1" si="39"/>
        <v>0</v>
      </c>
      <c r="G899" s="137" t="e">
        <f>IF(A899&lt;&gt;"",IF(AND(#REF!="Padrão",$H$4=#REF!),BDI!$B$17,IF(AND(#REF!="Padrão",$H$4=#REF!),BDI!#REF!,IF(AND(#REF!="Diferenciado",$H$4=#REF!),BDI!$E$17,IF(AND(#REF!="Diferenciado",$H$4=#REF!),BDI!#REF!,IF(#REF!="ZERO",0))))),"")</f>
        <v>#REF!</v>
      </c>
      <c r="H899" s="138" t="e">
        <f t="shared" ca="1" si="40"/>
        <v>#REF!</v>
      </c>
      <c r="I899" s="136" t="e">
        <f t="shared" ca="1" si="41"/>
        <v>#REF!</v>
      </c>
    </row>
    <row r="900" spans="1:9" hidden="1" x14ac:dyDescent="0.25">
      <c r="A900" s="113" t="s">
        <v>947</v>
      </c>
      <c r="B900" s="114" t="s">
        <v>2917</v>
      </c>
      <c r="C900" s="115" t="s">
        <v>20</v>
      </c>
      <c r="D900" s="115">
        <v>0</v>
      </c>
      <c r="E900" s="135">
        <f ca="1">OFFSET(INDEX(Composições!A:J,MATCH(Orçamentária!A900,Composições!A:A,0),8),2,0)</f>
        <v>30.808500000000002</v>
      </c>
      <c r="F900" s="136">
        <f t="shared" ca="1" si="39"/>
        <v>0</v>
      </c>
      <c r="G900" s="137" t="e">
        <f>IF(A900&lt;&gt;"",IF(AND(#REF!="Padrão",$H$4=#REF!),BDI!$B$17,IF(AND(#REF!="Padrão",$H$4=#REF!),BDI!#REF!,IF(AND(#REF!="Diferenciado",$H$4=#REF!),BDI!$E$17,IF(AND(#REF!="Diferenciado",$H$4=#REF!),BDI!#REF!,IF(#REF!="ZERO",0))))),"")</f>
        <v>#REF!</v>
      </c>
      <c r="H900" s="138" t="e">
        <f t="shared" ca="1" si="40"/>
        <v>#REF!</v>
      </c>
      <c r="I900" s="136" t="e">
        <f t="shared" ca="1" si="41"/>
        <v>#REF!</v>
      </c>
    </row>
    <row r="901" spans="1:9" hidden="1" x14ac:dyDescent="0.25">
      <c r="A901" s="113" t="s">
        <v>948</v>
      </c>
      <c r="B901" s="114" t="s">
        <v>2918</v>
      </c>
      <c r="C901" s="115" t="s">
        <v>95</v>
      </c>
      <c r="D901" s="115">
        <v>0</v>
      </c>
      <c r="E901" s="135">
        <f ca="1">OFFSET(INDEX(Composições!A:J,MATCH(Orçamentária!A901,Composições!A:A,0),8),2,0)</f>
        <v>28.200750000000003</v>
      </c>
      <c r="F901" s="136">
        <f t="shared" ca="1" si="39"/>
        <v>0</v>
      </c>
      <c r="G901" s="137" t="e">
        <f>IF(A901&lt;&gt;"",IF(AND(#REF!="Padrão",$H$4=#REF!),BDI!$B$17,IF(AND(#REF!="Padrão",$H$4=#REF!),BDI!#REF!,IF(AND(#REF!="Diferenciado",$H$4=#REF!),BDI!$E$17,IF(AND(#REF!="Diferenciado",$H$4=#REF!),BDI!#REF!,IF(#REF!="ZERO",0))))),"")</f>
        <v>#REF!</v>
      </c>
      <c r="H901" s="138" t="e">
        <f t="shared" ca="1" si="40"/>
        <v>#REF!</v>
      </c>
      <c r="I901" s="136" t="e">
        <f t="shared" ca="1" si="41"/>
        <v>#REF!</v>
      </c>
    </row>
    <row r="902" spans="1:9" hidden="1" x14ac:dyDescent="0.25">
      <c r="A902" s="113" t="s">
        <v>950</v>
      </c>
      <c r="B902" s="114" t="s">
        <v>2919</v>
      </c>
      <c r="C902" s="115" t="s">
        <v>20</v>
      </c>
      <c r="D902" s="115">
        <v>0</v>
      </c>
      <c r="E902" s="135">
        <f ca="1">OFFSET(INDEX(Composições!A:J,MATCH(Orçamentária!A902,Composições!A:A,0),8),2,0)</f>
        <v>8.2156000000000002</v>
      </c>
      <c r="F902" s="136">
        <f t="shared" ca="1" si="39"/>
        <v>0</v>
      </c>
      <c r="G902" s="137" t="e">
        <f>IF(A902&lt;&gt;"",IF(AND(#REF!="Padrão",$H$4=#REF!),BDI!$B$17,IF(AND(#REF!="Padrão",$H$4=#REF!),BDI!#REF!,IF(AND(#REF!="Diferenciado",$H$4=#REF!),BDI!$E$17,IF(AND(#REF!="Diferenciado",$H$4=#REF!),BDI!#REF!,IF(#REF!="ZERO",0))))),"")</f>
        <v>#REF!</v>
      </c>
      <c r="H902" s="138" t="e">
        <f t="shared" ca="1" si="40"/>
        <v>#REF!</v>
      </c>
      <c r="I902" s="136" t="e">
        <f t="shared" ca="1" si="41"/>
        <v>#REF!</v>
      </c>
    </row>
    <row r="903" spans="1:9" x14ac:dyDescent="0.25">
      <c r="A903" s="197" t="s">
        <v>952</v>
      </c>
      <c r="B903" s="198" t="s">
        <v>2920</v>
      </c>
      <c r="C903" s="199" t="s">
        <v>42</v>
      </c>
      <c r="D903" s="199">
        <v>3.92</v>
      </c>
      <c r="E903" s="135">
        <f ca="1">OFFSET(INDEX(Composições!A:J,MATCH(Orçamentária!A903,Composições!A:A,0),8),2,0)</f>
        <v>14.960537300000002</v>
      </c>
      <c r="F903" s="136">
        <f t="shared" ref="F903:F966" ca="1" si="42">IF(ISNUMBER(E903),D903*E903,"")</f>
        <v>58.645306216000009</v>
      </c>
      <c r="G903" s="137">
        <f>BDI!$B$17</f>
        <v>0.191</v>
      </c>
      <c r="H903" s="138">
        <f t="shared" ref="H903:H966" ca="1" si="43">IF(ISNUMBER(E903),ROUND(E903*(1+G903),2),"")</f>
        <v>17.82</v>
      </c>
      <c r="I903" s="136">
        <f t="shared" ref="I903:I966" ca="1" si="44">IF(ISNUMBER(E903),ROUND(H903*D903,2),"")</f>
        <v>69.849999999999994</v>
      </c>
    </row>
    <row r="904" spans="1:9" hidden="1" x14ac:dyDescent="0.25">
      <c r="A904" s="113" t="s">
        <v>958</v>
      </c>
      <c r="B904" s="114" t="s">
        <v>2921</v>
      </c>
      <c r="C904" s="115" t="s">
        <v>20</v>
      </c>
      <c r="D904" s="115">
        <v>0</v>
      </c>
      <c r="E904" s="135">
        <f ca="1">OFFSET(INDEX(Composições!A:J,MATCH(Orçamentária!A904,Composições!A:A,0),8),2,0)</f>
        <v>4.1078000000000001</v>
      </c>
      <c r="F904" s="136">
        <f t="shared" ca="1" si="42"/>
        <v>0</v>
      </c>
      <c r="G904" s="137" t="e">
        <f>IF(A904&lt;&gt;"",IF(AND(#REF!="Padrão",$H$4=#REF!),BDI!$B$17,IF(AND(#REF!="Padrão",$H$4=#REF!),BDI!#REF!,IF(AND(#REF!="Diferenciado",$H$4=#REF!),BDI!$E$17,IF(AND(#REF!="Diferenciado",$H$4=#REF!),BDI!#REF!,IF(#REF!="ZERO",0))))),"")</f>
        <v>#REF!</v>
      </c>
      <c r="H904" s="138" t="e">
        <f t="shared" ca="1" si="43"/>
        <v>#REF!</v>
      </c>
      <c r="I904" s="136" t="e">
        <f t="shared" ca="1" si="44"/>
        <v>#REF!</v>
      </c>
    </row>
    <row r="905" spans="1:9" hidden="1" x14ac:dyDescent="0.25">
      <c r="A905" s="113" t="s">
        <v>960</v>
      </c>
      <c r="B905" s="114" t="s">
        <v>2922</v>
      </c>
      <c r="C905" s="115" t="s">
        <v>20</v>
      </c>
      <c r="D905" s="115">
        <v>0</v>
      </c>
      <c r="E905" s="135">
        <f ca="1">OFFSET(INDEX(Composições!A:J,MATCH(Orçamentária!A905,Composições!A:A,0),8),2,0)</f>
        <v>6.1617000000000006</v>
      </c>
      <c r="F905" s="136">
        <f t="shared" ca="1" si="42"/>
        <v>0</v>
      </c>
      <c r="G905" s="137" t="e">
        <f>IF(A905&lt;&gt;"",IF(AND(#REF!="Padrão",$H$4=#REF!),BDI!$B$17,IF(AND(#REF!="Padrão",$H$4=#REF!),BDI!#REF!,IF(AND(#REF!="Diferenciado",$H$4=#REF!),BDI!$E$17,IF(AND(#REF!="Diferenciado",$H$4=#REF!),BDI!#REF!,IF(#REF!="ZERO",0))))),"")</f>
        <v>#REF!</v>
      </c>
      <c r="H905" s="138" t="e">
        <f t="shared" ca="1" si="43"/>
        <v>#REF!</v>
      </c>
      <c r="I905" s="136" t="e">
        <f t="shared" ca="1" si="44"/>
        <v>#REF!</v>
      </c>
    </row>
    <row r="906" spans="1:9" hidden="1" x14ac:dyDescent="0.25">
      <c r="A906" s="113" t="s">
        <v>962</v>
      </c>
      <c r="B906" s="114" t="s">
        <v>2923</v>
      </c>
      <c r="C906" s="115" t="s">
        <v>20</v>
      </c>
      <c r="D906" s="115">
        <v>0</v>
      </c>
      <c r="E906" s="135">
        <f ca="1">OFFSET(INDEX(Composições!A:J,MATCH(Orçamentária!A906,Composições!A:A,0),8),2,0)</f>
        <v>6.1617000000000006</v>
      </c>
      <c r="F906" s="136">
        <f t="shared" ca="1" si="42"/>
        <v>0</v>
      </c>
      <c r="G906" s="137" t="e">
        <f>IF(A906&lt;&gt;"",IF(AND(#REF!="Padrão",$H$4=#REF!),BDI!$B$17,IF(AND(#REF!="Padrão",$H$4=#REF!),BDI!#REF!,IF(AND(#REF!="Diferenciado",$H$4=#REF!),BDI!$E$17,IF(AND(#REF!="Diferenciado",$H$4=#REF!),BDI!#REF!,IF(#REF!="ZERO",0))))),"")</f>
        <v>#REF!</v>
      </c>
      <c r="H906" s="138" t="e">
        <f t="shared" ca="1" si="43"/>
        <v>#REF!</v>
      </c>
      <c r="I906" s="136" t="e">
        <f t="shared" ca="1" si="44"/>
        <v>#REF!</v>
      </c>
    </row>
    <row r="907" spans="1:9" hidden="1" x14ac:dyDescent="0.25">
      <c r="A907" s="113" t="s">
        <v>964</v>
      </c>
      <c r="B907" s="114" t="s">
        <v>2924</v>
      </c>
      <c r="C907" s="115" t="s">
        <v>20</v>
      </c>
      <c r="D907" s="115">
        <v>0</v>
      </c>
      <c r="E907" s="135">
        <f ca="1">OFFSET(INDEX(Composições!A:J,MATCH(Orçamentária!A907,Composições!A:A,0),8),2,0)</f>
        <v>6.1617000000000006</v>
      </c>
      <c r="F907" s="136">
        <f t="shared" ca="1" si="42"/>
        <v>0</v>
      </c>
      <c r="G907" s="137" t="e">
        <f>IF(A907&lt;&gt;"",IF(AND(#REF!="Padrão",$H$4=#REF!),BDI!$B$17,IF(AND(#REF!="Padrão",$H$4=#REF!),BDI!#REF!,IF(AND(#REF!="Diferenciado",$H$4=#REF!),BDI!$E$17,IF(AND(#REF!="Diferenciado",$H$4=#REF!),BDI!#REF!,IF(#REF!="ZERO",0))))),"")</f>
        <v>#REF!</v>
      </c>
      <c r="H907" s="138" t="e">
        <f t="shared" ca="1" si="43"/>
        <v>#REF!</v>
      </c>
      <c r="I907" s="136" t="e">
        <f t="shared" ca="1" si="44"/>
        <v>#REF!</v>
      </c>
    </row>
    <row r="908" spans="1:9" hidden="1" x14ac:dyDescent="0.25">
      <c r="A908" s="113" t="s">
        <v>966</v>
      </c>
      <c r="B908" s="114" t="s">
        <v>2925</v>
      </c>
      <c r="C908" s="115" t="s">
        <v>20</v>
      </c>
      <c r="D908" s="115">
        <v>0</v>
      </c>
      <c r="E908" s="135">
        <f ca="1">OFFSET(INDEX(Composições!A:J,MATCH(Orçamentária!A908,Composições!A:A,0),8),2,0)</f>
        <v>3.0808500000000003</v>
      </c>
      <c r="F908" s="136">
        <f t="shared" ca="1" si="42"/>
        <v>0</v>
      </c>
      <c r="G908" s="137" t="e">
        <f>IF(A908&lt;&gt;"",IF(AND(#REF!="Padrão",$H$4=#REF!),BDI!$B$17,IF(AND(#REF!="Padrão",$H$4=#REF!),BDI!#REF!,IF(AND(#REF!="Diferenciado",$H$4=#REF!),BDI!$E$17,IF(AND(#REF!="Diferenciado",$H$4=#REF!),BDI!#REF!,IF(#REF!="ZERO",0))))),"")</f>
        <v>#REF!</v>
      </c>
      <c r="H908" s="138" t="e">
        <f t="shared" ca="1" si="43"/>
        <v>#REF!</v>
      </c>
      <c r="I908" s="136" t="e">
        <f t="shared" ca="1" si="44"/>
        <v>#REF!</v>
      </c>
    </row>
    <row r="909" spans="1:9" hidden="1" x14ac:dyDescent="0.25">
      <c r="A909" s="113" t="s">
        <v>968</v>
      </c>
      <c r="B909" s="114" t="s">
        <v>2926</v>
      </c>
      <c r="C909" s="115" t="s">
        <v>20</v>
      </c>
      <c r="D909" s="115">
        <v>0</v>
      </c>
      <c r="E909" s="135">
        <f ca="1">OFFSET(INDEX(Composições!A:J,MATCH(Orçamentária!A909,Composições!A:A,0),8),2,0)</f>
        <v>3.0808500000000003</v>
      </c>
      <c r="F909" s="136">
        <f t="shared" ca="1" si="42"/>
        <v>0</v>
      </c>
      <c r="G909" s="137" t="e">
        <f>IF(A909&lt;&gt;"",IF(AND(#REF!="Padrão",$H$4=#REF!),BDI!$B$17,IF(AND(#REF!="Padrão",$H$4=#REF!),BDI!#REF!,IF(AND(#REF!="Diferenciado",$H$4=#REF!),BDI!$E$17,IF(AND(#REF!="Diferenciado",$H$4=#REF!),BDI!#REF!,IF(#REF!="ZERO",0))))),"")</f>
        <v>#REF!</v>
      </c>
      <c r="H909" s="138" t="e">
        <f t="shared" ca="1" si="43"/>
        <v>#REF!</v>
      </c>
      <c r="I909" s="136" t="e">
        <f t="shared" ca="1" si="44"/>
        <v>#REF!</v>
      </c>
    </row>
    <row r="910" spans="1:9" hidden="1" x14ac:dyDescent="0.25">
      <c r="A910" s="113" t="s">
        <v>970</v>
      </c>
      <c r="B910" s="114" t="s">
        <v>2927</v>
      </c>
      <c r="C910" s="115" t="s">
        <v>20</v>
      </c>
      <c r="D910" s="115">
        <v>0</v>
      </c>
      <c r="E910" s="135">
        <f ca="1">OFFSET(INDEX(Composições!A:J,MATCH(Orçamentária!A910,Composições!A:A,0),8),2,0)</f>
        <v>3.0808500000000003</v>
      </c>
      <c r="F910" s="136">
        <f t="shared" ca="1" si="42"/>
        <v>0</v>
      </c>
      <c r="G910" s="137" t="e">
        <f>IF(A910&lt;&gt;"",IF(AND(#REF!="Padrão",$H$4=#REF!),BDI!$B$17,IF(AND(#REF!="Padrão",$H$4=#REF!),BDI!#REF!,IF(AND(#REF!="Diferenciado",$H$4=#REF!),BDI!$E$17,IF(AND(#REF!="Diferenciado",$H$4=#REF!),BDI!#REF!,IF(#REF!="ZERO",0))))),"")</f>
        <v>#REF!</v>
      </c>
      <c r="H910" s="138" t="e">
        <f t="shared" ca="1" si="43"/>
        <v>#REF!</v>
      </c>
      <c r="I910" s="136" t="e">
        <f t="shared" ca="1" si="44"/>
        <v>#REF!</v>
      </c>
    </row>
    <row r="911" spans="1:9" hidden="1" x14ac:dyDescent="0.25">
      <c r="A911" s="113" t="s">
        <v>972</v>
      </c>
      <c r="B911" s="114" t="s">
        <v>2928</v>
      </c>
      <c r="C911" s="115" t="s">
        <v>20</v>
      </c>
      <c r="D911" s="115">
        <v>0</v>
      </c>
      <c r="E911" s="135">
        <f ca="1">OFFSET(INDEX(Composições!A:J,MATCH(Orçamentária!A911,Composições!A:A,0),8),2,0)</f>
        <v>3.0808500000000003</v>
      </c>
      <c r="F911" s="136">
        <f t="shared" ca="1" si="42"/>
        <v>0</v>
      </c>
      <c r="G911" s="137" t="e">
        <f>IF(A911&lt;&gt;"",IF(AND(#REF!="Padrão",$H$4=#REF!),BDI!$B$17,IF(AND(#REF!="Padrão",$H$4=#REF!),BDI!#REF!,IF(AND(#REF!="Diferenciado",$H$4=#REF!),BDI!$E$17,IF(AND(#REF!="Diferenciado",$H$4=#REF!),BDI!#REF!,IF(#REF!="ZERO",0))))),"")</f>
        <v>#REF!</v>
      </c>
      <c r="H911" s="138" t="e">
        <f t="shared" ca="1" si="43"/>
        <v>#REF!</v>
      </c>
      <c r="I911" s="136" t="e">
        <f t="shared" ca="1" si="44"/>
        <v>#REF!</v>
      </c>
    </row>
    <row r="912" spans="1:9" hidden="1" x14ac:dyDescent="0.25">
      <c r="A912" s="113" t="s">
        <v>974</v>
      </c>
      <c r="B912" s="114" t="s">
        <v>2929</v>
      </c>
      <c r="C912" s="115" t="s">
        <v>20</v>
      </c>
      <c r="D912" s="115">
        <v>0</v>
      </c>
      <c r="E912" s="135">
        <f ca="1">OFFSET(INDEX(Composições!A:J,MATCH(Orçamentária!A912,Composições!A:A,0),8),2,0)</f>
        <v>8.2156000000000002</v>
      </c>
      <c r="F912" s="136">
        <f t="shared" ca="1" si="42"/>
        <v>0</v>
      </c>
      <c r="G912" s="137" t="e">
        <f>IF(A912&lt;&gt;"",IF(AND(#REF!="Padrão",$H$4=#REF!),BDI!$B$17,IF(AND(#REF!="Padrão",$H$4=#REF!),BDI!#REF!,IF(AND(#REF!="Diferenciado",$H$4=#REF!),BDI!$E$17,IF(AND(#REF!="Diferenciado",$H$4=#REF!),BDI!#REF!,IF(#REF!="ZERO",0))))),"")</f>
        <v>#REF!</v>
      </c>
      <c r="H912" s="138" t="e">
        <f t="shared" ca="1" si="43"/>
        <v>#REF!</v>
      </c>
      <c r="I912" s="136" t="e">
        <f t="shared" ca="1" si="44"/>
        <v>#REF!</v>
      </c>
    </row>
    <row r="913" spans="1:9" hidden="1" x14ac:dyDescent="0.25">
      <c r="A913" s="113" t="s">
        <v>976</v>
      </c>
      <c r="B913" s="114" t="s">
        <v>2930</v>
      </c>
      <c r="C913" s="115" t="s">
        <v>2931</v>
      </c>
      <c r="D913" s="115">
        <v>0</v>
      </c>
      <c r="E913" s="135">
        <f ca="1">OFFSET(INDEX(Composições!A:J,MATCH(Orçamentária!A913,Composições!A:A,0),8),2,0)</f>
        <v>47.645891500000005</v>
      </c>
      <c r="F913" s="136">
        <f t="shared" ca="1" si="42"/>
        <v>0</v>
      </c>
      <c r="G913" s="137" t="e">
        <f>IF(A913&lt;&gt;"",IF(AND(#REF!="Padrão",$H$4=#REF!),BDI!$B$17,IF(AND(#REF!="Padrão",$H$4=#REF!),BDI!#REF!,IF(AND(#REF!="Diferenciado",$H$4=#REF!),BDI!$E$17,IF(AND(#REF!="Diferenciado",$H$4=#REF!),BDI!#REF!,IF(#REF!="ZERO",0))))),"")</f>
        <v>#REF!</v>
      </c>
      <c r="H913" s="138" t="e">
        <f t="shared" ca="1" si="43"/>
        <v>#REF!</v>
      </c>
      <c r="I913" s="136" t="e">
        <f t="shared" ca="1" si="44"/>
        <v>#REF!</v>
      </c>
    </row>
    <row r="914" spans="1:9" hidden="1" x14ac:dyDescent="0.25">
      <c r="A914" s="113" t="s">
        <v>977</v>
      </c>
      <c r="B914" s="114" t="s">
        <v>2932</v>
      </c>
      <c r="C914" s="115" t="s">
        <v>95</v>
      </c>
      <c r="D914" s="115">
        <v>0</v>
      </c>
      <c r="E914" s="135">
        <f ca="1">OFFSET(INDEX(Composições!A:J,MATCH(Orçamentária!A914,Composições!A:A,0),8),2,0)</f>
        <v>111.848725</v>
      </c>
      <c r="F914" s="136">
        <f t="shared" ca="1" si="42"/>
        <v>0</v>
      </c>
      <c r="G914" s="137" t="e">
        <f>IF(A914&lt;&gt;"",IF(AND(#REF!="Padrão",$H$4=#REF!),BDI!$B$17,IF(AND(#REF!="Padrão",$H$4=#REF!),BDI!#REF!,IF(AND(#REF!="Diferenciado",$H$4=#REF!),BDI!$E$17,IF(AND(#REF!="Diferenciado",$H$4=#REF!),BDI!#REF!,IF(#REF!="ZERO",0))))),"")</f>
        <v>#REF!</v>
      </c>
      <c r="H914" s="138" t="e">
        <f t="shared" ca="1" si="43"/>
        <v>#REF!</v>
      </c>
      <c r="I914" s="136" t="e">
        <f t="shared" ca="1" si="44"/>
        <v>#REF!</v>
      </c>
    </row>
    <row r="915" spans="1:9" hidden="1" x14ac:dyDescent="0.25">
      <c r="A915" s="113" t="s">
        <v>979</v>
      </c>
      <c r="B915" s="114" t="s">
        <v>2933</v>
      </c>
      <c r="C915" s="115" t="s">
        <v>95</v>
      </c>
      <c r="D915" s="115">
        <v>0</v>
      </c>
      <c r="E915" s="135">
        <f ca="1">OFFSET(INDEX(Composições!A:J,MATCH(Orçamentária!A915,Composições!A:A,0),8),2,0)</f>
        <v>184.49380000000002</v>
      </c>
      <c r="F915" s="136">
        <f t="shared" ca="1" si="42"/>
        <v>0</v>
      </c>
      <c r="G915" s="137" t="e">
        <f>IF(A915&lt;&gt;"",IF(AND(#REF!="Padrão",$H$4=#REF!),BDI!$B$17,IF(AND(#REF!="Padrão",$H$4=#REF!),BDI!#REF!,IF(AND(#REF!="Diferenciado",$H$4=#REF!),BDI!$E$17,IF(AND(#REF!="Diferenciado",$H$4=#REF!),BDI!#REF!,IF(#REF!="ZERO",0))))),"")</f>
        <v>#REF!</v>
      </c>
      <c r="H915" s="138" t="e">
        <f t="shared" ca="1" si="43"/>
        <v>#REF!</v>
      </c>
      <c r="I915" s="136" t="e">
        <f t="shared" ca="1" si="44"/>
        <v>#REF!</v>
      </c>
    </row>
    <row r="916" spans="1:9" hidden="1" x14ac:dyDescent="0.25">
      <c r="A916" s="113" t="s">
        <v>981</v>
      </c>
      <c r="B916" s="114" t="s">
        <v>2934</v>
      </c>
      <c r="C916" s="115" t="s">
        <v>93</v>
      </c>
      <c r="D916" s="115">
        <v>0</v>
      </c>
      <c r="E916" s="135">
        <f ca="1">OFFSET(INDEX(Composições!A:J,MATCH(Orçamentária!A916,Composições!A:A,0),8),2,0)</f>
        <v>23.1419487</v>
      </c>
      <c r="F916" s="136">
        <f t="shared" ca="1" si="42"/>
        <v>0</v>
      </c>
      <c r="G916" s="137" t="e">
        <f>IF(A916&lt;&gt;"",IF(AND(#REF!="Padrão",$H$4=#REF!),BDI!$B$17,IF(AND(#REF!="Padrão",$H$4=#REF!),BDI!#REF!,IF(AND(#REF!="Diferenciado",$H$4=#REF!),BDI!$E$17,IF(AND(#REF!="Diferenciado",$H$4=#REF!),BDI!#REF!,IF(#REF!="ZERO",0))))),"")</f>
        <v>#REF!</v>
      </c>
      <c r="H916" s="138" t="e">
        <f t="shared" ca="1" si="43"/>
        <v>#REF!</v>
      </c>
      <c r="I916" s="136" t="e">
        <f t="shared" ca="1" si="44"/>
        <v>#REF!</v>
      </c>
    </row>
    <row r="917" spans="1:9" hidden="1" x14ac:dyDescent="0.25">
      <c r="A917" s="113" t="s">
        <v>982</v>
      </c>
      <c r="B917" s="114" t="s">
        <v>2935</v>
      </c>
      <c r="C917" s="115" t="s">
        <v>95</v>
      </c>
      <c r="D917" s="115">
        <v>0</v>
      </c>
      <c r="E917" s="135">
        <f ca="1">OFFSET(INDEX(Composições!A:J,MATCH(Orçamentária!A917,Composições!A:A,0),8),2,0)</f>
        <v>64.778599999999997</v>
      </c>
      <c r="F917" s="136">
        <f t="shared" ca="1" si="42"/>
        <v>0</v>
      </c>
      <c r="G917" s="137" t="e">
        <f>IF(A917&lt;&gt;"",IF(AND(#REF!="Padrão",$H$4=#REF!),BDI!$B$17,IF(AND(#REF!="Padrão",$H$4=#REF!),BDI!#REF!,IF(AND(#REF!="Diferenciado",$H$4=#REF!),BDI!$E$17,IF(AND(#REF!="Diferenciado",$H$4=#REF!),BDI!#REF!,IF(#REF!="ZERO",0))))),"")</f>
        <v>#REF!</v>
      </c>
      <c r="H917" s="138" t="e">
        <f t="shared" ca="1" si="43"/>
        <v>#REF!</v>
      </c>
      <c r="I917" s="136" t="e">
        <f t="shared" ca="1" si="44"/>
        <v>#REF!</v>
      </c>
    </row>
    <row r="918" spans="1:9" hidden="1" x14ac:dyDescent="0.25">
      <c r="A918" s="113" t="s">
        <v>984</v>
      </c>
      <c r="B918" s="114" t="s">
        <v>985</v>
      </c>
      <c r="C918" s="115" t="s">
        <v>95</v>
      </c>
      <c r="D918" s="115">
        <v>0</v>
      </c>
      <c r="E918" s="135">
        <f ca="1">OFFSET(INDEX(Composições!A:J,MATCH(Orçamentária!A918,Composições!A:A,0),8),2,0)</f>
        <v>64.778600000000012</v>
      </c>
      <c r="F918" s="136">
        <f t="shared" ca="1" si="42"/>
        <v>0</v>
      </c>
      <c r="G918" s="137" t="e">
        <f>IF(A918&lt;&gt;"",IF(AND(#REF!="Padrão",$H$4=#REF!),BDI!$B$17,IF(AND(#REF!="Padrão",$H$4=#REF!),BDI!#REF!,IF(AND(#REF!="Diferenciado",$H$4=#REF!),BDI!$E$17,IF(AND(#REF!="Diferenciado",$H$4=#REF!),BDI!#REF!,IF(#REF!="ZERO",0))))),"")</f>
        <v>#REF!</v>
      </c>
      <c r="H918" s="138" t="e">
        <f t="shared" ca="1" si="43"/>
        <v>#REF!</v>
      </c>
      <c r="I918" s="136" t="e">
        <f t="shared" ca="1" si="44"/>
        <v>#REF!</v>
      </c>
    </row>
    <row r="919" spans="1:9" hidden="1" x14ac:dyDescent="0.25">
      <c r="A919" s="113" t="s">
        <v>986</v>
      </c>
      <c r="B919" s="114" t="s">
        <v>2936</v>
      </c>
      <c r="C919" s="115" t="s">
        <v>20</v>
      </c>
      <c r="D919" s="115">
        <v>0</v>
      </c>
      <c r="E919" s="135">
        <f ca="1">OFFSET(INDEX(Composições!A:J,MATCH(Orçamentária!A919,Composições!A:A,0),8),2,0)</f>
        <v>6.3478999999999992</v>
      </c>
      <c r="F919" s="136">
        <f t="shared" ca="1" si="42"/>
        <v>0</v>
      </c>
      <c r="G919" s="137" t="e">
        <f>IF(A919&lt;&gt;"",IF(AND(#REF!="Padrão",$H$4=#REF!),BDI!$B$17,IF(AND(#REF!="Padrão",$H$4=#REF!),BDI!#REF!,IF(AND(#REF!="Diferenciado",$H$4=#REF!),BDI!$E$17,IF(AND(#REF!="Diferenciado",$H$4=#REF!),BDI!#REF!,IF(#REF!="ZERO",0))))),"")</f>
        <v>#REF!</v>
      </c>
      <c r="H919" s="138" t="e">
        <f t="shared" ca="1" si="43"/>
        <v>#REF!</v>
      </c>
      <c r="I919" s="136" t="e">
        <f t="shared" ca="1" si="44"/>
        <v>#REF!</v>
      </c>
    </row>
    <row r="920" spans="1:9" hidden="1" x14ac:dyDescent="0.25">
      <c r="A920" s="113" t="s">
        <v>987</v>
      </c>
      <c r="B920" s="114" t="s">
        <v>2937</v>
      </c>
      <c r="C920" s="115" t="s">
        <v>111</v>
      </c>
      <c r="D920" s="115">
        <v>0</v>
      </c>
      <c r="E920" s="135">
        <f ca="1">OFFSET(INDEX(Composições!A:J,MATCH(Orçamentária!A920,Composições!A:A,0),8),2,0)</f>
        <v>2741.9053634000002</v>
      </c>
      <c r="F920" s="136">
        <f t="shared" ca="1" si="42"/>
        <v>0</v>
      </c>
      <c r="G920" s="137" t="e">
        <f>IF(A920&lt;&gt;"",IF(AND(#REF!="Padrão",$H$4=#REF!),BDI!$B$17,IF(AND(#REF!="Padrão",$H$4=#REF!),BDI!#REF!,IF(AND(#REF!="Diferenciado",$H$4=#REF!),BDI!$E$17,IF(AND(#REF!="Diferenciado",$H$4=#REF!),BDI!#REF!,IF(#REF!="ZERO",0))))),"")</f>
        <v>#REF!</v>
      </c>
      <c r="H920" s="138" t="e">
        <f t="shared" ca="1" si="43"/>
        <v>#REF!</v>
      </c>
      <c r="I920" s="136" t="e">
        <f t="shared" ca="1" si="44"/>
        <v>#REF!</v>
      </c>
    </row>
    <row r="921" spans="1:9" hidden="1" x14ac:dyDescent="0.25">
      <c r="A921" s="113" t="s">
        <v>989</v>
      </c>
      <c r="B921" s="114" t="s">
        <v>2938</v>
      </c>
      <c r="C921" s="115" t="s">
        <v>42</v>
      </c>
      <c r="D921" s="115">
        <v>0</v>
      </c>
      <c r="E921" s="135">
        <f ca="1">OFFSET(INDEX(Composições!A:J,MATCH(Orçamentária!A921,Composições!A:A,0),8),2,0)</f>
        <v>11.1327137</v>
      </c>
      <c r="F921" s="136">
        <f t="shared" ca="1" si="42"/>
        <v>0</v>
      </c>
      <c r="G921" s="137" t="e">
        <f>IF(A921&lt;&gt;"",IF(AND(#REF!="Padrão",$H$4=#REF!),BDI!$B$17,IF(AND(#REF!="Padrão",$H$4=#REF!),BDI!#REF!,IF(AND(#REF!="Diferenciado",$H$4=#REF!),BDI!$E$17,IF(AND(#REF!="Diferenciado",$H$4=#REF!),BDI!#REF!,IF(#REF!="ZERO",0))))),"")</f>
        <v>#REF!</v>
      </c>
      <c r="H921" s="138" t="e">
        <f t="shared" ca="1" si="43"/>
        <v>#REF!</v>
      </c>
      <c r="I921" s="136" t="e">
        <f t="shared" ca="1" si="44"/>
        <v>#REF!</v>
      </c>
    </row>
    <row r="922" spans="1:9" hidden="1" x14ac:dyDescent="0.25">
      <c r="A922" s="113" t="s">
        <v>991</v>
      </c>
      <c r="B922" s="114" t="s">
        <v>2939</v>
      </c>
      <c r="C922" s="115" t="s">
        <v>42</v>
      </c>
      <c r="D922" s="115">
        <v>0</v>
      </c>
      <c r="E922" s="135">
        <f ca="1">OFFSET(INDEX(Composições!A:J,MATCH(Orçamentária!A922,Composições!A:A,0),8),2,0)</f>
        <v>11.606248799999999</v>
      </c>
      <c r="F922" s="136">
        <f t="shared" ca="1" si="42"/>
        <v>0</v>
      </c>
      <c r="G922" s="137" t="e">
        <f>IF(A922&lt;&gt;"",IF(AND(#REF!="Padrão",$H$4=#REF!),BDI!$B$17,IF(AND(#REF!="Padrão",$H$4=#REF!),BDI!#REF!,IF(AND(#REF!="Diferenciado",$H$4=#REF!),BDI!$E$17,IF(AND(#REF!="Diferenciado",$H$4=#REF!),BDI!#REF!,IF(#REF!="ZERO",0))))),"")</f>
        <v>#REF!</v>
      </c>
      <c r="H922" s="138" t="e">
        <f t="shared" ca="1" si="43"/>
        <v>#REF!</v>
      </c>
      <c r="I922" s="136" t="e">
        <f t="shared" ca="1" si="44"/>
        <v>#REF!</v>
      </c>
    </row>
    <row r="923" spans="1:9" hidden="1" x14ac:dyDescent="0.25">
      <c r="A923" s="113" t="s">
        <v>993</v>
      </c>
      <c r="B923" s="114" t="s">
        <v>2940</v>
      </c>
      <c r="C923" s="115" t="s">
        <v>20</v>
      </c>
      <c r="D923" s="115">
        <v>0</v>
      </c>
      <c r="E923" s="135">
        <f ca="1">OFFSET(INDEX(Composições!A:J,MATCH(Orçamentária!A923,Composições!A:A,0),8),2,0)</f>
        <v>20.267775000000004</v>
      </c>
      <c r="F923" s="136">
        <f t="shared" ca="1" si="42"/>
        <v>0</v>
      </c>
      <c r="G923" s="137" t="e">
        <f>IF(A923&lt;&gt;"",IF(AND(#REF!="Padrão",$H$4=#REF!),BDI!$B$17,IF(AND(#REF!="Padrão",$H$4=#REF!),BDI!#REF!,IF(AND(#REF!="Diferenciado",$H$4=#REF!),BDI!$E$17,IF(AND(#REF!="Diferenciado",$H$4=#REF!),BDI!#REF!,IF(#REF!="ZERO",0))))),"")</f>
        <v>#REF!</v>
      </c>
      <c r="H923" s="138" t="e">
        <f t="shared" ca="1" si="43"/>
        <v>#REF!</v>
      </c>
      <c r="I923" s="136" t="e">
        <f t="shared" ca="1" si="44"/>
        <v>#REF!</v>
      </c>
    </row>
    <row r="924" spans="1:9" x14ac:dyDescent="0.25">
      <c r="A924" s="197" t="s">
        <v>994</v>
      </c>
      <c r="B924" s="198" t="s">
        <v>2941</v>
      </c>
      <c r="C924" s="199" t="s">
        <v>111</v>
      </c>
      <c r="D924" s="199">
        <v>1.7</v>
      </c>
      <c r="E924" s="135">
        <f ca="1">OFFSET(INDEX(Composições!A:J,MATCH(Orçamentária!A924,Composições!A:A,0),8),2,0)</f>
        <v>64.528294000000002</v>
      </c>
      <c r="F924" s="136">
        <f t="shared" ca="1" si="42"/>
        <v>109.69809979999999</v>
      </c>
      <c r="G924" s="137">
        <f>BDI!$B$17</f>
        <v>0.191</v>
      </c>
      <c r="H924" s="138">
        <f t="shared" ca="1" si="43"/>
        <v>76.849999999999994</v>
      </c>
      <c r="I924" s="136">
        <f t="shared" ca="1" si="44"/>
        <v>130.65</v>
      </c>
    </row>
    <row r="925" spans="1:9" hidden="1" x14ac:dyDescent="0.25">
      <c r="A925" s="113" t="s">
        <v>995</v>
      </c>
      <c r="B925" s="114" t="s">
        <v>2942</v>
      </c>
      <c r="C925" s="115" t="s">
        <v>111</v>
      </c>
      <c r="D925" s="115">
        <v>0</v>
      </c>
      <c r="E925" s="135">
        <f ca="1">OFFSET(INDEX(Composições!A:J,MATCH(Orçamentária!A925,Composições!A:A,0),8),2,0)</f>
        <v>23.257406000000003</v>
      </c>
      <c r="F925" s="136">
        <f t="shared" ca="1" si="42"/>
        <v>0</v>
      </c>
      <c r="G925" s="137" t="e">
        <f>IF(A925&lt;&gt;"",IF(AND(#REF!="Padrão",$H$4=#REF!),BDI!$B$17,IF(AND(#REF!="Padrão",$H$4=#REF!),BDI!#REF!,IF(AND(#REF!="Diferenciado",$H$4=#REF!),BDI!$E$17,IF(AND(#REF!="Diferenciado",$H$4=#REF!),BDI!#REF!,IF(#REF!="ZERO",0))))),"")</f>
        <v>#REF!</v>
      </c>
      <c r="H925" s="138" t="e">
        <f t="shared" ca="1" si="43"/>
        <v>#REF!</v>
      </c>
      <c r="I925" s="136" t="e">
        <f t="shared" ca="1" si="44"/>
        <v>#REF!</v>
      </c>
    </row>
    <row r="926" spans="1:9" x14ac:dyDescent="0.25">
      <c r="A926" s="197" t="s">
        <v>1001</v>
      </c>
      <c r="B926" s="198" t="s">
        <v>2943</v>
      </c>
      <c r="C926" s="199" t="s">
        <v>111</v>
      </c>
      <c r="D926" s="199">
        <v>1.6</v>
      </c>
      <c r="E926" s="135">
        <f ca="1">OFFSET(INDEX(Composições!A:J,MATCH(Orçamentária!A926,Composições!A:A,0),8),2,0)</f>
        <v>87.478461687500001</v>
      </c>
      <c r="F926" s="136">
        <f t="shared" ca="1" si="42"/>
        <v>139.9655387</v>
      </c>
      <c r="G926" s="137">
        <f>BDI!$B$17</f>
        <v>0.191</v>
      </c>
      <c r="H926" s="138">
        <f t="shared" ca="1" si="43"/>
        <v>104.19</v>
      </c>
      <c r="I926" s="136">
        <f t="shared" ca="1" si="44"/>
        <v>166.7</v>
      </c>
    </row>
    <row r="927" spans="1:9" hidden="1" x14ac:dyDescent="0.25">
      <c r="A927" s="113" t="s">
        <v>1006</v>
      </c>
      <c r="B927" s="114" t="s">
        <v>2944</v>
      </c>
      <c r="C927" s="115" t="s">
        <v>93</v>
      </c>
      <c r="D927" s="115">
        <v>0</v>
      </c>
      <c r="E927" s="135">
        <f ca="1">OFFSET(INDEX(Composições!A:J,MATCH(Orçamentária!A927,Composições!A:A,0),8),2,0)</f>
        <v>51.099185200000001</v>
      </c>
      <c r="F927" s="136">
        <f t="shared" ca="1" si="42"/>
        <v>0</v>
      </c>
      <c r="G927" s="137" t="e">
        <f>IF(A927&lt;&gt;"",IF(AND(#REF!="Padrão",$H$4=#REF!),BDI!$B$17,IF(AND(#REF!="Padrão",$H$4=#REF!),BDI!#REF!,IF(AND(#REF!="Diferenciado",$H$4=#REF!),BDI!$E$17,IF(AND(#REF!="Diferenciado",$H$4=#REF!),BDI!#REF!,IF(#REF!="ZERO",0))))),"")</f>
        <v>#REF!</v>
      </c>
      <c r="H927" s="138" t="e">
        <f t="shared" ca="1" si="43"/>
        <v>#REF!</v>
      </c>
      <c r="I927" s="136" t="e">
        <f t="shared" ca="1" si="44"/>
        <v>#REF!</v>
      </c>
    </row>
    <row r="928" spans="1:9" hidden="1" x14ac:dyDescent="0.25">
      <c r="A928" s="113" t="s">
        <v>1010</v>
      </c>
      <c r="B928" s="114" t="s">
        <v>2945</v>
      </c>
      <c r="C928" s="115" t="s">
        <v>93</v>
      </c>
      <c r="D928" s="115">
        <v>0</v>
      </c>
      <c r="E928" s="135">
        <f ca="1">OFFSET(INDEX(Composições!A:J,MATCH(Orçamentária!A928,Composições!A:A,0),8),2,0)</f>
        <v>63.976761999999987</v>
      </c>
      <c r="F928" s="136">
        <f t="shared" ca="1" si="42"/>
        <v>0</v>
      </c>
      <c r="G928" s="137" t="e">
        <f>IF(A928&lt;&gt;"",IF(AND(#REF!="Padrão",$H$4=#REF!),BDI!$B$17,IF(AND(#REF!="Padrão",$H$4=#REF!),BDI!#REF!,IF(AND(#REF!="Diferenciado",$H$4=#REF!),BDI!$E$17,IF(AND(#REF!="Diferenciado",$H$4=#REF!),BDI!#REF!,IF(#REF!="ZERO",0))))),"")</f>
        <v>#REF!</v>
      </c>
      <c r="H928" s="138" t="e">
        <f t="shared" ca="1" si="43"/>
        <v>#REF!</v>
      </c>
      <c r="I928" s="136" t="e">
        <f t="shared" ca="1" si="44"/>
        <v>#REF!</v>
      </c>
    </row>
    <row r="929" spans="1:9" hidden="1" x14ac:dyDescent="0.25">
      <c r="A929" s="113" t="s">
        <v>1012</v>
      </c>
      <c r="B929" s="114" t="s">
        <v>2946</v>
      </c>
      <c r="C929" s="115" t="s">
        <v>93</v>
      </c>
      <c r="D929" s="115">
        <v>0</v>
      </c>
      <c r="E929" s="135">
        <f ca="1">OFFSET(INDEX(Composições!A:J,MATCH(Orçamentária!A929,Composições!A:A,0),8),2,0)</f>
        <v>116.30584759999996</v>
      </c>
      <c r="F929" s="136">
        <f t="shared" ca="1" si="42"/>
        <v>0</v>
      </c>
      <c r="G929" s="137" t="e">
        <f>IF(A929&lt;&gt;"",IF(AND(#REF!="Padrão",$H$4=#REF!),BDI!$B$17,IF(AND(#REF!="Padrão",$H$4=#REF!),BDI!#REF!,IF(AND(#REF!="Diferenciado",$H$4=#REF!),BDI!$E$17,IF(AND(#REF!="Diferenciado",$H$4=#REF!),BDI!#REF!,IF(#REF!="ZERO",0))))),"")</f>
        <v>#REF!</v>
      </c>
      <c r="H929" s="138" t="e">
        <f t="shared" ca="1" si="43"/>
        <v>#REF!</v>
      </c>
      <c r="I929" s="136" t="e">
        <f t="shared" ca="1" si="44"/>
        <v>#REF!</v>
      </c>
    </row>
    <row r="930" spans="1:9" hidden="1" x14ac:dyDescent="0.25">
      <c r="A930" s="113" t="s">
        <v>1014</v>
      </c>
      <c r="B930" s="114" t="s">
        <v>2947</v>
      </c>
      <c r="C930" s="115" t="s">
        <v>20</v>
      </c>
      <c r="D930" s="115">
        <v>0</v>
      </c>
      <c r="E930" s="135">
        <f ca="1">OFFSET(INDEX(Composições!A:J,MATCH(Orçamentária!A930,Composições!A:A,0),8),2,0)</f>
        <v>708.14030559999992</v>
      </c>
      <c r="F930" s="136">
        <f t="shared" ca="1" si="42"/>
        <v>0</v>
      </c>
      <c r="G930" s="137" t="e">
        <f>IF(A930&lt;&gt;"",IF(AND(#REF!="Padrão",$H$4=#REF!),BDI!$B$17,IF(AND(#REF!="Padrão",$H$4=#REF!),BDI!#REF!,IF(AND(#REF!="Diferenciado",$H$4=#REF!),BDI!$E$17,IF(AND(#REF!="Diferenciado",$H$4=#REF!),BDI!#REF!,IF(#REF!="ZERO",0))))),"")</f>
        <v>#REF!</v>
      </c>
      <c r="H930" s="138" t="e">
        <f t="shared" ca="1" si="43"/>
        <v>#REF!</v>
      </c>
      <c r="I930" s="136" t="e">
        <f t="shared" ca="1" si="44"/>
        <v>#REF!</v>
      </c>
    </row>
    <row r="931" spans="1:9" hidden="1" x14ac:dyDescent="0.25">
      <c r="A931" s="113" t="s">
        <v>1018</v>
      </c>
      <c r="B931" s="114" t="s">
        <v>2948</v>
      </c>
      <c r="C931" s="115" t="s">
        <v>20</v>
      </c>
      <c r="D931" s="115">
        <v>0</v>
      </c>
      <c r="E931" s="135">
        <f ca="1">OFFSET(INDEX(Composições!A:J,MATCH(Orçamentária!A931,Composições!A:A,0),8),2,0)</f>
        <v>1.6311500000000003</v>
      </c>
      <c r="F931" s="136">
        <f t="shared" ca="1" si="42"/>
        <v>0</v>
      </c>
      <c r="G931" s="137" t="e">
        <f>IF(A931&lt;&gt;"",IF(AND(#REF!="Padrão",$H$4=#REF!),BDI!$B$17,IF(AND(#REF!="Padrão",$H$4=#REF!),BDI!#REF!,IF(AND(#REF!="Diferenciado",$H$4=#REF!),BDI!$E$17,IF(AND(#REF!="Diferenciado",$H$4=#REF!),BDI!#REF!,IF(#REF!="ZERO",0))))),"")</f>
        <v>#REF!</v>
      </c>
      <c r="H931" s="138" t="e">
        <f t="shared" ca="1" si="43"/>
        <v>#REF!</v>
      </c>
      <c r="I931" s="136" t="e">
        <f t="shared" ca="1" si="44"/>
        <v>#REF!</v>
      </c>
    </row>
    <row r="932" spans="1:9" hidden="1" x14ac:dyDescent="0.25">
      <c r="A932" s="113" t="s">
        <v>1021</v>
      </c>
      <c r="B932" s="114" t="s">
        <v>2949</v>
      </c>
      <c r="C932" s="115" t="s">
        <v>20</v>
      </c>
      <c r="D932" s="115">
        <v>0</v>
      </c>
      <c r="E932" s="135">
        <f ca="1">OFFSET(INDEX(Composições!A:J,MATCH(Orçamentária!A932,Composições!A:A,0),8),2,0)</f>
        <v>30.646316000000006</v>
      </c>
      <c r="F932" s="136">
        <f t="shared" ca="1" si="42"/>
        <v>0</v>
      </c>
      <c r="G932" s="137" t="e">
        <f>IF(A932&lt;&gt;"",IF(AND(#REF!="Padrão",$H$4=#REF!),BDI!$B$17,IF(AND(#REF!="Padrão",$H$4=#REF!),BDI!#REF!,IF(AND(#REF!="Diferenciado",$H$4=#REF!),BDI!$E$17,IF(AND(#REF!="Diferenciado",$H$4=#REF!),BDI!#REF!,IF(#REF!="ZERO",0))))),"")</f>
        <v>#REF!</v>
      </c>
      <c r="H932" s="138" t="e">
        <f t="shared" ca="1" si="43"/>
        <v>#REF!</v>
      </c>
      <c r="I932" s="136" t="e">
        <f t="shared" ca="1" si="44"/>
        <v>#REF!</v>
      </c>
    </row>
    <row r="933" spans="1:9" x14ac:dyDescent="0.25">
      <c r="A933" s="197" t="s">
        <v>1023</v>
      </c>
      <c r="B933" s="198" t="s">
        <v>2950</v>
      </c>
      <c r="C933" s="199" t="s">
        <v>93</v>
      </c>
      <c r="D933" s="199">
        <v>235</v>
      </c>
      <c r="E933" s="135">
        <f ca="1">OFFSET(INDEX(Composições!A:J,MATCH(Orçamentária!A933,Composições!A:A,0),8),2,0)</f>
        <v>44.617186999999987</v>
      </c>
      <c r="F933" s="136">
        <f t="shared" ca="1" si="42"/>
        <v>10485.038944999997</v>
      </c>
      <c r="G933" s="137">
        <f>BDI!$B$17</f>
        <v>0.191</v>
      </c>
      <c r="H933" s="138">
        <f t="shared" ca="1" si="43"/>
        <v>53.14</v>
      </c>
      <c r="I933" s="136">
        <f t="shared" ca="1" si="44"/>
        <v>12487.9</v>
      </c>
    </row>
    <row r="934" spans="1:9" hidden="1" x14ac:dyDescent="0.25">
      <c r="A934" s="113" t="s">
        <v>1025</v>
      </c>
      <c r="B934" s="114" t="s">
        <v>2951</v>
      </c>
      <c r="C934" s="115" t="s">
        <v>93</v>
      </c>
      <c r="D934" s="115">
        <v>0</v>
      </c>
      <c r="E934" s="135">
        <f ca="1">OFFSET(INDEX(Composições!A:J,MATCH(Orçamentária!A934,Composições!A:A,0),8),2,0)</f>
        <v>2.9229504999999998</v>
      </c>
      <c r="F934" s="136">
        <f t="shared" ca="1" si="42"/>
        <v>0</v>
      </c>
      <c r="G934" s="137" t="e">
        <f>IF(A934&lt;&gt;"",IF(AND(#REF!="Padrão",$H$4=#REF!),BDI!$B$17,IF(AND(#REF!="Padrão",$H$4=#REF!),BDI!#REF!,IF(AND(#REF!="Diferenciado",$H$4=#REF!),BDI!$E$17,IF(AND(#REF!="Diferenciado",$H$4=#REF!),BDI!#REF!,IF(#REF!="ZERO",0))))),"")</f>
        <v>#REF!</v>
      </c>
      <c r="H934" s="138" t="e">
        <f t="shared" ca="1" si="43"/>
        <v>#REF!</v>
      </c>
      <c r="I934" s="136" t="e">
        <f t="shared" ca="1" si="44"/>
        <v>#REF!</v>
      </c>
    </row>
    <row r="935" spans="1:9" hidden="1" x14ac:dyDescent="0.25">
      <c r="A935" s="113" t="s">
        <v>1027</v>
      </c>
      <c r="B935" s="114" t="s">
        <v>2952</v>
      </c>
      <c r="C935" s="115" t="s">
        <v>93</v>
      </c>
      <c r="D935" s="115">
        <v>0</v>
      </c>
      <c r="E935" s="135">
        <f ca="1">OFFSET(INDEX(Composições!A:J,MATCH(Orçamentária!A935,Composições!A:A,0),8),2,0)</f>
        <v>3.4778264999999999</v>
      </c>
      <c r="F935" s="136">
        <f t="shared" ca="1" si="42"/>
        <v>0</v>
      </c>
      <c r="G935" s="137" t="e">
        <f>IF(A935&lt;&gt;"",IF(AND(#REF!="Padrão",$H$4=#REF!),BDI!$B$17,IF(AND(#REF!="Padrão",$H$4=#REF!),BDI!#REF!,IF(AND(#REF!="Diferenciado",$H$4=#REF!),BDI!$E$17,IF(AND(#REF!="Diferenciado",$H$4=#REF!),BDI!#REF!,IF(#REF!="ZERO",0))))),"")</f>
        <v>#REF!</v>
      </c>
      <c r="H935" s="138" t="e">
        <f t="shared" ca="1" si="43"/>
        <v>#REF!</v>
      </c>
      <c r="I935" s="136" t="e">
        <f t="shared" ca="1" si="44"/>
        <v>#REF!</v>
      </c>
    </row>
    <row r="936" spans="1:9" hidden="1" x14ac:dyDescent="0.25">
      <c r="A936" s="113" t="s">
        <v>1029</v>
      </c>
      <c r="B936" s="114" t="s">
        <v>2953</v>
      </c>
      <c r="C936" s="115" t="s">
        <v>93</v>
      </c>
      <c r="D936" s="115">
        <v>0</v>
      </c>
      <c r="E936" s="135">
        <f ca="1">OFFSET(INDEX(Composições!A:J,MATCH(Orçamentária!A936,Composições!A:A,0),8),2,0)</f>
        <v>4.1912384999999999</v>
      </c>
      <c r="F936" s="136">
        <f t="shared" ca="1" si="42"/>
        <v>0</v>
      </c>
      <c r="G936" s="137" t="e">
        <f>IF(A936&lt;&gt;"",IF(AND(#REF!="Padrão",$H$4=#REF!),BDI!$B$17,IF(AND(#REF!="Padrão",$H$4=#REF!),BDI!#REF!,IF(AND(#REF!="Diferenciado",$H$4=#REF!),BDI!$E$17,IF(AND(#REF!="Diferenciado",$H$4=#REF!),BDI!#REF!,IF(#REF!="ZERO",0))))),"")</f>
        <v>#REF!</v>
      </c>
      <c r="H936" s="138" t="e">
        <f t="shared" ca="1" si="43"/>
        <v>#REF!</v>
      </c>
      <c r="I936" s="136" t="e">
        <f t="shared" ca="1" si="44"/>
        <v>#REF!</v>
      </c>
    </row>
    <row r="937" spans="1:9" hidden="1" x14ac:dyDescent="0.25">
      <c r="A937" s="113" t="s">
        <v>1031</v>
      </c>
      <c r="B937" s="114" t="s">
        <v>2954</v>
      </c>
      <c r="C937" s="115" t="s">
        <v>93</v>
      </c>
      <c r="D937" s="115">
        <v>0</v>
      </c>
      <c r="E937" s="135">
        <f ca="1">OFFSET(INDEX(Composições!A:J,MATCH(Orçamentária!A937,Composições!A:A,0),8),2,0)</f>
        <v>5.1028205</v>
      </c>
      <c r="F937" s="136">
        <f t="shared" ca="1" si="42"/>
        <v>0</v>
      </c>
      <c r="G937" s="137" t="e">
        <f>IF(A937&lt;&gt;"",IF(AND(#REF!="Padrão",$H$4=#REF!),BDI!$B$17,IF(AND(#REF!="Padrão",$H$4=#REF!),BDI!#REF!,IF(AND(#REF!="Diferenciado",$H$4=#REF!),BDI!$E$17,IF(AND(#REF!="Diferenciado",$H$4=#REF!),BDI!#REF!,IF(#REF!="ZERO",0))))),"")</f>
        <v>#REF!</v>
      </c>
      <c r="H937" s="138" t="e">
        <f t="shared" ca="1" si="43"/>
        <v>#REF!</v>
      </c>
      <c r="I937" s="136" t="e">
        <f t="shared" ca="1" si="44"/>
        <v>#REF!</v>
      </c>
    </row>
    <row r="938" spans="1:9" hidden="1" x14ac:dyDescent="0.25">
      <c r="A938" s="113" t="s">
        <v>1033</v>
      </c>
      <c r="B938" s="114" t="s">
        <v>2955</v>
      </c>
      <c r="C938" s="115" t="s">
        <v>93</v>
      </c>
      <c r="D938" s="115">
        <v>0</v>
      </c>
      <c r="E938" s="135">
        <f ca="1">OFFSET(INDEX(Composições!A:J,MATCH(Orçamentária!A938,Composições!A:A,0),8),2,0)</f>
        <v>6.0540365000000005</v>
      </c>
      <c r="F938" s="136">
        <f t="shared" ca="1" si="42"/>
        <v>0</v>
      </c>
      <c r="G938" s="137" t="e">
        <f>IF(A938&lt;&gt;"",IF(AND(#REF!="Padrão",$H$4=#REF!),BDI!$B$17,IF(AND(#REF!="Padrão",$H$4=#REF!),BDI!#REF!,IF(AND(#REF!="Diferenciado",$H$4=#REF!),BDI!$E$17,IF(AND(#REF!="Diferenciado",$H$4=#REF!),BDI!#REF!,IF(#REF!="ZERO",0))))),"")</f>
        <v>#REF!</v>
      </c>
      <c r="H938" s="138" t="e">
        <f t="shared" ca="1" si="43"/>
        <v>#REF!</v>
      </c>
      <c r="I938" s="136" t="e">
        <f t="shared" ca="1" si="44"/>
        <v>#REF!</v>
      </c>
    </row>
    <row r="939" spans="1:9" hidden="1" x14ac:dyDescent="0.25">
      <c r="A939" s="113" t="s">
        <v>1035</v>
      </c>
      <c r="B939" s="114" t="s">
        <v>2956</v>
      </c>
      <c r="C939" s="115" t="s">
        <v>93</v>
      </c>
      <c r="D939" s="115">
        <v>0</v>
      </c>
      <c r="E939" s="135">
        <f ca="1">OFFSET(INDEX(Composições!A:J,MATCH(Orçamentária!A939,Composições!A:A,0),8),2,0)</f>
        <v>7.1241544999999995</v>
      </c>
      <c r="F939" s="136">
        <f t="shared" ca="1" si="42"/>
        <v>0</v>
      </c>
      <c r="G939" s="137" t="e">
        <f>IF(A939&lt;&gt;"",IF(AND(#REF!="Padrão",$H$4=#REF!),BDI!$B$17,IF(AND(#REF!="Padrão",$H$4=#REF!),BDI!#REF!,IF(AND(#REF!="Diferenciado",$H$4=#REF!),BDI!$E$17,IF(AND(#REF!="Diferenciado",$H$4=#REF!),BDI!#REF!,IF(#REF!="ZERO",0))))),"")</f>
        <v>#REF!</v>
      </c>
      <c r="H939" s="138" t="e">
        <f t="shared" ca="1" si="43"/>
        <v>#REF!</v>
      </c>
      <c r="I939" s="136" t="e">
        <f t="shared" ca="1" si="44"/>
        <v>#REF!</v>
      </c>
    </row>
    <row r="940" spans="1:9" hidden="1" x14ac:dyDescent="0.25">
      <c r="A940" s="113" t="s">
        <v>1037</v>
      </c>
      <c r="B940" s="114" t="s">
        <v>2957</v>
      </c>
      <c r="C940" s="115" t="s">
        <v>93</v>
      </c>
      <c r="D940" s="115">
        <v>0</v>
      </c>
      <c r="E940" s="135">
        <f ca="1">OFFSET(INDEX(Composições!A:J,MATCH(Orçamentária!A940,Composições!A:A,0),8),2,0)</f>
        <v>8.4320765000000009</v>
      </c>
      <c r="F940" s="136">
        <f t="shared" ca="1" si="42"/>
        <v>0</v>
      </c>
      <c r="G940" s="137" t="e">
        <f>IF(A940&lt;&gt;"",IF(AND(#REF!="Padrão",$H$4=#REF!),BDI!$B$17,IF(AND(#REF!="Padrão",$H$4=#REF!),BDI!#REF!,IF(AND(#REF!="Diferenciado",$H$4=#REF!),BDI!$E$17,IF(AND(#REF!="Diferenciado",$H$4=#REF!),BDI!#REF!,IF(#REF!="ZERO",0))))),"")</f>
        <v>#REF!</v>
      </c>
      <c r="H940" s="138" t="e">
        <f t="shared" ca="1" si="43"/>
        <v>#REF!</v>
      </c>
      <c r="I940" s="136" t="e">
        <f t="shared" ca="1" si="44"/>
        <v>#REF!</v>
      </c>
    </row>
    <row r="941" spans="1:9" hidden="1" x14ac:dyDescent="0.25">
      <c r="A941" s="113" t="s">
        <v>1039</v>
      </c>
      <c r="B941" s="114" t="s">
        <v>2958</v>
      </c>
      <c r="C941" s="115" t="s">
        <v>93</v>
      </c>
      <c r="D941" s="115">
        <v>0</v>
      </c>
      <c r="E941" s="135">
        <f ca="1">OFFSET(INDEX(Composições!A:J,MATCH(Orçamentária!A941,Composições!A:A,0),8),2,0)</f>
        <v>2.5662444999999998</v>
      </c>
      <c r="F941" s="136">
        <f t="shared" ca="1" si="42"/>
        <v>0</v>
      </c>
      <c r="G941" s="137" t="e">
        <f>IF(A941&lt;&gt;"",IF(AND(#REF!="Padrão",$H$4=#REF!),BDI!$B$17,IF(AND(#REF!="Padrão",$H$4=#REF!),BDI!#REF!,IF(AND(#REF!="Diferenciado",$H$4=#REF!),BDI!$E$17,IF(AND(#REF!="Diferenciado",$H$4=#REF!),BDI!#REF!,IF(#REF!="ZERO",0))))),"")</f>
        <v>#REF!</v>
      </c>
      <c r="H941" s="138" t="e">
        <f t="shared" ca="1" si="43"/>
        <v>#REF!</v>
      </c>
      <c r="I941" s="136" t="e">
        <f t="shared" ca="1" si="44"/>
        <v>#REF!</v>
      </c>
    </row>
    <row r="942" spans="1:9" hidden="1" x14ac:dyDescent="0.25">
      <c r="A942" s="113" t="s">
        <v>1041</v>
      </c>
      <c r="B942" s="114" t="s">
        <v>2959</v>
      </c>
      <c r="C942" s="115" t="s">
        <v>95</v>
      </c>
      <c r="D942" s="115">
        <v>0</v>
      </c>
      <c r="E942" s="135">
        <f ca="1">OFFSET(INDEX(Composições!A:J,MATCH(Orçamentária!A942,Composições!A:A,0),8),2,0)</f>
        <v>7.6052483546099996</v>
      </c>
      <c r="F942" s="136">
        <f t="shared" ca="1" si="42"/>
        <v>0</v>
      </c>
      <c r="G942" s="137" t="e">
        <f>IF(A942&lt;&gt;"",IF(AND(#REF!="Padrão",$H$4=#REF!),BDI!$B$17,IF(AND(#REF!="Padrão",$H$4=#REF!),BDI!#REF!,IF(AND(#REF!="Diferenciado",$H$4=#REF!),BDI!$E$17,IF(AND(#REF!="Diferenciado",$H$4=#REF!),BDI!#REF!,IF(#REF!="ZERO",0))))),"")</f>
        <v>#REF!</v>
      </c>
      <c r="H942" s="138" t="e">
        <f t="shared" ca="1" si="43"/>
        <v>#REF!</v>
      </c>
      <c r="I942" s="136" t="e">
        <f t="shared" ca="1" si="44"/>
        <v>#REF!</v>
      </c>
    </row>
    <row r="943" spans="1:9" hidden="1" x14ac:dyDescent="0.25">
      <c r="A943" s="113" t="s">
        <v>1045</v>
      </c>
      <c r="B943" s="114" t="s">
        <v>2960</v>
      </c>
      <c r="C943" s="115" t="s">
        <v>93</v>
      </c>
      <c r="D943" s="115">
        <v>0</v>
      </c>
      <c r="E943" s="135">
        <f ca="1">OFFSET(INDEX(Composições!A:J,MATCH(Orçamentária!A943,Composições!A:A,0),8),2,0)</f>
        <v>14.069359031399999</v>
      </c>
      <c r="F943" s="136">
        <f t="shared" ca="1" si="42"/>
        <v>0</v>
      </c>
      <c r="G943" s="137" t="e">
        <f>IF(A943&lt;&gt;"",IF(AND(#REF!="Padrão",$H$4=#REF!),BDI!$B$17,IF(AND(#REF!="Padrão",$H$4=#REF!),BDI!#REF!,IF(AND(#REF!="Diferenciado",$H$4=#REF!),BDI!$E$17,IF(AND(#REF!="Diferenciado",$H$4=#REF!),BDI!#REF!,IF(#REF!="ZERO",0))))),"")</f>
        <v>#REF!</v>
      </c>
      <c r="H943" s="138" t="e">
        <f t="shared" ca="1" si="43"/>
        <v>#REF!</v>
      </c>
      <c r="I943" s="136" t="e">
        <f t="shared" ca="1" si="44"/>
        <v>#REF!</v>
      </c>
    </row>
    <row r="944" spans="1:9" hidden="1" x14ac:dyDescent="0.25">
      <c r="A944" s="113" t="s">
        <v>2961</v>
      </c>
      <c r="B944" s="114" t="s">
        <v>2962</v>
      </c>
      <c r="C944" s="115" t="s">
        <v>20</v>
      </c>
      <c r="D944" s="115">
        <v>0</v>
      </c>
      <c r="E944" s="135" t="s">
        <v>568</v>
      </c>
      <c r="F944" s="136" t="str">
        <f t="shared" si="42"/>
        <v/>
      </c>
      <c r="G944" s="137" t="e">
        <f>IF(A944&lt;&gt;"",IF(AND(#REF!="Padrão",$H$4=#REF!),BDI!$B$17,IF(AND(#REF!="Padrão",$H$4=#REF!),BDI!#REF!,IF(AND(#REF!="Diferenciado",$H$4=#REF!),BDI!$E$17,IF(AND(#REF!="Diferenciado",$H$4=#REF!),BDI!#REF!,IF(#REF!="ZERO",0))))),"")</f>
        <v>#REF!</v>
      </c>
      <c r="H944" s="138" t="str">
        <f t="shared" si="43"/>
        <v/>
      </c>
      <c r="I944" s="136" t="str">
        <f t="shared" si="44"/>
        <v/>
      </c>
    </row>
    <row r="945" spans="1:9" hidden="1" x14ac:dyDescent="0.25">
      <c r="A945" s="113" t="s">
        <v>1046</v>
      </c>
      <c r="B945" s="114" t="s">
        <v>2963</v>
      </c>
      <c r="C945" s="115" t="s">
        <v>1603</v>
      </c>
      <c r="D945" s="115">
        <v>0</v>
      </c>
      <c r="E945" s="135">
        <f ca="1">OFFSET(INDEX(Composições!A:J,MATCH(Orçamentária!A945,Composições!A:A,0),8),2,0)</f>
        <v>3.8031730000000001</v>
      </c>
      <c r="F945" s="136">
        <f t="shared" ca="1" si="42"/>
        <v>0</v>
      </c>
      <c r="G945" s="137" t="e">
        <f>IF(A945&lt;&gt;"",IF(AND(#REF!="Padrão",$H$4=#REF!),BDI!$B$17,IF(AND(#REF!="Padrão",$H$4=#REF!),BDI!#REF!,IF(AND(#REF!="Diferenciado",$H$4=#REF!),BDI!$E$17,IF(AND(#REF!="Diferenciado",$H$4=#REF!),BDI!#REF!,IF(#REF!="ZERO",0))))),"")</f>
        <v>#REF!</v>
      </c>
      <c r="H945" s="138" t="e">
        <f t="shared" ca="1" si="43"/>
        <v>#REF!</v>
      </c>
      <c r="I945" s="136" t="e">
        <f t="shared" ca="1" si="44"/>
        <v>#REF!</v>
      </c>
    </row>
    <row r="946" spans="1:9" hidden="1" x14ac:dyDescent="0.25">
      <c r="A946" s="113" t="s">
        <v>2964</v>
      </c>
      <c r="B946" s="114" t="s">
        <v>2965</v>
      </c>
      <c r="C946" s="115" t="s">
        <v>2818</v>
      </c>
      <c r="D946" s="115">
        <v>0</v>
      </c>
      <c r="E946" s="135" t="s">
        <v>568</v>
      </c>
      <c r="F946" s="136" t="str">
        <f t="shared" si="42"/>
        <v/>
      </c>
      <c r="G946" s="137" t="e">
        <f>IF(A946&lt;&gt;"",IF(AND(#REF!="Padrão",$H$4=#REF!),BDI!$B$17,IF(AND(#REF!="Padrão",$H$4=#REF!),BDI!#REF!,IF(AND(#REF!="Diferenciado",$H$4=#REF!),BDI!$E$17,IF(AND(#REF!="Diferenciado",$H$4=#REF!),BDI!#REF!,IF(#REF!="ZERO",0))))),"")</f>
        <v>#REF!</v>
      </c>
      <c r="H946" s="138" t="str">
        <f t="shared" si="43"/>
        <v/>
      </c>
      <c r="I946" s="136" t="str">
        <f t="shared" si="44"/>
        <v/>
      </c>
    </row>
    <row r="947" spans="1:9" hidden="1" x14ac:dyDescent="0.25">
      <c r="A947" s="113" t="s">
        <v>1052</v>
      </c>
      <c r="B947" s="114" t="s">
        <v>2966</v>
      </c>
      <c r="C947" s="115" t="s">
        <v>20</v>
      </c>
      <c r="D947" s="115">
        <v>0</v>
      </c>
      <c r="E947" s="135">
        <f ca="1">OFFSET(INDEX(Composições!A:J,MATCH(Orçamentária!A947,Composições!A:A,0),8),2,0)</f>
        <v>144.42374999999998</v>
      </c>
      <c r="F947" s="136">
        <f t="shared" ca="1" si="42"/>
        <v>0</v>
      </c>
      <c r="G947" s="137" t="e">
        <f>IF(A947&lt;&gt;"",IF(AND(#REF!="Padrão",$H$4=#REF!),BDI!$B$17,IF(AND(#REF!="Padrão",$H$4=#REF!),BDI!#REF!,IF(AND(#REF!="Diferenciado",$H$4=#REF!),BDI!$E$17,IF(AND(#REF!="Diferenciado",$H$4=#REF!),BDI!#REF!,IF(#REF!="ZERO",0))))),"")</f>
        <v>#REF!</v>
      </c>
      <c r="H947" s="138" t="e">
        <f t="shared" ca="1" si="43"/>
        <v>#REF!</v>
      </c>
      <c r="I947" s="136" t="e">
        <f t="shared" ca="1" si="44"/>
        <v>#REF!</v>
      </c>
    </row>
    <row r="948" spans="1:9" hidden="1" x14ac:dyDescent="0.25">
      <c r="A948" s="113" t="s">
        <v>1053</v>
      </c>
      <c r="B948" s="114" t="s">
        <v>2967</v>
      </c>
      <c r="C948" s="115" t="s">
        <v>20</v>
      </c>
      <c r="D948" s="115">
        <v>0</v>
      </c>
      <c r="E948" s="135">
        <f ca="1">OFFSET(INDEX(Composições!A:J,MATCH(Orçamentária!A948,Composições!A:A,0),8),2,0)</f>
        <v>29.958098</v>
      </c>
      <c r="F948" s="136">
        <f t="shared" ca="1" si="42"/>
        <v>0</v>
      </c>
      <c r="G948" s="137" t="e">
        <f>IF(A948&lt;&gt;"",IF(AND(#REF!="Padrão",$H$4=#REF!),BDI!$B$17,IF(AND(#REF!="Padrão",$H$4=#REF!),BDI!#REF!,IF(AND(#REF!="Diferenciado",$H$4=#REF!),BDI!$E$17,IF(AND(#REF!="Diferenciado",$H$4=#REF!),BDI!#REF!,IF(#REF!="ZERO",0))))),"")</f>
        <v>#REF!</v>
      </c>
      <c r="H948" s="138" t="e">
        <f t="shared" ca="1" si="43"/>
        <v>#REF!</v>
      </c>
      <c r="I948" s="136" t="e">
        <f t="shared" ca="1" si="44"/>
        <v>#REF!</v>
      </c>
    </row>
    <row r="949" spans="1:9" hidden="1" x14ac:dyDescent="0.25">
      <c r="A949" s="113" t="s">
        <v>1055</v>
      </c>
      <c r="B949" s="114" t="s">
        <v>2968</v>
      </c>
      <c r="C949" s="115" t="s">
        <v>20</v>
      </c>
      <c r="D949" s="115">
        <v>0</v>
      </c>
      <c r="E949" s="135">
        <f ca="1">OFFSET(INDEX(Composições!A:J,MATCH(Orçamentária!A949,Composições!A:A,0),8),2,0)</f>
        <v>7.8801930000000002</v>
      </c>
      <c r="F949" s="136">
        <f t="shared" ca="1" si="42"/>
        <v>0</v>
      </c>
      <c r="G949" s="137" t="e">
        <f>IF(A949&lt;&gt;"",IF(AND(#REF!="Padrão",$H$4=#REF!),BDI!$B$17,IF(AND(#REF!="Padrão",$H$4=#REF!),BDI!#REF!,IF(AND(#REF!="Diferenciado",$H$4=#REF!),BDI!$E$17,IF(AND(#REF!="Diferenciado",$H$4=#REF!),BDI!#REF!,IF(#REF!="ZERO",0))))),"")</f>
        <v>#REF!</v>
      </c>
      <c r="H949" s="138" t="e">
        <f t="shared" ca="1" si="43"/>
        <v>#REF!</v>
      </c>
      <c r="I949" s="136" t="e">
        <f t="shared" ca="1" si="44"/>
        <v>#REF!</v>
      </c>
    </row>
    <row r="950" spans="1:9" x14ac:dyDescent="0.25">
      <c r="A950" s="197" t="s">
        <v>2969</v>
      </c>
      <c r="B950" s="198" t="s">
        <v>2970</v>
      </c>
      <c r="C950" s="199" t="s">
        <v>20</v>
      </c>
      <c r="D950" s="199">
        <v>10</v>
      </c>
      <c r="E950" s="212">
        <v>1185</v>
      </c>
      <c r="F950" s="136">
        <f t="shared" si="42"/>
        <v>11850</v>
      </c>
      <c r="G950" s="137">
        <f>BDI!$E$17</f>
        <v>0.11260000000000001</v>
      </c>
      <c r="H950" s="138">
        <f t="shared" si="43"/>
        <v>1318.43</v>
      </c>
      <c r="I950" s="136">
        <f t="shared" si="44"/>
        <v>13184.3</v>
      </c>
    </row>
    <row r="951" spans="1:9" hidden="1" x14ac:dyDescent="0.25">
      <c r="A951" s="113" t="s">
        <v>1057</v>
      </c>
      <c r="B951" s="114" t="s">
        <v>2971</v>
      </c>
      <c r="C951" s="115" t="s">
        <v>20</v>
      </c>
      <c r="D951" s="115">
        <v>0</v>
      </c>
      <c r="E951" s="135">
        <f ca="1">OFFSET(INDEX(Composições!A:J,MATCH(Orçamentária!A951,Composições!A:A,0),8),2,0)</f>
        <v>315.51694688939796</v>
      </c>
      <c r="F951" s="136">
        <f t="shared" ca="1" si="42"/>
        <v>0</v>
      </c>
      <c r="G951" s="137" t="e">
        <f>IF(A951&lt;&gt;"",IF(AND(#REF!="Padrão",$H$4=#REF!),BDI!$B$17,IF(AND(#REF!="Padrão",$H$4=#REF!),BDI!#REF!,IF(AND(#REF!="Diferenciado",$H$4=#REF!),BDI!$E$17,IF(AND(#REF!="Diferenciado",$H$4=#REF!),BDI!#REF!,IF(#REF!="ZERO",0))))),"")</f>
        <v>#REF!</v>
      </c>
      <c r="H951" s="138" t="e">
        <f t="shared" ca="1" si="43"/>
        <v>#REF!</v>
      </c>
      <c r="I951" s="136" t="e">
        <f t="shared" ca="1" si="44"/>
        <v>#REF!</v>
      </c>
    </row>
    <row r="952" spans="1:9" hidden="1" x14ac:dyDescent="0.25">
      <c r="A952" s="113" t="s">
        <v>1060</v>
      </c>
      <c r="B952" s="114" t="s">
        <v>2972</v>
      </c>
      <c r="C952" s="115" t="s">
        <v>2973</v>
      </c>
      <c r="D952" s="115">
        <v>0</v>
      </c>
      <c r="E952" s="135">
        <f ca="1">OFFSET(INDEX(Composições!A:J,MATCH(Orçamentária!A952,Composições!A:A,0),8),2,0)</f>
        <v>91.96</v>
      </c>
      <c r="F952" s="136">
        <f t="shared" ca="1" si="42"/>
        <v>0</v>
      </c>
      <c r="G952" s="137" t="e">
        <f>IF(A952&lt;&gt;"",IF(AND(#REF!="Padrão",$H$4=#REF!),BDI!$B$17,IF(AND(#REF!="Padrão",$H$4=#REF!),BDI!#REF!,IF(AND(#REF!="Diferenciado",$H$4=#REF!),BDI!$E$17,IF(AND(#REF!="Diferenciado",$H$4=#REF!),BDI!#REF!,IF(#REF!="ZERO",0))))),"")</f>
        <v>#REF!</v>
      </c>
      <c r="H952" s="138" t="e">
        <f t="shared" ca="1" si="43"/>
        <v>#REF!</v>
      </c>
      <c r="I952" s="136" t="e">
        <f t="shared" ca="1" si="44"/>
        <v>#REF!</v>
      </c>
    </row>
    <row r="953" spans="1:9" hidden="1" x14ac:dyDescent="0.25">
      <c r="A953" s="113" t="s">
        <v>1062</v>
      </c>
      <c r="B953" s="114" t="s">
        <v>2974</v>
      </c>
      <c r="C953" s="115" t="s">
        <v>2975</v>
      </c>
      <c r="D953" s="115">
        <v>0</v>
      </c>
      <c r="E953" s="135">
        <f ca="1">OFFSET(INDEX(Composições!A:J,MATCH(Orçamentária!A953,Composições!A:A,0),8),2,0)</f>
        <v>570</v>
      </c>
      <c r="F953" s="136">
        <f t="shared" ca="1" si="42"/>
        <v>0</v>
      </c>
      <c r="G953" s="137" t="e">
        <f>IF(A953&lt;&gt;"",IF(AND(#REF!="Padrão",$H$4=#REF!),BDI!$B$17,IF(AND(#REF!="Padrão",$H$4=#REF!),BDI!#REF!,IF(AND(#REF!="Diferenciado",$H$4=#REF!),BDI!$E$17,IF(AND(#REF!="Diferenciado",$H$4=#REF!),BDI!#REF!,IF(#REF!="ZERO",0))))),"")</f>
        <v>#REF!</v>
      </c>
      <c r="H953" s="138" t="e">
        <f t="shared" ca="1" si="43"/>
        <v>#REF!</v>
      </c>
      <c r="I953" s="136" t="e">
        <f t="shared" ca="1" si="44"/>
        <v>#REF!</v>
      </c>
    </row>
    <row r="954" spans="1:9" hidden="1" x14ac:dyDescent="0.25">
      <c r="A954" s="113" t="s">
        <v>2976</v>
      </c>
      <c r="B954" s="114" t="s">
        <v>2977</v>
      </c>
      <c r="C954" s="115" t="s">
        <v>2975</v>
      </c>
      <c r="D954" s="115">
        <v>0</v>
      </c>
      <c r="E954" s="135" t="s">
        <v>568</v>
      </c>
      <c r="F954" s="136" t="str">
        <f t="shared" si="42"/>
        <v/>
      </c>
      <c r="G954" s="137" t="e">
        <f>IF(A954&lt;&gt;"",IF(AND(#REF!="Padrão",$H$4=#REF!),BDI!$B$17,IF(AND(#REF!="Padrão",$H$4=#REF!),BDI!#REF!,IF(AND(#REF!="Diferenciado",$H$4=#REF!),BDI!$E$17,IF(AND(#REF!="Diferenciado",$H$4=#REF!),BDI!#REF!,IF(#REF!="ZERO",0))))),"")</f>
        <v>#REF!</v>
      </c>
      <c r="H954" s="138" t="str">
        <f t="shared" si="43"/>
        <v/>
      </c>
      <c r="I954" s="136" t="str">
        <f t="shared" si="44"/>
        <v/>
      </c>
    </row>
    <row r="955" spans="1:9" hidden="1" x14ac:dyDescent="0.25">
      <c r="A955" s="113" t="s">
        <v>1064</v>
      </c>
      <c r="B955" s="114" t="s">
        <v>2978</v>
      </c>
      <c r="C955" s="115" t="s">
        <v>95</v>
      </c>
      <c r="D955" s="115">
        <v>0</v>
      </c>
      <c r="E955" s="135">
        <f ca="1">OFFSET(INDEX(Composições!A:J,MATCH(Orçamentária!A955,Composições!A:A,0),8),2,0)</f>
        <v>1.4664010000000001</v>
      </c>
      <c r="F955" s="136">
        <f t="shared" ca="1" si="42"/>
        <v>0</v>
      </c>
      <c r="G955" s="137" t="e">
        <f>IF(A955&lt;&gt;"",IF(AND(#REF!="Padrão",$H$4=#REF!),BDI!$B$17,IF(AND(#REF!="Padrão",$H$4=#REF!),BDI!#REF!,IF(AND(#REF!="Diferenciado",$H$4=#REF!),BDI!$E$17,IF(AND(#REF!="Diferenciado",$H$4=#REF!),BDI!#REF!,IF(#REF!="ZERO",0))))),"")</f>
        <v>#REF!</v>
      </c>
      <c r="H955" s="138" t="e">
        <f t="shared" ca="1" si="43"/>
        <v>#REF!</v>
      </c>
      <c r="I955" s="136" t="e">
        <f t="shared" ca="1" si="44"/>
        <v>#REF!</v>
      </c>
    </row>
    <row r="956" spans="1:9" hidden="1" x14ac:dyDescent="0.25">
      <c r="A956" s="113" t="s">
        <v>1066</v>
      </c>
      <c r="B956" s="114" t="s">
        <v>2979</v>
      </c>
      <c r="C956" s="115" t="s">
        <v>95</v>
      </c>
      <c r="D956" s="115">
        <v>0</v>
      </c>
      <c r="E956" s="135">
        <f ca="1">OFFSET(INDEX(Composições!A:J,MATCH(Orçamentária!A956,Composições!A:A,0),8),2,0)</f>
        <v>4.6051250000000001</v>
      </c>
      <c r="F956" s="136">
        <f t="shared" ca="1" si="42"/>
        <v>0</v>
      </c>
      <c r="G956" s="137" t="e">
        <f>IF(A956&lt;&gt;"",IF(AND(#REF!="Padrão",$H$4=#REF!),BDI!$B$17,IF(AND(#REF!="Padrão",$H$4=#REF!),BDI!#REF!,IF(AND(#REF!="Diferenciado",$H$4=#REF!),BDI!$E$17,IF(AND(#REF!="Diferenciado",$H$4=#REF!),BDI!#REF!,IF(#REF!="ZERO",0))))),"")</f>
        <v>#REF!</v>
      </c>
      <c r="H956" s="138" t="e">
        <f t="shared" ca="1" si="43"/>
        <v>#REF!</v>
      </c>
      <c r="I956" s="136" t="e">
        <f t="shared" ca="1" si="44"/>
        <v>#REF!</v>
      </c>
    </row>
    <row r="957" spans="1:9" hidden="1" x14ac:dyDescent="0.25">
      <c r="A957" s="113" t="s">
        <v>1067</v>
      </c>
      <c r="B957" s="114" t="s">
        <v>2980</v>
      </c>
      <c r="C957" s="115" t="s">
        <v>95</v>
      </c>
      <c r="D957" s="115">
        <v>0</v>
      </c>
      <c r="E957" s="135">
        <f ca="1">OFFSET(INDEX(Composições!A:J,MATCH(Orçamentária!A957,Composições!A:A,0),8),2,0)</f>
        <v>20.389375000000001</v>
      </c>
      <c r="F957" s="136">
        <f t="shared" ca="1" si="42"/>
        <v>0</v>
      </c>
      <c r="G957" s="137" t="e">
        <f>IF(A957&lt;&gt;"",IF(AND(#REF!="Padrão",$H$4=#REF!),BDI!$B$17,IF(AND(#REF!="Padrão",$H$4=#REF!),BDI!#REF!,IF(AND(#REF!="Diferenciado",$H$4=#REF!),BDI!$E$17,IF(AND(#REF!="Diferenciado",$H$4=#REF!),BDI!#REF!,IF(#REF!="ZERO",0))))),"")</f>
        <v>#REF!</v>
      </c>
      <c r="H957" s="138" t="e">
        <f t="shared" ca="1" si="43"/>
        <v>#REF!</v>
      </c>
      <c r="I957" s="136" t="e">
        <f t="shared" ca="1" si="44"/>
        <v>#REF!</v>
      </c>
    </row>
    <row r="958" spans="1:9" hidden="1" x14ac:dyDescent="0.25">
      <c r="A958" s="113" t="s">
        <v>1068</v>
      </c>
      <c r="B958" s="114" t="s">
        <v>2981</v>
      </c>
      <c r="C958" s="115" t="s">
        <v>95</v>
      </c>
      <c r="D958" s="115">
        <v>0</v>
      </c>
      <c r="E958" s="135">
        <f ca="1">OFFSET(INDEX(Composições!A:J,MATCH(Orçamentária!A958,Composições!A:A,0),8),2,0)</f>
        <v>39.263699500000001</v>
      </c>
      <c r="F958" s="136">
        <f t="shared" ca="1" si="42"/>
        <v>0</v>
      </c>
      <c r="G958" s="137" t="e">
        <f>IF(A958&lt;&gt;"",IF(AND(#REF!="Padrão",$H$4=#REF!),BDI!$B$17,IF(AND(#REF!="Padrão",$H$4=#REF!),BDI!#REF!,IF(AND(#REF!="Diferenciado",$H$4=#REF!),BDI!$E$17,IF(AND(#REF!="Diferenciado",$H$4=#REF!),BDI!#REF!,IF(#REF!="ZERO",0))))),"")</f>
        <v>#REF!</v>
      </c>
      <c r="H958" s="138" t="e">
        <f t="shared" ca="1" si="43"/>
        <v>#REF!</v>
      </c>
      <c r="I958" s="136" t="e">
        <f t="shared" ca="1" si="44"/>
        <v>#REF!</v>
      </c>
    </row>
    <row r="959" spans="1:9" hidden="1" x14ac:dyDescent="0.25">
      <c r="A959" s="113" t="s">
        <v>1072</v>
      </c>
      <c r="B959" s="114" t="s">
        <v>2982</v>
      </c>
      <c r="C959" s="115" t="s">
        <v>95</v>
      </c>
      <c r="D959" s="115">
        <v>0</v>
      </c>
      <c r="E959" s="135">
        <f ca="1">OFFSET(INDEX(Composições!A:J,MATCH(Orçamentária!A959,Composições!A:A,0),8),2,0)</f>
        <v>39.887903780625003</v>
      </c>
      <c r="F959" s="136">
        <f t="shared" ca="1" si="42"/>
        <v>0</v>
      </c>
      <c r="G959" s="137" t="e">
        <f>IF(A959&lt;&gt;"",IF(AND(#REF!="Padrão",$H$4=#REF!),BDI!$B$17,IF(AND(#REF!="Padrão",$H$4=#REF!),BDI!#REF!,IF(AND(#REF!="Diferenciado",$H$4=#REF!),BDI!$E$17,IF(AND(#REF!="Diferenciado",$H$4=#REF!),BDI!#REF!,IF(#REF!="ZERO",0))))),"")</f>
        <v>#REF!</v>
      </c>
      <c r="H959" s="138" t="e">
        <f t="shared" ca="1" si="43"/>
        <v>#REF!</v>
      </c>
      <c r="I959" s="136" t="e">
        <f t="shared" ca="1" si="44"/>
        <v>#REF!</v>
      </c>
    </row>
    <row r="960" spans="1:9" hidden="1" x14ac:dyDescent="0.25">
      <c r="A960" s="113" t="s">
        <v>1075</v>
      </c>
      <c r="B960" s="114" t="s">
        <v>2983</v>
      </c>
      <c r="C960" s="115" t="s">
        <v>95</v>
      </c>
      <c r="D960" s="115">
        <v>0</v>
      </c>
      <c r="E960" s="135">
        <f ca="1">OFFSET(INDEX(Composições!A:J,MATCH(Orçamentária!A960,Composições!A:A,0),8),2,0)</f>
        <v>52.623081280625001</v>
      </c>
      <c r="F960" s="136">
        <f t="shared" ca="1" si="42"/>
        <v>0</v>
      </c>
      <c r="G960" s="137" t="e">
        <f>IF(A960&lt;&gt;"",IF(AND(#REF!="Padrão",$H$4=#REF!),BDI!$B$17,IF(AND(#REF!="Padrão",$H$4=#REF!),BDI!#REF!,IF(AND(#REF!="Diferenciado",$H$4=#REF!),BDI!$E$17,IF(AND(#REF!="Diferenciado",$H$4=#REF!),BDI!#REF!,IF(#REF!="ZERO",0))))),"")</f>
        <v>#REF!</v>
      </c>
      <c r="H960" s="138" t="e">
        <f t="shared" ca="1" si="43"/>
        <v>#REF!</v>
      </c>
      <c r="I960" s="136" t="e">
        <f t="shared" ca="1" si="44"/>
        <v>#REF!</v>
      </c>
    </row>
    <row r="961" spans="1:9" hidden="1" x14ac:dyDescent="0.25">
      <c r="A961" s="113" t="s">
        <v>1077</v>
      </c>
      <c r="B961" s="114" t="s">
        <v>2984</v>
      </c>
      <c r="C961" s="115" t="s">
        <v>95</v>
      </c>
      <c r="D961" s="115">
        <v>0</v>
      </c>
      <c r="E961" s="135">
        <f ca="1">OFFSET(INDEX(Composições!A:J,MATCH(Orçamentária!A961,Composições!A:A,0),8),2,0)</f>
        <v>13.892800000000001</v>
      </c>
      <c r="F961" s="136">
        <f t="shared" ca="1" si="42"/>
        <v>0</v>
      </c>
      <c r="G961" s="137" t="e">
        <f>IF(A961&lt;&gt;"",IF(AND(#REF!="Padrão",$H$4=#REF!),BDI!$B$17,IF(AND(#REF!="Padrão",$H$4=#REF!),BDI!#REF!,IF(AND(#REF!="Diferenciado",$H$4=#REF!),BDI!$E$17,IF(AND(#REF!="Diferenciado",$H$4=#REF!),BDI!#REF!,IF(#REF!="ZERO",0))))),"")</f>
        <v>#REF!</v>
      </c>
      <c r="H961" s="138" t="e">
        <f t="shared" ca="1" si="43"/>
        <v>#REF!</v>
      </c>
      <c r="I961" s="136" t="e">
        <f t="shared" ca="1" si="44"/>
        <v>#REF!</v>
      </c>
    </row>
    <row r="962" spans="1:9" hidden="1" x14ac:dyDescent="0.25">
      <c r="A962" s="113" t="s">
        <v>1078</v>
      </c>
      <c r="B962" s="114" t="s">
        <v>2985</v>
      </c>
      <c r="C962" s="115" t="s">
        <v>95</v>
      </c>
      <c r="D962" s="115">
        <v>0</v>
      </c>
      <c r="E962" s="135">
        <f ca="1">OFFSET(INDEX(Composições!A:J,MATCH(Orçamentária!A962,Composições!A:A,0),8),2,0)</f>
        <v>41.678400000000003</v>
      </c>
      <c r="F962" s="136">
        <f t="shared" ca="1" si="42"/>
        <v>0</v>
      </c>
      <c r="G962" s="137" t="e">
        <f>IF(A962&lt;&gt;"",IF(AND(#REF!="Padrão",$H$4=#REF!),BDI!$B$17,IF(AND(#REF!="Padrão",$H$4=#REF!),BDI!#REF!,IF(AND(#REF!="Diferenciado",$H$4=#REF!),BDI!$E$17,IF(AND(#REF!="Diferenciado",$H$4=#REF!),BDI!#REF!,IF(#REF!="ZERO",0))))),"")</f>
        <v>#REF!</v>
      </c>
      <c r="H962" s="138" t="e">
        <f t="shared" ca="1" si="43"/>
        <v>#REF!</v>
      </c>
      <c r="I962" s="136" t="e">
        <f t="shared" ca="1" si="44"/>
        <v>#REF!</v>
      </c>
    </row>
    <row r="963" spans="1:9" hidden="1" x14ac:dyDescent="0.25">
      <c r="A963" s="113" t="s">
        <v>1079</v>
      </c>
      <c r="B963" s="114" t="s">
        <v>2986</v>
      </c>
      <c r="C963" s="115" t="s">
        <v>95</v>
      </c>
      <c r="D963" s="115">
        <v>0</v>
      </c>
      <c r="E963" s="135">
        <f ca="1">OFFSET(INDEX(Composições!A:J,MATCH(Orçamentária!A963,Composições!A:A,0),8),2,0)</f>
        <v>6.8233750000000004</v>
      </c>
      <c r="F963" s="136">
        <f t="shared" ca="1" si="42"/>
        <v>0</v>
      </c>
      <c r="G963" s="137" t="e">
        <f>IF(A963&lt;&gt;"",IF(AND(#REF!="Padrão",$H$4=#REF!),BDI!$B$17,IF(AND(#REF!="Padrão",$H$4=#REF!),BDI!#REF!,IF(AND(#REF!="Diferenciado",$H$4=#REF!),BDI!$E$17,IF(AND(#REF!="Diferenciado",$H$4=#REF!),BDI!#REF!,IF(#REF!="ZERO",0))))),"")</f>
        <v>#REF!</v>
      </c>
      <c r="H963" s="138" t="e">
        <f t="shared" ca="1" si="43"/>
        <v>#REF!</v>
      </c>
      <c r="I963" s="136" t="e">
        <f t="shared" ca="1" si="44"/>
        <v>#REF!</v>
      </c>
    </row>
    <row r="964" spans="1:9" hidden="1" x14ac:dyDescent="0.25">
      <c r="A964" s="113" t="s">
        <v>1081</v>
      </c>
      <c r="B964" s="114" t="s">
        <v>2987</v>
      </c>
      <c r="C964" s="115" t="s">
        <v>95</v>
      </c>
      <c r="D964" s="115">
        <v>0</v>
      </c>
      <c r="E964" s="135">
        <f ca="1">OFFSET(INDEX(Composições!A:J,MATCH(Orçamentária!A964,Composições!A:A,0),8),2,0)</f>
        <v>4.8934500000000005</v>
      </c>
      <c r="F964" s="136">
        <f t="shared" ca="1" si="42"/>
        <v>0</v>
      </c>
      <c r="G964" s="137" t="e">
        <f>IF(A964&lt;&gt;"",IF(AND(#REF!="Padrão",$H$4=#REF!),BDI!$B$17,IF(AND(#REF!="Padrão",$H$4=#REF!),BDI!#REF!,IF(AND(#REF!="Diferenciado",$H$4=#REF!),BDI!$E$17,IF(AND(#REF!="Diferenciado",$H$4=#REF!),BDI!#REF!,IF(#REF!="ZERO",0))))),"")</f>
        <v>#REF!</v>
      </c>
      <c r="H964" s="138" t="e">
        <f t="shared" ca="1" si="43"/>
        <v>#REF!</v>
      </c>
      <c r="I964" s="136" t="e">
        <f t="shared" ca="1" si="44"/>
        <v>#REF!</v>
      </c>
    </row>
    <row r="965" spans="1:9" ht="25.5" hidden="1" x14ac:dyDescent="0.25">
      <c r="A965" s="113" t="s">
        <v>1082</v>
      </c>
      <c r="B965" s="114" t="s">
        <v>2988</v>
      </c>
      <c r="C965" s="115" t="s">
        <v>20</v>
      </c>
      <c r="D965" s="115">
        <v>0</v>
      </c>
      <c r="E965" s="135">
        <f ca="1">OFFSET(INDEX(Composições!A:J,MATCH(Orçamentária!A965,Composições!A:A,0),8),2,0)</f>
        <v>1.6311500000000003</v>
      </c>
      <c r="F965" s="136">
        <f t="shared" ca="1" si="42"/>
        <v>0</v>
      </c>
      <c r="G965" s="137" t="e">
        <f>IF(A965&lt;&gt;"",IF(AND(#REF!="Padrão",$H$4=#REF!),BDI!$B$17,IF(AND(#REF!="Padrão",$H$4=#REF!),BDI!#REF!,IF(AND(#REF!="Diferenciado",$H$4=#REF!),BDI!$E$17,IF(AND(#REF!="Diferenciado",$H$4=#REF!),BDI!#REF!,IF(#REF!="ZERO",0))))),"")</f>
        <v>#REF!</v>
      </c>
      <c r="H965" s="138" t="e">
        <f t="shared" ca="1" si="43"/>
        <v>#REF!</v>
      </c>
      <c r="I965" s="136" t="e">
        <f t="shared" ca="1" si="44"/>
        <v>#REF!</v>
      </c>
    </row>
    <row r="966" spans="1:9" ht="25.5" hidden="1" x14ac:dyDescent="0.25">
      <c r="A966" s="113" t="s">
        <v>1083</v>
      </c>
      <c r="B966" s="114" t="s">
        <v>2989</v>
      </c>
      <c r="C966" s="115" t="s">
        <v>20</v>
      </c>
      <c r="D966" s="115">
        <v>0</v>
      </c>
      <c r="E966" s="135">
        <f ca="1">OFFSET(INDEX(Composições!A:J,MATCH(Orçamentária!A966,Composições!A:A,0),8),2,0)</f>
        <v>7.8567408254940005</v>
      </c>
      <c r="F966" s="136">
        <f t="shared" ca="1" si="42"/>
        <v>0</v>
      </c>
      <c r="G966" s="137" t="e">
        <f>IF(A966&lt;&gt;"",IF(AND(#REF!="Padrão",$H$4=#REF!),BDI!$B$17,IF(AND(#REF!="Padrão",$H$4=#REF!),BDI!#REF!,IF(AND(#REF!="Diferenciado",$H$4=#REF!),BDI!$E$17,IF(AND(#REF!="Diferenciado",$H$4=#REF!),BDI!#REF!,IF(#REF!="ZERO",0))))),"")</f>
        <v>#REF!</v>
      </c>
      <c r="H966" s="138" t="e">
        <f t="shared" ca="1" si="43"/>
        <v>#REF!</v>
      </c>
      <c r="I966" s="136" t="e">
        <f t="shared" ca="1" si="44"/>
        <v>#REF!</v>
      </c>
    </row>
    <row r="967" spans="1:9" hidden="1" x14ac:dyDescent="0.25">
      <c r="A967" s="113" t="s">
        <v>1089</v>
      </c>
      <c r="B967" s="114" t="s">
        <v>2990</v>
      </c>
      <c r="C967" s="115" t="s">
        <v>20</v>
      </c>
      <c r="D967" s="115">
        <v>0</v>
      </c>
      <c r="E967" s="135">
        <f ca="1">OFFSET(INDEX(Composições!A:J,MATCH(Orçamentária!A967,Composições!A:A,0),8),2,0)</f>
        <v>7.8567408254940005</v>
      </c>
      <c r="F967" s="136">
        <f t="shared" ref="F967:F1030" ca="1" si="45">IF(ISNUMBER(E967),D967*E967,"")</f>
        <v>0</v>
      </c>
      <c r="G967" s="137" t="e">
        <f>IF(A967&lt;&gt;"",IF(AND(#REF!="Padrão",$H$4=#REF!),BDI!$B$17,IF(AND(#REF!="Padrão",$H$4=#REF!),BDI!#REF!,IF(AND(#REF!="Diferenciado",$H$4=#REF!),BDI!$E$17,IF(AND(#REF!="Diferenciado",$H$4=#REF!),BDI!#REF!,IF(#REF!="ZERO",0))))),"")</f>
        <v>#REF!</v>
      </c>
      <c r="H967" s="138" t="e">
        <f t="shared" ref="H967:H1030" ca="1" si="46">IF(ISNUMBER(E967),ROUND(E967*(1+G967),2),"")</f>
        <v>#REF!</v>
      </c>
      <c r="I967" s="136" t="e">
        <f t="shared" ref="I967:I1030" ca="1" si="47">IF(ISNUMBER(E967),ROUND(H967*D967,2),"")</f>
        <v>#REF!</v>
      </c>
    </row>
    <row r="968" spans="1:9" hidden="1" x14ac:dyDescent="0.25">
      <c r="A968" s="113" t="s">
        <v>2991</v>
      </c>
      <c r="B968" s="114" t="s">
        <v>2992</v>
      </c>
      <c r="C968" s="115" t="s">
        <v>20</v>
      </c>
      <c r="D968" s="115">
        <v>0</v>
      </c>
      <c r="E968" s="135" t="s">
        <v>568</v>
      </c>
      <c r="F968" s="136" t="str">
        <f t="shared" si="45"/>
        <v/>
      </c>
      <c r="G968" s="137" t="e">
        <f>IF(A968&lt;&gt;"",IF(AND(#REF!="Padrão",$H$4=#REF!),BDI!$B$17,IF(AND(#REF!="Padrão",$H$4=#REF!),BDI!#REF!,IF(AND(#REF!="Diferenciado",$H$4=#REF!),BDI!$E$17,IF(AND(#REF!="Diferenciado",$H$4=#REF!),BDI!#REF!,IF(#REF!="ZERO",0))))),"")</f>
        <v>#REF!</v>
      </c>
      <c r="H968" s="138" t="str">
        <f t="shared" si="46"/>
        <v/>
      </c>
      <c r="I968" s="136" t="str">
        <f t="shared" si="47"/>
        <v/>
      </c>
    </row>
    <row r="969" spans="1:9" hidden="1" x14ac:dyDescent="0.25">
      <c r="A969" s="113" t="s">
        <v>1091</v>
      </c>
      <c r="B969" s="114" t="s">
        <v>2993</v>
      </c>
      <c r="C969" s="115" t="s">
        <v>95</v>
      </c>
      <c r="D969" s="115">
        <v>0</v>
      </c>
      <c r="E969" s="135">
        <f ca="1">OFFSET(INDEX(Composições!A:J,MATCH(Orçamentária!A969,Composições!A:A,0),8),2,0)</f>
        <v>41.306474999999999</v>
      </c>
      <c r="F969" s="136">
        <f t="shared" ca="1" si="45"/>
        <v>0</v>
      </c>
      <c r="G969" s="137" t="e">
        <f>IF(A969&lt;&gt;"",IF(AND(#REF!="Padrão",$H$4=#REF!),BDI!$B$17,IF(AND(#REF!="Padrão",$H$4=#REF!),BDI!#REF!,IF(AND(#REF!="Diferenciado",$H$4=#REF!),BDI!$E$17,IF(AND(#REF!="Diferenciado",$H$4=#REF!),BDI!#REF!,IF(#REF!="ZERO",0))))),"")</f>
        <v>#REF!</v>
      </c>
      <c r="H969" s="138" t="e">
        <f t="shared" ca="1" si="46"/>
        <v>#REF!</v>
      </c>
      <c r="I969" s="136" t="e">
        <f t="shared" ca="1" si="47"/>
        <v>#REF!</v>
      </c>
    </row>
    <row r="970" spans="1:9" hidden="1" x14ac:dyDescent="0.25">
      <c r="A970" s="113" t="s">
        <v>1093</v>
      </c>
      <c r="B970" s="114" t="s">
        <v>2994</v>
      </c>
      <c r="C970" s="115" t="s">
        <v>95</v>
      </c>
      <c r="D970" s="115">
        <v>0</v>
      </c>
      <c r="E970" s="135">
        <f ca="1">OFFSET(INDEX(Composições!A:J,MATCH(Orçamentária!A970,Composições!A:A,0),8),2,0)</f>
        <v>54.065510206373503</v>
      </c>
      <c r="F970" s="136">
        <f t="shared" ca="1" si="45"/>
        <v>0</v>
      </c>
      <c r="G970" s="137" t="e">
        <f>IF(A970&lt;&gt;"",IF(AND(#REF!="Padrão",$H$4=#REF!),BDI!$B$17,IF(AND(#REF!="Padrão",$H$4=#REF!),BDI!#REF!,IF(AND(#REF!="Diferenciado",$H$4=#REF!),BDI!$E$17,IF(AND(#REF!="Diferenciado",$H$4=#REF!),BDI!#REF!,IF(#REF!="ZERO",0))))),"")</f>
        <v>#REF!</v>
      </c>
      <c r="H970" s="138" t="e">
        <f t="shared" ca="1" si="46"/>
        <v>#REF!</v>
      </c>
      <c r="I970" s="136" t="e">
        <f t="shared" ca="1" si="47"/>
        <v>#REF!</v>
      </c>
    </row>
    <row r="971" spans="1:9" hidden="1" x14ac:dyDescent="0.25">
      <c r="A971" s="113" t="s">
        <v>1098</v>
      </c>
      <c r="B971" s="114" t="s">
        <v>2995</v>
      </c>
      <c r="C971" s="115" t="s">
        <v>95</v>
      </c>
      <c r="D971" s="115">
        <v>0</v>
      </c>
      <c r="E971" s="135">
        <f ca="1">OFFSET(INDEX(Composições!A:J,MATCH(Orçamentária!A971,Composições!A:A,0),8),2,0)</f>
        <v>41.306474999999999</v>
      </c>
      <c r="F971" s="136">
        <f t="shared" ca="1" si="45"/>
        <v>0</v>
      </c>
      <c r="G971" s="137" t="e">
        <f>IF(A971&lt;&gt;"",IF(AND(#REF!="Padrão",$H$4=#REF!),BDI!$B$17,IF(AND(#REF!="Padrão",$H$4=#REF!),BDI!#REF!,IF(AND(#REF!="Diferenciado",$H$4=#REF!),BDI!$E$17,IF(AND(#REF!="Diferenciado",$H$4=#REF!),BDI!#REF!,IF(#REF!="ZERO",0))))),"")</f>
        <v>#REF!</v>
      </c>
      <c r="H971" s="138" t="e">
        <f t="shared" ca="1" si="46"/>
        <v>#REF!</v>
      </c>
      <c r="I971" s="136" t="e">
        <f t="shared" ca="1" si="47"/>
        <v>#REF!</v>
      </c>
    </row>
    <row r="972" spans="1:9" hidden="1" x14ac:dyDescent="0.25">
      <c r="A972" s="113" t="s">
        <v>1100</v>
      </c>
      <c r="B972" s="114" t="s">
        <v>2996</v>
      </c>
      <c r="C972" s="115" t="s">
        <v>95</v>
      </c>
      <c r="D972" s="115">
        <v>0</v>
      </c>
      <c r="E972" s="135">
        <f ca="1">OFFSET(INDEX(Composições!A:J,MATCH(Orçamentária!A972,Composições!A:A,0),8),2,0)</f>
        <v>54.065510206373503</v>
      </c>
      <c r="F972" s="136">
        <f t="shared" ca="1" si="45"/>
        <v>0</v>
      </c>
      <c r="G972" s="137" t="e">
        <f>IF(A972&lt;&gt;"",IF(AND(#REF!="Padrão",$H$4=#REF!),BDI!$B$17,IF(AND(#REF!="Padrão",$H$4=#REF!),BDI!#REF!,IF(AND(#REF!="Diferenciado",$H$4=#REF!),BDI!$E$17,IF(AND(#REF!="Diferenciado",$H$4=#REF!),BDI!#REF!,IF(#REF!="ZERO",0))))),"")</f>
        <v>#REF!</v>
      </c>
      <c r="H972" s="138" t="e">
        <f t="shared" ca="1" si="46"/>
        <v>#REF!</v>
      </c>
      <c r="I972" s="136" t="e">
        <f t="shared" ca="1" si="47"/>
        <v>#REF!</v>
      </c>
    </row>
    <row r="973" spans="1:9" ht="25.5" hidden="1" x14ac:dyDescent="0.25">
      <c r="A973" s="113" t="s">
        <v>1101</v>
      </c>
      <c r="B973" s="114" t="s">
        <v>2997</v>
      </c>
      <c r="C973" s="115" t="s">
        <v>95</v>
      </c>
      <c r="D973" s="115">
        <v>0</v>
      </c>
      <c r="E973" s="135">
        <f ca="1">OFFSET(INDEX(Composições!A:J,MATCH(Orçamentária!A973,Composições!A:A,0),8),2,0)</f>
        <v>6.280510206373501</v>
      </c>
      <c r="F973" s="136">
        <f t="shared" ca="1" si="45"/>
        <v>0</v>
      </c>
      <c r="G973" s="137" t="e">
        <f>IF(A973&lt;&gt;"",IF(AND(#REF!="Padrão",$H$4=#REF!),BDI!$B$17,IF(AND(#REF!="Padrão",$H$4=#REF!),BDI!#REF!,IF(AND(#REF!="Diferenciado",$H$4=#REF!),BDI!$E$17,IF(AND(#REF!="Diferenciado",$H$4=#REF!),BDI!#REF!,IF(#REF!="ZERO",0))))),"")</f>
        <v>#REF!</v>
      </c>
      <c r="H973" s="138" t="e">
        <f t="shared" ca="1" si="46"/>
        <v>#REF!</v>
      </c>
      <c r="I973" s="136" t="e">
        <f t="shared" ca="1" si="47"/>
        <v>#REF!</v>
      </c>
    </row>
    <row r="974" spans="1:9" ht="25.5" hidden="1" x14ac:dyDescent="0.25">
      <c r="A974" s="113" t="s">
        <v>2998</v>
      </c>
      <c r="B974" s="114" t="s">
        <v>2999</v>
      </c>
      <c r="C974" s="115" t="s">
        <v>95</v>
      </c>
      <c r="D974" s="115">
        <v>0</v>
      </c>
      <c r="E974" s="135" t="s">
        <v>568</v>
      </c>
      <c r="F974" s="136" t="str">
        <f t="shared" si="45"/>
        <v/>
      </c>
      <c r="G974" s="137" t="e">
        <f>IF(A974&lt;&gt;"",IF(AND(#REF!="Padrão",$H$4=#REF!),BDI!$B$17,IF(AND(#REF!="Padrão",$H$4=#REF!),BDI!#REF!,IF(AND(#REF!="Diferenciado",$H$4=#REF!),BDI!$E$17,IF(AND(#REF!="Diferenciado",$H$4=#REF!),BDI!#REF!,IF(#REF!="ZERO",0))))),"")</f>
        <v>#REF!</v>
      </c>
      <c r="H974" s="138" t="str">
        <f t="shared" si="46"/>
        <v/>
      </c>
      <c r="I974" s="136" t="str">
        <f t="shared" si="47"/>
        <v/>
      </c>
    </row>
    <row r="975" spans="1:9" hidden="1" x14ac:dyDescent="0.25">
      <c r="A975" s="113" t="s">
        <v>1103</v>
      </c>
      <c r="B975" s="114" t="s">
        <v>3000</v>
      </c>
      <c r="C975" s="115" t="s">
        <v>95</v>
      </c>
      <c r="D975" s="115">
        <v>0</v>
      </c>
      <c r="E975" s="135">
        <f ca="1">OFFSET(INDEX(Composições!A:J,MATCH(Orçamentária!A975,Composições!A:A,0),8),2,0)</f>
        <v>41.306474999999999</v>
      </c>
      <c r="F975" s="136">
        <f t="shared" ca="1" si="45"/>
        <v>0</v>
      </c>
      <c r="G975" s="137" t="e">
        <f>IF(A975&lt;&gt;"",IF(AND(#REF!="Padrão",$H$4=#REF!),BDI!$B$17,IF(AND(#REF!="Padrão",$H$4=#REF!),BDI!#REF!,IF(AND(#REF!="Diferenciado",$H$4=#REF!),BDI!$E$17,IF(AND(#REF!="Diferenciado",$H$4=#REF!),BDI!#REF!,IF(#REF!="ZERO",0))))),"")</f>
        <v>#REF!</v>
      </c>
      <c r="H975" s="138" t="e">
        <f t="shared" ca="1" si="46"/>
        <v>#REF!</v>
      </c>
      <c r="I975" s="136" t="e">
        <f t="shared" ca="1" si="47"/>
        <v>#REF!</v>
      </c>
    </row>
    <row r="976" spans="1:9" ht="25.5" hidden="1" x14ac:dyDescent="0.25">
      <c r="A976" s="113" t="s">
        <v>1104</v>
      </c>
      <c r="B976" s="114" t="s">
        <v>3001</v>
      </c>
      <c r="C976" s="115" t="s">
        <v>95</v>
      </c>
      <c r="D976" s="115">
        <v>0</v>
      </c>
      <c r="E976" s="135">
        <f ca="1">OFFSET(INDEX(Composições!A:J,MATCH(Orçamentária!A976,Composições!A:A,0),8),2,0)</f>
        <v>54.065510206373503</v>
      </c>
      <c r="F976" s="136">
        <f t="shared" ca="1" si="45"/>
        <v>0</v>
      </c>
      <c r="G976" s="137" t="e">
        <f>IF(A976&lt;&gt;"",IF(AND(#REF!="Padrão",$H$4=#REF!),BDI!$B$17,IF(AND(#REF!="Padrão",$H$4=#REF!),BDI!#REF!,IF(AND(#REF!="Diferenciado",$H$4=#REF!),BDI!$E$17,IF(AND(#REF!="Diferenciado",$H$4=#REF!),BDI!#REF!,IF(#REF!="ZERO",0))))),"")</f>
        <v>#REF!</v>
      </c>
      <c r="H976" s="138" t="e">
        <f t="shared" ca="1" si="46"/>
        <v>#REF!</v>
      </c>
      <c r="I976" s="136" t="e">
        <f t="shared" ca="1" si="47"/>
        <v>#REF!</v>
      </c>
    </row>
    <row r="977" spans="1:9" hidden="1" x14ac:dyDescent="0.25">
      <c r="A977" s="113" t="s">
        <v>1105</v>
      </c>
      <c r="B977" s="114" t="s">
        <v>3002</v>
      </c>
      <c r="C977" s="115" t="s">
        <v>95</v>
      </c>
      <c r="D977" s="115">
        <v>0</v>
      </c>
      <c r="E977" s="135">
        <f ca="1">OFFSET(INDEX(Composições!A:J,MATCH(Orçamentária!A977,Composições!A:A,0),8),2,0)</f>
        <v>11.062749999999999</v>
      </c>
      <c r="F977" s="136">
        <f t="shared" ca="1" si="45"/>
        <v>0</v>
      </c>
      <c r="G977" s="137" t="e">
        <f>IF(A977&lt;&gt;"",IF(AND(#REF!="Padrão",$H$4=#REF!),BDI!$B$17,IF(AND(#REF!="Padrão",$H$4=#REF!),BDI!#REF!,IF(AND(#REF!="Diferenciado",$H$4=#REF!),BDI!$E$17,IF(AND(#REF!="Diferenciado",$H$4=#REF!),BDI!#REF!,IF(#REF!="ZERO",0))))),"")</f>
        <v>#REF!</v>
      </c>
      <c r="H977" s="138" t="e">
        <f t="shared" ca="1" si="46"/>
        <v>#REF!</v>
      </c>
      <c r="I977" s="136" t="e">
        <f t="shared" ca="1" si="47"/>
        <v>#REF!</v>
      </c>
    </row>
    <row r="978" spans="1:9" hidden="1" x14ac:dyDescent="0.25">
      <c r="A978" s="113" t="s">
        <v>1108</v>
      </c>
      <c r="B978" s="114" t="s">
        <v>3003</v>
      </c>
      <c r="C978" s="115" t="s">
        <v>93</v>
      </c>
      <c r="D978" s="115">
        <v>0</v>
      </c>
      <c r="E978" s="135">
        <f ca="1">OFFSET(INDEX(Composições!A:J,MATCH(Orçamentária!A978,Composições!A:A,0),8),2,0)</f>
        <v>17.576900000000002</v>
      </c>
      <c r="F978" s="136">
        <f t="shared" ca="1" si="45"/>
        <v>0</v>
      </c>
      <c r="G978" s="137" t="e">
        <f>IF(A978&lt;&gt;"",IF(AND(#REF!="Padrão",$H$4=#REF!),BDI!$B$17,IF(AND(#REF!="Padrão",$H$4=#REF!),BDI!#REF!,IF(AND(#REF!="Diferenciado",$H$4=#REF!),BDI!$E$17,IF(AND(#REF!="Diferenciado",$H$4=#REF!),BDI!#REF!,IF(#REF!="ZERO",0))))),"")</f>
        <v>#REF!</v>
      </c>
      <c r="H978" s="138" t="e">
        <f t="shared" ca="1" si="46"/>
        <v>#REF!</v>
      </c>
      <c r="I978" s="136" t="e">
        <f t="shared" ca="1" si="47"/>
        <v>#REF!</v>
      </c>
    </row>
    <row r="979" spans="1:9" hidden="1" x14ac:dyDescent="0.25">
      <c r="A979" s="113" t="s">
        <v>1110</v>
      </c>
      <c r="B979" s="114" t="s">
        <v>3004</v>
      </c>
      <c r="C979" s="115" t="s">
        <v>95</v>
      </c>
      <c r="D979" s="115">
        <v>0</v>
      </c>
      <c r="E979" s="135">
        <f ca="1">OFFSET(INDEX(Composições!A:J,MATCH(Orçamentária!A979,Composições!A:A,0),8),2,0)</f>
        <v>93.847099000000014</v>
      </c>
      <c r="F979" s="136">
        <f t="shared" ca="1" si="45"/>
        <v>0</v>
      </c>
      <c r="G979" s="137" t="e">
        <f>IF(A979&lt;&gt;"",IF(AND(#REF!="Padrão",$H$4=#REF!),BDI!$B$17,IF(AND(#REF!="Padrão",$H$4=#REF!),BDI!#REF!,IF(AND(#REF!="Diferenciado",$H$4=#REF!),BDI!$E$17,IF(AND(#REF!="Diferenciado",$H$4=#REF!),BDI!#REF!,IF(#REF!="ZERO",0))))),"")</f>
        <v>#REF!</v>
      </c>
      <c r="H979" s="138" t="e">
        <f t="shared" ca="1" si="46"/>
        <v>#REF!</v>
      </c>
      <c r="I979" s="136" t="e">
        <f t="shared" ca="1" si="47"/>
        <v>#REF!</v>
      </c>
    </row>
    <row r="980" spans="1:9" ht="25.5" hidden="1" x14ac:dyDescent="0.25">
      <c r="A980" s="113" t="s">
        <v>1112</v>
      </c>
      <c r="B980" s="114" t="s">
        <v>3005</v>
      </c>
      <c r="C980" s="115" t="s">
        <v>20</v>
      </c>
      <c r="D980" s="115">
        <v>0</v>
      </c>
      <c r="E980" s="135">
        <f ca="1">OFFSET(INDEX(Composições!A:J,MATCH(Orçamentária!A980,Composições!A:A,0),8),2,0)</f>
        <v>0.94097500000000012</v>
      </c>
      <c r="F980" s="136">
        <f t="shared" ca="1" si="45"/>
        <v>0</v>
      </c>
      <c r="G980" s="137" t="e">
        <f>IF(A980&lt;&gt;"",IF(AND(#REF!="Padrão",$H$4=#REF!),BDI!$B$17,IF(AND(#REF!="Padrão",$H$4=#REF!),BDI!#REF!,IF(AND(#REF!="Diferenciado",$H$4=#REF!),BDI!$E$17,IF(AND(#REF!="Diferenciado",$H$4=#REF!),BDI!#REF!,IF(#REF!="ZERO",0))))),"")</f>
        <v>#REF!</v>
      </c>
      <c r="H980" s="138" t="e">
        <f t="shared" ca="1" si="46"/>
        <v>#REF!</v>
      </c>
      <c r="I980" s="136" t="e">
        <f t="shared" ca="1" si="47"/>
        <v>#REF!</v>
      </c>
    </row>
    <row r="981" spans="1:9" hidden="1" x14ac:dyDescent="0.25">
      <c r="A981" s="113" t="s">
        <v>1116</v>
      </c>
      <c r="B981" s="114" t="s">
        <v>3006</v>
      </c>
      <c r="C981" s="115" t="s">
        <v>95</v>
      </c>
      <c r="D981" s="115">
        <v>0</v>
      </c>
      <c r="E981" s="135">
        <f ca="1">OFFSET(INDEX(Composições!A:J,MATCH(Orçamentária!A981,Composições!A:A,0),8),2,0)</f>
        <v>5.4046070000000004</v>
      </c>
      <c r="F981" s="136">
        <f t="shared" ca="1" si="45"/>
        <v>0</v>
      </c>
      <c r="G981" s="137" t="e">
        <f>IF(A981&lt;&gt;"",IF(AND(#REF!="Padrão",$H$4=#REF!),BDI!$B$17,IF(AND(#REF!="Padrão",$H$4=#REF!),BDI!#REF!,IF(AND(#REF!="Diferenciado",$H$4=#REF!),BDI!$E$17,IF(AND(#REF!="Diferenciado",$H$4=#REF!),BDI!#REF!,IF(#REF!="ZERO",0))))),"")</f>
        <v>#REF!</v>
      </c>
      <c r="H981" s="138" t="e">
        <f t="shared" ca="1" si="46"/>
        <v>#REF!</v>
      </c>
      <c r="I981" s="136" t="e">
        <f t="shared" ca="1" si="47"/>
        <v>#REF!</v>
      </c>
    </row>
    <row r="982" spans="1:9" hidden="1" x14ac:dyDescent="0.25">
      <c r="A982" s="113" t="s">
        <v>1117</v>
      </c>
      <c r="B982" s="114" t="s">
        <v>3007</v>
      </c>
      <c r="C982" s="115" t="s">
        <v>93</v>
      </c>
      <c r="D982" s="115">
        <v>0</v>
      </c>
      <c r="E982" s="135">
        <f ca="1">OFFSET(INDEX(Composições!A:J,MATCH(Orçamentária!A982,Composições!A:A,0),8),2,0)</f>
        <v>22.476725449999996</v>
      </c>
      <c r="F982" s="136">
        <f t="shared" ca="1" si="45"/>
        <v>0</v>
      </c>
      <c r="G982" s="137" t="e">
        <f>IF(A982&lt;&gt;"",IF(AND(#REF!="Padrão",$H$4=#REF!),BDI!$B$17,IF(AND(#REF!="Padrão",$H$4=#REF!),BDI!#REF!,IF(AND(#REF!="Diferenciado",$H$4=#REF!),BDI!$E$17,IF(AND(#REF!="Diferenciado",$H$4=#REF!),BDI!#REF!,IF(#REF!="ZERO",0))))),"")</f>
        <v>#REF!</v>
      </c>
      <c r="H982" s="138" t="e">
        <f t="shared" ca="1" si="46"/>
        <v>#REF!</v>
      </c>
      <c r="I982" s="136" t="e">
        <f t="shared" ca="1" si="47"/>
        <v>#REF!</v>
      </c>
    </row>
    <row r="983" spans="1:9" hidden="1" x14ac:dyDescent="0.25">
      <c r="A983" s="113" t="s">
        <v>1122</v>
      </c>
      <c r="B983" s="114" t="s">
        <v>3008</v>
      </c>
      <c r="C983" s="115" t="s">
        <v>93</v>
      </c>
      <c r="D983" s="115">
        <v>0</v>
      </c>
      <c r="E983" s="135">
        <f ca="1">OFFSET(INDEX(Composições!A:J,MATCH(Orçamentária!A983,Composições!A:A,0),8),2,0)</f>
        <v>14.610352099999998</v>
      </c>
      <c r="F983" s="136">
        <f t="shared" ca="1" si="45"/>
        <v>0</v>
      </c>
      <c r="G983" s="137" t="e">
        <f>IF(A983&lt;&gt;"",IF(AND(#REF!="Padrão",$H$4=#REF!),BDI!$B$17,IF(AND(#REF!="Padrão",$H$4=#REF!),BDI!#REF!,IF(AND(#REF!="Diferenciado",$H$4=#REF!),BDI!$E$17,IF(AND(#REF!="Diferenciado",$H$4=#REF!),BDI!#REF!,IF(#REF!="ZERO",0))))),"")</f>
        <v>#REF!</v>
      </c>
      <c r="H983" s="138" t="e">
        <f t="shared" ca="1" si="46"/>
        <v>#REF!</v>
      </c>
      <c r="I983" s="136" t="e">
        <f t="shared" ca="1" si="47"/>
        <v>#REF!</v>
      </c>
    </row>
    <row r="984" spans="1:9" hidden="1" x14ac:dyDescent="0.25">
      <c r="A984" s="113" t="s">
        <v>3009</v>
      </c>
      <c r="B984" s="114" t="s">
        <v>3010</v>
      </c>
      <c r="C984" s="115" t="s">
        <v>20</v>
      </c>
      <c r="D984" s="115">
        <v>0</v>
      </c>
      <c r="E984" s="135" t="s">
        <v>568</v>
      </c>
      <c r="F984" s="136" t="str">
        <f t="shared" si="45"/>
        <v/>
      </c>
      <c r="G984" s="137" t="e">
        <f>IF(A984&lt;&gt;"",IF(AND(#REF!="Padrão",$H$4=#REF!),BDI!$B$17,IF(AND(#REF!="Padrão",$H$4=#REF!),BDI!#REF!,IF(AND(#REF!="Diferenciado",$H$4=#REF!),BDI!$E$17,IF(AND(#REF!="Diferenciado",$H$4=#REF!),BDI!#REF!,IF(#REF!="ZERO",0))))),"")</f>
        <v>#REF!</v>
      </c>
      <c r="H984" s="138" t="str">
        <f t="shared" si="46"/>
        <v/>
      </c>
      <c r="I984" s="136" t="str">
        <f t="shared" si="47"/>
        <v/>
      </c>
    </row>
    <row r="985" spans="1:9" x14ac:dyDescent="0.25">
      <c r="A985" s="197" t="s">
        <v>1123</v>
      </c>
      <c r="B985" s="198" t="s">
        <v>3011</v>
      </c>
      <c r="C985" s="199" t="s">
        <v>20</v>
      </c>
      <c r="D985" s="199">
        <v>6</v>
      </c>
      <c r="E985" s="135">
        <f ca="1">OFFSET(INDEX(Composições!A:J,MATCH(Orçamentária!A985,Composições!A:A,0),8),2,0)</f>
        <v>72.39438045</v>
      </c>
      <c r="F985" s="136">
        <f t="shared" ca="1" si="45"/>
        <v>434.3662827</v>
      </c>
      <c r="G985" s="137">
        <f>BDI!$B$17</f>
        <v>0.191</v>
      </c>
      <c r="H985" s="138">
        <f t="shared" ca="1" si="46"/>
        <v>86.22</v>
      </c>
      <c r="I985" s="136">
        <f t="shared" ca="1" si="47"/>
        <v>517.32000000000005</v>
      </c>
    </row>
    <row r="986" spans="1:9" hidden="1" x14ac:dyDescent="0.25">
      <c r="A986" s="113" t="s">
        <v>1126</v>
      </c>
      <c r="B986" s="114" t="s">
        <v>3012</v>
      </c>
      <c r="C986" s="115" t="s">
        <v>3013</v>
      </c>
      <c r="D986" s="115">
        <v>0</v>
      </c>
      <c r="E986" s="135">
        <f ca="1">OFFSET(INDEX(Composições!A:J,MATCH(Orçamentária!A986,Composições!A:A,0),8),2,0)</f>
        <v>506.55758742980004</v>
      </c>
      <c r="F986" s="136">
        <f t="shared" ca="1" si="45"/>
        <v>0</v>
      </c>
      <c r="G986" s="137" t="e">
        <f>IF(A986&lt;&gt;"",IF(AND(#REF!="Padrão",$H$4=#REF!),BDI!$B$17,IF(AND(#REF!="Padrão",$H$4=#REF!),BDI!#REF!,IF(AND(#REF!="Diferenciado",$H$4=#REF!),BDI!$E$17,IF(AND(#REF!="Diferenciado",$H$4=#REF!),BDI!#REF!,IF(#REF!="ZERO",0))))),"")</f>
        <v>#REF!</v>
      </c>
      <c r="H986" s="138" t="e">
        <f t="shared" ca="1" si="46"/>
        <v>#REF!</v>
      </c>
      <c r="I986" s="136" t="e">
        <f t="shared" ca="1" si="47"/>
        <v>#REF!</v>
      </c>
    </row>
    <row r="987" spans="1:9" hidden="1" x14ac:dyDescent="0.25">
      <c r="A987" s="113" t="s">
        <v>1128</v>
      </c>
      <c r="B987" s="114" t="s">
        <v>3014</v>
      </c>
      <c r="C987" s="115" t="s">
        <v>95</v>
      </c>
      <c r="D987" s="115">
        <v>0</v>
      </c>
      <c r="E987" s="135">
        <f ca="1">OFFSET(INDEX(Composições!A:J,MATCH(Orçamentária!A987,Composições!A:A,0),8),2,0)</f>
        <v>104.13309575000001</v>
      </c>
      <c r="F987" s="136">
        <f t="shared" ca="1" si="45"/>
        <v>0</v>
      </c>
      <c r="G987" s="137" t="e">
        <f>IF(A987&lt;&gt;"",IF(AND(#REF!="Padrão",$H$4=#REF!),BDI!$B$17,IF(AND(#REF!="Padrão",$H$4=#REF!),BDI!#REF!,IF(AND(#REF!="Diferenciado",$H$4=#REF!),BDI!$E$17,IF(AND(#REF!="Diferenciado",$H$4=#REF!),BDI!#REF!,IF(#REF!="ZERO",0))))),"")</f>
        <v>#REF!</v>
      </c>
      <c r="H987" s="138" t="e">
        <f t="shared" ca="1" si="46"/>
        <v>#REF!</v>
      </c>
      <c r="I987" s="136" t="e">
        <f t="shared" ca="1" si="47"/>
        <v>#REF!</v>
      </c>
    </row>
    <row r="988" spans="1:9" hidden="1" x14ac:dyDescent="0.25">
      <c r="A988" s="113" t="s">
        <v>1132</v>
      </c>
      <c r="B988" s="114" t="s">
        <v>3015</v>
      </c>
      <c r="C988" s="115" t="s">
        <v>20</v>
      </c>
      <c r="D988" s="115">
        <v>0</v>
      </c>
      <c r="E988" s="135">
        <f ca="1">OFFSET(INDEX(Composições!A:J,MATCH(Orçamentária!A988,Composições!A:A,0),8),2,0)</f>
        <v>151.73400000000001</v>
      </c>
      <c r="F988" s="136">
        <f t="shared" ca="1" si="45"/>
        <v>0</v>
      </c>
      <c r="G988" s="137" t="e">
        <f>IF(A988&lt;&gt;"",IF(AND(#REF!="Padrão",$H$4=#REF!),BDI!$B$17,IF(AND(#REF!="Padrão",$H$4=#REF!),BDI!#REF!,IF(AND(#REF!="Diferenciado",$H$4=#REF!),BDI!$E$17,IF(AND(#REF!="Diferenciado",$H$4=#REF!),BDI!#REF!,IF(#REF!="ZERO",0))))),"")</f>
        <v>#REF!</v>
      </c>
      <c r="H988" s="138" t="e">
        <f t="shared" ca="1" si="46"/>
        <v>#REF!</v>
      </c>
      <c r="I988" s="136" t="e">
        <f t="shared" ca="1" si="47"/>
        <v>#REF!</v>
      </c>
    </row>
    <row r="989" spans="1:9" hidden="1" x14ac:dyDescent="0.25">
      <c r="A989" s="113" t="s">
        <v>1133</v>
      </c>
      <c r="B989" s="114" t="s">
        <v>3016</v>
      </c>
      <c r="C989" s="115" t="s">
        <v>3017</v>
      </c>
      <c r="D989" s="115">
        <v>0</v>
      </c>
      <c r="E989" s="135">
        <f ca="1">OFFSET(INDEX(Composições!A:J,MATCH(Orçamentária!A989,Composições!A:A,0),8),2,0)</f>
        <v>1.8443850999999998</v>
      </c>
      <c r="F989" s="136">
        <f t="shared" ca="1" si="45"/>
        <v>0</v>
      </c>
      <c r="G989" s="137" t="e">
        <f>IF(A989&lt;&gt;"",IF(AND(#REF!="Padrão",$H$4=#REF!),BDI!$B$17,IF(AND(#REF!="Padrão",$H$4=#REF!),BDI!#REF!,IF(AND(#REF!="Diferenciado",$H$4=#REF!),BDI!$E$17,IF(AND(#REF!="Diferenciado",$H$4=#REF!),BDI!#REF!,IF(#REF!="ZERO",0))))),"")</f>
        <v>#REF!</v>
      </c>
      <c r="H989" s="138" t="e">
        <f t="shared" ca="1" si="46"/>
        <v>#REF!</v>
      </c>
      <c r="I989" s="136" t="e">
        <f t="shared" ca="1" si="47"/>
        <v>#REF!</v>
      </c>
    </row>
    <row r="990" spans="1:9" hidden="1" x14ac:dyDescent="0.25">
      <c r="A990" s="113" t="s">
        <v>3018</v>
      </c>
      <c r="B990" s="114" t="s">
        <v>3019</v>
      </c>
      <c r="C990" s="115" t="s">
        <v>2818</v>
      </c>
      <c r="D990" s="115">
        <v>0</v>
      </c>
      <c r="E990" s="135" t="s">
        <v>568</v>
      </c>
      <c r="F990" s="136" t="str">
        <f t="shared" si="45"/>
        <v/>
      </c>
      <c r="G990" s="137" t="e">
        <f>IF(A990&lt;&gt;"",IF(AND(#REF!="Padrão",$H$4=#REF!),BDI!$B$17,IF(AND(#REF!="Padrão",$H$4=#REF!),BDI!#REF!,IF(AND(#REF!="Diferenciado",$H$4=#REF!),BDI!$E$17,IF(AND(#REF!="Diferenciado",$H$4=#REF!),BDI!#REF!,IF(#REF!="ZERO",0))))),"")</f>
        <v>#REF!</v>
      </c>
      <c r="H990" s="138" t="str">
        <f t="shared" si="46"/>
        <v/>
      </c>
      <c r="I990" s="136" t="str">
        <f t="shared" si="47"/>
        <v/>
      </c>
    </row>
    <row r="991" spans="1:9" hidden="1" x14ac:dyDescent="0.25">
      <c r="A991" s="113" t="s">
        <v>1136</v>
      </c>
      <c r="B991" s="114" t="s">
        <v>3020</v>
      </c>
      <c r="C991" s="115" t="s">
        <v>3021</v>
      </c>
      <c r="D991" s="115">
        <v>0</v>
      </c>
      <c r="E991" s="135">
        <f ca="1">OFFSET(INDEX(Composições!A:J,MATCH(Orçamentária!A991,Composições!A:A,0),8),2,0)</f>
        <v>2.8846179999999997</v>
      </c>
      <c r="F991" s="136">
        <f t="shared" ca="1" si="45"/>
        <v>0</v>
      </c>
      <c r="G991" s="137" t="e">
        <f>IF(A991&lt;&gt;"",IF(AND(#REF!="Padrão",$H$4=#REF!),BDI!$B$17,IF(AND(#REF!="Padrão",$H$4=#REF!),BDI!#REF!,IF(AND(#REF!="Diferenciado",$H$4=#REF!),BDI!$E$17,IF(AND(#REF!="Diferenciado",$H$4=#REF!),BDI!#REF!,IF(#REF!="ZERO",0))))),"")</f>
        <v>#REF!</v>
      </c>
      <c r="H991" s="138" t="e">
        <f t="shared" ca="1" si="46"/>
        <v>#REF!</v>
      </c>
      <c r="I991" s="136" t="e">
        <f t="shared" ca="1" si="47"/>
        <v>#REF!</v>
      </c>
    </row>
    <row r="992" spans="1:9" hidden="1" x14ac:dyDescent="0.25">
      <c r="A992" s="113" t="s">
        <v>1139</v>
      </c>
      <c r="B992" s="114" t="s">
        <v>3022</v>
      </c>
      <c r="C992" s="115" t="s">
        <v>3013</v>
      </c>
      <c r="D992" s="115">
        <v>0</v>
      </c>
      <c r="E992" s="135">
        <f ca="1">OFFSET(INDEX(Composições!A:J,MATCH(Orçamentária!A992,Composições!A:A,0),8),2,0)</f>
        <v>70.139450000000011</v>
      </c>
      <c r="F992" s="136">
        <f t="shared" ca="1" si="45"/>
        <v>0</v>
      </c>
      <c r="G992" s="137" t="e">
        <f>IF(A992&lt;&gt;"",IF(AND(#REF!="Padrão",$H$4=#REF!),BDI!$B$17,IF(AND(#REF!="Padrão",$H$4=#REF!),BDI!#REF!,IF(AND(#REF!="Diferenciado",$H$4=#REF!),BDI!$E$17,IF(AND(#REF!="Diferenciado",$H$4=#REF!),BDI!#REF!,IF(#REF!="ZERO",0))))),"")</f>
        <v>#REF!</v>
      </c>
      <c r="H992" s="138" t="e">
        <f t="shared" ca="1" si="46"/>
        <v>#REF!</v>
      </c>
      <c r="I992" s="136" t="e">
        <f t="shared" ca="1" si="47"/>
        <v>#REF!</v>
      </c>
    </row>
    <row r="993" spans="1:9" hidden="1" x14ac:dyDescent="0.25">
      <c r="A993" s="113" t="s">
        <v>1140</v>
      </c>
      <c r="B993" s="114" t="s">
        <v>3023</v>
      </c>
      <c r="C993" s="115" t="s">
        <v>3013</v>
      </c>
      <c r="D993" s="115">
        <v>0</v>
      </c>
      <c r="E993" s="135">
        <f ca="1">OFFSET(INDEX(Composições!A:J,MATCH(Orçamentária!A993,Composições!A:A,0),8),2,0)</f>
        <v>4.8571790000000004</v>
      </c>
      <c r="F993" s="136">
        <f t="shared" ca="1" si="45"/>
        <v>0</v>
      </c>
      <c r="G993" s="137" t="e">
        <f>IF(A993&lt;&gt;"",IF(AND(#REF!="Padrão",$H$4=#REF!),BDI!$B$17,IF(AND(#REF!="Padrão",$H$4=#REF!),BDI!#REF!,IF(AND(#REF!="Diferenciado",$H$4=#REF!),BDI!$E$17,IF(AND(#REF!="Diferenciado",$H$4=#REF!),BDI!#REF!,IF(#REF!="ZERO",0))))),"")</f>
        <v>#REF!</v>
      </c>
      <c r="H993" s="138" t="e">
        <f t="shared" ca="1" si="46"/>
        <v>#REF!</v>
      </c>
      <c r="I993" s="136" t="e">
        <f t="shared" ca="1" si="47"/>
        <v>#REF!</v>
      </c>
    </row>
    <row r="994" spans="1:9" hidden="1" x14ac:dyDescent="0.25">
      <c r="A994" s="113" t="s">
        <v>1141</v>
      </c>
      <c r="B994" s="114" t="s">
        <v>3024</v>
      </c>
      <c r="C994" s="115" t="s">
        <v>95</v>
      </c>
      <c r="D994" s="115">
        <v>0</v>
      </c>
      <c r="E994" s="135">
        <f ca="1">OFFSET(INDEX(Composições!A:J,MATCH(Orçamentária!A994,Composições!A:A,0),8),2,0)</f>
        <v>48.301004501273994</v>
      </c>
      <c r="F994" s="136">
        <f t="shared" ca="1" si="45"/>
        <v>0</v>
      </c>
      <c r="G994" s="137" t="e">
        <f>IF(A994&lt;&gt;"",IF(AND(#REF!="Padrão",$H$4=#REF!),BDI!$B$17,IF(AND(#REF!="Padrão",$H$4=#REF!),BDI!#REF!,IF(AND(#REF!="Diferenciado",$H$4=#REF!),BDI!$E$17,IF(AND(#REF!="Diferenciado",$H$4=#REF!),BDI!#REF!,IF(#REF!="ZERO",0))))),"")</f>
        <v>#REF!</v>
      </c>
      <c r="H994" s="138" t="e">
        <f t="shared" ca="1" si="46"/>
        <v>#REF!</v>
      </c>
      <c r="I994" s="136" t="e">
        <f t="shared" ca="1" si="47"/>
        <v>#REF!</v>
      </c>
    </row>
    <row r="995" spans="1:9" hidden="1" x14ac:dyDescent="0.25">
      <c r="A995" s="113" t="s">
        <v>1150</v>
      </c>
      <c r="B995" s="114" t="s">
        <v>3025</v>
      </c>
      <c r="C995" s="115" t="s">
        <v>93</v>
      </c>
      <c r="D995" s="115">
        <v>0</v>
      </c>
      <c r="E995" s="135">
        <f ca="1">OFFSET(INDEX(Composições!A:J,MATCH(Orçamentária!A995,Composições!A:A,0),8),2,0)</f>
        <v>4.5107876249999999</v>
      </c>
      <c r="F995" s="136">
        <f t="shared" ca="1" si="45"/>
        <v>0</v>
      </c>
      <c r="G995" s="137" t="e">
        <f>IF(A995&lt;&gt;"",IF(AND(#REF!="Padrão",$H$4=#REF!),BDI!$B$17,IF(AND(#REF!="Padrão",$H$4=#REF!),BDI!#REF!,IF(AND(#REF!="Diferenciado",$H$4=#REF!),BDI!$E$17,IF(AND(#REF!="Diferenciado",$H$4=#REF!),BDI!#REF!,IF(#REF!="ZERO",0))))),"")</f>
        <v>#REF!</v>
      </c>
      <c r="H995" s="138" t="e">
        <f t="shared" ca="1" si="46"/>
        <v>#REF!</v>
      </c>
      <c r="I995" s="136" t="e">
        <f t="shared" ca="1" si="47"/>
        <v>#REF!</v>
      </c>
    </row>
    <row r="996" spans="1:9" hidden="1" x14ac:dyDescent="0.25">
      <c r="A996" s="113" t="s">
        <v>1154</v>
      </c>
      <c r="B996" s="114" t="s">
        <v>3026</v>
      </c>
      <c r="C996" s="115" t="s">
        <v>93</v>
      </c>
      <c r="D996" s="115">
        <v>0</v>
      </c>
      <c r="E996" s="135">
        <f ca="1">OFFSET(INDEX(Composições!A:J,MATCH(Orçamentária!A996,Composições!A:A,0),8),2,0)</f>
        <v>42.276503547748</v>
      </c>
      <c r="F996" s="136">
        <f t="shared" ca="1" si="45"/>
        <v>0</v>
      </c>
      <c r="G996" s="137" t="e">
        <f>IF(A996&lt;&gt;"",IF(AND(#REF!="Padrão",$H$4=#REF!),BDI!$B$17,IF(AND(#REF!="Padrão",$H$4=#REF!),BDI!#REF!,IF(AND(#REF!="Diferenciado",$H$4=#REF!),BDI!$E$17,IF(AND(#REF!="Diferenciado",$H$4=#REF!),BDI!#REF!,IF(#REF!="ZERO",0))))),"")</f>
        <v>#REF!</v>
      </c>
      <c r="H996" s="138" t="e">
        <f t="shared" ca="1" si="46"/>
        <v>#REF!</v>
      </c>
      <c r="I996" s="136" t="e">
        <f t="shared" ca="1" si="47"/>
        <v>#REF!</v>
      </c>
    </row>
    <row r="997" spans="1:9" hidden="1" x14ac:dyDescent="0.25">
      <c r="A997" s="113" t="s">
        <v>1156</v>
      </c>
      <c r="B997" s="114" t="s">
        <v>3027</v>
      </c>
      <c r="C997" s="115" t="s">
        <v>93</v>
      </c>
      <c r="D997" s="115">
        <v>0</v>
      </c>
      <c r="E997" s="135">
        <f ca="1">OFFSET(INDEX(Composições!A:J,MATCH(Orçamentária!A997,Composições!A:A,0),8),2,0)</f>
        <v>35.927391637555004</v>
      </c>
      <c r="F997" s="136">
        <f t="shared" ca="1" si="45"/>
        <v>0</v>
      </c>
      <c r="G997" s="137" t="e">
        <f>IF(A997&lt;&gt;"",IF(AND(#REF!="Padrão",$H$4=#REF!),BDI!$B$17,IF(AND(#REF!="Padrão",$H$4=#REF!),BDI!#REF!,IF(AND(#REF!="Diferenciado",$H$4=#REF!),BDI!$E$17,IF(AND(#REF!="Diferenciado",$H$4=#REF!),BDI!#REF!,IF(#REF!="ZERO",0))))),"")</f>
        <v>#REF!</v>
      </c>
      <c r="H997" s="138" t="e">
        <f t="shared" ca="1" si="46"/>
        <v>#REF!</v>
      </c>
      <c r="I997" s="136" t="e">
        <f t="shared" ca="1" si="47"/>
        <v>#REF!</v>
      </c>
    </row>
    <row r="998" spans="1:9" hidden="1" x14ac:dyDescent="0.25">
      <c r="A998" s="113" t="s">
        <v>3028</v>
      </c>
      <c r="B998" s="114" t="s">
        <v>3029</v>
      </c>
      <c r="C998" s="115" t="s">
        <v>95</v>
      </c>
      <c r="D998" s="115">
        <v>0</v>
      </c>
      <c r="E998" s="135" t="s">
        <v>568</v>
      </c>
      <c r="F998" s="136" t="str">
        <f t="shared" si="45"/>
        <v/>
      </c>
      <c r="G998" s="137" t="e">
        <f>IF(A998&lt;&gt;"",IF(AND(#REF!="Padrão",$H$4=#REF!),BDI!$B$17,IF(AND(#REF!="Padrão",$H$4=#REF!),BDI!#REF!,IF(AND(#REF!="Diferenciado",$H$4=#REF!),BDI!$E$17,IF(AND(#REF!="Diferenciado",$H$4=#REF!),BDI!#REF!,IF(#REF!="ZERO",0))))),"")</f>
        <v>#REF!</v>
      </c>
      <c r="H998" s="138" t="str">
        <f t="shared" si="46"/>
        <v/>
      </c>
      <c r="I998" s="136" t="str">
        <f t="shared" si="47"/>
        <v/>
      </c>
    </row>
    <row r="999" spans="1:9" hidden="1" x14ac:dyDescent="0.25">
      <c r="A999" s="113" t="s">
        <v>1162</v>
      </c>
      <c r="B999" s="114" t="s">
        <v>3030</v>
      </c>
      <c r="C999" s="115" t="s">
        <v>20</v>
      </c>
      <c r="D999" s="115">
        <v>0</v>
      </c>
      <c r="E999" s="135">
        <f ca="1">OFFSET(INDEX(Composições!A:J,MATCH(Orçamentária!A999,Composições!A:A,0),8),2,0)</f>
        <v>7.8567408254940005</v>
      </c>
      <c r="F999" s="136">
        <f t="shared" ca="1" si="45"/>
        <v>0</v>
      </c>
      <c r="G999" s="137" t="e">
        <f>IF(A999&lt;&gt;"",IF(AND(#REF!="Padrão",$H$4=#REF!),BDI!$B$17,IF(AND(#REF!="Padrão",$H$4=#REF!),BDI!#REF!,IF(AND(#REF!="Diferenciado",$H$4=#REF!),BDI!$E$17,IF(AND(#REF!="Diferenciado",$H$4=#REF!),BDI!#REF!,IF(#REF!="ZERO",0))))),"")</f>
        <v>#REF!</v>
      </c>
      <c r="H999" s="138" t="e">
        <f t="shared" ca="1" si="46"/>
        <v>#REF!</v>
      </c>
      <c r="I999" s="136" t="e">
        <f t="shared" ca="1" si="47"/>
        <v>#REF!</v>
      </c>
    </row>
    <row r="1000" spans="1:9" hidden="1" x14ac:dyDescent="0.25">
      <c r="A1000" s="113" t="s">
        <v>3031</v>
      </c>
      <c r="B1000" s="114" t="s">
        <v>3032</v>
      </c>
      <c r="C1000" s="115" t="s">
        <v>20</v>
      </c>
      <c r="D1000" s="115">
        <v>0</v>
      </c>
      <c r="E1000" s="135" t="s">
        <v>568</v>
      </c>
      <c r="F1000" s="136" t="str">
        <f t="shared" si="45"/>
        <v/>
      </c>
      <c r="G1000" s="137" t="e">
        <f>IF(A1000&lt;&gt;"",IF(AND(#REF!="Padrão",$H$4=#REF!),BDI!$B$17,IF(AND(#REF!="Padrão",$H$4=#REF!),BDI!#REF!,IF(AND(#REF!="Diferenciado",$H$4=#REF!),BDI!$E$17,IF(AND(#REF!="Diferenciado",$H$4=#REF!),BDI!#REF!,IF(#REF!="ZERO",0))))),"")</f>
        <v>#REF!</v>
      </c>
      <c r="H1000" s="138" t="str">
        <f t="shared" si="46"/>
        <v/>
      </c>
      <c r="I1000" s="136" t="str">
        <f t="shared" si="47"/>
        <v/>
      </c>
    </row>
    <row r="1001" spans="1:9" hidden="1" x14ac:dyDescent="0.25">
      <c r="A1001" s="113" t="s">
        <v>3033</v>
      </c>
      <c r="B1001" s="114" t="s">
        <v>3034</v>
      </c>
      <c r="C1001" s="115" t="s">
        <v>20</v>
      </c>
      <c r="D1001" s="115">
        <v>0</v>
      </c>
      <c r="E1001" s="135" t="s">
        <v>568</v>
      </c>
      <c r="F1001" s="136" t="str">
        <f t="shared" si="45"/>
        <v/>
      </c>
      <c r="G1001" s="137" t="e">
        <f>IF(A1001&lt;&gt;"",IF(AND(#REF!="Padrão",$H$4=#REF!),BDI!$B$17,IF(AND(#REF!="Padrão",$H$4=#REF!),BDI!#REF!,IF(AND(#REF!="Diferenciado",$H$4=#REF!),BDI!$E$17,IF(AND(#REF!="Diferenciado",$H$4=#REF!),BDI!#REF!,IF(#REF!="ZERO",0))))),"")</f>
        <v>#REF!</v>
      </c>
      <c r="H1001" s="138" t="str">
        <f t="shared" si="46"/>
        <v/>
      </c>
      <c r="I1001" s="136" t="str">
        <f t="shared" si="47"/>
        <v/>
      </c>
    </row>
    <row r="1002" spans="1:9" hidden="1" x14ac:dyDescent="0.25">
      <c r="A1002" s="113" t="s">
        <v>3035</v>
      </c>
      <c r="B1002" s="114" t="s">
        <v>3036</v>
      </c>
      <c r="C1002" s="115" t="s">
        <v>20</v>
      </c>
      <c r="D1002" s="115">
        <v>0</v>
      </c>
      <c r="E1002" s="135" t="s">
        <v>568</v>
      </c>
      <c r="F1002" s="136" t="str">
        <f t="shared" si="45"/>
        <v/>
      </c>
      <c r="G1002" s="137" t="e">
        <f>IF(A1002&lt;&gt;"",IF(AND(#REF!="Padrão",$H$4=#REF!),BDI!$B$17,IF(AND(#REF!="Padrão",$H$4=#REF!),BDI!#REF!,IF(AND(#REF!="Diferenciado",$H$4=#REF!),BDI!$E$17,IF(AND(#REF!="Diferenciado",$H$4=#REF!),BDI!#REF!,IF(#REF!="ZERO",0))))),"")</f>
        <v>#REF!</v>
      </c>
      <c r="H1002" s="138" t="str">
        <f t="shared" si="46"/>
        <v/>
      </c>
      <c r="I1002" s="136" t="str">
        <f t="shared" si="47"/>
        <v/>
      </c>
    </row>
    <row r="1003" spans="1:9" hidden="1" x14ac:dyDescent="0.25">
      <c r="A1003" s="113" t="s">
        <v>3037</v>
      </c>
      <c r="B1003" s="114" t="s">
        <v>3038</v>
      </c>
      <c r="C1003" s="115" t="s">
        <v>3039</v>
      </c>
      <c r="D1003" s="115">
        <v>0</v>
      </c>
      <c r="E1003" s="135" t="s">
        <v>568</v>
      </c>
      <c r="F1003" s="136" t="str">
        <f t="shared" si="45"/>
        <v/>
      </c>
      <c r="G1003" s="137" t="e">
        <f>IF(A1003&lt;&gt;"",IF(AND(#REF!="Padrão",$H$4=#REF!),BDI!$B$17,IF(AND(#REF!="Padrão",$H$4=#REF!),BDI!#REF!,IF(AND(#REF!="Diferenciado",$H$4=#REF!),BDI!$E$17,IF(AND(#REF!="Diferenciado",$H$4=#REF!),BDI!#REF!,IF(#REF!="ZERO",0))))),"")</f>
        <v>#REF!</v>
      </c>
      <c r="H1003" s="138" t="str">
        <f t="shared" si="46"/>
        <v/>
      </c>
      <c r="I1003" s="136" t="str">
        <f t="shared" si="47"/>
        <v/>
      </c>
    </row>
    <row r="1004" spans="1:9" hidden="1" x14ac:dyDescent="0.25">
      <c r="A1004" s="113" t="s">
        <v>3040</v>
      </c>
      <c r="B1004" s="114" t="s">
        <v>3041</v>
      </c>
      <c r="C1004" s="115" t="s">
        <v>20</v>
      </c>
      <c r="D1004" s="115">
        <v>0</v>
      </c>
      <c r="E1004" s="135" t="s">
        <v>568</v>
      </c>
      <c r="F1004" s="136" t="str">
        <f t="shared" si="45"/>
        <v/>
      </c>
      <c r="G1004" s="137" t="e">
        <f>IF(A1004&lt;&gt;"",IF(AND(#REF!="Padrão",$H$4=#REF!),BDI!$B$17,IF(AND(#REF!="Padrão",$H$4=#REF!),BDI!#REF!,IF(AND(#REF!="Diferenciado",$H$4=#REF!),BDI!$E$17,IF(AND(#REF!="Diferenciado",$H$4=#REF!),BDI!#REF!,IF(#REF!="ZERO",0))))),"")</f>
        <v>#REF!</v>
      </c>
      <c r="H1004" s="138" t="str">
        <f t="shared" si="46"/>
        <v/>
      </c>
      <c r="I1004" s="136" t="str">
        <f t="shared" si="47"/>
        <v/>
      </c>
    </row>
    <row r="1005" spans="1:9" hidden="1" x14ac:dyDescent="0.25">
      <c r="A1005" s="113" t="s">
        <v>3042</v>
      </c>
      <c r="B1005" s="114" t="s">
        <v>3043</v>
      </c>
      <c r="C1005" s="115" t="s">
        <v>93</v>
      </c>
      <c r="D1005" s="115">
        <v>0</v>
      </c>
      <c r="E1005" s="135" t="s">
        <v>568</v>
      </c>
      <c r="F1005" s="136" t="str">
        <f t="shared" si="45"/>
        <v/>
      </c>
      <c r="G1005" s="137" t="e">
        <f>IF(A1005&lt;&gt;"",IF(AND(#REF!="Padrão",$H$4=#REF!),BDI!$B$17,IF(AND(#REF!="Padrão",$H$4=#REF!),BDI!#REF!,IF(AND(#REF!="Diferenciado",$H$4=#REF!),BDI!$E$17,IF(AND(#REF!="Diferenciado",$H$4=#REF!),BDI!#REF!,IF(#REF!="ZERO",0))))),"")</f>
        <v>#REF!</v>
      </c>
      <c r="H1005" s="138" t="str">
        <f t="shared" si="46"/>
        <v/>
      </c>
      <c r="I1005" s="136" t="str">
        <f t="shared" si="47"/>
        <v/>
      </c>
    </row>
    <row r="1006" spans="1:9" x14ac:dyDescent="0.25">
      <c r="A1006" s="197" t="s">
        <v>1164</v>
      </c>
      <c r="B1006" s="198" t="s">
        <v>3044</v>
      </c>
      <c r="C1006" s="199" t="s">
        <v>3045</v>
      </c>
      <c r="D1006" s="199">
        <v>3</v>
      </c>
      <c r="E1006" s="135">
        <f ca="1">OFFSET(INDEX(Composições!A:J,MATCH(Orçamentária!A1006,Composições!A:A,0),8),2,0)</f>
        <v>555.75</v>
      </c>
      <c r="F1006" s="136">
        <f t="shared" ca="1" si="45"/>
        <v>1667.25</v>
      </c>
      <c r="G1006" s="137">
        <f>BDI!$E$17</f>
        <v>0.11260000000000001</v>
      </c>
      <c r="H1006" s="138">
        <f t="shared" ca="1" si="46"/>
        <v>618.33000000000004</v>
      </c>
      <c r="I1006" s="136">
        <f t="shared" ca="1" si="47"/>
        <v>1854.99</v>
      </c>
    </row>
    <row r="1007" spans="1:9" hidden="1" x14ac:dyDescent="0.25">
      <c r="A1007" s="113" t="s">
        <v>3046</v>
      </c>
      <c r="B1007" s="114" t="s">
        <v>3047</v>
      </c>
      <c r="C1007" s="115" t="s">
        <v>93</v>
      </c>
      <c r="D1007" s="115">
        <v>0</v>
      </c>
      <c r="E1007" s="135" t="s">
        <v>568</v>
      </c>
      <c r="F1007" s="136" t="str">
        <f t="shared" si="45"/>
        <v/>
      </c>
      <c r="G1007" s="137" t="e">
        <f>IF(A1007&lt;&gt;"",IF(AND(#REF!="Padrão",$H$4=#REF!),BDI!$B$17,IF(AND(#REF!="Padrão",$H$4=#REF!),BDI!#REF!,IF(AND(#REF!="Diferenciado",$H$4=#REF!),BDI!$E$17,IF(AND(#REF!="Diferenciado",$H$4=#REF!),BDI!#REF!,IF(#REF!="ZERO",0))))),"")</f>
        <v>#REF!</v>
      </c>
      <c r="H1007" s="138" t="str">
        <f t="shared" si="46"/>
        <v/>
      </c>
      <c r="I1007" s="136" t="str">
        <f t="shared" si="47"/>
        <v/>
      </c>
    </row>
    <row r="1008" spans="1:9" hidden="1" x14ac:dyDescent="0.25">
      <c r="A1008" s="113" t="s">
        <v>3048</v>
      </c>
      <c r="B1008" s="114" t="s">
        <v>3822</v>
      </c>
      <c r="C1008" s="115" t="s">
        <v>95</v>
      </c>
      <c r="D1008" s="115">
        <v>0</v>
      </c>
      <c r="E1008" s="135" t="s">
        <v>568</v>
      </c>
      <c r="F1008" s="136" t="str">
        <f t="shared" si="45"/>
        <v/>
      </c>
      <c r="G1008" s="137" t="e">
        <f>IF(A1008&lt;&gt;"",IF(AND(#REF!="Padrão",$H$4=#REF!),BDI!$B$17,IF(AND(#REF!="Padrão",$H$4=#REF!),BDI!#REF!,IF(AND(#REF!="Diferenciado",$H$4=#REF!),BDI!$E$17,IF(AND(#REF!="Diferenciado",$H$4=#REF!),BDI!#REF!,IF(#REF!="ZERO",0))))),"")</f>
        <v>#REF!</v>
      </c>
      <c r="H1008" s="138" t="str">
        <f t="shared" si="46"/>
        <v/>
      </c>
      <c r="I1008" s="136" t="str">
        <f t="shared" si="47"/>
        <v/>
      </c>
    </row>
    <row r="1009" spans="1:9" hidden="1" x14ac:dyDescent="0.25">
      <c r="A1009" s="113" t="s">
        <v>3049</v>
      </c>
      <c r="B1009" s="114" t="s">
        <v>3050</v>
      </c>
      <c r="C1009" s="115" t="s">
        <v>95</v>
      </c>
      <c r="D1009" s="115">
        <v>0</v>
      </c>
      <c r="E1009" s="135" t="s">
        <v>568</v>
      </c>
      <c r="F1009" s="136" t="str">
        <f t="shared" si="45"/>
        <v/>
      </c>
      <c r="G1009" s="137" t="e">
        <f>IF(A1009&lt;&gt;"",IF(AND(#REF!="Padrão",$H$4=#REF!),BDI!$B$17,IF(AND(#REF!="Padrão",$H$4=#REF!),BDI!#REF!,IF(AND(#REF!="Diferenciado",$H$4=#REF!),BDI!$E$17,IF(AND(#REF!="Diferenciado",$H$4=#REF!),BDI!#REF!,IF(#REF!="ZERO",0))))),"")</f>
        <v>#REF!</v>
      </c>
      <c r="H1009" s="138" t="str">
        <f t="shared" si="46"/>
        <v/>
      </c>
      <c r="I1009" s="136" t="str">
        <f t="shared" si="47"/>
        <v/>
      </c>
    </row>
    <row r="1010" spans="1:9" hidden="1" x14ac:dyDescent="0.25">
      <c r="A1010" s="113" t="s">
        <v>3051</v>
      </c>
      <c r="B1010" s="114" t="s">
        <v>3823</v>
      </c>
      <c r="C1010" s="115" t="s">
        <v>95</v>
      </c>
      <c r="D1010" s="115">
        <v>0</v>
      </c>
      <c r="E1010" s="135" t="s">
        <v>568</v>
      </c>
      <c r="F1010" s="136" t="str">
        <f t="shared" si="45"/>
        <v/>
      </c>
      <c r="G1010" s="137" t="e">
        <f>IF(A1010&lt;&gt;"",IF(AND(#REF!="Padrão",$H$4=#REF!),BDI!$B$17,IF(AND(#REF!="Padrão",$H$4=#REF!),BDI!#REF!,IF(AND(#REF!="Diferenciado",$H$4=#REF!),BDI!$E$17,IF(AND(#REF!="Diferenciado",$H$4=#REF!),BDI!#REF!,IF(#REF!="ZERO",0))))),"")</f>
        <v>#REF!</v>
      </c>
      <c r="H1010" s="138" t="str">
        <f t="shared" si="46"/>
        <v/>
      </c>
      <c r="I1010" s="136" t="str">
        <f t="shared" si="47"/>
        <v/>
      </c>
    </row>
    <row r="1011" spans="1:9" hidden="1" x14ac:dyDescent="0.25">
      <c r="A1011" s="113" t="s">
        <v>3052</v>
      </c>
      <c r="B1011" s="114" t="s">
        <v>3053</v>
      </c>
      <c r="C1011" s="115" t="s">
        <v>95</v>
      </c>
      <c r="D1011" s="115">
        <v>0</v>
      </c>
      <c r="E1011" s="135" t="s">
        <v>568</v>
      </c>
      <c r="F1011" s="136" t="str">
        <f t="shared" si="45"/>
        <v/>
      </c>
      <c r="G1011" s="137" t="e">
        <f>IF(A1011&lt;&gt;"",IF(AND(#REF!="Padrão",$H$4=#REF!),BDI!$B$17,IF(AND(#REF!="Padrão",$H$4=#REF!),BDI!#REF!,IF(AND(#REF!="Diferenciado",$H$4=#REF!),BDI!$E$17,IF(AND(#REF!="Diferenciado",$H$4=#REF!),BDI!#REF!,IF(#REF!="ZERO",0))))),"")</f>
        <v>#REF!</v>
      </c>
      <c r="H1011" s="138" t="str">
        <f t="shared" si="46"/>
        <v/>
      </c>
      <c r="I1011" s="136" t="str">
        <f t="shared" si="47"/>
        <v/>
      </c>
    </row>
    <row r="1012" spans="1:9" hidden="1" x14ac:dyDescent="0.25">
      <c r="A1012" s="113" t="s">
        <v>3054</v>
      </c>
      <c r="B1012" s="114" t="s">
        <v>3055</v>
      </c>
      <c r="C1012" s="115" t="s">
        <v>95</v>
      </c>
      <c r="D1012" s="115">
        <v>0</v>
      </c>
      <c r="E1012" s="135" t="s">
        <v>568</v>
      </c>
      <c r="F1012" s="136" t="str">
        <f t="shared" si="45"/>
        <v/>
      </c>
      <c r="G1012" s="137" t="e">
        <f>IF(A1012&lt;&gt;"",IF(AND(#REF!="Padrão",$H$4=#REF!),BDI!$B$17,IF(AND(#REF!="Padrão",$H$4=#REF!),BDI!#REF!,IF(AND(#REF!="Diferenciado",$H$4=#REF!),BDI!$E$17,IF(AND(#REF!="Diferenciado",$H$4=#REF!),BDI!#REF!,IF(#REF!="ZERO",0))))),"")</f>
        <v>#REF!</v>
      </c>
      <c r="H1012" s="138" t="str">
        <f t="shared" si="46"/>
        <v/>
      </c>
      <c r="I1012" s="136" t="str">
        <f t="shared" si="47"/>
        <v/>
      </c>
    </row>
    <row r="1013" spans="1:9" hidden="1" x14ac:dyDescent="0.25">
      <c r="A1013" s="113" t="s">
        <v>3056</v>
      </c>
      <c r="B1013" s="114" t="s">
        <v>3057</v>
      </c>
      <c r="C1013" s="115" t="s">
        <v>20</v>
      </c>
      <c r="D1013" s="115">
        <v>0</v>
      </c>
      <c r="E1013" s="135" t="s">
        <v>568</v>
      </c>
      <c r="F1013" s="136" t="str">
        <f t="shared" si="45"/>
        <v/>
      </c>
      <c r="G1013" s="137" t="e">
        <f>IF(A1013&lt;&gt;"",IF(AND(#REF!="Padrão",$H$4=#REF!),BDI!$B$17,IF(AND(#REF!="Padrão",$H$4=#REF!),BDI!#REF!,IF(AND(#REF!="Diferenciado",$H$4=#REF!),BDI!$E$17,IF(AND(#REF!="Diferenciado",$H$4=#REF!),BDI!#REF!,IF(#REF!="ZERO",0))))),"")</f>
        <v>#REF!</v>
      </c>
      <c r="H1013" s="138" t="str">
        <f t="shared" si="46"/>
        <v/>
      </c>
      <c r="I1013" s="136" t="str">
        <f t="shared" si="47"/>
        <v/>
      </c>
    </row>
    <row r="1014" spans="1:9" x14ac:dyDescent="0.25">
      <c r="A1014" s="197" t="s">
        <v>3058</v>
      </c>
      <c r="B1014" s="198" t="s">
        <v>3059</v>
      </c>
      <c r="C1014" s="199" t="s">
        <v>3021</v>
      </c>
      <c r="D1014" s="199">
        <v>2921</v>
      </c>
      <c r="E1014" s="212">
        <v>26.43</v>
      </c>
      <c r="F1014" s="136">
        <f t="shared" si="45"/>
        <v>77202.03</v>
      </c>
      <c r="G1014" s="137">
        <f>BDI!$B$17</f>
        <v>0.191</v>
      </c>
      <c r="H1014" s="138">
        <f t="shared" si="46"/>
        <v>31.48</v>
      </c>
      <c r="I1014" s="136">
        <f t="shared" si="47"/>
        <v>91953.08</v>
      </c>
    </row>
    <row r="1015" spans="1:9" x14ac:dyDescent="0.25">
      <c r="A1015" s="197" t="s">
        <v>3060</v>
      </c>
      <c r="B1015" s="198" t="s">
        <v>3061</v>
      </c>
      <c r="C1015" s="199" t="s">
        <v>20</v>
      </c>
      <c r="D1015" s="199">
        <v>2</v>
      </c>
      <c r="E1015" s="212">
        <v>1142.5</v>
      </c>
      <c r="F1015" s="136">
        <f t="shared" si="45"/>
        <v>2285</v>
      </c>
      <c r="G1015" s="137">
        <f>BDI!$B$17</f>
        <v>0.191</v>
      </c>
      <c r="H1015" s="138">
        <f t="shared" si="46"/>
        <v>1360.72</v>
      </c>
      <c r="I1015" s="136">
        <f t="shared" si="47"/>
        <v>2721.44</v>
      </c>
    </row>
    <row r="1016" spans="1:9" hidden="1" x14ac:dyDescent="0.25">
      <c r="A1016" s="113" t="s">
        <v>1166</v>
      </c>
      <c r="B1016" s="114" t="s">
        <v>3062</v>
      </c>
      <c r="C1016" s="115" t="s">
        <v>93</v>
      </c>
      <c r="D1016" s="115">
        <v>0</v>
      </c>
      <c r="E1016" s="135">
        <f ca="1">OFFSET(INDEX(Composições!A:J,MATCH(Orçamentária!A1016,Composições!A:A,0),8),2,0)</f>
        <v>36.012662543592</v>
      </c>
      <c r="F1016" s="136">
        <f t="shared" ca="1" si="45"/>
        <v>0</v>
      </c>
      <c r="G1016" s="137" t="e">
        <f>IF(A1016&lt;&gt;"",IF(AND(#REF!="Padrão",$H$4=#REF!),BDI!$B$17,IF(AND(#REF!="Padrão",$H$4=#REF!),BDI!#REF!,IF(AND(#REF!="Diferenciado",$H$4=#REF!),BDI!$E$17,IF(AND(#REF!="Diferenciado",$H$4=#REF!),BDI!#REF!,IF(#REF!="ZERO",0))))),"")</f>
        <v>#REF!</v>
      </c>
      <c r="H1016" s="138" t="e">
        <f t="shared" ca="1" si="46"/>
        <v>#REF!</v>
      </c>
      <c r="I1016" s="136" t="e">
        <f t="shared" ca="1" si="47"/>
        <v>#REF!</v>
      </c>
    </row>
    <row r="1017" spans="1:9" x14ac:dyDescent="0.25">
      <c r="A1017" s="197" t="s">
        <v>1169</v>
      </c>
      <c r="B1017" s="198" t="s">
        <v>3063</v>
      </c>
      <c r="C1017" s="199" t="s">
        <v>95</v>
      </c>
      <c r="D1017" s="199">
        <v>93</v>
      </c>
      <c r="E1017" s="135">
        <f ca="1">OFFSET(INDEX(Composições!A:J,MATCH(Orçamentária!A1017,Composições!A:A,0),8),2,0)</f>
        <v>8.8053220000000003</v>
      </c>
      <c r="F1017" s="136">
        <f t="shared" ca="1" si="45"/>
        <v>818.894946</v>
      </c>
      <c r="G1017" s="137">
        <f>BDI!$B$17</f>
        <v>0.191</v>
      </c>
      <c r="H1017" s="138">
        <f t="shared" ca="1" si="46"/>
        <v>10.49</v>
      </c>
      <c r="I1017" s="136">
        <f t="shared" ca="1" si="47"/>
        <v>975.57</v>
      </c>
    </row>
    <row r="1018" spans="1:9" x14ac:dyDescent="0.25">
      <c r="A1018" s="197" t="s">
        <v>1170</v>
      </c>
      <c r="B1018" s="198" t="s">
        <v>3064</v>
      </c>
      <c r="C1018" s="199" t="s">
        <v>95</v>
      </c>
      <c r="D1018" s="199">
        <v>1</v>
      </c>
      <c r="E1018" s="135">
        <f ca="1">OFFSET(INDEX(Composições!A:J,MATCH(Orçamentária!A1018,Composições!A:A,0),8),2,0)</f>
        <v>38.485311000000003</v>
      </c>
      <c r="F1018" s="136">
        <f t="shared" ca="1" si="45"/>
        <v>38.485311000000003</v>
      </c>
      <c r="G1018" s="137">
        <f>BDI!$B$17</f>
        <v>0.191</v>
      </c>
      <c r="H1018" s="138">
        <f t="shared" ca="1" si="46"/>
        <v>45.84</v>
      </c>
      <c r="I1018" s="136">
        <f t="shared" ca="1" si="47"/>
        <v>45.84</v>
      </c>
    </row>
    <row r="1019" spans="1:9" x14ac:dyDescent="0.25">
      <c r="A1019" s="197" t="s">
        <v>1174</v>
      </c>
      <c r="B1019" s="198" t="s">
        <v>3065</v>
      </c>
      <c r="C1019" s="199" t="s">
        <v>95</v>
      </c>
      <c r="D1019" s="199">
        <v>330</v>
      </c>
      <c r="E1019" s="135">
        <f ca="1">OFFSET(INDEX(Composições!A:J,MATCH(Orçamentária!A1019,Composições!A:A,0),8),2,0)</f>
        <v>147.07158999999999</v>
      </c>
      <c r="F1019" s="136">
        <f t="shared" ca="1" si="45"/>
        <v>48533.624699999993</v>
      </c>
      <c r="G1019" s="137">
        <f>BDI!$B$17</f>
        <v>0.191</v>
      </c>
      <c r="H1019" s="138">
        <f t="shared" ca="1" si="46"/>
        <v>175.16</v>
      </c>
      <c r="I1019" s="136">
        <f t="shared" ca="1" si="47"/>
        <v>57802.8</v>
      </c>
    </row>
    <row r="1020" spans="1:9" x14ac:dyDescent="0.25">
      <c r="A1020" s="197" t="s">
        <v>3066</v>
      </c>
      <c r="B1020" s="198" t="s">
        <v>3067</v>
      </c>
      <c r="C1020" s="199" t="s">
        <v>20</v>
      </c>
      <c r="D1020" s="199">
        <v>1</v>
      </c>
      <c r="E1020" s="212">
        <v>1960.43</v>
      </c>
      <c r="F1020" s="136">
        <f t="shared" si="45"/>
        <v>1960.43</v>
      </c>
      <c r="G1020" s="137">
        <f>BDI!$B$17</f>
        <v>0.191</v>
      </c>
      <c r="H1020" s="138">
        <f t="shared" si="46"/>
        <v>2334.87</v>
      </c>
      <c r="I1020" s="136">
        <f t="shared" si="47"/>
        <v>2334.87</v>
      </c>
    </row>
    <row r="1021" spans="1:9" x14ac:dyDescent="0.25">
      <c r="A1021" s="197" t="s">
        <v>3068</v>
      </c>
      <c r="B1021" s="198" t="s">
        <v>3069</v>
      </c>
      <c r="C1021" s="199" t="s">
        <v>20</v>
      </c>
      <c r="D1021" s="199">
        <v>1</v>
      </c>
      <c r="E1021" s="212">
        <v>2067.4</v>
      </c>
      <c r="F1021" s="136">
        <f t="shared" si="45"/>
        <v>2067.4</v>
      </c>
      <c r="G1021" s="137">
        <f>BDI!$B$17</f>
        <v>0.191</v>
      </c>
      <c r="H1021" s="138">
        <f t="shared" si="46"/>
        <v>2462.27</v>
      </c>
      <c r="I1021" s="136">
        <f t="shared" si="47"/>
        <v>2462.27</v>
      </c>
    </row>
    <row r="1022" spans="1:9" ht="25.5" x14ac:dyDescent="0.25">
      <c r="A1022" s="197" t="s">
        <v>3070</v>
      </c>
      <c r="B1022" s="198" t="s">
        <v>3071</v>
      </c>
      <c r="C1022" s="199" t="s">
        <v>20</v>
      </c>
      <c r="D1022" s="199">
        <v>4</v>
      </c>
      <c r="E1022" s="212">
        <v>3362.8</v>
      </c>
      <c r="F1022" s="136">
        <f t="shared" si="45"/>
        <v>13451.2</v>
      </c>
      <c r="G1022" s="137">
        <f>BDI!$B$17</f>
        <v>0.191</v>
      </c>
      <c r="H1022" s="138">
        <f t="shared" si="46"/>
        <v>4005.09</v>
      </c>
      <c r="I1022" s="136">
        <f t="shared" si="47"/>
        <v>16020.36</v>
      </c>
    </row>
    <row r="1023" spans="1:9" ht="25.5" x14ac:dyDescent="0.25">
      <c r="A1023" s="197" t="s">
        <v>3072</v>
      </c>
      <c r="B1023" s="198" t="s">
        <v>3073</v>
      </c>
      <c r="C1023" s="199" t="s">
        <v>20</v>
      </c>
      <c r="D1023" s="199">
        <v>1</v>
      </c>
      <c r="E1023" s="212">
        <v>3516.16</v>
      </c>
      <c r="F1023" s="136">
        <f t="shared" si="45"/>
        <v>3516.16</v>
      </c>
      <c r="G1023" s="137">
        <f>BDI!$B$17</f>
        <v>0.191</v>
      </c>
      <c r="H1023" s="138">
        <f t="shared" si="46"/>
        <v>4187.75</v>
      </c>
      <c r="I1023" s="136">
        <f t="shared" si="47"/>
        <v>4187.75</v>
      </c>
    </row>
    <row r="1024" spans="1:9" ht="25.5" x14ac:dyDescent="0.25">
      <c r="A1024" s="197" t="s">
        <v>3074</v>
      </c>
      <c r="B1024" s="198" t="s">
        <v>3075</v>
      </c>
      <c r="C1024" s="199" t="s">
        <v>20</v>
      </c>
      <c r="D1024" s="199">
        <v>1</v>
      </c>
      <c r="E1024" s="212">
        <v>4039.98</v>
      </c>
      <c r="F1024" s="136">
        <f t="shared" si="45"/>
        <v>4039.98</v>
      </c>
      <c r="G1024" s="137">
        <f>BDI!$B$17</f>
        <v>0.191</v>
      </c>
      <c r="H1024" s="138">
        <f t="shared" si="46"/>
        <v>4811.62</v>
      </c>
      <c r="I1024" s="136">
        <f t="shared" si="47"/>
        <v>4811.62</v>
      </c>
    </row>
    <row r="1025" spans="1:9" ht="25.5" x14ac:dyDescent="0.25">
      <c r="A1025" s="197" t="s">
        <v>3076</v>
      </c>
      <c r="B1025" s="198" t="s">
        <v>3077</v>
      </c>
      <c r="C1025" s="199" t="s">
        <v>20</v>
      </c>
      <c r="D1025" s="199">
        <v>2</v>
      </c>
      <c r="E1025" s="212">
        <v>4338.01</v>
      </c>
      <c r="F1025" s="136">
        <f t="shared" si="45"/>
        <v>8676.02</v>
      </c>
      <c r="G1025" s="137">
        <f>BDI!$B$17</f>
        <v>0.191</v>
      </c>
      <c r="H1025" s="138">
        <f t="shared" si="46"/>
        <v>5166.57</v>
      </c>
      <c r="I1025" s="136">
        <f t="shared" si="47"/>
        <v>10333.14</v>
      </c>
    </row>
    <row r="1026" spans="1:9" ht="25.5" x14ac:dyDescent="0.25">
      <c r="A1026" s="197" t="s">
        <v>3078</v>
      </c>
      <c r="B1026" s="198" t="s">
        <v>3079</v>
      </c>
      <c r="C1026" s="199" t="s">
        <v>20</v>
      </c>
      <c r="D1026" s="199">
        <v>2</v>
      </c>
      <c r="E1026" s="212">
        <v>970</v>
      </c>
      <c r="F1026" s="136">
        <f t="shared" si="45"/>
        <v>1940</v>
      </c>
      <c r="G1026" s="137">
        <f>BDI!$B$17</f>
        <v>0.191</v>
      </c>
      <c r="H1026" s="138">
        <f t="shared" si="46"/>
        <v>1155.27</v>
      </c>
      <c r="I1026" s="136">
        <f t="shared" si="47"/>
        <v>2310.54</v>
      </c>
    </row>
    <row r="1027" spans="1:9" hidden="1" x14ac:dyDescent="0.25">
      <c r="A1027" s="113" t="s">
        <v>3080</v>
      </c>
      <c r="B1027" s="114" t="s">
        <v>3081</v>
      </c>
      <c r="C1027" s="115" t="s">
        <v>93</v>
      </c>
      <c r="D1027" s="115">
        <v>0</v>
      </c>
      <c r="E1027" s="135" t="s">
        <v>568</v>
      </c>
      <c r="F1027" s="136" t="str">
        <f t="shared" si="45"/>
        <v/>
      </c>
      <c r="G1027" s="137" t="e">
        <f>IF(A1027&lt;&gt;"",IF(AND(#REF!="Padrão",$H$4=#REF!),BDI!$B$17,IF(AND(#REF!="Padrão",$H$4=#REF!),BDI!#REF!,IF(AND(#REF!="Diferenciado",$H$4=#REF!),BDI!$E$17,IF(AND(#REF!="Diferenciado",$H$4=#REF!),BDI!#REF!,IF(#REF!="ZERO",0))))),"")</f>
        <v>#REF!</v>
      </c>
      <c r="H1027" s="138" t="str">
        <f t="shared" si="46"/>
        <v/>
      </c>
      <c r="I1027" s="136" t="str">
        <f t="shared" si="47"/>
        <v/>
      </c>
    </row>
    <row r="1028" spans="1:9" hidden="1" x14ac:dyDescent="0.25">
      <c r="A1028" s="113" t="s">
        <v>3082</v>
      </c>
      <c r="B1028" s="114" t="s">
        <v>3083</v>
      </c>
      <c r="C1028" s="115" t="s">
        <v>93</v>
      </c>
      <c r="D1028" s="115">
        <v>0</v>
      </c>
      <c r="E1028" s="135" t="s">
        <v>568</v>
      </c>
      <c r="F1028" s="136" t="str">
        <f t="shared" si="45"/>
        <v/>
      </c>
      <c r="G1028" s="137" t="e">
        <f>IF(A1028&lt;&gt;"",IF(AND(#REF!="Padrão",$H$4=#REF!),BDI!$B$17,IF(AND(#REF!="Padrão",$H$4=#REF!),BDI!#REF!,IF(AND(#REF!="Diferenciado",$H$4=#REF!),BDI!$E$17,IF(AND(#REF!="Diferenciado",$H$4=#REF!),BDI!#REF!,IF(#REF!="ZERO",0))))),"")</f>
        <v>#REF!</v>
      </c>
      <c r="H1028" s="138" t="str">
        <f t="shared" si="46"/>
        <v/>
      </c>
      <c r="I1028" s="136" t="str">
        <f t="shared" si="47"/>
        <v/>
      </c>
    </row>
    <row r="1029" spans="1:9" hidden="1" x14ac:dyDescent="0.25">
      <c r="A1029" s="113" t="s">
        <v>3084</v>
      </c>
      <c r="B1029" s="114" t="s">
        <v>3085</v>
      </c>
      <c r="C1029" s="115" t="s">
        <v>93</v>
      </c>
      <c r="D1029" s="115">
        <v>0</v>
      </c>
      <c r="E1029" s="135" t="s">
        <v>568</v>
      </c>
      <c r="F1029" s="136" t="str">
        <f t="shared" si="45"/>
        <v/>
      </c>
      <c r="G1029" s="137" t="e">
        <f>IF(A1029&lt;&gt;"",IF(AND(#REF!="Padrão",$H$4=#REF!),BDI!$B$17,IF(AND(#REF!="Padrão",$H$4=#REF!),BDI!#REF!,IF(AND(#REF!="Diferenciado",$H$4=#REF!),BDI!$E$17,IF(AND(#REF!="Diferenciado",$H$4=#REF!),BDI!#REF!,IF(#REF!="ZERO",0))))),"")</f>
        <v>#REF!</v>
      </c>
      <c r="H1029" s="138" t="str">
        <f t="shared" si="46"/>
        <v/>
      </c>
      <c r="I1029" s="136" t="str">
        <f t="shared" si="47"/>
        <v/>
      </c>
    </row>
    <row r="1030" spans="1:9" hidden="1" x14ac:dyDescent="0.25">
      <c r="A1030" s="113" t="s">
        <v>3086</v>
      </c>
      <c r="B1030" s="114" t="s">
        <v>3087</v>
      </c>
      <c r="C1030" s="115" t="s">
        <v>93</v>
      </c>
      <c r="D1030" s="115">
        <v>0</v>
      </c>
      <c r="E1030" s="135" t="s">
        <v>568</v>
      </c>
      <c r="F1030" s="136" t="str">
        <f t="shared" si="45"/>
        <v/>
      </c>
      <c r="G1030" s="137" t="e">
        <f>IF(A1030&lt;&gt;"",IF(AND(#REF!="Padrão",$H$4=#REF!),BDI!$B$17,IF(AND(#REF!="Padrão",$H$4=#REF!),BDI!#REF!,IF(AND(#REF!="Diferenciado",$H$4=#REF!),BDI!$E$17,IF(AND(#REF!="Diferenciado",$H$4=#REF!),BDI!#REF!,IF(#REF!="ZERO",0))))),"")</f>
        <v>#REF!</v>
      </c>
      <c r="H1030" s="138" t="str">
        <f t="shared" si="46"/>
        <v/>
      </c>
      <c r="I1030" s="136" t="str">
        <f t="shared" si="47"/>
        <v/>
      </c>
    </row>
    <row r="1031" spans="1:9" hidden="1" x14ac:dyDescent="0.25">
      <c r="A1031" s="113" t="s">
        <v>3088</v>
      </c>
      <c r="B1031" s="114" t="s">
        <v>3089</v>
      </c>
      <c r="C1031" s="115" t="s">
        <v>93</v>
      </c>
      <c r="D1031" s="115">
        <v>0</v>
      </c>
      <c r="E1031" s="135" t="s">
        <v>568</v>
      </c>
      <c r="F1031" s="136" t="str">
        <f t="shared" ref="F1031:F1094" si="48">IF(ISNUMBER(E1031),D1031*E1031,"")</f>
        <v/>
      </c>
      <c r="G1031" s="137" t="e">
        <f>IF(A1031&lt;&gt;"",IF(AND(#REF!="Padrão",$H$4=#REF!),BDI!$B$17,IF(AND(#REF!="Padrão",$H$4=#REF!),BDI!#REF!,IF(AND(#REF!="Diferenciado",$H$4=#REF!),BDI!$E$17,IF(AND(#REF!="Diferenciado",$H$4=#REF!),BDI!#REF!,IF(#REF!="ZERO",0))))),"")</f>
        <v>#REF!</v>
      </c>
      <c r="H1031" s="138" t="str">
        <f t="shared" ref="H1031:H1094" si="49">IF(ISNUMBER(E1031),ROUND(E1031*(1+G1031),2),"")</f>
        <v/>
      </c>
      <c r="I1031" s="136" t="str">
        <f t="shared" ref="I1031:I1094" si="50">IF(ISNUMBER(E1031),ROUND(H1031*D1031,2),"")</f>
        <v/>
      </c>
    </row>
    <row r="1032" spans="1:9" hidden="1" x14ac:dyDescent="0.25">
      <c r="A1032" s="113" t="s">
        <v>3090</v>
      </c>
      <c r="B1032" s="114" t="s">
        <v>3091</v>
      </c>
      <c r="C1032" s="115" t="s">
        <v>93</v>
      </c>
      <c r="D1032" s="115">
        <v>0</v>
      </c>
      <c r="E1032" s="135" t="s">
        <v>568</v>
      </c>
      <c r="F1032" s="136" t="str">
        <f t="shared" si="48"/>
        <v/>
      </c>
      <c r="G1032" s="137" t="e">
        <f>IF(A1032&lt;&gt;"",IF(AND(#REF!="Padrão",$H$4=#REF!),BDI!$B$17,IF(AND(#REF!="Padrão",$H$4=#REF!),BDI!#REF!,IF(AND(#REF!="Diferenciado",$H$4=#REF!),BDI!$E$17,IF(AND(#REF!="Diferenciado",$H$4=#REF!),BDI!#REF!,IF(#REF!="ZERO",0))))),"")</f>
        <v>#REF!</v>
      </c>
      <c r="H1032" s="138" t="str">
        <f t="shared" si="49"/>
        <v/>
      </c>
      <c r="I1032" s="136" t="str">
        <f t="shared" si="50"/>
        <v/>
      </c>
    </row>
    <row r="1033" spans="1:9" hidden="1" x14ac:dyDescent="0.25">
      <c r="A1033" s="113" t="s">
        <v>3092</v>
      </c>
      <c r="B1033" s="114" t="s">
        <v>3093</v>
      </c>
      <c r="C1033" s="115" t="s">
        <v>93</v>
      </c>
      <c r="D1033" s="115">
        <v>0</v>
      </c>
      <c r="E1033" s="135" t="s">
        <v>568</v>
      </c>
      <c r="F1033" s="136" t="str">
        <f t="shared" si="48"/>
        <v/>
      </c>
      <c r="G1033" s="137" t="e">
        <f>IF(A1033&lt;&gt;"",IF(AND(#REF!="Padrão",$H$4=#REF!),BDI!$B$17,IF(AND(#REF!="Padrão",$H$4=#REF!),BDI!#REF!,IF(AND(#REF!="Diferenciado",$H$4=#REF!),BDI!$E$17,IF(AND(#REF!="Diferenciado",$H$4=#REF!),BDI!#REF!,IF(#REF!="ZERO",0))))),"")</f>
        <v>#REF!</v>
      </c>
      <c r="H1033" s="138" t="str">
        <f t="shared" si="49"/>
        <v/>
      </c>
      <c r="I1033" s="136" t="str">
        <f t="shared" si="50"/>
        <v/>
      </c>
    </row>
    <row r="1034" spans="1:9" hidden="1" x14ac:dyDescent="0.25">
      <c r="A1034" s="113" t="s">
        <v>1178</v>
      </c>
      <c r="B1034" s="114" t="s">
        <v>3094</v>
      </c>
      <c r="C1034" s="115" t="s">
        <v>3045</v>
      </c>
      <c r="D1034" s="115">
        <v>0</v>
      </c>
      <c r="E1034" s="135">
        <f ca="1">OFFSET(INDEX(Composições!A:J,MATCH(Orçamentária!A1034,Composições!A:A,0),8),2,0)</f>
        <v>694.6875</v>
      </c>
      <c r="F1034" s="136">
        <f t="shared" ca="1" si="48"/>
        <v>0</v>
      </c>
      <c r="G1034" s="137" t="e">
        <f>IF(A1034&lt;&gt;"",IF(AND(#REF!="Padrão",$H$4=#REF!),BDI!$B$17,IF(AND(#REF!="Padrão",$H$4=#REF!),BDI!#REF!,IF(AND(#REF!="Diferenciado",$H$4=#REF!),BDI!$E$17,IF(AND(#REF!="Diferenciado",$H$4=#REF!),BDI!#REF!,IF(#REF!="ZERO",0))))),"")</f>
        <v>#REF!</v>
      </c>
      <c r="H1034" s="138" t="e">
        <f t="shared" ca="1" si="49"/>
        <v>#REF!</v>
      </c>
      <c r="I1034" s="136" t="e">
        <f t="shared" ca="1" si="50"/>
        <v>#REF!</v>
      </c>
    </row>
    <row r="1035" spans="1:9" hidden="1" x14ac:dyDescent="0.25">
      <c r="A1035" s="113" t="s">
        <v>1180</v>
      </c>
      <c r="B1035" s="114" t="s">
        <v>3095</v>
      </c>
      <c r="C1035" s="115" t="s">
        <v>3045</v>
      </c>
      <c r="D1035" s="115">
        <v>0</v>
      </c>
      <c r="E1035" s="135">
        <f ca="1">OFFSET(INDEX(Composições!A:J,MATCH(Orçamentária!A1035,Composições!A:A,0),8),2,0)</f>
        <v>434.17849999999993</v>
      </c>
      <c r="F1035" s="136">
        <f t="shared" ca="1" si="48"/>
        <v>0</v>
      </c>
      <c r="G1035" s="137" t="e">
        <f>IF(A1035&lt;&gt;"",IF(AND(#REF!="Padrão",$H$4=#REF!),BDI!$B$17,IF(AND(#REF!="Padrão",$H$4=#REF!),BDI!#REF!,IF(AND(#REF!="Diferenciado",$H$4=#REF!),BDI!$E$17,IF(AND(#REF!="Diferenciado",$H$4=#REF!),BDI!#REF!,IF(#REF!="ZERO",0))))),"")</f>
        <v>#REF!</v>
      </c>
      <c r="H1035" s="138" t="e">
        <f t="shared" ca="1" si="49"/>
        <v>#REF!</v>
      </c>
      <c r="I1035" s="136" t="e">
        <f t="shared" ca="1" si="50"/>
        <v>#REF!</v>
      </c>
    </row>
    <row r="1036" spans="1:9" x14ac:dyDescent="0.25">
      <c r="A1036" s="197" t="s">
        <v>1182</v>
      </c>
      <c r="B1036" s="198" t="s">
        <v>3096</v>
      </c>
      <c r="C1036" s="199" t="s">
        <v>95</v>
      </c>
      <c r="D1036" s="199">
        <v>1</v>
      </c>
      <c r="E1036" s="135">
        <f ca="1">OFFSET(INDEX(Composições!A:J,MATCH(Orçamentária!A1036,Composições!A:A,0),8),2,0)</f>
        <v>213.75</v>
      </c>
      <c r="F1036" s="136">
        <f t="shared" ca="1" si="48"/>
        <v>213.75</v>
      </c>
      <c r="G1036" s="137">
        <f>BDI!$B$17</f>
        <v>0.191</v>
      </c>
      <c r="H1036" s="138">
        <f t="shared" ca="1" si="49"/>
        <v>254.58</v>
      </c>
      <c r="I1036" s="136">
        <f t="shared" ca="1" si="50"/>
        <v>254.58</v>
      </c>
    </row>
    <row r="1037" spans="1:9" ht="25.5" hidden="1" x14ac:dyDescent="0.25">
      <c r="A1037" s="113" t="s">
        <v>3097</v>
      </c>
      <c r="B1037" s="114" t="s">
        <v>3098</v>
      </c>
      <c r="C1037" s="115" t="s">
        <v>2601</v>
      </c>
      <c r="D1037" s="115">
        <v>0</v>
      </c>
      <c r="E1037" s="135" t="s">
        <v>568</v>
      </c>
      <c r="F1037" s="136" t="str">
        <f t="shared" si="48"/>
        <v/>
      </c>
      <c r="G1037" s="137" t="e">
        <f>IF(A1037&lt;&gt;"",IF(AND(#REF!="Padrão",$H$4=#REF!),BDI!$B$17,IF(AND(#REF!="Padrão",$H$4=#REF!),BDI!#REF!,IF(AND(#REF!="Diferenciado",$H$4=#REF!),BDI!$E$17,IF(AND(#REF!="Diferenciado",$H$4=#REF!),BDI!#REF!,IF(#REF!="ZERO",0))))),"")</f>
        <v>#REF!</v>
      </c>
      <c r="H1037" s="138" t="str">
        <f t="shared" si="49"/>
        <v/>
      </c>
      <c r="I1037" s="136" t="str">
        <f t="shared" si="50"/>
        <v/>
      </c>
    </row>
    <row r="1038" spans="1:9" hidden="1" x14ac:dyDescent="0.25">
      <c r="A1038" s="113" t="s">
        <v>3099</v>
      </c>
      <c r="B1038" s="114" t="s">
        <v>3100</v>
      </c>
      <c r="C1038" s="115" t="s">
        <v>2601</v>
      </c>
      <c r="D1038" s="115">
        <v>0</v>
      </c>
      <c r="E1038" s="135" t="s">
        <v>568</v>
      </c>
      <c r="F1038" s="136" t="str">
        <f t="shared" si="48"/>
        <v/>
      </c>
      <c r="G1038" s="137" t="e">
        <f>IF(A1038&lt;&gt;"",IF(AND(#REF!="Padrão",$H$4=#REF!),BDI!$B$17,IF(AND(#REF!="Padrão",$H$4=#REF!),BDI!#REF!,IF(AND(#REF!="Diferenciado",$H$4=#REF!),BDI!$E$17,IF(AND(#REF!="Diferenciado",$H$4=#REF!),BDI!#REF!,IF(#REF!="ZERO",0))))),"")</f>
        <v>#REF!</v>
      </c>
      <c r="H1038" s="138" t="str">
        <f t="shared" si="49"/>
        <v/>
      </c>
      <c r="I1038" s="136" t="str">
        <f t="shared" si="50"/>
        <v/>
      </c>
    </row>
    <row r="1039" spans="1:9" hidden="1" x14ac:dyDescent="0.25">
      <c r="A1039" s="113" t="s">
        <v>3101</v>
      </c>
      <c r="B1039" s="114" t="s">
        <v>3102</v>
      </c>
      <c r="C1039" s="115" t="s">
        <v>2601</v>
      </c>
      <c r="D1039" s="115">
        <v>0</v>
      </c>
      <c r="E1039" s="135" t="s">
        <v>568</v>
      </c>
      <c r="F1039" s="136" t="str">
        <f t="shared" si="48"/>
        <v/>
      </c>
      <c r="G1039" s="137" t="e">
        <f>IF(A1039&lt;&gt;"",IF(AND(#REF!="Padrão",$H$4=#REF!),BDI!$B$17,IF(AND(#REF!="Padrão",$H$4=#REF!),BDI!#REF!,IF(AND(#REF!="Diferenciado",$H$4=#REF!),BDI!$E$17,IF(AND(#REF!="Diferenciado",$H$4=#REF!),BDI!#REF!,IF(#REF!="ZERO",0))))),"")</f>
        <v>#REF!</v>
      </c>
      <c r="H1039" s="138" t="str">
        <f t="shared" si="49"/>
        <v/>
      </c>
      <c r="I1039" s="136" t="str">
        <f t="shared" si="50"/>
        <v/>
      </c>
    </row>
    <row r="1040" spans="1:9" hidden="1" x14ac:dyDescent="0.25">
      <c r="A1040" s="113" t="s">
        <v>3103</v>
      </c>
      <c r="B1040" s="114" t="s">
        <v>3104</v>
      </c>
      <c r="C1040" s="115" t="s">
        <v>2601</v>
      </c>
      <c r="D1040" s="115">
        <v>0</v>
      </c>
      <c r="E1040" s="135" t="s">
        <v>568</v>
      </c>
      <c r="F1040" s="136" t="str">
        <f t="shared" si="48"/>
        <v/>
      </c>
      <c r="G1040" s="137" t="e">
        <f>IF(A1040&lt;&gt;"",IF(AND(#REF!="Padrão",$H$4=#REF!),BDI!$B$17,IF(AND(#REF!="Padrão",$H$4=#REF!),BDI!#REF!,IF(AND(#REF!="Diferenciado",$H$4=#REF!),BDI!$E$17,IF(AND(#REF!="Diferenciado",$H$4=#REF!),BDI!#REF!,IF(#REF!="ZERO",0))))),"")</f>
        <v>#REF!</v>
      </c>
      <c r="H1040" s="138" t="str">
        <f t="shared" si="49"/>
        <v/>
      </c>
      <c r="I1040" s="136" t="str">
        <f t="shared" si="50"/>
        <v/>
      </c>
    </row>
    <row r="1041" spans="1:9" hidden="1" x14ac:dyDescent="0.25">
      <c r="A1041" s="113" t="s">
        <v>3105</v>
      </c>
      <c r="B1041" s="114" t="s">
        <v>3106</v>
      </c>
      <c r="C1041" s="115" t="s">
        <v>2601</v>
      </c>
      <c r="D1041" s="115">
        <v>0</v>
      </c>
      <c r="E1041" s="135" t="s">
        <v>568</v>
      </c>
      <c r="F1041" s="136" t="str">
        <f t="shared" si="48"/>
        <v/>
      </c>
      <c r="G1041" s="137" t="e">
        <f>IF(A1041&lt;&gt;"",IF(AND(#REF!="Padrão",$H$4=#REF!),BDI!$B$17,IF(AND(#REF!="Padrão",$H$4=#REF!),BDI!#REF!,IF(AND(#REF!="Diferenciado",$H$4=#REF!),BDI!$E$17,IF(AND(#REF!="Diferenciado",$H$4=#REF!),BDI!#REF!,IF(#REF!="ZERO",0))))),"")</f>
        <v>#REF!</v>
      </c>
      <c r="H1041" s="138" t="str">
        <f t="shared" si="49"/>
        <v/>
      </c>
      <c r="I1041" s="136" t="str">
        <f t="shared" si="50"/>
        <v/>
      </c>
    </row>
    <row r="1042" spans="1:9" hidden="1" x14ac:dyDescent="0.25">
      <c r="A1042" s="113" t="s">
        <v>3107</v>
      </c>
      <c r="B1042" s="114" t="s">
        <v>3108</v>
      </c>
      <c r="C1042" s="115" t="s">
        <v>2601</v>
      </c>
      <c r="D1042" s="115">
        <v>0</v>
      </c>
      <c r="E1042" s="135" t="s">
        <v>568</v>
      </c>
      <c r="F1042" s="136" t="str">
        <f t="shared" si="48"/>
        <v/>
      </c>
      <c r="G1042" s="137" t="e">
        <f>IF(A1042&lt;&gt;"",IF(AND(#REF!="Padrão",$H$4=#REF!),BDI!$B$17,IF(AND(#REF!="Padrão",$H$4=#REF!),BDI!#REF!,IF(AND(#REF!="Diferenciado",$H$4=#REF!),BDI!$E$17,IF(AND(#REF!="Diferenciado",$H$4=#REF!),BDI!#REF!,IF(#REF!="ZERO",0))))),"")</f>
        <v>#REF!</v>
      </c>
      <c r="H1042" s="138" t="str">
        <f t="shared" si="49"/>
        <v/>
      </c>
      <c r="I1042" s="136" t="str">
        <f t="shared" si="50"/>
        <v/>
      </c>
    </row>
    <row r="1043" spans="1:9" hidden="1" x14ac:dyDescent="0.25">
      <c r="A1043" s="113" t="s">
        <v>3109</v>
      </c>
      <c r="B1043" s="114" t="s">
        <v>3110</v>
      </c>
      <c r="C1043" s="115" t="s">
        <v>2601</v>
      </c>
      <c r="D1043" s="115">
        <v>0</v>
      </c>
      <c r="E1043" s="135" t="s">
        <v>568</v>
      </c>
      <c r="F1043" s="136" t="str">
        <f t="shared" si="48"/>
        <v/>
      </c>
      <c r="G1043" s="137" t="e">
        <f>IF(A1043&lt;&gt;"",IF(AND(#REF!="Padrão",$H$4=#REF!),BDI!$B$17,IF(AND(#REF!="Padrão",$H$4=#REF!),BDI!#REF!,IF(AND(#REF!="Diferenciado",$H$4=#REF!),BDI!$E$17,IF(AND(#REF!="Diferenciado",$H$4=#REF!),BDI!#REF!,IF(#REF!="ZERO",0))))),"")</f>
        <v>#REF!</v>
      </c>
      <c r="H1043" s="138" t="str">
        <f t="shared" si="49"/>
        <v/>
      </c>
      <c r="I1043" s="136" t="str">
        <f t="shared" si="50"/>
        <v/>
      </c>
    </row>
    <row r="1044" spans="1:9" hidden="1" x14ac:dyDescent="0.25">
      <c r="A1044" s="113" t="s">
        <v>3111</v>
      </c>
      <c r="B1044" s="114" t="s">
        <v>3112</v>
      </c>
      <c r="C1044" s="115" t="s">
        <v>2601</v>
      </c>
      <c r="D1044" s="115">
        <v>0</v>
      </c>
      <c r="E1044" s="135" t="s">
        <v>568</v>
      </c>
      <c r="F1044" s="136" t="str">
        <f t="shared" si="48"/>
        <v/>
      </c>
      <c r="G1044" s="137" t="e">
        <f>IF(A1044&lt;&gt;"",IF(AND(#REF!="Padrão",$H$4=#REF!),BDI!$B$17,IF(AND(#REF!="Padrão",$H$4=#REF!),BDI!#REF!,IF(AND(#REF!="Diferenciado",$H$4=#REF!),BDI!$E$17,IF(AND(#REF!="Diferenciado",$H$4=#REF!),BDI!#REF!,IF(#REF!="ZERO",0))))),"")</f>
        <v>#REF!</v>
      </c>
      <c r="H1044" s="138" t="str">
        <f t="shared" si="49"/>
        <v/>
      </c>
      <c r="I1044" s="136" t="str">
        <f t="shared" si="50"/>
        <v/>
      </c>
    </row>
    <row r="1045" spans="1:9" hidden="1" x14ac:dyDescent="0.25">
      <c r="A1045" s="113" t="s">
        <v>3113</v>
      </c>
      <c r="B1045" s="114" t="s">
        <v>3114</v>
      </c>
      <c r="C1045" s="115" t="s">
        <v>2601</v>
      </c>
      <c r="D1045" s="115">
        <v>0</v>
      </c>
      <c r="E1045" s="135" t="s">
        <v>568</v>
      </c>
      <c r="F1045" s="136" t="str">
        <f t="shared" si="48"/>
        <v/>
      </c>
      <c r="G1045" s="137" t="e">
        <f>IF(A1045&lt;&gt;"",IF(AND(#REF!="Padrão",$H$4=#REF!),BDI!$B$17,IF(AND(#REF!="Padrão",$H$4=#REF!),BDI!#REF!,IF(AND(#REF!="Diferenciado",$H$4=#REF!),BDI!$E$17,IF(AND(#REF!="Diferenciado",$H$4=#REF!),BDI!#REF!,IF(#REF!="ZERO",0))))),"")</f>
        <v>#REF!</v>
      </c>
      <c r="H1045" s="138" t="str">
        <f t="shared" si="49"/>
        <v/>
      </c>
      <c r="I1045" s="136" t="str">
        <f t="shared" si="50"/>
        <v/>
      </c>
    </row>
    <row r="1046" spans="1:9" hidden="1" x14ac:dyDescent="0.25">
      <c r="A1046" s="113" t="s">
        <v>1184</v>
      </c>
      <c r="B1046" s="114" t="s">
        <v>3115</v>
      </c>
      <c r="C1046" s="115" t="s">
        <v>2601</v>
      </c>
      <c r="D1046" s="115">
        <v>0</v>
      </c>
      <c r="E1046" s="135">
        <f ca="1">OFFSET(INDEX(Composições!A:J,MATCH(Orçamentária!A1046,Composições!A:A,0),8),2,0)</f>
        <v>3900.9940325999996</v>
      </c>
      <c r="F1046" s="136">
        <f t="shared" ca="1" si="48"/>
        <v>0</v>
      </c>
      <c r="G1046" s="137" t="e">
        <f>IF(A1046&lt;&gt;"",IF(AND(#REF!="Padrão",$H$4=#REF!),BDI!$B$17,IF(AND(#REF!="Padrão",$H$4=#REF!),BDI!#REF!,IF(AND(#REF!="Diferenciado",$H$4=#REF!),BDI!$E$17,IF(AND(#REF!="Diferenciado",$H$4=#REF!),BDI!#REF!,IF(#REF!="ZERO",0))))),"")</f>
        <v>#REF!</v>
      </c>
      <c r="H1046" s="138" t="e">
        <f t="shared" ca="1" si="49"/>
        <v>#REF!</v>
      </c>
      <c r="I1046" s="136" t="e">
        <f t="shared" ca="1" si="50"/>
        <v>#REF!</v>
      </c>
    </row>
    <row r="1047" spans="1:9" hidden="1" x14ac:dyDescent="0.25">
      <c r="A1047" s="113" t="s">
        <v>3116</v>
      </c>
      <c r="B1047" s="114" t="s">
        <v>3117</v>
      </c>
      <c r="C1047" s="115" t="s">
        <v>2823</v>
      </c>
      <c r="D1047" s="115">
        <v>0</v>
      </c>
      <c r="E1047" s="135" t="s">
        <v>568</v>
      </c>
      <c r="F1047" s="136" t="str">
        <f t="shared" si="48"/>
        <v/>
      </c>
      <c r="G1047" s="137" t="e">
        <f>IF(A1047&lt;&gt;"",IF(AND(#REF!="Padrão",$H$4=#REF!),BDI!$B$17,IF(AND(#REF!="Padrão",$H$4=#REF!),BDI!#REF!,IF(AND(#REF!="Diferenciado",$H$4=#REF!),BDI!$E$17,IF(AND(#REF!="Diferenciado",$H$4=#REF!),BDI!#REF!,IF(#REF!="ZERO",0))))),"")</f>
        <v>#REF!</v>
      </c>
      <c r="H1047" s="138" t="str">
        <f t="shared" si="49"/>
        <v/>
      </c>
      <c r="I1047" s="136" t="str">
        <f t="shared" si="50"/>
        <v/>
      </c>
    </row>
    <row r="1048" spans="1:9" hidden="1" x14ac:dyDescent="0.25">
      <c r="A1048" s="113" t="s">
        <v>3118</v>
      </c>
      <c r="B1048" s="114" t="s">
        <v>3119</v>
      </c>
      <c r="C1048" s="115" t="s">
        <v>2823</v>
      </c>
      <c r="D1048" s="115">
        <v>0</v>
      </c>
      <c r="E1048" s="135" t="s">
        <v>568</v>
      </c>
      <c r="F1048" s="136" t="str">
        <f t="shared" si="48"/>
        <v/>
      </c>
      <c r="G1048" s="137" t="e">
        <f>IF(A1048&lt;&gt;"",IF(AND(#REF!="Padrão",$H$4=#REF!),BDI!$B$17,IF(AND(#REF!="Padrão",$H$4=#REF!),BDI!#REF!,IF(AND(#REF!="Diferenciado",$H$4=#REF!),BDI!$E$17,IF(AND(#REF!="Diferenciado",$H$4=#REF!),BDI!#REF!,IF(#REF!="ZERO",0))))),"")</f>
        <v>#REF!</v>
      </c>
      <c r="H1048" s="138" t="str">
        <f t="shared" si="49"/>
        <v/>
      </c>
      <c r="I1048" s="136" t="str">
        <f t="shared" si="50"/>
        <v/>
      </c>
    </row>
    <row r="1049" spans="1:9" hidden="1" x14ac:dyDescent="0.25">
      <c r="A1049" s="113" t="s">
        <v>3120</v>
      </c>
      <c r="B1049" s="114" t="s">
        <v>3121</v>
      </c>
      <c r="C1049" s="115" t="s">
        <v>2823</v>
      </c>
      <c r="D1049" s="115">
        <v>0</v>
      </c>
      <c r="E1049" s="135" t="s">
        <v>568</v>
      </c>
      <c r="F1049" s="136" t="str">
        <f t="shared" si="48"/>
        <v/>
      </c>
      <c r="G1049" s="137" t="e">
        <f>IF(A1049&lt;&gt;"",IF(AND(#REF!="Padrão",$H$4=#REF!),BDI!$B$17,IF(AND(#REF!="Padrão",$H$4=#REF!),BDI!#REF!,IF(AND(#REF!="Diferenciado",$H$4=#REF!),BDI!$E$17,IF(AND(#REF!="Diferenciado",$H$4=#REF!),BDI!#REF!,IF(#REF!="ZERO",0))))),"")</f>
        <v>#REF!</v>
      </c>
      <c r="H1049" s="138" t="str">
        <f t="shared" si="49"/>
        <v/>
      </c>
      <c r="I1049" s="136" t="str">
        <f t="shared" si="50"/>
        <v/>
      </c>
    </row>
    <row r="1050" spans="1:9" hidden="1" x14ac:dyDescent="0.25">
      <c r="A1050" s="113" t="s">
        <v>3122</v>
      </c>
      <c r="B1050" s="114" t="s">
        <v>3123</v>
      </c>
      <c r="C1050" s="115" t="s">
        <v>2823</v>
      </c>
      <c r="D1050" s="115">
        <v>0</v>
      </c>
      <c r="E1050" s="135" t="s">
        <v>568</v>
      </c>
      <c r="F1050" s="136" t="str">
        <f t="shared" si="48"/>
        <v/>
      </c>
      <c r="G1050" s="137" t="e">
        <f>IF(A1050&lt;&gt;"",IF(AND(#REF!="Padrão",$H$4=#REF!),BDI!$B$17,IF(AND(#REF!="Padrão",$H$4=#REF!),BDI!#REF!,IF(AND(#REF!="Diferenciado",$H$4=#REF!),BDI!$E$17,IF(AND(#REF!="Diferenciado",$H$4=#REF!),BDI!#REF!,IF(#REF!="ZERO",0))))),"")</f>
        <v>#REF!</v>
      </c>
      <c r="H1050" s="138" t="str">
        <f t="shared" si="49"/>
        <v/>
      </c>
      <c r="I1050" s="136" t="str">
        <f t="shared" si="50"/>
        <v/>
      </c>
    </row>
    <row r="1051" spans="1:9" hidden="1" x14ac:dyDescent="0.25">
      <c r="A1051" s="113" t="s">
        <v>3124</v>
      </c>
      <c r="B1051" s="114" t="s">
        <v>3125</v>
      </c>
      <c r="C1051" s="115" t="s">
        <v>20</v>
      </c>
      <c r="D1051" s="115">
        <v>0</v>
      </c>
      <c r="E1051" s="135" t="s">
        <v>568</v>
      </c>
      <c r="F1051" s="136" t="str">
        <f t="shared" si="48"/>
        <v/>
      </c>
      <c r="G1051" s="137" t="e">
        <f>IF(A1051&lt;&gt;"",IF(AND(#REF!="Padrão",$H$4=#REF!),BDI!$B$17,IF(AND(#REF!="Padrão",$H$4=#REF!),BDI!#REF!,IF(AND(#REF!="Diferenciado",$H$4=#REF!),BDI!$E$17,IF(AND(#REF!="Diferenciado",$H$4=#REF!),BDI!#REF!,IF(#REF!="ZERO",0))))),"")</f>
        <v>#REF!</v>
      </c>
      <c r="H1051" s="138" t="str">
        <f t="shared" si="49"/>
        <v/>
      </c>
      <c r="I1051" s="136" t="str">
        <f t="shared" si="50"/>
        <v/>
      </c>
    </row>
    <row r="1052" spans="1:9" hidden="1" x14ac:dyDescent="0.25">
      <c r="A1052" s="113" t="s">
        <v>3126</v>
      </c>
      <c r="B1052" s="114" t="s">
        <v>3127</v>
      </c>
      <c r="C1052" s="115" t="s">
        <v>628</v>
      </c>
      <c r="D1052" s="115">
        <v>0</v>
      </c>
      <c r="E1052" s="135" t="s">
        <v>568</v>
      </c>
      <c r="F1052" s="136" t="str">
        <f t="shared" si="48"/>
        <v/>
      </c>
      <c r="G1052" s="137" t="e">
        <f>IF(A1052&lt;&gt;"",IF(AND(#REF!="Padrão",$H$4=#REF!),BDI!$B$17,IF(AND(#REF!="Padrão",$H$4=#REF!),BDI!#REF!,IF(AND(#REF!="Diferenciado",$H$4=#REF!),BDI!$E$17,IF(AND(#REF!="Diferenciado",$H$4=#REF!),BDI!#REF!,IF(#REF!="ZERO",0))))),"")</f>
        <v>#REF!</v>
      </c>
      <c r="H1052" s="138" t="str">
        <f t="shared" si="49"/>
        <v/>
      </c>
      <c r="I1052" s="136" t="str">
        <f t="shared" si="50"/>
        <v/>
      </c>
    </row>
    <row r="1053" spans="1:9" hidden="1" x14ac:dyDescent="0.25">
      <c r="A1053" s="113" t="s">
        <v>3128</v>
      </c>
      <c r="B1053" s="114" t="s">
        <v>3129</v>
      </c>
      <c r="C1053" s="115" t="s">
        <v>628</v>
      </c>
      <c r="D1053" s="115">
        <v>0</v>
      </c>
      <c r="E1053" s="135" t="s">
        <v>568</v>
      </c>
      <c r="F1053" s="136" t="str">
        <f t="shared" si="48"/>
        <v/>
      </c>
      <c r="G1053" s="137" t="e">
        <f>IF(A1053&lt;&gt;"",IF(AND(#REF!="Padrão",$H$4=#REF!),BDI!$B$17,IF(AND(#REF!="Padrão",$H$4=#REF!),BDI!#REF!,IF(AND(#REF!="Diferenciado",$H$4=#REF!),BDI!$E$17,IF(AND(#REF!="Diferenciado",$H$4=#REF!),BDI!#REF!,IF(#REF!="ZERO",0))))),"")</f>
        <v>#REF!</v>
      </c>
      <c r="H1053" s="138" t="str">
        <f t="shared" si="49"/>
        <v/>
      </c>
      <c r="I1053" s="136" t="str">
        <f t="shared" si="50"/>
        <v/>
      </c>
    </row>
    <row r="1054" spans="1:9" hidden="1" x14ac:dyDescent="0.25">
      <c r="A1054" s="113" t="s">
        <v>3130</v>
      </c>
      <c r="B1054" s="114" t="s">
        <v>3131</v>
      </c>
      <c r="C1054" s="115" t="s">
        <v>2823</v>
      </c>
      <c r="D1054" s="115">
        <v>0</v>
      </c>
      <c r="E1054" s="135" t="s">
        <v>568</v>
      </c>
      <c r="F1054" s="136" t="str">
        <f t="shared" si="48"/>
        <v/>
      </c>
      <c r="G1054" s="137" t="e">
        <f>IF(A1054&lt;&gt;"",IF(AND(#REF!="Padrão",$H$4=#REF!),BDI!$B$17,IF(AND(#REF!="Padrão",$H$4=#REF!),BDI!#REF!,IF(AND(#REF!="Diferenciado",$H$4=#REF!),BDI!$E$17,IF(AND(#REF!="Diferenciado",$H$4=#REF!),BDI!#REF!,IF(#REF!="ZERO",0))))),"")</f>
        <v>#REF!</v>
      </c>
      <c r="H1054" s="138" t="str">
        <f t="shared" si="49"/>
        <v/>
      </c>
      <c r="I1054" s="136" t="str">
        <f t="shared" si="50"/>
        <v/>
      </c>
    </row>
    <row r="1055" spans="1:9" hidden="1" x14ac:dyDescent="0.25">
      <c r="A1055" s="113" t="s">
        <v>3132</v>
      </c>
      <c r="B1055" s="114" t="s">
        <v>3133</v>
      </c>
      <c r="C1055" s="115" t="s">
        <v>2823</v>
      </c>
      <c r="D1055" s="115">
        <v>0</v>
      </c>
      <c r="E1055" s="135" t="s">
        <v>568</v>
      </c>
      <c r="F1055" s="136" t="str">
        <f t="shared" si="48"/>
        <v/>
      </c>
      <c r="G1055" s="137" t="e">
        <f>IF(A1055&lt;&gt;"",IF(AND(#REF!="Padrão",$H$4=#REF!),BDI!$B$17,IF(AND(#REF!="Padrão",$H$4=#REF!),BDI!#REF!,IF(AND(#REF!="Diferenciado",$H$4=#REF!),BDI!$E$17,IF(AND(#REF!="Diferenciado",$H$4=#REF!),BDI!#REF!,IF(#REF!="ZERO",0))))),"")</f>
        <v>#REF!</v>
      </c>
      <c r="H1055" s="138" t="str">
        <f t="shared" si="49"/>
        <v/>
      </c>
      <c r="I1055" s="136" t="str">
        <f t="shared" si="50"/>
        <v/>
      </c>
    </row>
    <row r="1056" spans="1:9" hidden="1" x14ac:dyDescent="0.25">
      <c r="A1056" s="113" t="s">
        <v>3134</v>
      </c>
      <c r="B1056" s="114" t="s">
        <v>3135</v>
      </c>
      <c r="C1056" s="115" t="s">
        <v>2823</v>
      </c>
      <c r="D1056" s="115">
        <v>0</v>
      </c>
      <c r="E1056" s="135" t="s">
        <v>568</v>
      </c>
      <c r="F1056" s="136" t="str">
        <f t="shared" si="48"/>
        <v/>
      </c>
      <c r="G1056" s="137" t="e">
        <f>IF(A1056&lt;&gt;"",IF(AND(#REF!="Padrão",$H$4=#REF!),BDI!$B$17,IF(AND(#REF!="Padrão",$H$4=#REF!),BDI!#REF!,IF(AND(#REF!="Diferenciado",$H$4=#REF!),BDI!$E$17,IF(AND(#REF!="Diferenciado",$H$4=#REF!),BDI!#REF!,IF(#REF!="ZERO",0))))),"")</f>
        <v>#REF!</v>
      </c>
      <c r="H1056" s="138" t="str">
        <f t="shared" si="49"/>
        <v/>
      </c>
      <c r="I1056" s="136" t="str">
        <f t="shared" si="50"/>
        <v/>
      </c>
    </row>
    <row r="1057" spans="1:9" hidden="1" x14ac:dyDescent="0.25">
      <c r="A1057" s="113" t="s">
        <v>3136</v>
      </c>
      <c r="B1057" s="114" t="s">
        <v>3137</v>
      </c>
      <c r="C1057" s="115" t="s">
        <v>2061</v>
      </c>
      <c r="D1057" s="115">
        <v>0</v>
      </c>
      <c r="E1057" s="135" t="s">
        <v>568</v>
      </c>
      <c r="F1057" s="136" t="str">
        <f t="shared" si="48"/>
        <v/>
      </c>
      <c r="G1057" s="137" t="e">
        <f>IF(A1057&lt;&gt;"",IF(AND(#REF!="Padrão",$H$4=#REF!),BDI!$B$17,IF(AND(#REF!="Padrão",$H$4=#REF!),BDI!#REF!,IF(AND(#REF!="Diferenciado",$H$4=#REF!),BDI!$E$17,IF(AND(#REF!="Diferenciado",$H$4=#REF!),BDI!#REF!,IF(#REF!="ZERO",0))))),"")</f>
        <v>#REF!</v>
      </c>
      <c r="H1057" s="138" t="str">
        <f t="shared" si="49"/>
        <v/>
      </c>
      <c r="I1057" s="136" t="str">
        <f t="shared" si="50"/>
        <v/>
      </c>
    </row>
    <row r="1058" spans="1:9" hidden="1" x14ac:dyDescent="0.25">
      <c r="A1058" s="113" t="s">
        <v>1186</v>
      </c>
      <c r="B1058" s="114" t="s">
        <v>3138</v>
      </c>
      <c r="C1058" s="115" t="s">
        <v>95</v>
      </c>
      <c r="D1058" s="115">
        <v>0</v>
      </c>
      <c r="E1058" s="135">
        <f ca="1">OFFSET(INDEX(Composições!A:J,MATCH(Orçamentária!A1058,Composições!A:A,0),8),2,0)</f>
        <v>0.18420500000000001</v>
      </c>
      <c r="F1058" s="136">
        <f t="shared" ca="1" si="48"/>
        <v>0</v>
      </c>
      <c r="G1058" s="137" t="e">
        <f>IF(A1058&lt;&gt;"",IF(AND(#REF!="Padrão",$H$4=#REF!),BDI!$B$17,IF(AND(#REF!="Padrão",$H$4=#REF!),BDI!#REF!,IF(AND(#REF!="Diferenciado",$H$4=#REF!),BDI!$E$17,IF(AND(#REF!="Diferenciado",$H$4=#REF!),BDI!#REF!,IF(#REF!="ZERO",0))))),"")</f>
        <v>#REF!</v>
      </c>
      <c r="H1058" s="138" t="e">
        <f t="shared" ca="1" si="49"/>
        <v>#REF!</v>
      </c>
      <c r="I1058" s="136" t="e">
        <f t="shared" ca="1" si="50"/>
        <v>#REF!</v>
      </c>
    </row>
    <row r="1059" spans="1:9" hidden="1" x14ac:dyDescent="0.25">
      <c r="A1059" s="113" t="s">
        <v>1188</v>
      </c>
      <c r="B1059" s="114" t="s">
        <v>3139</v>
      </c>
      <c r="C1059" s="115" t="s">
        <v>95</v>
      </c>
      <c r="D1059" s="115">
        <v>0</v>
      </c>
      <c r="E1059" s="135">
        <f ca="1">OFFSET(INDEX(Composições!A:J,MATCH(Orçamentária!A1059,Composições!A:A,0),8),2,0)</f>
        <v>30.0528692324798</v>
      </c>
      <c r="F1059" s="136">
        <f t="shared" ca="1" si="48"/>
        <v>0</v>
      </c>
      <c r="G1059" s="137" t="e">
        <f>IF(A1059&lt;&gt;"",IF(AND(#REF!="Padrão",$H$4=#REF!),BDI!$B$17,IF(AND(#REF!="Padrão",$H$4=#REF!),BDI!#REF!,IF(AND(#REF!="Diferenciado",$H$4=#REF!),BDI!$E$17,IF(AND(#REF!="Diferenciado",$H$4=#REF!),BDI!#REF!,IF(#REF!="ZERO",0))))),"")</f>
        <v>#REF!</v>
      </c>
      <c r="H1059" s="138" t="e">
        <f t="shared" ca="1" si="49"/>
        <v>#REF!</v>
      </c>
      <c r="I1059" s="136" t="e">
        <f t="shared" ca="1" si="50"/>
        <v>#REF!</v>
      </c>
    </row>
    <row r="1060" spans="1:9" ht="25.5" hidden="1" x14ac:dyDescent="0.25">
      <c r="A1060" s="113" t="s">
        <v>3140</v>
      </c>
      <c r="B1060" s="114" t="s">
        <v>3141</v>
      </c>
      <c r="C1060" s="115" t="s">
        <v>20</v>
      </c>
      <c r="D1060" s="115">
        <v>0</v>
      </c>
      <c r="E1060" s="135" t="s">
        <v>568</v>
      </c>
      <c r="F1060" s="136" t="str">
        <f t="shared" si="48"/>
        <v/>
      </c>
      <c r="G1060" s="137" t="e">
        <f>IF(A1060&lt;&gt;"",IF(AND(#REF!="Padrão",$H$4=#REF!),BDI!$B$17,IF(AND(#REF!="Padrão",$H$4=#REF!),BDI!#REF!,IF(AND(#REF!="Diferenciado",$H$4=#REF!),BDI!$E$17,IF(AND(#REF!="Diferenciado",$H$4=#REF!),BDI!#REF!,IF(#REF!="ZERO",0))))),"")</f>
        <v>#REF!</v>
      </c>
      <c r="H1060" s="138" t="str">
        <f t="shared" si="49"/>
        <v/>
      </c>
      <c r="I1060" s="136" t="str">
        <f t="shared" si="50"/>
        <v/>
      </c>
    </row>
    <row r="1061" spans="1:9" ht="25.5" hidden="1" x14ac:dyDescent="0.25">
      <c r="A1061" s="113" t="s">
        <v>3142</v>
      </c>
      <c r="B1061" s="114" t="s">
        <v>3143</v>
      </c>
      <c r="C1061" s="115" t="s">
        <v>20</v>
      </c>
      <c r="D1061" s="115">
        <v>0</v>
      </c>
      <c r="E1061" s="135" t="s">
        <v>568</v>
      </c>
      <c r="F1061" s="136" t="str">
        <f t="shared" si="48"/>
        <v/>
      </c>
      <c r="G1061" s="137" t="e">
        <f>IF(A1061&lt;&gt;"",IF(AND(#REF!="Padrão",$H$4=#REF!),BDI!$B$17,IF(AND(#REF!="Padrão",$H$4=#REF!),BDI!#REF!,IF(AND(#REF!="Diferenciado",$H$4=#REF!),BDI!$E$17,IF(AND(#REF!="Diferenciado",$H$4=#REF!),BDI!#REF!,IF(#REF!="ZERO",0))))),"")</f>
        <v>#REF!</v>
      </c>
      <c r="H1061" s="138" t="str">
        <f t="shared" si="49"/>
        <v/>
      </c>
      <c r="I1061" s="136" t="str">
        <f t="shared" si="50"/>
        <v/>
      </c>
    </row>
    <row r="1062" spans="1:9" hidden="1" x14ac:dyDescent="0.25">
      <c r="A1062" s="113" t="s">
        <v>3144</v>
      </c>
      <c r="B1062" s="114" t="s">
        <v>3145</v>
      </c>
      <c r="C1062" s="115" t="s">
        <v>42</v>
      </c>
      <c r="D1062" s="115">
        <v>0</v>
      </c>
      <c r="E1062" s="135" t="s">
        <v>568</v>
      </c>
      <c r="F1062" s="136" t="str">
        <f t="shared" si="48"/>
        <v/>
      </c>
      <c r="G1062" s="137" t="e">
        <f>IF(A1062&lt;&gt;"",IF(AND(#REF!="Padrão",$H$4=#REF!),BDI!$B$17,IF(AND(#REF!="Padrão",$H$4=#REF!),BDI!#REF!,IF(AND(#REF!="Diferenciado",$H$4=#REF!),BDI!$E$17,IF(AND(#REF!="Diferenciado",$H$4=#REF!),BDI!#REF!,IF(#REF!="ZERO",0))))),"")</f>
        <v>#REF!</v>
      </c>
      <c r="H1062" s="138" t="str">
        <f t="shared" si="49"/>
        <v/>
      </c>
      <c r="I1062" s="136" t="str">
        <f t="shared" si="50"/>
        <v/>
      </c>
    </row>
    <row r="1063" spans="1:9" hidden="1" x14ac:dyDescent="0.25">
      <c r="A1063" s="113" t="s">
        <v>3146</v>
      </c>
      <c r="B1063" s="114" t="s">
        <v>3147</v>
      </c>
      <c r="C1063" s="115" t="s">
        <v>20</v>
      </c>
      <c r="D1063" s="115">
        <v>0</v>
      </c>
      <c r="E1063" s="135" t="s">
        <v>568</v>
      </c>
      <c r="F1063" s="136" t="str">
        <f t="shared" si="48"/>
        <v/>
      </c>
      <c r="G1063" s="137" t="e">
        <f>IF(A1063&lt;&gt;"",IF(AND(#REF!="Padrão",$H$4=#REF!),BDI!$B$17,IF(AND(#REF!="Padrão",$H$4=#REF!),BDI!#REF!,IF(AND(#REF!="Diferenciado",$H$4=#REF!),BDI!$E$17,IF(AND(#REF!="Diferenciado",$H$4=#REF!),BDI!#REF!,IF(#REF!="ZERO",0))))),"")</f>
        <v>#REF!</v>
      </c>
      <c r="H1063" s="138" t="str">
        <f t="shared" si="49"/>
        <v/>
      </c>
      <c r="I1063" s="136" t="str">
        <f t="shared" si="50"/>
        <v/>
      </c>
    </row>
    <row r="1064" spans="1:9" hidden="1" x14ac:dyDescent="0.25">
      <c r="A1064" s="113" t="s">
        <v>1192</v>
      </c>
      <c r="B1064" s="114" t="s">
        <v>3148</v>
      </c>
      <c r="C1064" s="115" t="s">
        <v>95</v>
      </c>
      <c r="D1064" s="115">
        <v>0</v>
      </c>
      <c r="E1064" s="135">
        <f ca="1">OFFSET(INDEX(Composições!A:J,MATCH(Orçamentária!A1064,Composições!A:A,0),8),2,0)</f>
        <v>116.27835554999999</v>
      </c>
      <c r="F1064" s="136">
        <f t="shared" ca="1" si="48"/>
        <v>0</v>
      </c>
      <c r="G1064" s="137" t="e">
        <f>IF(A1064&lt;&gt;"",IF(AND(#REF!="Padrão",$H$4=#REF!),BDI!$B$17,IF(AND(#REF!="Padrão",$H$4=#REF!),BDI!#REF!,IF(AND(#REF!="Diferenciado",$H$4=#REF!),BDI!$E$17,IF(AND(#REF!="Diferenciado",$H$4=#REF!),BDI!#REF!,IF(#REF!="ZERO",0))))),"")</f>
        <v>#REF!</v>
      </c>
      <c r="H1064" s="138" t="e">
        <f t="shared" ca="1" si="49"/>
        <v>#REF!</v>
      </c>
      <c r="I1064" s="136" t="e">
        <f t="shared" ca="1" si="50"/>
        <v>#REF!</v>
      </c>
    </row>
    <row r="1065" spans="1:9" hidden="1" x14ac:dyDescent="0.25">
      <c r="A1065" s="113" t="s">
        <v>1194</v>
      </c>
      <c r="B1065" s="114" t="s">
        <v>3149</v>
      </c>
      <c r="C1065" s="115" t="s">
        <v>95</v>
      </c>
      <c r="D1065" s="115">
        <v>0</v>
      </c>
      <c r="E1065" s="135">
        <f ca="1">OFFSET(INDEX(Composições!A:J,MATCH(Orçamentária!A1065,Composições!A:A,0),8),2,0)</f>
        <v>473.70044274999992</v>
      </c>
      <c r="F1065" s="136">
        <f t="shared" ca="1" si="48"/>
        <v>0</v>
      </c>
      <c r="G1065" s="137" t="e">
        <f>IF(A1065&lt;&gt;"",IF(AND(#REF!="Padrão",$H$4=#REF!),BDI!$B$17,IF(AND(#REF!="Padrão",$H$4=#REF!),BDI!#REF!,IF(AND(#REF!="Diferenciado",$H$4=#REF!),BDI!$E$17,IF(AND(#REF!="Diferenciado",$H$4=#REF!),BDI!#REF!,IF(#REF!="ZERO",0))))),"")</f>
        <v>#REF!</v>
      </c>
      <c r="H1065" s="138" t="e">
        <f t="shared" ca="1" si="49"/>
        <v>#REF!</v>
      </c>
      <c r="I1065" s="136" t="e">
        <f t="shared" ca="1" si="50"/>
        <v>#REF!</v>
      </c>
    </row>
    <row r="1066" spans="1:9" hidden="1" x14ac:dyDescent="0.25">
      <c r="A1066" s="113" t="s">
        <v>1199</v>
      </c>
      <c r="B1066" s="114" t="s">
        <v>3150</v>
      </c>
      <c r="C1066" s="115" t="s">
        <v>95</v>
      </c>
      <c r="D1066" s="115">
        <v>0</v>
      </c>
      <c r="E1066" s="135">
        <f ca="1">OFFSET(INDEX(Composições!A:J,MATCH(Orçamentária!A1066,Composições!A:A,0),8),2,0)</f>
        <v>76.786545849999996</v>
      </c>
      <c r="F1066" s="136">
        <f t="shared" ca="1" si="48"/>
        <v>0</v>
      </c>
      <c r="G1066" s="137" t="e">
        <f>IF(A1066&lt;&gt;"",IF(AND(#REF!="Padrão",$H$4=#REF!),BDI!$B$17,IF(AND(#REF!="Padrão",$H$4=#REF!),BDI!#REF!,IF(AND(#REF!="Diferenciado",$H$4=#REF!),BDI!$E$17,IF(AND(#REF!="Diferenciado",$H$4=#REF!),BDI!#REF!,IF(#REF!="ZERO",0))))),"")</f>
        <v>#REF!</v>
      </c>
      <c r="H1066" s="138" t="e">
        <f t="shared" ca="1" si="49"/>
        <v>#REF!</v>
      </c>
      <c r="I1066" s="136" t="e">
        <f t="shared" ca="1" si="50"/>
        <v>#REF!</v>
      </c>
    </row>
    <row r="1067" spans="1:9" hidden="1" x14ac:dyDescent="0.25">
      <c r="A1067" s="113" t="s">
        <v>1202</v>
      </c>
      <c r="B1067" s="114" t="s">
        <v>3151</v>
      </c>
      <c r="C1067" s="115" t="s">
        <v>95</v>
      </c>
      <c r="D1067" s="115">
        <v>0</v>
      </c>
      <c r="E1067" s="135">
        <f ca="1">OFFSET(INDEX(Composições!A:J,MATCH(Orçamentária!A1067,Composições!A:A,0),8),2,0)</f>
        <v>389.99683247914999</v>
      </c>
      <c r="F1067" s="136">
        <f t="shared" ca="1" si="48"/>
        <v>0</v>
      </c>
      <c r="G1067" s="137" t="e">
        <f>IF(A1067&lt;&gt;"",IF(AND(#REF!="Padrão",$H$4=#REF!),BDI!$B$17,IF(AND(#REF!="Padrão",$H$4=#REF!),BDI!#REF!,IF(AND(#REF!="Diferenciado",$H$4=#REF!),BDI!$E$17,IF(AND(#REF!="Diferenciado",$H$4=#REF!),BDI!#REF!,IF(#REF!="ZERO",0))))),"")</f>
        <v>#REF!</v>
      </c>
      <c r="H1067" s="138" t="e">
        <f t="shared" ca="1" si="49"/>
        <v>#REF!</v>
      </c>
      <c r="I1067" s="136" t="e">
        <f t="shared" ca="1" si="50"/>
        <v>#REF!</v>
      </c>
    </row>
    <row r="1068" spans="1:9" hidden="1" x14ac:dyDescent="0.25">
      <c r="A1068" s="113" t="s">
        <v>1204</v>
      </c>
      <c r="B1068" s="114" t="s">
        <v>3152</v>
      </c>
      <c r="C1068" s="115" t="s">
        <v>20</v>
      </c>
      <c r="D1068" s="115">
        <v>0</v>
      </c>
      <c r="E1068" s="135">
        <f ca="1">OFFSET(INDEX(Composições!A:J,MATCH(Orçamentária!A1068,Composições!A:A,0),8),2,0)</f>
        <v>555.61619250000001</v>
      </c>
      <c r="F1068" s="136">
        <f t="shared" ca="1" si="48"/>
        <v>0</v>
      </c>
      <c r="G1068" s="137" t="e">
        <f>IF(A1068&lt;&gt;"",IF(AND(#REF!="Padrão",$H$4=#REF!),BDI!$B$17,IF(AND(#REF!="Padrão",$H$4=#REF!),BDI!#REF!,IF(AND(#REF!="Diferenciado",$H$4=#REF!),BDI!$E$17,IF(AND(#REF!="Diferenciado",$H$4=#REF!),BDI!#REF!,IF(#REF!="ZERO",0))))),"")</f>
        <v>#REF!</v>
      </c>
      <c r="H1068" s="138" t="e">
        <f t="shared" ca="1" si="49"/>
        <v>#REF!</v>
      </c>
      <c r="I1068" s="136" t="e">
        <f t="shared" ca="1" si="50"/>
        <v>#REF!</v>
      </c>
    </row>
    <row r="1069" spans="1:9" hidden="1" x14ac:dyDescent="0.25">
      <c r="A1069" s="113" t="s">
        <v>1214</v>
      </c>
      <c r="B1069" s="114" t="s">
        <v>3153</v>
      </c>
      <c r="C1069" s="115" t="s">
        <v>20</v>
      </c>
      <c r="D1069" s="115">
        <v>0</v>
      </c>
      <c r="E1069" s="135">
        <f ca="1">OFFSET(INDEX(Composições!A:J,MATCH(Orçamentária!A1069,Composições!A:A,0),8),2,0)</f>
        <v>7.8801930000000002</v>
      </c>
      <c r="F1069" s="136">
        <f t="shared" ca="1" si="48"/>
        <v>0</v>
      </c>
      <c r="G1069" s="137" t="e">
        <f>IF(A1069&lt;&gt;"",IF(AND(#REF!="Padrão",$H$4=#REF!),BDI!$B$17,IF(AND(#REF!="Padrão",$H$4=#REF!),BDI!#REF!,IF(AND(#REF!="Diferenciado",$H$4=#REF!),BDI!$E$17,IF(AND(#REF!="Diferenciado",$H$4=#REF!),BDI!#REF!,IF(#REF!="ZERO",0))))),"")</f>
        <v>#REF!</v>
      </c>
      <c r="H1069" s="138" t="e">
        <f t="shared" ca="1" si="49"/>
        <v>#REF!</v>
      </c>
      <c r="I1069" s="136" t="e">
        <f t="shared" ca="1" si="50"/>
        <v>#REF!</v>
      </c>
    </row>
    <row r="1070" spans="1:9" hidden="1" x14ac:dyDescent="0.25">
      <c r="A1070" s="113" t="s">
        <v>1216</v>
      </c>
      <c r="B1070" s="114" t="s">
        <v>3154</v>
      </c>
      <c r="C1070" s="115" t="s">
        <v>111</v>
      </c>
      <c r="D1070" s="115">
        <v>0</v>
      </c>
      <c r="E1070" s="135">
        <f ca="1">OFFSET(INDEX(Composições!A:J,MATCH(Orçamentária!A1070,Composições!A:A,0),8),2,0)</f>
        <v>2846.2037836488848</v>
      </c>
      <c r="F1070" s="136">
        <f t="shared" ca="1" si="48"/>
        <v>0</v>
      </c>
      <c r="G1070" s="137" t="e">
        <f>IF(A1070&lt;&gt;"",IF(AND(#REF!="Padrão",$H$4=#REF!),BDI!$B$17,IF(AND(#REF!="Padrão",$H$4=#REF!),BDI!#REF!,IF(AND(#REF!="Diferenciado",$H$4=#REF!),BDI!$E$17,IF(AND(#REF!="Diferenciado",$H$4=#REF!),BDI!#REF!,IF(#REF!="ZERO",0))))),"")</f>
        <v>#REF!</v>
      </c>
      <c r="H1070" s="138" t="e">
        <f t="shared" ca="1" si="49"/>
        <v>#REF!</v>
      </c>
      <c r="I1070" s="136" t="e">
        <f t="shared" ca="1" si="50"/>
        <v>#REF!</v>
      </c>
    </row>
    <row r="1071" spans="1:9" hidden="1" x14ac:dyDescent="0.25">
      <c r="A1071" s="113" t="s">
        <v>1226</v>
      </c>
      <c r="B1071" s="114" t="s">
        <v>3155</v>
      </c>
      <c r="C1071" s="115" t="s">
        <v>93</v>
      </c>
      <c r="D1071" s="115">
        <v>0</v>
      </c>
      <c r="E1071" s="135">
        <f ca="1">OFFSET(INDEX(Composições!A:J,MATCH(Orçamentária!A1071,Composições!A:A,0),8),2,0)</f>
        <v>16.399964000000001</v>
      </c>
      <c r="F1071" s="136">
        <f t="shared" ca="1" si="48"/>
        <v>0</v>
      </c>
      <c r="G1071" s="137" t="e">
        <f>IF(A1071&lt;&gt;"",IF(AND(#REF!="Padrão",$H$4=#REF!),BDI!$B$17,IF(AND(#REF!="Padrão",$H$4=#REF!),BDI!#REF!,IF(AND(#REF!="Diferenciado",$H$4=#REF!),BDI!$E$17,IF(AND(#REF!="Diferenciado",$H$4=#REF!),BDI!#REF!,IF(#REF!="ZERO",0))))),"")</f>
        <v>#REF!</v>
      </c>
      <c r="H1071" s="138" t="e">
        <f t="shared" ca="1" si="49"/>
        <v>#REF!</v>
      </c>
      <c r="I1071" s="136" t="e">
        <f t="shared" ca="1" si="50"/>
        <v>#REF!</v>
      </c>
    </row>
    <row r="1072" spans="1:9" hidden="1" x14ac:dyDescent="0.25">
      <c r="A1072" s="113" t="s">
        <v>3156</v>
      </c>
      <c r="B1072" s="114" t="s">
        <v>3157</v>
      </c>
      <c r="C1072" s="115" t="s">
        <v>20</v>
      </c>
      <c r="D1072" s="115">
        <v>0</v>
      </c>
      <c r="E1072" s="135" t="s">
        <v>568</v>
      </c>
      <c r="F1072" s="136" t="str">
        <f t="shared" si="48"/>
        <v/>
      </c>
      <c r="G1072" s="137" t="e">
        <f>IF(A1072&lt;&gt;"",IF(AND(#REF!="Padrão",$H$4=#REF!),BDI!$B$17,IF(AND(#REF!="Padrão",$H$4=#REF!),BDI!#REF!,IF(AND(#REF!="Diferenciado",$H$4=#REF!),BDI!$E$17,IF(AND(#REF!="Diferenciado",$H$4=#REF!),BDI!#REF!,IF(#REF!="ZERO",0))))),"")</f>
        <v>#REF!</v>
      </c>
      <c r="H1072" s="138" t="str">
        <f t="shared" si="49"/>
        <v/>
      </c>
      <c r="I1072" s="136" t="str">
        <f t="shared" si="50"/>
        <v/>
      </c>
    </row>
    <row r="1073" spans="1:9" hidden="1" x14ac:dyDescent="0.25">
      <c r="A1073" s="113" t="s">
        <v>1230</v>
      </c>
      <c r="B1073" s="114" t="s">
        <v>3158</v>
      </c>
      <c r="C1073" s="115" t="s">
        <v>93</v>
      </c>
      <c r="D1073" s="115">
        <v>0</v>
      </c>
      <c r="E1073" s="135">
        <f ca="1">OFFSET(INDEX(Composições!A:J,MATCH(Orçamentária!A1073,Composições!A:A,0),8),2,0)</f>
        <v>39.634</v>
      </c>
      <c r="F1073" s="136">
        <f t="shared" ca="1" si="48"/>
        <v>0</v>
      </c>
      <c r="G1073" s="137" t="e">
        <f>IF(A1073&lt;&gt;"",IF(AND(#REF!="Padrão",$H$4=#REF!),BDI!$B$17,IF(AND(#REF!="Padrão",$H$4=#REF!),BDI!#REF!,IF(AND(#REF!="Diferenciado",$H$4=#REF!),BDI!$E$17,IF(AND(#REF!="Diferenciado",$H$4=#REF!),BDI!#REF!,IF(#REF!="ZERO",0))))),"")</f>
        <v>#REF!</v>
      </c>
      <c r="H1073" s="138" t="e">
        <f t="shared" ca="1" si="49"/>
        <v>#REF!</v>
      </c>
      <c r="I1073" s="136" t="e">
        <f t="shared" ca="1" si="50"/>
        <v>#REF!</v>
      </c>
    </row>
    <row r="1074" spans="1:9" hidden="1" x14ac:dyDescent="0.25">
      <c r="A1074" s="113" t="s">
        <v>1232</v>
      </c>
      <c r="B1074" s="114" t="s">
        <v>3159</v>
      </c>
      <c r="C1074" s="115" t="s">
        <v>93</v>
      </c>
      <c r="D1074" s="115">
        <v>0</v>
      </c>
      <c r="E1074" s="135">
        <f ca="1">OFFSET(INDEX(Composições!A:J,MATCH(Orçamentária!A1074,Composições!A:A,0),8),2,0)</f>
        <v>25.727330000000002</v>
      </c>
      <c r="F1074" s="136">
        <f t="shared" ca="1" si="48"/>
        <v>0</v>
      </c>
      <c r="G1074" s="137" t="e">
        <f>IF(A1074&lt;&gt;"",IF(AND(#REF!="Padrão",$H$4=#REF!),BDI!$B$17,IF(AND(#REF!="Padrão",$H$4=#REF!),BDI!#REF!,IF(AND(#REF!="Diferenciado",$H$4=#REF!),BDI!$E$17,IF(AND(#REF!="Diferenciado",$H$4=#REF!),BDI!#REF!,IF(#REF!="ZERO",0))))),"")</f>
        <v>#REF!</v>
      </c>
      <c r="H1074" s="138" t="e">
        <f t="shared" ca="1" si="49"/>
        <v>#REF!</v>
      </c>
      <c r="I1074" s="136" t="e">
        <f t="shared" ca="1" si="50"/>
        <v>#REF!</v>
      </c>
    </row>
    <row r="1075" spans="1:9" hidden="1" x14ac:dyDescent="0.25">
      <c r="A1075" s="113" t="s">
        <v>1234</v>
      </c>
      <c r="B1075" s="114" t="s">
        <v>3160</v>
      </c>
      <c r="C1075" s="115" t="s">
        <v>95</v>
      </c>
      <c r="D1075" s="115">
        <v>0</v>
      </c>
      <c r="E1075" s="135">
        <f ca="1">OFFSET(INDEX(Composições!A:J,MATCH(Orçamentária!A1075,Composições!A:A,0),8),2,0)</f>
        <v>108.13556735000002</v>
      </c>
      <c r="F1075" s="136">
        <f t="shared" ca="1" si="48"/>
        <v>0</v>
      </c>
      <c r="G1075" s="137" t="e">
        <f>IF(A1075&lt;&gt;"",IF(AND(#REF!="Padrão",$H$4=#REF!),BDI!$B$17,IF(AND(#REF!="Padrão",$H$4=#REF!),BDI!#REF!,IF(AND(#REF!="Diferenciado",$H$4=#REF!),BDI!$E$17,IF(AND(#REF!="Diferenciado",$H$4=#REF!),BDI!#REF!,IF(#REF!="ZERO",0))))),"")</f>
        <v>#REF!</v>
      </c>
      <c r="H1075" s="138" t="e">
        <f t="shared" ca="1" si="49"/>
        <v>#REF!</v>
      </c>
      <c r="I1075" s="136" t="e">
        <f t="shared" ca="1" si="50"/>
        <v>#REF!</v>
      </c>
    </row>
    <row r="1076" spans="1:9" hidden="1" x14ac:dyDescent="0.25">
      <c r="A1076" s="113" t="s">
        <v>1236</v>
      </c>
      <c r="B1076" s="114" t="s">
        <v>3161</v>
      </c>
      <c r="C1076" s="115" t="s">
        <v>20</v>
      </c>
      <c r="D1076" s="115">
        <v>0</v>
      </c>
      <c r="E1076" s="135">
        <f ca="1">OFFSET(INDEX(Composições!A:J,MATCH(Orçamentária!A1076,Composições!A:A,0),8),2,0)</f>
        <v>38.167534799999999</v>
      </c>
      <c r="F1076" s="136">
        <f t="shared" ca="1" si="48"/>
        <v>0</v>
      </c>
      <c r="G1076" s="137" t="e">
        <f>IF(A1076&lt;&gt;"",IF(AND(#REF!="Padrão",$H$4=#REF!),BDI!$B$17,IF(AND(#REF!="Padrão",$H$4=#REF!),BDI!#REF!,IF(AND(#REF!="Diferenciado",$H$4=#REF!),BDI!$E$17,IF(AND(#REF!="Diferenciado",$H$4=#REF!),BDI!#REF!,IF(#REF!="ZERO",0))))),"")</f>
        <v>#REF!</v>
      </c>
      <c r="H1076" s="138" t="e">
        <f t="shared" ca="1" si="49"/>
        <v>#REF!</v>
      </c>
      <c r="I1076" s="136" t="e">
        <f t="shared" ca="1" si="50"/>
        <v>#REF!</v>
      </c>
    </row>
    <row r="1077" spans="1:9" hidden="1" x14ac:dyDescent="0.25">
      <c r="A1077" s="113" t="s">
        <v>1238</v>
      </c>
      <c r="B1077" s="114" t="s">
        <v>3162</v>
      </c>
      <c r="C1077" s="115" t="s">
        <v>95</v>
      </c>
      <c r="D1077" s="115">
        <v>0</v>
      </c>
      <c r="E1077" s="135">
        <f ca="1">OFFSET(INDEX(Composições!A:J,MATCH(Orçamentária!A1077,Composições!A:A,0),8),2,0)</f>
        <v>28.499524999999998</v>
      </c>
      <c r="F1077" s="136">
        <f t="shared" ca="1" si="48"/>
        <v>0</v>
      </c>
      <c r="G1077" s="137" t="e">
        <f>IF(A1077&lt;&gt;"",IF(AND(#REF!="Padrão",$H$4=#REF!),BDI!$B$17,IF(AND(#REF!="Padrão",$H$4=#REF!),BDI!#REF!,IF(AND(#REF!="Diferenciado",$H$4=#REF!),BDI!$E$17,IF(AND(#REF!="Diferenciado",$H$4=#REF!),BDI!#REF!,IF(#REF!="ZERO",0))))),"")</f>
        <v>#REF!</v>
      </c>
      <c r="H1077" s="138" t="e">
        <f t="shared" ca="1" si="49"/>
        <v>#REF!</v>
      </c>
      <c r="I1077" s="136" t="e">
        <f t="shared" ca="1" si="50"/>
        <v>#REF!</v>
      </c>
    </row>
    <row r="1078" spans="1:9" hidden="1" x14ac:dyDescent="0.25">
      <c r="A1078" s="113" t="s">
        <v>1240</v>
      </c>
      <c r="B1078" s="114" t="s">
        <v>3163</v>
      </c>
      <c r="C1078" s="115" t="s">
        <v>95</v>
      </c>
      <c r="D1078" s="115">
        <v>0</v>
      </c>
      <c r="E1078" s="135">
        <f ca="1">OFFSET(INDEX(Composições!A:J,MATCH(Orçamentária!A1078,Composições!A:A,0),8),2,0)</f>
        <v>128.53956739885652</v>
      </c>
      <c r="F1078" s="136">
        <f t="shared" ca="1" si="48"/>
        <v>0</v>
      </c>
      <c r="G1078" s="137" t="e">
        <f>IF(A1078&lt;&gt;"",IF(AND(#REF!="Padrão",$H$4=#REF!),BDI!$B$17,IF(AND(#REF!="Padrão",$H$4=#REF!),BDI!#REF!,IF(AND(#REF!="Diferenciado",$H$4=#REF!),BDI!$E$17,IF(AND(#REF!="Diferenciado",$H$4=#REF!),BDI!#REF!,IF(#REF!="ZERO",0))))),"")</f>
        <v>#REF!</v>
      </c>
      <c r="H1078" s="138" t="e">
        <f t="shared" ca="1" si="49"/>
        <v>#REF!</v>
      </c>
      <c r="I1078" s="136" t="e">
        <f t="shared" ca="1" si="50"/>
        <v>#REF!</v>
      </c>
    </row>
    <row r="1079" spans="1:9" hidden="1" x14ac:dyDescent="0.25">
      <c r="A1079" s="113" t="s">
        <v>1242</v>
      </c>
      <c r="B1079" s="114" t="s">
        <v>3164</v>
      </c>
      <c r="C1079" s="115" t="s">
        <v>20</v>
      </c>
      <c r="D1079" s="115">
        <v>0</v>
      </c>
      <c r="E1079" s="135">
        <f ca="1">OFFSET(INDEX(Composições!A:J,MATCH(Orçamentária!A1079,Composições!A:A,0),8),2,0)</f>
        <v>167.05094688939801</v>
      </c>
      <c r="F1079" s="136">
        <f t="shared" ca="1" si="48"/>
        <v>0</v>
      </c>
      <c r="G1079" s="137" t="e">
        <f>IF(A1079&lt;&gt;"",IF(AND(#REF!="Padrão",$H$4=#REF!),BDI!$B$17,IF(AND(#REF!="Padrão",$H$4=#REF!),BDI!#REF!,IF(AND(#REF!="Diferenciado",$H$4=#REF!),BDI!$E$17,IF(AND(#REF!="Diferenciado",$H$4=#REF!),BDI!#REF!,IF(#REF!="ZERO",0))))),"")</f>
        <v>#REF!</v>
      </c>
      <c r="H1079" s="138" t="e">
        <f t="shared" ca="1" si="49"/>
        <v>#REF!</v>
      </c>
      <c r="I1079" s="136" t="e">
        <f t="shared" ca="1" si="50"/>
        <v>#REF!</v>
      </c>
    </row>
    <row r="1080" spans="1:9" hidden="1" x14ac:dyDescent="0.25">
      <c r="A1080" s="113" t="s">
        <v>3165</v>
      </c>
      <c r="B1080" s="114" t="s">
        <v>3166</v>
      </c>
      <c r="C1080" s="115" t="s">
        <v>20</v>
      </c>
      <c r="D1080" s="115">
        <v>0</v>
      </c>
      <c r="E1080" s="135" t="s">
        <v>568</v>
      </c>
      <c r="F1080" s="136" t="str">
        <f t="shared" si="48"/>
        <v/>
      </c>
      <c r="G1080" s="137" t="e">
        <f>IF(A1080&lt;&gt;"",IF(AND(#REF!="Padrão",$H$4=#REF!),BDI!$B$17,IF(AND(#REF!="Padrão",$H$4=#REF!),BDI!#REF!,IF(AND(#REF!="Diferenciado",$H$4=#REF!),BDI!$E$17,IF(AND(#REF!="Diferenciado",$H$4=#REF!),BDI!#REF!,IF(#REF!="ZERO",0))))),"")</f>
        <v>#REF!</v>
      </c>
      <c r="H1080" s="138" t="str">
        <f t="shared" si="49"/>
        <v/>
      </c>
      <c r="I1080" s="136" t="str">
        <f t="shared" si="50"/>
        <v/>
      </c>
    </row>
    <row r="1081" spans="1:9" hidden="1" x14ac:dyDescent="0.25">
      <c r="A1081" s="113" t="s">
        <v>1244</v>
      </c>
      <c r="B1081" s="114" t="s">
        <v>3167</v>
      </c>
      <c r="C1081" s="115" t="s">
        <v>95</v>
      </c>
      <c r="D1081" s="115">
        <v>0</v>
      </c>
      <c r="E1081" s="135">
        <f ca="1">OFFSET(INDEX(Composições!A:J,MATCH(Orçamentária!A1081,Composições!A:A,0),8),2,0)</f>
        <v>25.792880000000004</v>
      </c>
      <c r="F1081" s="136">
        <f t="shared" ca="1" si="48"/>
        <v>0</v>
      </c>
      <c r="G1081" s="137" t="e">
        <f>IF(A1081&lt;&gt;"",IF(AND(#REF!="Padrão",$H$4=#REF!),BDI!$B$17,IF(AND(#REF!="Padrão",$H$4=#REF!),BDI!#REF!,IF(AND(#REF!="Diferenciado",$H$4=#REF!),BDI!$E$17,IF(AND(#REF!="Diferenciado",$H$4=#REF!),BDI!#REF!,IF(#REF!="ZERO",0))))),"")</f>
        <v>#REF!</v>
      </c>
      <c r="H1081" s="138" t="e">
        <f t="shared" ca="1" si="49"/>
        <v>#REF!</v>
      </c>
      <c r="I1081" s="136" t="e">
        <f t="shared" ca="1" si="50"/>
        <v>#REF!</v>
      </c>
    </row>
    <row r="1082" spans="1:9" hidden="1" x14ac:dyDescent="0.25">
      <c r="A1082" s="113" t="s">
        <v>1246</v>
      </c>
      <c r="B1082" s="114" t="s">
        <v>3168</v>
      </c>
      <c r="C1082" s="115" t="s">
        <v>111</v>
      </c>
      <c r="D1082" s="115">
        <v>0</v>
      </c>
      <c r="E1082" s="135">
        <f ca="1">OFFSET(INDEX(Composições!A:J,MATCH(Orçamentária!A1082,Composições!A:A,0),8),2,0)</f>
        <v>181.9203366875</v>
      </c>
      <c r="F1082" s="136">
        <f t="shared" ca="1" si="48"/>
        <v>0</v>
      </c>
      <c r="G1082" s="137" t="e">
        <f>IF(A1082&lt;&gt;"",IF(AND(#REF!="Padrão",$H$4=#REF!),BDI!$B$17,IF(AND(#REF!="Padrão",$H$4=#REF!),BDI!#REF!,IF(AND(#REF!="Diferenciado",$H$4=#REF!),BDI!$E$17,IF(AND(#REF!="Diferenciado",$H$4=#REF!),BDI!#REF!,IF(#REF!="ZERO",0))))),"")</f>
        <v>#REF!</v>
      </c>
      <c r="H1082" s="138" t="e">
        <f t="shared" ca="1" si="49"/>
        <v>#REF!</v>
      </c>
      <c r="I1082" s="136" t="e">
        <f t="shared" ca="1" si="50"/>
        <v>#REF!</v>
      </c>
    </row>
    <row r="1083" spans="1:9" hidden="1" x14ac:dyDescent="0.25">
      <c r="A1083" s="113" t="s">
        <v>1248</v>
      </c>
      <c r="B1083" s="114" t="s">
        <v>3169</v>
      </c>
      <c r="C1083" s="115" t="s">
        <v>93</v>
      </c>
      <c r="D1083" s="115">
        <v>0</v>
      </c>
      <c r="E1083" s="135">
        <f ca="1">OFFSET(INDEX(Composições!A:J,MATCH(Orçamentária!A1083,Composições!A:A,0),8),2,0)</f>
        <v>802.80633499999999</v>
      </c>
      <c r="F1083" s="136">
        <f t="shared" ca="1" si="48"/>
        <v>0</v>
      </c>
      <c r="G1083" s="137" t="e">
        <f>IF(A1083&lt;&gt;"",IF(AND(#REF!="Padrão",$H$4=#REF!),BDI!$B$17,IF(AND(#REF!="Padrão",$H$4=#REF!),BDI!#REF!,IF(AND(#REF!="Diferenciado",$H$4=#REF!),BDI!$E$17,IF(AND(#REF!="Diferenciado",$H$4=#REF!),BDI!#REF!,IF(#REF!="ZERO",0))))),"")</f>
        <v>#REF!</v>
      </c>
      <c r="H1083" s="138" t="e">
        <f t="shared" ca="1" si="49"/>
        <v>#REF!</v>
      </c>
      <c r="I1083" s="136" t="e">
        <f t="shared" ca="1" si="50"/>
        <v>#REF!</v>
      </c>
    </row>
    <row r="1084" spans="1:9" hidden="1" x14ac:dyDescent="0.25">
      <c r="A1084" s="113" t="s">
        <v>3170</v>
      </c>
      <c r="B1084" s="114" t="s">
        <v>3171</v>
      </c>
      <c r="C1084" s="115" t="s">
        <v>95</v>
      </c>
      <c r="D1084" s="115">
        <v>0</v>
      </c>
      <c r="E1084" s="135" t="s">
        <v>568</v>
      </c>
      <c r="F1084" s="136" t="str">
        <f t="shared" si="48"/>
        <v/>
      </c>
      <c r="G1084" s="137" t="e">
        <f>IF(A1084&lt;&gt;"",IF(AND(#REF!="Padrão",$H$4=#REF!),BDI!$B$17,IF(AND(#REF!="Padrão",$H$4=#REF!),BDI!#REF!,IF(AND(#REF!="Diferenciado",$H$4=#REF!),BDI!$E$17,IF(AND(#REF!="Diferenciado",$H$4=#REF!),BDI!#REF!,IF(#REF!="ZERO",0))))),"")</f>
        <v>#REF!</v>
      </c>
      <c r="H1084" s="138" t="str">
        <f t="shared" si="49"/>
        <v/>
      </c>
      <c r="I1084" s="136" t="str">
        <f t="shared" si="50"/>
        <v/>
      </c>
    </row>
    <row r="1085" spans="1:9" hidden="1" x14ac:dyDescent="0.25">
      <c r="A1085" s="113" t="s">
        <v>1255</v>
      </c>
      <c r="B1085" s="114" t="s">
        <v>3172</v>
      </c>
      <c r="C1085" s="115" t="s">
        <v>93</v>
      </c>
      <c r="D1085" s="115">
        <v>0</v>
      </c>
      <c r="E1085" s="135">
        <f ca="1">OFFSET(INDEX(Composições!A:J,MATCH(Orçamentária!A1085,Composições!A:A,0),8),2,0)</f>
        <v>2.0539000000000001</v>
      </c>
      <c r="F1085" s="136">
        <f t="shared" ca="1" si="48"/>
        <v>0</v>
      </c>
      <c r="G1085" s="137" t="e">
        <f>IF(A1085&lt;&gt;"",IF(AND(#REF!="Padrão",$H$4=#REF!),BDI!$B$17,IF(AND(#REF!="Padrão",$H$4=#REF!),BDI!#REF!,IF(AND(#REF!="Diferenciado",$H$4=#REF!),BDI!$E$17,IF(AND(#REF!="Diferenciado",$H$4=#REF!),BDI!#REF!,IF(#REF!="ZERO",0))))),"")</f>
        <v>#REF!</v>
      </c>
      <c r="H1085" s="138" t="e">
        <f t="shared" ca="1" si="49"/>
        <v>#REF!</v>
      </c>
      <c r="I1085" s="136" t="e">
        <f t="shared" ca="1" si="50"/>
        <v>#REF!</v>
      </c>
    </row>
    <row r="1086" spans="1:9" hidden="1" x14ac:dyDescent="0.25">
      <c r="A1086" s="113" t="s">
        <v>3173</v>
      </c>
      <c r="B1086" s="114" t="s">
        <v>3174</v>
      </c>
      <c r="C1086" s="115" t="s">
        <v>93</v>
      </c>
      <c r="D1086" s="115">
        <v>0</v>
      </c>
      <c r="E1086" s="135" t="s">
        <v>568</v>
      </c>
      <c r="F1086" s="136" t="str">
        <f t="shared" si="48"/>
        <v/>
      </c>
      <c r="G1086" s="137" t="e">
        <f>IF(A1086&lt;&gt;"",IF(AND(#REF!="Padrão",$H$4=#REF!),BDI!$B$17,IF(AND(#REF!="Padrão",$H$4=#REF!),BDI!#REF!,IF(AND(#REF!="Diferenciado",$H$4=#REF!),BDI!$E$17,IF(AND(#REF!="Diferenciado",$H$4=#REF!),BDI!#REF!,IF(#REF!="ZERO",0))))),"")</f>
        <v>#REF!</v>
      </c>
      <c r="H1086" s="138" t="str">
        <f t="shared" si="49"/>
        <v/>
      </c>
      <c r="I1086" s="136" t="str">
        <f t="shared" si="50"/>
        <v/>
      </c>
    </row>
    <row r="1087" spans="1:9" x14ac:dyDescent="0.25">
      <c r="A1087" s="197" t="s">
        <v>1257</v>
      </c>
      <c r="B1087" s="198" t="s">
        <v>3175</v>
      </c>
      <c r="C1087" s="199" t="s">
        <v>12</v>
      </c>
      <c r="D1087" s="199">
        <v>738</v>
      </c>
      <c r="E1087" s="135">
        <f ca="1">OFFSET(INDEX(Composições!A:J,MATCH(Orçamentária!A1087,Composições!A:A,0),8),2,0)</f>
        <v>2.4889999999999999</v>
      </c>
      <c r="F1087" s="136">
        <f t="shared" ca="1" si="48"/>
        <v>1836.8819999999998</v>
      </c>
      <c r="G1087" s="137">
        <f>BDI!$B$17</f>
        <v>0.191</v>
      </c>
      <c r="H1087" s="138">
        <f t="shared" ca="1" si="49"/>
        <v>2.96</v>
      </c>
      <c r="I1087" s="136">
        <f t="shared" ca="1" si="50"/>
        <v>2184.48</v>
      </c>
    </row>
    <row r="1088" spans="1:9" x14ac:dyDescent="0.25">
      <c r="A1088" s="197" t="s">
        <v>1259</v>
      </c>
      <c r="B1088" s="198" t="s">
        <v>3176</v>
      </c>
      <c r="C1088" s="199" t="s">
        <v>12</v>
      </c>
      <c r="D1088" s="199">
        <v>738</v>
      </c>
      <c r="E1088" s="135">
        <f ca="1">OFFSET(INDEX(Composições!A:J,MATCH(Orçamentária!A1088,Composições!A:A,0),8),2,0)</f>
        <v>1.3566</v>
      </c>
      <c r="F1088" s="136">
        <f t="shared" ca="1" si="48"/>
        <v>1001.1708</v>
      </c>
      <c r="G1088" s="137">
        <f>BDI!$B$17</f>
        <v>0.191</v>
      </c>
      <c r="H1088" s="138">
        <f t="shared" ca="1" si="49"/>
        <v>1.62</v>
      </c>
      <c r="I1088" s="136">
        <f t="shared" ca="1" si="50"/>
        <v>1195.56</v>
      </c>
    </row>
    <row r="1089" spans="1:9" x14ac:dyDescent="0.25">
      <c r="A1089" s="197" t="s">
        <v>3177</v>
      </c>
      <c r="B1089" s="198" t="s">
        <v>3178</v>
      </c>
      <c r="C1089" s="199" t="s">
        <v>20</v>
      </c>
      <c r="D1089" s="199">
        <v>1</v>
      </c>
      <c r="E1089" s="212">
        <v>100</v>
      </c>
      <c r="F1089" s="136">
        <f t="shared" si="48"/>
        <v>100</v>
      </c>
      <c r="G1089" s="137">
        <f>BDI!$E$17</f>
        <v>0.11260000000000001</v>
      </c>
      <c r="H1089" s="138">
        <f t="shared" si="49"/>
        <v>111.26</v>
      </c>
      <c r="I1089" s="136">
        <f t="shared" si="50"/>
        <v>111.26</v>
      </c>
    </row>
    <row r="1090" spans="1:9" x14ac:dyDescent="0.25">
      <c r="A1090" s="197" t="s">
        <v>3179</v>
      </c>
      <c r="B1090" s="198" t="s">
        <v>3180</v>
      </c>
      <c r="C1090" s="199" t="s">
        <v>20</v>
      </c>
      <c r="D1090" s="199">
        <v>1</v>
      </c>
      <c r="E1090" s="212">
        <v>600</v>
      </c>
      <c r="F1090" s="136">
        <f t="shared" si="48"/>
        <v>600</v>
      </c>
      <c r="G1090" s="137">
        <f>BDI!$E$17</f>
        <v>0.11260000000000001</v>
      </c>
      <c r="H1090" s="138">
        <f t="shared" si="49"/>
        <v>667.56</v>
      </c>
      <c r="I1090" s="136">
        <f t="shared" si="50"/>
        <v>667.56</v>
      </c>
    </row>
    <row r="1091" spans="1:9" hidden="1" x14ac:dyDescent="0.25">
      <c r="A1091" s="113" t="s">
        <v>3181</v>
      </c>
      <c r="B1091" s="114" t="s">
        <v>3182</v>
      </c>
      <c r="C1091" s="115" t="s">
        <v>20</v>
      </c>
      <c r="D1091" s="115">
        <v>0</v>
      </c>
      <c r="E1091" s="135" t="s">
        <v>568</v>
      </c>
      <c r="F1091" s="136" t="str">
        <f t="shared" si="48"/>
        <v/>
      </c>
      <c r="G1091" s="137" t="e">
        <f>IF(A1091&lt;&gt;"",IF(AND(#REF!="Padrão",$H$4=#REF!),BDI!$B$17,IF(AND(#REF!="Padrão",$H$4=#REF!),BDI!#REF!,IF(AND(#REF!="Diferenciado",$H$4=#REF!),BDI!$E$17,IF(AND(#REF!="Diferenciado",$H$4=#REF!),BDI!#REF!,IF(#REF!="ZERO",0))))),"")</f>
        <v>#REF!</v>
      </c>
      <c r="H1091" s="138" t="str">
        <f t="shared" si="49"/>
        <v/>
      </c>
      <c r="I1091" s="136" t="str">
        <f t="shared" si="50"/>
        <v/>
      </c>
    </row>
    <row r="1092" spans="1:9" hidden="1" x14ac:dyDescent="0.25">
      <c r="A1092" s="113" t="s">
        <v>3183</v>
      </c>
      <c r="B1092" s="114" t="s">
        <v>3184</v>
      </c>
      <c r="C1092" s="115" t="s">
        <v>2061</v>
      </c>
      <c r="D1092" s="115">
        <v>0</v>
      </c>
      <c r="E1092" s="135" t="s">
        <v>568</v>
      </c>
      <c r="F1092" s="136" t="str">
        <f t="shared" si="48"/>
        <v/>
      </c>
      <c r="G1092" s="137" t="e">
        <f>IF(A1092&lt;&gt;"",IF(AND(#REF!="Padrão",$H$4=#REF!),BDI!$B$17,IF(AND(#REF!="Padrão",$H$4=#REF!),BDI!#REF!,IF(AND(#REF!="Diferenciado",$H$4=#REF!),BDI!$E$17,IF(AND(#REF!="Diferenciado",$H$4=#REF!),BDI!#REF!,IF(#REF!="ZERO",0))))),"")</f>
        <v>#REF!</v>
      </c>
      <c r="H1092" s="138" t="str">
        <f t="shared" si="49"/>
        <v/>
      </c>
      <c r="I1092" s="136" t="str">
        <f t="shared" si="50"/>
        <v/>
      </c>
    </row>
    <row r="1093" spans="1:9" hidden="1" x14ac:dyDescent="0.25">
      <c r="A1093" s="113" t="s">
        <v>1261</v>
      </c>
      <c r="B1093" s="114" t="s">
        <v>3185</v>
      </c>
      <c r="C1093" s="115" t="s">
        <v>20</v>
      </c>
      <c r="D1093" s="115">
        <v>0</v>
      </c>
      <c r="E1093" s="135">
        <f ca="1">OFFSET(INDEX(Composições!A:J,MATCH(Orçamentária!A1093,Composições!A:A,0),8),2,0)</f>
        <v>41.014644499999996</v>
      </c>
      <c r="F1093" s="136">
        <f t="shared" ca="1" si="48"/>
        <v>0</v>
      </c>
      <c r="G1093" s="137" t="e">
        <f>IF(A1093&lt;&gt;"",IF(AND(#REF!="Padrão",$H$4=#REF!),BDI!$B$17,IF(AND(#REF!="Padrão",$H$4=#REF!),BDI!#REF!,IF(AND(#REF!="Diferenciado",$H$4=#REF!),BDI!$E$17,IF(AND(#REF!="Diferenciado",$H$4=#REF!),BDI!#REF!,IF(#REF!="ZERO",0))))),"")</f>
        <v>#REF!</v>
      </c>
      <c r="H1093" s="138" t="e">
        <f t="shared" ca="1" si="49"/>
        <v>#REF!</v>
      </c>
      <c r="I1093" s="136" t="e">
        <f t="shared" ca="1" si="50"/>
        <v>#REF!</v>
      </c>
    </row>
    <row r="1094" spans="1:9" hidden="1" x14ac:dyDescent="0.25">
      <c r="A1094" s="113" t="s">
        <v>1266</v>
      </c>
      <c r="B1094" s="114" t="s">
        <v>3186</v>
      </c>
      <c r="C1094" s="115" t="s">
        <v>20</v>
      </c>
      <c r="D1094" s="115">
        <v>0</v>
      </c>
      <c r="E1094" s="135">
        <f ca="1">OFFSET(INDEX(Composições!A:J,MATCH(Orçamentária!A1094,Composições!A:A,0),8),2,0)</f>
        <v>62.398022550000007</v>
      </c>
      <c r="F1094" s="136">
        <f t="shared" ca="1" si="48"/>
        <v>0</v>
      </c>
      <c r="G1094" s="137" t="e">
        <f>IF(A1094&lt;&gt;"",IF(AND(#REF!="Padrão",$H$4=#REF!),BDI!$B$17,IF(AND(#REF!="Padrão",$H$4=#REF!),BDI!#REF!,IF(AND(#REF!="Diferenciado",$H$4=#REF!),BDI!$E$17,IF(AND(#REF!="Diferenciado",$H$4=#REF!),BDI!#REF!,IF(#REF!="ZERO",0))))),"")</f>
        <v>#REF!</v>
      </c>
      <c r="H1094" s="138" t="e">
        <f t="shared" ca="1" si="49"/>
        <v>#REF!</v>
      </c>
      <c r="I1094" s="136" t="e">
        <f t="shared" ca="1" si="50"/>
        <v>#REF!</v>
      </c>
    </row>
    <row r="1095" spans="1:9" hidden="1" x14ac:dyDescent="0.25">
      <c r="A1095" s="113" t="s">
        <v>1268</v>
      </c>
      <c r="B1095" s="114" t="s">
        <v>3187</v>
      </c>
      <c r="C1095" s="115" t="s">
        <v>20</v>
      </c>
      <c r="D1095" s="115">
        <v>0</v>
      </c>
      <c r="E1095" s="135">
        <f ca="1">OFFSET(INDEX(Composições!A:J,MATCH(Orçamentária!A1095,Composições!A:A,0),8),2,0)</f>
        <v>15.074071799999999</v>
      </c>
      <c r="F1095" s="136">
        <f t="shared" ref="F1095:F1158" ca="1" si="51">IF(ISNUMBER(E1095),D1095*E1095,"")</f>
        <v>0</v>
      </c>
      <c r="G1095" s="137" t="e">
        <f>IF(A1095&lt;&gt;"",IF(AND(#REF!="Padrão",$H$4=#REF!),BDI!$B$17,IF(AND(#REF!="Padrão",$H$4=#REF!),BDI!#REF!,IF(AND(#REF!="Diferenciado",$H$4=#REF!),BDI!$E$17,IF(AND(#REF!="Diferenciado",$H$4=#REF!),BDI!#REF!,IF(#REF!="ZERO",0))))),"")</f>
        <v>#REF!</v>
      </c>
      <c r="H1095" s="138" t="e">
        <f t="shared" ref="H1095:H1158" ca="1" si="52">IF(ISNUMBER(E1095),ROUND(E1095*(1+G1095),2),"")</f>
        <v>#REF!</v>
      </c>
      <c r="I1095" s="136" t="e">
        <f t="shared" ref="I1095:I1158" ca="1" si="53">IF(ISNUMBER(E1095),ROUND(H1095*D1095,2),"")</f>
        <v>#REF!</v>
      </c>
    </row>
    <row r="1096" spans="1:9" hidden="1" x14ac:dyDescent="0.25">
      <c r="A1096" s="113" t="s">
        <v>3188</v>
      </c>
      <c r="B1096" s="114" t="s">
        <v>3189</v>
      </c>
      <c r="C1096" s="115" t="s">
        <v>20</v>
      </c>
      <c r="D1096" s="115">
        <v>0</v>
      </c>
      <c r="E1096" s="135" t="s">
        <v>568</v>
      </c>
      <c r="F1096" s="136" t="str">
        <f t="shared" si="51"/>
        <v/>
      </c>
      <c r="G1096" s="137" t="e">
        <f>IF(A1096&lt;&gt;"",IF(AND(#REF!="Padrão",$H$4=#REF!),BDI!$B$17,IF(AND(#REF!="Padrão",$H$4=#REF!),BDI!#REF!,IF(AND(#REF!="Diferenciado",$H$4=#REF!),BDI!$E$17,IF(AND(#REF!="Diferenciado",$H$4=#REF!),BDI!#REF!,IF(#REF!="ZERO",0))))),"")</f>
        <v>#REF!</v>
      </c>
      <c r="H1096" s="138" t="str">
        <f t="shared" si="52"/>
        <v/>
      </c>
      <c r="I1096" s="136" t="str">
        <f t="shared" si="53"/>
        <v/>
      </c>
    </row>
    <row r="1097" spans="1:9" hidden="1" x14ac:dyDescent="0.25">
      <c r="A1097" s="113" t="s">
        <v>1270</v>
      </c>
      <c r="B1097" s="114" t="s">
        <v>3190</v>
      </c>
      <c r="C1097" s="115" t="s">
        <v>20</v>
      </c>
      <c r="D1097" s="115">
        <v>0</v>
      </c>
      <c r="E1097" s="135">
        <f ca="1">OFFSET(INDEX(Composições!A:J,MATCH(Orçamentária!A1097,Composições!A:A,0),8),2,0)</f>
        <v>26.7130595</v>
      </c>
      <c r="F1097" s="136">
        <f t="shared" ca="1" si="51"/>
        <v>0</v>
      </c>
      <c r="G1097" s="137" t="e">
        <f>IF(A1097&lt;&gt;"",IF(AND(#REF!="Padrão",$H$4=#REF!),BDI!$B$17,IF(AND(#REF!="Padrão",$H$4=#REF!),BDI!#REF!,IF(AND(#REF!="Diferenciado",$H$4=#REF!),BDI!$E$17,IF(AND(#REF!="Diferenciado",$H$4=#REF!),BDI!#REF!,IF(#REF!="ZERO",0))))),"")</f>
        <v>#REF!</v>
      </c>
      <c r="H1097" s="138" t="e">
        <f t="shared" ca="1" si="52"/>
        <v>#REF!</v>
      </c>
      <c r="I1097" s="136" t="e">
        <f t="shared" ca="1" si="53"/>
        <v>#REF!</v>
      </c>
    </row>
    <row r="1098" spans="1:9" hidden="1" x14ac:dyDescent="0.25">
      <c r="A1098" s="113" t="s">
        <v>1272</v>
      </c>
      <c r="B1098" s="114" t="s">
        <v>3191</v>
      </c>
      <c r="C1098" s="115" t="s">
        <v>20</v>
      </c>
      <c r="D1098" s="115">
        <v>0</v>
      </c>
      <c r="E1098" s="135">
        <f ca="1">OFFSET(INDEX(Composições!A:J,MATCH(Orçamentária!A1098,Composições!A:A,0),8),2,0)</f>
        <v>35.600346550000005</v>
      </c>
      <c r="F1098" s="136">
        <f t="shared" ca="1" si="51"/>
        <v>0</v>
      </c>
      <c r="G1098" s="137" t="e">
        <f>IF(A1098&lt;&gt;"",IF(AND(#REF!="Padrão",$H$4=#REF!),BDI!$B$17,IF(AND(#REF!="Padrão",$H$4=#REF!),BDI!#REF!,IF(AND(#REF!="Diferenciado",$H$4=#REF!),BDI!$E$17,IF(AND(#REF!="Diferenciado",$H$4=#REF!),BDI!#REF!,IF(#REF!="ZERO",0))))),"")</f>
        <v>#REF!</v>
      </c>
      <c r="H1098" s="138" t="e">
        <f t="shared" ca="1" si="52"/>
        <v>#REF!</v>
      </c>
      <c r="I1098" s="136" t="e">
        <f t="shared" ca="1" si="53"/>
        <v>#REF!</v>
      </c>
    </row>
    <row r="1099" spans="1:9" hidden="1" x14ac:dyDescent="0.25">
      <c r="A1099" s="113" t="s">
        <v>1274</v>
      </c>
      <c r="B1099" s="114" t="s">
        <v>3192</v>
      </c>
      <c r="C1099" s="115" t="s">
        <v>20</v>
      </c>
      <c r="D1099" s="115">
        <v>0</v>
      </c>
      <c r="E1099" s="135">
        <f ca="1">OFFSET(INDEX(Composições!A:J,MATCH(Orçamentária!A1099,Composições!A:A,0),8),2,0)</f>
        <v>8.6641558000000014</v>
      </c>
      <c r="F1099" s="136">
        <f t="shared" ca="1" si="51"/>
        <v>0</v>
      </c>
      <c r="G1099" s="137" t="e">
        <f>IF(A1099&lt;&gt;"",IF(AND(#REF!="Padrão",$H$4=#REF!),BDI!$B$17,IF(AND(#REF!="Padrão",$H$4=#REF!),BDI!#REF!,IF(AND(#REF!="Diferenciado",$H$4=#REF!),BDI!$E$17,IF(AND(#REF!="Diferenciado",$H$4=#REF!),BDI!#REF!,IF(#REF!="ZERO",0))))),"")</f>
        <v>#REF!</v>
      </c>
      <c r="H1099" s="138" t="e">
        <f t="shared" ca="1" si="52"/>
        <v>#REF!</v>
      </c>
      <c r="I1099" s="136" t="e">
        <f t="shared" ca="1" si="53"/>
        <v>#REF!</v>
      </c>
    </row>
    <row r="1100" spans="1:9" ht="25.5" hidden="1" x14ac:dyDescent="0.25">
      <c r="A1100" s="113" t="s">
        <v>3193</v>
      </c>
      <c r="B1100" s="114" t="s">
        <v>3194</v>
      </c>
      <c r="C1100" s="115" t="s">
        <v>20</v>
      </c>
      <c r="D1100" s="115">
        <v>0</v>
      </c>
      <c r="E1100" s="135" t="s">
        <v>568</v>
      </c>
      <c r="F1100" s="136" t="str">
        <f t="shared" si="51"/>
        <v/>
      </c>
      <c r="G1100" s="137" t="e">
        <f>IF(A1100&lt;&gt;"",IF(AND(#REF!="Padrão",$H$4=#REF!),BDI!$B$17,IF(AND(#REF!="Padrão",$H$4=#REF!),BDI!#REF!,IF(AND(#REF!="Diferenciado",$H$4=#REF!),BDI!$E$17,IF(AND(#REF!="Diferenciado",$H$4=#REF!),BDI!#REF!,IF(#REF!="ZERO",0))))),"")</f>
        <v>#REF!</v>
      </c>
      <c r="H1100" s="138" t="str">
        <f t="shared" si="52"/>
        <v/>
      </c>
      <c r="I1100" s="136" t="str">
        <f t="shared" si="53"/>
        <v/>
      </c>
    </row>
    <row r="1101" spans="1:9" ht="25.5" hidden="1" x14ac:dyDescent="0.25">
      <c r="A1101" s="113" t="s">
        <v>3195</v>
      </c>
      <c r="B1101" s="114" t="s">
        <v>3196</v>
      </c>
      <c r="C1101" s="115" t="s">
        <v>20</v>
      </c>
      <c r="D1101" s="115">
        <v>0</v>
      </c>
      <c r="E1101" s="135" t="s">
        <v>568</v>
      </c>
      <c r="F1101" s="136" t="str">
        <f t="shared" si="51"/>
        <v/>
      </c>
      <c r="G1101" s="137" t="e">
        <f>IF(A1101&lt;&gt;"",IF(AND(#REF!="Padrão",$H$4=#REF!),BDI!$B$17,IF(AND(#REF!="Padrão",$H$4=#REF!),BDI!#REF!,IF(AND(#REF!="Diferenciado",$H$4=#REF!),BDI!$E$17,IF(AND(#REF!="Diferenciado",$H$4=#REF!),BDI!#REF!,IF(#REF!="ZERO",0))))),"")</f>
        <v>#REF!</v>
      </c>
      <c r="H1101" s="138" t="str">
        <f t="shared" si="52"/>
        <v/>
      </c>
      <c r="I1101" s="136" t="str">
        <f t="shared" si="53"/>
        <v/>
      </c>
    </row>
    <row r="1102" spans="1:9" hidden="1" x14ac:dyDescent="0.25">
      <c r="A1102" s="113" t="s">
        <v>1276</v>
      </c>
      <c r="B1102" s="114" t="s">
        <v>3197</v>
      </c>
      <c r="C1102" s="115" t="s">
        <v>93</v>
      </c>
      <c r="D1102" s="115">
        <v>0</v>
      </c>
      <c r="E1102" s="135">
        <f ca="1">OFFSET(INDEX(Composições!A:J,MATCH(Orçamentária!A1102,Composições!A:A,0),8),2,0)</f>
        <v>130.00577099999998</v>
      </c>
      <c r="F1102" s="136">
        <f t="shared" ca="1" si="51"/>
        <v>0</v>
      </c>
      <c r="G1102" s="137" t="e">
        <f>IF(A1102&lt;&gt;"",IF(AND(#REF!="Padrão",$H$4=#REF!),BDI!$B$17,IF(AND(#REF!="Padrão",$H$4=#REF!),BDI!#REF!,IF(AND(#REF!="Diferenciado",$H$4=#REF!),BDI!$E$17,IF(AND(#REF!="Diferenciado",$H$4=#REF!),BDI!#REF!,IF(#REF!="ZERO",0))))),"")</f>
        <v>#REF!</v>
      </c>
      <c r="H1102" s="138" t="e">
        <f t="shared" ca="1" si="52"/>
        <v>#REF!</v>
      </c>
      <c r="I1102" s="136" t="e">
        <f t="shared" ca="1" si="53"/>
        <v>#REF!</v>
      </c>
    </row>
    <row r="1103" spans="1:9" hidden="1" x14ac:dyDescent="0.25">
      <c r="A1103" s="113" t="s">
        <v>1278</v>
      </c>
      <c r="B1103" s="114" t="s">
        <v>3198</v>
      </c>
      <c r="C1103" s="115" t="s">
        <v>93</v>
      </c>
      <c r="D1103" s="115">
        <v>0</v>
      </c>
      <c r="E1103" s="135">
        <f ca="1">OFFSET(INDEX(Composições!A:J,MATCH(Orçamentária!A1103,Composições!A:A,0),8),2,0)</f>
        <v>156.28140204999997</v>
      </c>
      <c r="F1103" s="136">
        <f t="shared" ca="1" si="51"/>
        <v>0</v>
      </c>
      <c r="G1103" s="137" t="e">
        <f>IF(A1103&lt;&gt;"",IF(AND(#REF!="Padrão",$H$4=#REF!),BDI!$B$17,IF(AND(#REF!="Padrão",$H$4=#REF!),BDI!#REF!,IF(AND(#REF!="Diferenciado",$H$4=#REF!),BDI!$E$17,IF(AND(#REF!="Diferenciado",$H$4=#REF!),BDI!#REF!,IF(#REF!="ZERO",0))))),"")</f>
        <v>#REF!</v>
      </c>
      <c r="H1103" s="138" t="e">
        <f t="shared" ca="1" si="52"/>
        <v>#REF!</v>
      </c>
      <c r="I1103" s="136" t="e">
        <f t="shared" ca="1" si="53"/>
        <v>#REF!</v>
      </c>
    </row>
    <row r="1104" spans="1:9" hidden="1" x14ac:dyDescent="0.25">
      <c r="A1104" s="113" t="s">
        <v>3199</v>
      </c>
      <c r="B1104" s="114" t="s">
        <v>3200</v>
      </c>
      <c r="C1104" s="115" t="s">
        <v>20</v>
      </c>
      <c r="D1104" s="115">
        <v>0</v>
      </c>
      <c r="E1104" s="135" t="s">
        <v>568</v>
      </c>
      <c r="F1104" s="136" t="str">
        <f t="shared" si="51"/>
        <v/>
      </c>
      <c r="G1104" s="137" t="e">
        <f>IF(A1104&lt;&gt;"",IF(AND(#REF!="Padrão",$H$4=#REF!),BDI!$B$17,IF(AND(#REF!="Padrão",$H$4=#REF!),BDI!#REF!,IF(AND(#REF!="Diferenciado",$H$4=#REF!),BDI!$E$17,IF(AND(#REF!="Diferenciado",$H$4=#REF!),BDI!#REF!,IF(#REF!="ZERO",0))))),"")</f>
        <v>#REF!</v>
      </c>
      <c r="H1104" s="138" t="str">
        <f t="shared" si="52"/>
        <v/>
      </c>
      <c r="I1104" s="136" t="str">
        <f t="shared" si="53"/>
        <v/>
      </c>
    </row>
    <row r="1105" spans="1:9" hidden="1" x14ac:dyDescent="0.25">
      <c r="A1105" s="113" t="s">
        <v>3201</v>
      </c>
      <c r="B1105" s="114" t="s">
        <v>3202</v>
      </c>
      <c r="C1105" s="115" t="s">
        <v>20</v>
      </c>
      <c r="D1105" s="115">
        <v>0</v>
      </c>
      <c r="E1105" s="135" t="s">
        <v>568</v>
      </c>
      <c r="F1105" s="136" t="str">
        <f t="shared" si="51"/>
        <v/>
      </c>
      <c r="G1105" s="137" t="e">
        <f>IF(A1105&lt;&gt;"",IF(AND(#REF!="Padrão",$H$4=#REF!),BDI!$B$17,IF(AND(#REF!="Padrão",$H$4=#REF!),BDI!#REF!,IF(AND(#REF!="Diferenciado",$H$4=#REF!),BDI!$E$17,IF(AND(#REF!="Diferenciado",$H$4=#REF!),BDI!#REF!,IF(#REF!="ZERO",0))))),"")</f>
        <v>#REF!</v>
      </c>
      <c r="H1105" s="138" t="str">
        <f t="shared" si="52"/>
        <v/>
      </c>
      <c r="I1105" s="136" t="str">
        <f t="shared" si="53"/>
        <v/>
      </c>
    </row>
    <row r="1106" spans="1:9" hidden="1" x14ac:dyDescent="0.25">
      <c r="A1106" s="113" t="s">
        <v>1280</v>
      </c>
      <c r="B1106" s="114" t="s">
        <v>3203</v>
      </c>
      <c r="C1106" s="115" t="s">
        <v>93</v>
      </c>
      <c r="D1106" s="115">
        <v>0</v>
      </c>
      <c r="E1106" s="135">
        <f ca="1">OFFSET(INDEX(Composições!A:J,MATCH(Orçamentária!A1106,Composições!A:A,0),8),2,0)</f>
        <v>34.673032550000002</v>
      </c>
      <c r="F1106" s="136">
        <f t="shared" ca="1" si="51"/>
        <v>0</v>
      </c>
      <c r="G1106" s="137" t="e">
        <f>IF(A1106&lt;&gt;"",IF(AND(#REF!="Padrão",$H$4=#REF!),BDI!$B$17,IF(AND(#REF!="Padrão",$H$4=#REF!),BDI!#REF!,IF(AND(#REF!="Diferenciado",$H$4=#REF!),BDI!$E$17,IF(AND(#REF!="Diferenciado",$H$4=#REF!),BDI!#REF!,IF(#REF!="ZERO",0))))),"")</f>
        <v>#REF!</v>
      </c>
      <c r="H1106" s="138" t="e">
        <f t="shared" ca="1" si="52"/>
        <v>#REF!</v>
      </c>
      <c r="I1106" s="136" t="e">
        <f t="shared" ca="1" si="53"/>
        <v>#REF!</v>
      </c>
    </row>
    <row r="1107" spans="1:9" hidden="1" x14ac:dyDescent="0.25">
      <c r="A1107" s="113" t="s">
        <v>1282</v>
      </c>
      <c r="B1107" s="114" t="s">
        <v>3204</v>
      </c>
      <c r="C1107" s="115" t="s">
        <v>2601</v>
      </c>
      <c r="D1107" s="115">
        <v>0</v>
      </c>
      <c r="E1107" s="135">
        <f ca="1">OFFSET(INDEX(Composições!A:J,MATCH(Orçamentária!A1107,Composições!A:A,0),8),2,0)</f>
        <v>1723.9577799999997</v>
      </c>
      <c r="F1107" s="136">
        <f t="shared" ca="1" si="51"/>
        <v>0</v>
      </c>
      <c r="G1107" s="137" t="e">
        <f>IF(A1107&lt;&gt;"",IF(AND(#REF!="Padrão",$H$4=#REF!),BDI!$B$17,IF(AND(#REF!="Padrão",$H$4=#REF!),BDI!#REF!,IF(AND(#REF!="Diferenciado",$H$4=#REF!),BDI!$E$17,IF(AND(#REF!="Diferenciado",$H$4=#REF!),BDI!#REF!,IF(#REF!="ZERO",0))))),"")</f>
        <v>#REF!</v>
      </c>
      <c r="H1107" s="138" t="e">
        <f t="shared" ca="1" si="52"/>
        <v>#REF!</v>
      </c>
      <c r="I1107" s="136" t="e">
        <f t="shared" ca="1" si="53"/>
        <v>#REF!</v>
      </c>
    </row>
    <row r="1108" spans="1:9" hidden="1" x14ac:dyDescent="0.25">
      <c r="A1108" s="113" t="s">
        <v>3205</v>
      </c>
      <c r="B1108" s="114" t="s">
        <v>3206</v>
      </c>
      <c r="C1108" s="115" t="s">
        <v>2818</v>
      </c>
      <c r="D1108" s="115">
        <v>0</v>
      </c>
      <c r="E1108" s="135" t="s">
        <v>568</v>
      </c>
      <c r="F1108" s="136" t="str">
        <f t="shared" si="51"/>
        <v/>
      </c>
      <c r="G1108" s="137" t="e">
        <f>IF(A1108&lt;&gt;"",IF(AND(#REF!="Padrão",$H$4=#REF!),BDI!$B$17,IF(AND(#REF!="Padrão",$H$4=#REF!),BDI!#REF!,IF(AND(#REF!="Diferenciado",$H$4=#REF!),BDI!$E$17,IF(AND(#REF!="Diferenciado",$H$4=#REF!),BDI!#REF!,IF(#REF!="ZERO",0))))),"")</f>
        <v>#REF!</v>
      </c>
      <c r="H1108" s="138" t="str">
        <f t="shared" si="52"/>
        <v/>
      </c>
      <c r="I1108" s="136" t="str">
        <f t="shared" si="53"/>
        <v/>
      </c>
    </row>
    <row r="1109" spans="1:9" hidden="1" x14ac:dyDescent="0.25">
      <c r="A1109" s="113" t="s">
        <v>1284</v>
      </c>
      <c r="B1109" s="114" t="s">
        <v>3207</v>
      </c>
      <c r="C1109" s="115" t="s">
        <v>95</v>
      </c>
      <c r="D1109" s="115">
        <v>0</v>
      </c>
      <c r="E1109" s="135">
        <f ca="1">OFFSET(INDEX(Composições!A:J,MATCH(Orçamentária!A1109,Composições!A:A,0),8),2,0)</f>
        <v>10.065250000000001</v>
      </c>
      <c r="F1109" s="136">
        <f t="shared" ca="1" si="51"/>
        <v>0</v>
      </c>
      <c r="G1109" s="137" t="e">
        <f>IF(A1109&lt;&gt;"",IF(AND(#REF!="Padrão",$H$4=#REF!),BDI!$B$17,IF(AND(#REF!="Padrão",$H$4=#REF!),BDI!#REF!,IF(AND(#REF!="Diferenciado",$H$4=#REF!),BDI!$E$17,IF(AND(#REF!="Diferenciado",$H$4=#REF!),BDI!#REF!,IF(#REF!="ZERO",0))))),"")</f>
        <v>#REF!</v>
      </c>
      <c r="H1109" s="138" t="e">
        <f t="shared" ca="1" si="52"/>
        <v>#REF!</v>
      </c>
      <c r="I1109" s="136" t="e">
        <f t="shared" ca="1" si="53"/>
        <v>#REF!</v>
      </c>
    </row>
    <row r="1110" spans="1:9" hidden="1" x14ac:dyDescent="0.25">
      <c r="A1110" s="113" t="s">
        <v>1286</v>
      </c>
      <c r="B1110" s="114" t="s">
        <v>3208</v>
      </c>
      <c r="C1110" s="115" t="s">
        <v>95</v>
      </c>
      <c r="D1110" s="115">
        <v>0</v>
      </c>
      <c r="E1110" s="135">
        <f ca="1">OFFSET(INDEX(Composições!A:J,MATCH(Orçamentária!A1110,Composições!A:A,0),8),2,0)</f>
        <v>38.013300000000001</v>
      </c>
      <c r="F1110" s="136">
        <f t="shared" ca="1" si="51"/>
        <v>0</v>
      </c>
      <c r="G1110" s="137" t="e">
        <f>IF(A1110&lt;&gt;"",IF(AND(#REF!="Padrão",$H$4=#REF!),BDI!$B$17,IF(AND(#REF!="Padrão",$H$4=#REF!),BDI!#REF!,IF(AND(#REF!="Diferenciado",$H$4=#REF!),BDI!$E$17,IF(AND(#REF!="Diferenciado",$H$4=#REF!),BDI!#REF!,IF(#REF!="ZERO",0))))),"")</f>
        <v>#REF!</v>
      </c>
      <c r="H1110" s="138" t="e">
        <f t="shared" ca="1" si="52"/>
        <v>#REF!</v>
      </c>
      <c r="I1110" s="136" t="e">
        <f t="shared" ca="1" si="53"/>
        <v>#REF!</v>
      </c>
    </row>
    <row r="1111" spans="1:9" ht="25.5" hidden="1" x14ac:dyDescent="0.25">
      <c r="A1111" s="113" t="s">
        <v>1289</v>
      </c>
      <c r="B1111" s="114" t="s">
        <v>3209</v>
      </c>
      <c r="C1111" s="115" t="s">
        <v>95</v>
      </c>
      <c r="D1111" s="115">
        <v>0</v>
      </c>
      <c r="E1111" s="135">
        <f ca="1">OFFSET(INDEX(Composições!A:J,MATCH(Orçamentária!A1111,Composições!A:A,0),8),2,0)</f>
        <v>43.224525</v>
      </c>
      <c r="F1111" s="136">
        <f t="shared" ca="1" si="51"/>
        <v>0</v>
      </c>
      <c r="G1111" s="137" t="e">
        <f>IF(A1111&lt;&gt;"",IF(AND(#REF!="Padrão",$H$4=#REF!),BDI!$B$17,IF(AND(#REF!="Padrão",$H$4=#REF!),BDI!#REF!,IF(AND(#REF!="Diferenciado",$H$4=#REF!),BDI!$E$17,IF(AND(#REF!="Diferenciado",$H$4=#REF!),BDI!#REF!,IF(#REF!="ZERO",0))))),"")</f>
        <v>#REF!</v>
      </c>
      <c r="H1111" s="138" t="e">
        <f t="shared" ca="1" si="52"/>
        <v>#REF!</v>
      </c>
      <c r="I1111" s="136" t="e">
        <f t="shared" ca="1" si="53"/>
        <v>#REF!</v>
      </c>
    </row>
    <row r="1112" spans="1:9" hidden="1" x14ac:dyDescent="0.25">
      <c r="A1112" s="113" t="s">
        <v>1291</v>
      </c>
      <c r="B1112" s="114" t="s">
        <v>3210</v>
      </c>
      <c r="C1112" s="115" t="s">
        <v>95</v>
      </c>
      <c r="D1112" s="115">
        <v>0</v>
      </c>
      <c r="E1112" s="135">
        <f ca="1">OFFSET(INDEX(Composições!A:J,MATCH(Orçamentária!A1112,Composições!A:A,0),8),2,0)</f>
        <v>43.224525</v>
      </c>
      <c r="F1112" s="136">
        <f t="shared" ca="1" si="51"/>
        <v>0</v>
      </c>
      <c r="G1112" s="137" t="e">
        <f>IF(A1112&lt;&gt;"",IF(AND(#REF!="Padrão",$H$4=#REF!),BDI!$B$17,IF(AND(#REF!="Padrão",$H$4=#REF!),BDI!#REF!,IF(AND(#REF!="Diferenciado",$H$4=#REF!),BDI!$E$17,IF(AND(#REF!="Diferenciado",$H$4=#REF!),BDI!#REF!,IF(#REF!="ZERO",0))))),"")</f>
        <v>#REF!</v>
      </c>
      <c r="H1112" s="138" t="e">
        <f t="shared" ca="1" si="52"/>
        <v>#REF!</v>
      </c>
      <c r="I1112" s="136" t="e">
        <f t="shared" ca="1" si="53"/>
        <v>#REF!</v>
      </c>
    </row>
    <row r="1113" spans="1:9" hidden="1" x14ac:dyDescent="0.25">
      <c r="A1113" s="113" t="s">
        <v>1293</v>
      </c>
      <c r="B1113" s="114" t="s">
        <v>3211</v>
      </c>
      <c r="C1113" s="115" t="s">
        <v>95</v>
      </c>
      <c r="D1113" s="115">
        <v>0</v>
      </c>
      <c r="E1113" s="135">
        <f ca="1">OFFSET(INDEX(Composições!A:J,MATCH(Orçamentária!A1113,Composições!A:A,0),8),2,0)</f>
        <v>91.851224999999999</v>
      </c>
      <c r="F1113" s="136">
        <f t="shared" ca="1" si="51"/>
        <v>0</v>
      </c>
      <c r="G1113" s="137" t="e">
        <f>IF(A1113&lt;&gt;"",IF(AND(#REF!="Padrão",$H$4=#REF!),BDI!$B$17,IF(AND(#REF!="Padrão",$H$4=#REF!),BDI!#REF!,IF(AND(#REF!="Diferenciado",$H$4=#REF!),BDI!$E$17,IF(AND(#REF!="Diferenciado",$H$4=#REF!),BDI!#REF!,IF(#REF!="ZERO",0))))),"")</f>
        <v>#REF!</v>
      </c>
      <c r="H1113" s="138" t="e">
        <f t="shared" ca="1" si="52"/>
        <v>#REF!</v>
      </c>
      <c r="I1113" s="136" t="e">
        <f t="shared" ca="1" si="53"/>
        <v>#REF!</v>
      </c>
    </row>
    <row r="1114" spans="1:9" hidden="1" x14ac:dyDescent="0.25">
      <c r="A1114" s="113" t="s">
        <v>1296</v>
      </c>
      <c r="B1114" s="114" t="s">
        <v>3212</v>
      </c>
      <c r="C1114" s="115" t="s">
        <v>95</v>
      </c>
      <c r="D1114" s="115">
        <v>0</v>
      </c>
      <c r="E1114" s="135">
        <f ca="1">OFFSET(INDEX(Composições!A:J,MATCH(Orçamentária!A1114,Composições!A:A,0),8),2,0)</f>
        <v>36.249486467477404</v>
      </c>
      <c r="F1114" s="136">
        <f t="shared" ca="1" si="51"/>
        <v>0</v>
      </c>
      <c r="G1114" s="137" t="e">
        <f>IF(A1114&lt;&gt;"",IF(AND(#REF!="Padrão",$H$4=#REF!),BDI!$B$17,IF(AND(#REF!="Padrão",$H$4=#REF!),BDI!#REF!,IF(AND(#REF!="Diferenciado",$H$4=#REF!),BDI!$E$17,IF(AND(#REF!="Diferenciado",$H$4=#REF!),BDI!#REF!,IF(#REF!="ZERO",0))))),"")</f>
        <v>#REF!</v>
      </c>
      <c r="H1114" s="138" t="e">
        <f t="shared" ca="1" si="52"/>
        <v>#REF!</v>
      </c>
      <c r="I1114" s="136" t="e">
        <f t="shared" ca="1" si="53"/>
        <v>#REF!</v>
      </c>
    </row>
    <row r="1115" spans="1:9" hidden="1" x14ac:dyDescent="0.25">
      <c r="A1115" s="113" t="s">
        <v>1298</v>
      </c>
      <c r="B1115" s="114" t="s">
        <v>3213</v>
      </c>
      <c r="C1115" s="115" t="s">
        <v>95</v>
      </c>
      <c r="D1115" s="115">
        <v>0</v>
      </c>
      <c r="E1115" s="135">
        <f ca="1">OFFSET(INDEX(Composições!A:J,MATCH(Orçamentária!A1115,Composições!A:A,0),8),2,0)</f>
        <v>14.677499999999998</v>
      </c>
      <c r="F1115" s="136">
        <f t="shared" ca="1" si="51"/>
        <v>0</v>
      </c>
      <c r="G1115" s="137" t="e">
        <f>IF(A1115&lt;&gt;"",IF(AND(#REF!="Padrão",$H$4=#REF!),BDI!$B$17,IF(AND(#REF!="Padrão",$H$4=#REF!),BDI!#REF!,IF(AND(#REF!="Diferenciado",$H$4=#REF!),BDI!$E$17,IF(AND(#REF!="Diferenciado",$H$4=#REF!),BDI!#REF!,IF(#REF!="ZERO",0))))),"")</f>
        <v>#REF!</v>
      </c>
      <c r="H1115" s="138" t="e">
        <f t="shared" ca="1" si="52"/>
        <v>#REF!</v>
      </c>
      <c r="I1115" s="136" t="e">
        <f t="shared" ca="1" si="53"/>
        <v>#REF!</v>
      </c>
    </row>
    <row r="1116" spans="1:9" hidden="1" x14ac:dyDescent="0.25">
      <c r="A1116" s="113" t="s">
        <v>1300</v>
      </c>
      <c r="B1116" s="114" t="s">
        <v>3214</v>
      </c>
      <c r="C1116" s="115" t="s">
        <v>93</v>
      </c>
      <c r="D1116" s="115">
        <v>0</v>
      </c>
      <c r="E1116" s="135">
        <f ca="1">OFFSET(INDEX(Composições!A:J,MATCH(Orçamentária!A1116,Composições!A:A,0),8),2,0)</f>
        <v>52.225110000000001</v>
      </c>
      <c r="F1116" s="136">
        <f t="shared" ca="1" si="51"/>
        <v>0</v>
      </c>
      <c r="G1116" s="137" t="e">
        <f>IF(A1116&lt;&gt;"",IF(AND(#REF!="Padrão",$H$4=#REF!),BDI!$B$17,IF(AND(#REF!="Padrão",$H$4=#REF!),BDI!#REF!,IF(AND(#REF!="Diferenciado",$H$4=#REF!),BDI!$E$17,IF(AND(#REF!="Diferenciado",$H$4=#REF!),BDI!#REF!,IF(#REF!="ZERO",0))))),"")</f>
        <v>#REF!</v>
      </c>
      <c r="H1116" s="138" t="e">
        <f t="shared" ca="1" si="52"/>
        <v>#REF!</v>
      </c>
      <c r="I1116" s="136" t="e">
        <f t="shared" ca="1" si="53"/>
        <v>#REF!</v>
      </c>
    </row>
    <row r="1117" spans="1:9" hidden="1" x14ac:dyDescent="0.25">
      <c r="A1117" s="113" t="s">
        <v>1302</v>
      </c>
      <c r="B1117" s="114" t="s">
        <v>3215</v>
      </c>
      <c r="C1117" s="115" t="s">
        <v>95</v>
      </c>
      <c r="D1117" s="115">
        <v>0</v>
      </c>
      <c r="E1117" s="135">
        <f ca="1">OFFSET(INDEX(Composições!A:J,MATCH(Orçamentária!A1117,Composições!A:A,0),8),2,0)</f>
        <v>15.597575000000003</v>
      </c>
      <c r="F1117" s="136">
        <f t="shared" ca="1" si="51"/>
        <v>0</v>
      </c>
      <c r="G1117" s="137" t="e">
        <f>IF(A1117&lt;&gt;"",IF(AND(#REF!="Padrão",$H$4=#REF!),BDI!$B$17,IF(AND(#REF!="Padrão",$H$4=#REF!),BDI!#REF!,IF(AND(#REF!="Diferenciado",$H$4=#REF!),BDI!$E$17,IF(AND(#REF!="Diferenciado",$H$4=#REF!),BDI!#REF!,IF(#REF!="ZERO",0))))),"")</f>
        <v>#REF!</v>
      </c>
      <c r="H1117" s="138" t="e">
        <f t="shared" ca="1" si="52"/>
        <v>#REF!</v>
      </c>
      <c r="I1117" s="136" t="e">
        <f t="shared" ca="1" si="53"/>
        <v>#REF!</v>
      </c>
    </row>
    <row r="1118" spans="1:9" hidden="1" x14ac:dyDescent="0.25">
      <c r="A1118" s="113" t="s">
        <v>1305</v>
      </c>
      <c r="B1118" s="114" t="s">
        <v>3216</v>
      </c>
      <c r="C1118" s="115" t="s">
        <v>95</v>
      </c>
      <c r="D1118" s="115">
        <v>0</v>
      </c>
      <c r="E1118" s="135">
        <f ca="1">OFFSET(INDEX(Composições!A:J,MATCH(Orçamentária!A1118,Composições!A:A,0),8),2,0)</f>
        <v>0</v>
      </c>
      <c r="F1118" s="136">
        <f t="shared" ca="1" si="51"/>
        <v>0</v>
      </c>
      <c r="G1118" s="137" t="e">
        <f>IF(A1118&lt;&gt;"",IF(AND(#REF!="Padrão",$H$4=#REF!),BDI!$B$17,IF(AND(#REF!="Padrão",$H$4=#REF!),BDI!#REF!,IF(AND(#REF!="Diferenciado",$H$4=#REF!),BDI!$E$17,IF(AND(#REF!="Diferenciado",$H$4=#REF!),BDI!#REF!,IF(#REF!="ZERO",0))))),"")</f>
        <v>#REF!</v>
      </c>
      <c r="H1118" s="138" t="e">
        <f t="shared" ca="1" si="52"/>
        <v>#REF!</v>
      </c>
      <c r="I1118" s="136" t="e">
        <f t="shared" ca="1" si="53"/>
        <v>#REF!</v>
      </c>
    </row>
    <row r="1119" spans="1:9" hidden="1" x14ac:dyDescent="0.25">
      <c r="A1119" s="113" t="s">
        <v>1307</v>
      </c>
      <c r="B1119" s="114" t="s">
        <v>3217</v>
      </c>
      <c r="C1119" s="115" t="s">
        <v>95</v>
      </c>
      <c r="D1119" s="115">
        <v>0</v>
      </c>
      <c r="E1119" s="135">
        <f ca="1">OFFSET(INDEX(Composições!A:J,MATCH(Orçamentária!A1119,Composições!A:A,0),8),2,0)</f>
        <v>158.54576124999997</v>
      </c>
      <c r="F1119" s="136">
        <f t="shared" ca="1" si="51"/>
        <v>0</v>
      </c>
      <c r="G1119" s="137" t="e">
        <f>IF(A1119&lt;&gt;"",IF(AND(#REF!="Padrão",$H$4=#REF!),BDI!$B$17,IF(AND(#REF!="Padrão",$H$4=#REF!),BDI!#REF!,IF(AND(#REF!="Diferenciado",$H$4=#REF!),BDI!$E$17,IF(AND(#REF!="Diferenciado",$H$4=#REF!),BDI!#REF!,IF(#REF!="ZERO",0))))),"")</f>
        <v>#REF!</v>
      </c>
      <c r="H1119" s="138" t="e">
        <f t="shared" ca="1" si="52"/>
        <v>#REF!</v>
      </c>
      <c r="I1119" s="136" t="e">
        <f t="shared" ca="1" si="53"/>
        <v>#REF!</v>
      </c>
    </row>
    <row r="1120" spans="1:9" hidden="1" x14ac:dyDescent="0.25">
      <c r="A1120" s="113" t="s">
        <v>1310</v>
      </c>
      <c r="B1120" s="114" t="s">
        <v>3218</v>
      </c>
      <c r="C1120" s="115" t="s">
        <v>95</v>
      </c>
      <c r="D1120" s="115">
        <v>0</v>
      </c>
      <c r="E1120" s="135">
        <f ca="1">OFFSET(INDEX(Composições!A:J,MATCH(Orçamentária!A1120,Composições!A:A,0),8),2,0)</f>
        <v>105.53748455</v>
      </c>
      <c r="F1120" s="136">
        <f t="shared" ca="1" si="51"/>
        <v>0</v>
      </c>
      <c r="G1120" s="137" t="e">
        <f>IF(A1120&lt;&gt;"",IF(AND(#REF!="Padrão",$H$4=#REF!),BDI!$B$17,IF(AND(#REF!="Padrão",$H$4=#REF!),BDI!#REF!,IF(AND(#REF!="Diferenciado",$H$4=#REF!),BDI!$E$17,IF(AND(#REF!="Diferenciado",$H$4=#REF!),BDI!#REF!,IF(#REF!="ZERO",0))))),"")</f>
        <v>#REF!</v>
      </c>
      <c r="H1120" s="138" t="e">
        <f t="shared" ca="1" si="52"/>
        <v>#REF!</v>
      </c>
      <c r="I1120" s="136" t="e">
        <f t="shared" ca="1" si="53"/>
        <v>#REF!</v>
      </c>
    </row>
    <row r="1121" spans="1:9" hidden="1" x14ac:dyDescent="0.25">
      <c r="A1121" s="113" t="s">
        <v>1311</v>
      </c>
      <c r="B1121" s="114" t="s">
        <v>3219</v>
      </c>
      <c r="C1121" s="115" t="s">
        <v>95</v>
      </c>
      <c r="D1121" s="115">
        <v>0</v>
      </c>
      <c r="E1121" s="135">
        <f ca="1">OFFSET(INDEX(Composições!A:J,MATCH(Orçamentária!A1121,Composições!A:A,0),8),2,0)</f>
        <v>14.207456529999998</v>
      </c>
      <c r="F1121" s="136">
        <f t="shared" ca="1" si="51"/>
        <v>0</v>
      </c>
      <c r="G1121" s="137" t="e">
        <f>IF(A1121&lt;&gt;"",IF(AND(#REF!="Padrão",$H$4=#REF!),BDI!$B$17,IF(AND(#REF!="Padrão",$H$4=#REF!),BDI!#REF!,IF(AND(#REF!="Diferenciado",$H$4=#REF!),BDI!$E$17,IF(AND(#REF!="Diferenciado",$H$4=#REF!),BDI!#REF!,IF(#REF!="ZERO",0))))),"")</f>
        <v>#REF!</v>
      </c>
      <c r="H1121" s="138" t="e">
        <f t="shared" ca="1" si="52"/>
        <v>#REF!</v>
      </c>
      <c r="I1121" s="136" t="e">
        <f t="shared" ca="1" si="53"/>
        <v>#REF!</v>
      </c>
    </row>
    <row r="1122" spans="1:9" hidden="1" x14ac:dyDescent="0.25">
      <c r="A1122" s="113" t="s">
        <v>1313</v>
      </c>
      <c r="B1122" s="114" t="s">
        <v>3220</v>
      </c>
      <c r="C1122" s="115" t="s">
        <v>95</v>
      </c>
      <c r="D1122" s="115">
        <v>0</v>
      </c>
      <c r="E1122" s="135">
        <f ca="1">OFFSET(INDEX(Composições!A:J,MATCH(Orçamentária!A1122,Composições!A:A,0),8),2,0)</f>
        <v>8.1618300000000001</v>
      </c>
      <c r="F1122" s="136">
        <f t="shared" ca="1" si="51"/>
        <v>0</v>
      </c>
      <c r="G1122" s="137" t="e">
        <f>IF(A1122&lt;&gt;"",IF(AND(#REF!="Padrão",$H$4=#REF!),BDI!$B$17,IF(AND(#REF!="Padrão",$H$4=#REF!),BDI!#REF!,IF(AND(#REF!="Diferenciado",$H$4=#REF!),BDI!$E$17,IF(AND(#REF!="Diferenciado",$H$4=#REF!),BDI!#REF!,IF(#REF!="ZERO",0))))),"")</f>
        <v>#REF!</v>
      </c>
      <c r="H1122" s="138" t="e">
        <f t="shared" ca="1" si="52"/>
        <v>#REF!</v>
      </c>
      <c r="I1122" s="136" t="e">
        <f t="shared" ca="1" si="53"/>
        <v>#REF!</v>
      </c>
    </row>
    <row r="1123" spans="1:9" hidden="1" x14ac:dyDescent="0.25">
      <c r="A1123" s="113" t="s">
        <v>1315</v>
      </c>
      <c r="B1123" s="114" t="s">
        <v>3221</v>
      </c>
      <c r="C1123" s="115" t="s">
        <v>95</v>
      </c>
      <c r="D1123" s="115">
        <v>0</v>
      </c>
      <c r="E1123" s="135">
        <f ca="1">OFFSET(INDEX(Composições!A:J,MATCH(Orçamentária!A1123,Composições!A:A,0),8),2,0)</f>
        <v>8.1618300000000001</v>
      </c>
      <c r="F1123" s="136">
        <f t="shared" ca="1" si="51"/>
        <v>0</v>
      </c>
      <c r="G1123" s="137" t="e">
        <f>IF(A1123&lt;&gt;"",IF(AND(#REF!="Padrão",$H$4=#REF!),BDI!$B$17,IF(AND(#REF!="Padrão",$H$4=#REF!),BDI!#REF!,IF(AND(#REF!="Diferenciado",$H$4=#REF!),BDI!$E$17,IF(AND(#REF!="Diferenciado",$H$4=#REF!),BDI!#REF!,IF(#REF!="ZERO",0))))),"")</f>
        <v>#REF!</v>
      </c>
      <c r="H1123" s="138" t="e">
        <f t="shared" ca="1" si="52"/>
        <v>#REF!</v>
      </c>
      <c r="I1123" s="136" t="e">
        <f t="shared" ca="1" si="53"/>
        <v>#REF!</v>
      </c>
    </row>
    <row r="1124" spans="1:9" hidden="1" x14ac:dyDescent="0.25">
      <c r="A1124" s="113" t="s">
        <v>1317</v>
      </c>
      <c r="B1124" s="114" t="s">
        <v>3222</v>
      </c>
      <c r="C1124" s="115" t="s">
        <v>95</v>
      </c>
      <c r="D1124" s="115">
        <v>0</v>
      </c>
      <c r="E1124" s="135">
        <f ca="1">OFFSET(INDEX(Composições!A:J,MATCH(Orçamentária!A1124,Composições!A:A,0),8),2,0)</f>
        <v>33.537937399999997</v>
      </c>
      <c r="F1124" s="136">
        <f t="shared" ca="1" si="51"/>
        <v>0</v>
      </c>
      <c r="G1124" s="137" t="e">
        <f>IF(A1124&lt;&gt;"",IF(AND(#REF!="Padrão",$H$4=#REF!),BDI!$B$17,IF(AND(#REF!="Padrão",$H$4=#REF!),BDI!#REF!,IF(AND(#REF!="Diferenciado",$H$4=#REF!),BDI!$E$17,IF(AND(#REF!="Diferenciado",$H$4=#REF!),BDI!#REF!,IF(#REF!="ZERO",0))))),"")</f>
        <v>#REF!</v>
      </c>
      <c r="H1124" s="138" t="e">
        <f t="shared" ca="1" si="52"/>
        <v>#REF!</v>
      </c>
      <c r="I1124" s="136" t="e">
        <f t="shared" ca="1" si="53"/>
        <v>#REF!</v>
      </c>
    </row>
    <row r="1125" spans="1:9" hidden="1" x14ac:dyDescent="0.25">
      <c r="A1125" s="113" t="s">
        <v>1322</v>
      </c>
      <c r="B1125" s="114" t="s">
        <v>3223</v>
      </c>
      <c r="C1125" s="115" t="s">
        <v>95</v>
      </c>
      <c r="D1125" s="115">
        <v>0</v>
      </c>
      <c r="E1125" s="135">
        <f ca="1">OFFSET(INDEX(Composições!A:J,MATCH(Orçamentária!A1125,Composições!A:A,0),8),2,0)</f>
        <v>12.2018475</v>
      </c>
      <c r="F1125" s="136">
        <f t="shared" ca="1" si="51"/>
        <v>0</v>
      </c>
      <c r="G1125" s="137" t="e">
        <f>IF(A1125&lt;&gt;"",IF(AND(#REF!="Padrão",$H$4=#REF!),BDI!$B$17,IF(AND(#REF!="Padrão",$H$4=#REF!),BDI!#REF!,IF(AND(#REF!="Diferenciado",$H$4=#REF!),BDI!$E$17,IF(AND(#REF!="Diferenciado",$H$4=#REF!),BDI!#REF!,IF(#REF!="ZERO",0))))),"")</f>
        <v>#REF!</v>
      </c>
      <c r="H1125" s="138" t="e">
        <f t="shared" ca="1" si="52"/>
        <v>#REF!</v>
      </c>
      <c r="I1125" s="136" t="e">
        <f t="shared" ca="1" si="53"/>
        <v>#REF!</v>
      </c>
    </row>
    <row r="1126" spans="1:9" hidden="1" x14ac:dyDescent="0.25">
      <c r="A1126" s="113" t="s">
        <v>1324</v>
      </c>
      <c r="B1126" s="114" t="s">
        <v>3224</v>
      </c>
      <c r="C1126" s="115" t="s">
        <v>95</v>
      </c>
      <c r="D1126" s="115">
        <v>0</v>
      </c>
      <c r="E1126" s="135">
        <f ca="1">OFFSET(INDEX(Composições!A:J,MATCH(Orçamentária!A1126,Composições!A:A,0),8),2,0)</f>
        <v>12.728755499999998</v>
      </c>
      <c r="F1126" s="136">
        <f t="shared" ca="1" si="51"/>
        <v>0</v>
      </c>
      <c r="G1126" s="137" t="e">
        <f>IF(A1126&lt;&gt;"",IF(AND(#REF!="Padrão",$H$4=#REF!),BDI!$B$17,IF(AND(#REF!="Padrão",$H$4=#REF!),BDI!#REF!,IF(AND(#REF!="Diferenciado",$H$4=#REF!),BDI!$E$17,IF(AND(#REF!="Diferenciado",$H$4=#REF!),BDI!#REF!,IF(#REF!="ZERO",0))))),"")</f>
        <v>#REF!</v>
      </c>
      <c r="H1126" s="138" t="e">
        <f t="shared" ca="1" si="52"/>
        <v>#REF!</v>
      </c>
      <c r="I1126" s="136" t="e">
        <f t="shared" ca="1" si="53"/>
        <v>#REF!</v>
      </c>
    </row>
    <row r="1127" spans="1:9" hidden="1" x14ac:dyDescent="0.25">
      <c r="A1127" s="113" t="s">
        <v>1327</v>
      </c>
      <c r="B1127" s="114" t="s">
        <v>3225</v>
      </c>
      <c r="C1127" s="115" t="s">
        <v>95</v>
      </c>
      <c r="D1127" s="115">
        <v>0</v>
      </c>
      <c r="E1127" s="135" t="s">
        <v>568</v>
      </c>
      <c r="F1127" s="136" t="str">
        <f t="shared" si="51"/>
        <v/>
      </c>
      <c r="G1127" s="137" t="e">
        <f>IF(A1127&lt;&gt;"",IF(AND(#REF!="Padrão",$H$4=#REF!),BDI!$B$17,IF(AND(#REF!="Padrão",$H$4=#REF!),BDI!#REF!,IF(AND(#REF!="Diferenciado",$H$4=#REF!),BDI!$E$17,IF(AND(#REF!="Diferenciado",$H$4=#REF!),BDI!#REF!,IF(#REF!="ZERO",0))))),"")</f>
        <v>#REF!</v>
      </c>
      <c r="H1127" s="138" t="str">
        <f t="shared" si="52"/>
        <v/>
      </c>
      <c r="I1127" s="136" t="str">
        <f t="shared" si="53"/>
        <v/>
      </c>
    </row>
    <row r="1128" spans="1:9" hidden="1" x14ac:dyDescent="0.25">
      <c r="A1128" s="113" t="s">
        <v>1328</v>
      </c>
      <c r="B1128" s="114" t="s">
        <v>3226</v>
      </c>
      <c r="C1128" s="115" t="s">
        <v>95</v>
      </c>
      <c r="D1128" s="115">
        <v>0</v>
      </c>
      <c r="E1128" s="135">
        <f ca="1">OFFSET(INDEX(Composições!A:J,MATCH(Orçamentária!A1128,Composições!A:A,0),8),2,0)</f>
        <v>14.317925000000001</v>
      </c>
      <c r="F1128" s="136">
        <f t="shared" ca="1" si="51"/>
        <v>0</v>
      </c>
      <c r="G1128" s="137" t="e">
        <f>IF(A1128&lt;&gt;"",IF(AND(#REF!="Padrão",$H$4=#REF!),BDI!$B$17,IF(AND(#REF!="Padrão",$H$4=#REF!),BDI!#REF!,IF(AND(#REF!="Diferenciado",$H$4=#REF!),BDI!$E$17,IF(AND(#REF!="Diferenciado",$H$4=#REF!),BDI!#REF!,IF(#REF!="ZERO",0))))),"")</f>
        <v>#REF!</v>
      </c>
      <c r="H1128" s="138" t="e">
        <f t="shared" ca="1" si="52"/>
        <v>#REF!</v>
      </c>
      <c r="I1128" s="136" t="e">
        <f t="shared" ca="1" si="53"/>
        <v>#REF!</v>
      </c>
    </row>
    <row r="1129" spans="1:9" hidden="1" x14ac:dyDescent="0.25">
      <c r="A1129" s="113" t="s">
        <v>1329</v>
      </c>
      <c r="B1129" s="114" t="s">
        <v>3227</v>
      </c>
      <c r="C1129" s="115" t="s">
        <v>95</v>
      </c>
      <c r="D1129" s="115">
        <v>0</v>
      </c>
      <c r="E1129" s="135">
        <f ca="1">OFFSET(INDEX(Composições!A:J,MATCH(Orçamentária!A1129,Composições!A:A,0),8),2,0)</f>
        <v>56.399972399999996</v>
      </c>
      <c r="F1129" s="136">
        <f t="shared" ca="1" si="51"/>
        <v>0</v>
      </c>
      <c r="G1129" s="137" t="e">
        <f>IF(A1129&lt;&gt;"",IF(AND(#REF!="Padrão",$H$4=#REF!),BDI!$B$17,IF(AND(#REF!="Padrão",$H$4=#REF!),BDI!#REF!,IF(AND(#REF!="Diferenciado",$H$4=#REF!),BDI!$E$17,IF(AND(#REF!="Diferenciado",$H$4=#REF!),BDI!#REF!,IF(#REF!="ZERO",0))))),"")</f>
        <v>#REF!</v>
      </c>
      <c r="H1129" s="138" t="e">
        <f t="shared" ca="1" si="52"/>
        <v>#REF!</v>
      </c>
      <c r="I1129" s="136" t="e">
        <f t="shared" ca="1" si="53"/>
        <v>#REF!</v>
      </c>
    </row>
    <row r="1130" spans="1:9" hidden="1" x14ac:dyDescent="0.25">
      <c r="A1130" s="113" t="s">
        <v>1332</v>
      </c>
      <c r="B1130" s="114" t="s">
        <v>3228</v>
      </c>
      <c r="C1130" s="115" t="s">
        <v>95</v>
      </c>
      <c r="D1130" s="115">
        <v>0</v>
      </c>
      <c r="E1130" s="135">
        <f ca="1">OFFSET(INDEX(Composições!A:J,MATCH(Orçamentária!A1130,Composições!A:A,0),8),2,0)</f>
        <v>19.004645500000002</v>
      </c>
      <c r="F1130" s="136">
        <f t="shared" ca="1" si="51"/>
        <v>0</v>
      </c>
      <c r="G1130" s="137" t="e">
        <f>IF(A1130&lt;&gt;"",IF(AND(#REF!="Padrão",$H$4=#REF!),BDI!$B$17,IF(AND(#REF!="Padrão",$H$4=#REF!),BDI!#REF!,IF(AND(#REF!="Diferenciado",$H$4=#REF!),BDI!$E$17,IF(AND(#REF!="Diferenciado",$H$4=#REF!),BDI!#REF!,IF(#REF!="ZERO",0))))),"")</f>
        <v>#REF!</v>
      </c>
      <c r="H1130" s="138" t="e">
        <f t="shared" ca="1" si="52"/>
        <v>#REF!</v>
      </c>
      <c r="I1130" s="136" t="e">
        <f t="shared" ca="1" si="53"/>
        <v>#REF!</v>
      </c>
    </row>
    <row r="1131" spans="1:9" hidden="1" x14ac:dyDescent="0.25">
      <c r="A1131" s="113" t="s">
        <v>1336</v>
      </c>
      <c r="B1131" s="114" t="s">
        <v>3229</v>
      </c>
      <c r="C1131" s="115" t="s">
        <v>95</v>
      </c>
      <c r="D1131" s="115">
        <v>0</v>
      </c>
      <c r="E1131" s="135">
        <f ca="1">OFFSET(INDEX(Composições!A:J,MATCH(Orçamentária!A1131,Composições!A:A,0),8),2,0)</f>
        <v>1.1254935000000001</v>
      </c>
      <c r="F1131" s="136">
        <f t="shared" ca="1" si="51"/>
        <v>0</v>
      </c>
      <c r="G1131" s="137" t="e">
        <f>IF(A1131&lt;&gt;"",IF(AND(#REF!="Padrão",$H$4=#REF!),BDI!$B$17,IF(AND(#REF!="Padrão",$H$4=#REF!),BDI!#REF!,IF(AND(#REF!="Diferenciado",$H$4=#REF!),BDI!$E$17,IF(AND(#REF!="Diferenciado",$H$4=#REF!),BDI!#REF!,IF(#REF!="ZERO",0))))),"")</f>
        <v>#REF!</v>
      </c>
      <c r="H1131" s="138" t="e">
        <f t="shared" ca="1" si="52"/>
        <v>#REF!</v>
      </c>
      <c r="I1131" s="136" t="e">
        <f t="shared" ca="1" si="53"/>
        <v>#REF!</v>
      </c>
    </row>
    <row r="1132" spans="1:9" hidden="1" x14ac:dyDescent="0.25">
      <c r="A1132" s="113" t="s">
        <v>1338</v>
      </c>
      <c r="B1132" s="114" t="s">
        <v>3230</v>
      </c>
      <c r="C1132" s="115" t="s">
        <v>95</v>
      </c>
      <c r="D1132" s="115">
        <v>0</v>
      </c>
      <c r="E1132" s="135">
        <f ca="1">OFFSET(INDEX(Composições!A:J,MATCH(Orçamentária!A1132,Composições!A:A,0),8),2,0)</f>
        <v>20.710909149999999</v>
      </c>
      <c r="F1132" s="136">
        <f t="shared" ca="1" si="51"/>
        <v>0</v>
      </c>
      <c r="G1132" s="137" t="e">
        <f>IF(A1132&lt;&gt;"",IF(AND(#REF!="Padrão",$H$4=#REF!),BDI!$B$17,IF(AND(#REF!="Padrão",$H$4=#REF!),BDI!#REF!,IF(AND(#REF!="Diferenciado",$H$4=#REF!),BDI!$E$17,IF(AND(#REF!="Diferenciado",$H$4=#REF!),BDI!#REF!,IF(#REF!="ZERO",0))))),"")</f>
        <v>#REF!</v>
      </c>
      <c r="H1132" s="138" t="e">
        <f t="shared" ca="1" si="52"/>
        <v>#REF!</v>
      </c>
      <c r="I1132" s="136" t="e">
        <f t="shared" ca="1" si="53"/>
        <v>#REF!</v>
      </c>
    </row>
    <row r="1133" spans="1:9" hidden="1" x14ac:dyDescent="0.25">
      <c r="A1133" s="113" t="s">
        <v>1343</v>
      </c>
      <c r="B1133" s="114" t="s">
        <v>3231</v>
      </c>
      <c r="C1133" s="115" t="s">
        <v>93</v>
      </c>
      <c r="D1133" s="115">
        <v>0</v>
      </c>
      <c r="E1133" s="135">
        <f ca="1">OFFSET(INDEX(Composições!A:J,MATCH(Orçamentária!A1133,Composições!A:A,0),8),2,0)</f>
        <v>7.8848527499999994</v>
      </c>
      <c r="F1133" s="136">
        <f t="shared" ca="1" si="51"/>
        <v>0</v>
      </c>
      <c r="G1133" s="137" t="e">
        <f>IF(A1133&lt;&gt;"",IF(AND(#REF!="Padrão",$H$4=#REF!),BDI!$B$17,IF(AND(#REF!="Padrão",$H$4=#REF!),BDI!#REF!,IF(AND(#REF!="Diferenciado",$H$4=#REF!),BDI!$E$17,IF(AND(#REF!="Diferenciado",$H$4=#REF!),BDI!#REF!,IF(#REF!="ZERO",0))))),"")</f>
        <v>#REF!</v>
      </c>
      <c r="H1133" s="138" t="e">
        <f t="shared" ca="1" si="52"/>
        <v>#REF!</v>
      </c>
      <c r="I1133" s="136" t="e">
        <f t="shared" ca="1" si="53"/>
        <v>#REF!</v>
      </c>
    </row>
    <row r="1134" spans="1:9" hidden="1" x14ac:dyDescent="0.25">
      <c r="A1134" s="113" t="s">
        <v>1349</v>
      </c>
      <c r="B1134" s="114" t="s">
        <v>3232</v>
      </c>
      <c r="C1134" s="115" t="s">
        <v>95</v>
      </c>
      <c r="D1134" s="115">
        <v>0</v>
      </c>
      <c r="E1134" s="135">
        <f ca="1">OFFSET(INDEX(Composições!A:J,MATCH(Orçamentária!A1134,Composições!A:A,0),8),2,0)</f>
        <v>53.751169760819977</v>
      </c>
      <c r="F1134" s="136">
        <f t="shared" ca="1" si="51"/>
        <v>0</v>
      </c>
      <c r="G1134" s="137" t="e">
        <f>IF(A1134&lt;&gt;"",IF(AND(#REF!="Padrão",$H$4=#REF!),BDI!$B$17,IF(AND(#REF!="Padrão",$H$4=#REF!),BDI!#REF!,IF(AND(#REF!="Diferenciado",$H$4=#REF!),BDI!$E$17,IF(AND(#REF!="Diferenciado",$H$4=#REF!),BDI!#REF!,IF(#REF!="ZERO",0))))),"")</f>
        <v>#REF!</v>
      </c>
      <c r="H1134" s="138" t="e">
        <f t="shared" ca="1" si="52"/>
        <v>#REF!</v>
      </c>
      <c r="I1134" s="136" t="e">
        <f t="shared" ca="1" si="53"/>
        <v>#REF!</v>
      </c>
    </row>
    <row r="1135" spans="1:9" hidden="1" x14ac:dyDescent="0.25">
      <c r="A1135" s="113" t="s">
        <v>1357</v>
      </c>
      <c r="B1135" s="114" t="s">
        <v>3233</v>
      </c>
      <c r="C1135" s="115" t="s">
        <v>111</v>
      </c>
      <c r="D1135" s="115">
        <v>0</v>
      </c>
      <c r="E1135" s="135">
        <f ca="1">OFFSET(INDEX(Composições!A:J,MATCH(Orçamentária!A1135,Composições!A:A,0),8),2,0)</f>
        <v>644.32411655200008</v>
      </c>
      <c r="F1135" s="136">
        <f t="shared" ca="1" si="51"/>
        <v>0</v>
      </c>
      <c r="G1135" s="137" t="e">
        <f>IF(A1135&lt;&gt;"",IF(AND(#REF!="Padrão",$H$4=#REF!),BDI!$B$17,IF(AND(#REF!="Padrão",$H$4=#REF!),BDI!#REF!,IF(AND(#REF!="Diferenciado",$H$4=#REF!),BDI!$E$17,IF(AND(#REF!="Diferenciado",$H$4=#REF!),BDI!#REF!,IF(#REF!="ZERO",0))))),"")</f>
        <v>#REF!</v>
      </c>
      <c r="H1135" s="138" t="e">
        <f t="shared" ca="1" si="52"/>
        <v>#REF!</v>
      </c>
      <c r="I1135" s="136" t="e">
        <f t="shared" ca="1" si="53"/>
        <v>#REF!</v>
      </c>
    </row>
    <row r="1136" spans="1:9" hidden="1" x14ac:dyDescent="0.25">
      <c r="A1136" s="113" t="s">
        <v>1376</v>
      </c>
      <c r="B1136" s="114" t="s">
        <v>3234</v>
      </c>
      <c r="C1136" s="115" t="s">
        <v>111</v>
      </c>
      <c r="D1136" s="115">
        <v>0</v>
      </c>
      <c r="E1136" s="135">
        <f ca="1">OFFSET(INDEX(Composições!A:J,MATCH(Orçamentária!A1136,Composições!A:A,0),8),2,0)</f>
        <v>195.73800000000003</v>
      </c>
      <c r="F1136" s="136">
        <f t="shared" ca="1" si="51"/>
        <v>0</v>
      </c>
      <c r="G1136" s="137" t="e">
        <f>IF(A1136&lt;&gt;"",IF(AND(#REF!="Padrão",$H$4=#REF!),BDI!$B$17,IF(AND(#REF!="Padrão",$H$4=#REF!),BDI!#REF!,IF(AND(#REF!="Diferenciado",$H$4=#REF!),BDI!$E$17,IF(AND(#REF!="Diferenciado",$H$4=#REF!),BDI!#REF!,IF(#REF!="ZERO",0))))),"")</f>
        <v>#REF!</v>
      </c>
      <c r="H1136" s="138" t="e">
        <f t="shared" ca="1" si="52"/>
        <v>#REF!</v>
      </c>
      <c r="I1136" s="136" t="e">
        <f t="shared" ca="1" si="53"/>
        <v>#REF!</v>
      </c>
    </row>
    <row r="1137" spans="1:9" hidden="1" x14ac:dyDescent="0.25">
      <c r="A1137" s="113" t="s">
        <v>1380</v>
      </c>
      <c r="B1137" s="114" t="s">
        <v>3235</v>
      </c>
      <c r="C1137" s="115" t="s">
        <v>95</v>
      </c>
      <c r="D1137" s="115">
        <v>0</v>
      </c>
      <c r="E1137" s="135">
        <f ca="1">OFFSET(INDEX(Composições!A:J,MATCH(Orçamentária!A1137,Composições!A:A,0),8),2,0)</f>
        <v>15.290722150000001</v>
      </c>
      <c r="F1137" s="136">
        <f t="shared" ca="1" si="51"/>
        <v>0</v>
      </c>
      <c r="G1137" s="137" t="e">
        <f>IF(A1137&lt;&gt;"",IF(AND(#REF!="Padrão",$H$4=#REF!),BDI!$B$17,IF(AND(#REF!="Padrão",$H$4=#REF!),BDI!#REF!,IF(AND(#REF!="Diferenciado",$H$4=#REF!),BDI!$E$17,IF(AND(#REF!="Diferenciado",$H$4=#REF!),BDI!#REF!,IF(#REF!="ZERO",0))))),"")</f>
        <v>#REF!</v>
      </c>
      <c r="H1137" s="138" t="e">
        <f t="shared" ca="1" si="52"/>
        <v>#REF!</v>
      </c>
      <c r="I1137" s="136" t="e">
        <f t="shared" ca="1" si="53"/>
        <v>#REF!</v>
      </c>
    </row>
    <row r="1138" spans="1:9" hidden="1" x14ac:dyDescent="0.25">
      <c r="A1138" s="113" t="s">
        <v>1385</v>
      </c>
      <c r="B1138" s="114" t="s">
        <v>3236</v>
      </c>
      <c r="C1138" s="115" t="s">
        <v>95</v>
      </c>
      <c r="D1138" s="115">
        <v>0</v>
      </c>
      <c r="E1138" s="135">
        <f ca="1">OFFSET(INDEX(Composições!A:J,MATCH(Orçamentária!A1138,Composições!A:A,0),8),2,0)</f>
        <v>77.59594869999998</v>
      </c>
      <c r="F1138" s="136">
        <f t="shared" ca="1" si="51"/>
        <v>0</v>
      </c>
      <c r="G1138" s="137" t="e">
        <f>IF(A1138&lt;&gt;"",IF(AND(#REF!="Padrão",$H$4=#REF!),BDI!$B$17,IF(AND(#REF!="Padrão",$H$4=#REF!),BDI!#REF!,IF(AND(#REF!="Diferenciado",$H$4=#REF!),BDI!$E$17,IF(AND(#REF!="Diferenciado",$H$4=#REF!),BDI!#REF!,IF(#REF!="ZERO",0))))),"")</f>
        <v>#REF!</v>
      </c>
      <c r="H1138" s="138" t="e">
        <f t="shared" ca="1" si="52"/>
        <v>#REF!</v>
      </c>
      <c r="I1138" s="136" t="e">
        <f t="shared" ca="1" si="53"/>
        <v>#REF!</v>
      </c>
    </row>
    <row r="1139" spans="1:9" hidden="1" x14ac:dyDescent="0.25">
      <c r="A1139" s="113" t="s">
        <v>1390</v>
      </c>
      <c r="B1139" s="114" t="s">
        <v>3237</v>
      </c>
      <c r="C1139" s="115" t="s">
        <v>93</v>
      </c>
      <c r="D1139" s="115">
        <v>0</v>
      </c>
      <c r="E1139" s="135">
        <f ca="1">OFFSET(INDEX(Composições!A:J,MATCH(Orçamentária!A1139,Composições!A:A,0),8),2,0)</f>
        <v>8.2298899000000016</v>
      </c>
      <c r="F1139" s="136">
        <f t="shared" ca="1" si="51"/>
        <v>0</v>
      </c>
      <c r="G1139" s="137" t="e">
        <f>IF(A1139&lt;&gt;"",IF(AND(#REF!="Padrão",$H$4=#REF!),BDI!$B$17,IF(AND(#REF!="Padrão",$H$4=#REF!),BDI!#REF!,IF(AND(#REF!="Diferenciado",$H$4=#REF!),BDI!$E$17,IF(AND(#REF!="Diferenciado",$H$4=#REF!),BDI!#REF!,IF(#REF!="ZERO",0))))),"")</f>
        <v>#REF!</v>
      </c>
      <c r="H1139" s="138" t="e">
        <f t="shared" ca="1" si="52"/>
        <v>#REF!</v>
      </c>
      <c r="I1139" s="136" t="e">
        <f t="shared" ca="1" si="53"/>
        <v>#REF!</v>
      </c>
    </row>
    <row r="1140" spans="1:9" hidden="1" x14ac:dyDescent="0.25">
      <c r="A1140" s="113" t="s">
        <v>1391</v>
      </c>
      <c r="B1140" s="114" t="s">
        <v>3238</v>
      </c>
      <c r="C1140" s="115" t="s">
        <v>95</v>
      </c>
      <c r="D1140" s="115">
        <v>0</v>
      </c>
      <c r="E1140" s="135">
        <f ca="1">OFFSET(INDEX(Composições!A:J,MATCH(Orçamentária!A1140,Composições!A:A,0),8),2,0)</f>
        <v>9.3062436999999996</v>
      </c>
      <c r="F1140" s="136">
        <f t="shared" ca="1" si="51"/>
        <v>0</v>
      </c>
      <c r="G1140" s="137" t="e">
        <f>IF(A1140&lt;&gt;"",IF(AND(#REF!="Padrão",$H$4=#REF!),BDI!$B$17,IF(AND(#REF!="Padrão",$H$4=#REF!),BDI!#REF!,IF(AND(#REF!="Diferenciado",$H$4=#REF!),BDI!$E$17,IF(AND(#REF!="Diferenciado",$H$4=#REF!),BDI!#REF!,IF(#REF!="ZERO",0))))),"")</f>
        <v>#REF!</v>
      </c>
      <c r="H1140" s="138" t="e">
        <f t="shared" ca="1" si="52"/>
        <v>#REF!</v>
      </c>
      <c r="I1140" s="136" t="e">
        <f t="shared" ca="1" si="53"/>
        <v>#REF!</v>
      </c>
    </row>
    <row r="1141" spans="1:9" hidden="1" x14ac:dyDescent="0.25">
      <c r="A1141" s="113" t="s">
        <v>1393</v>
      </c>
      <c r="B1141" s="114" t="s">
        <v>3239</v>
      </c>
      <c r="C1141" s="115" t="s">
        <v>93</v>
      </c>
      <c r="D1141" s="115">
        <v>0</v>
      </c>
      <c r="E1141" s="135">
        <f ca="1">OFFSET(INDEX(Composições!A:J,MATCH(Orçamentária!A1141,Composições!A:A,0),8),2,0)</f>
        <v>8.2298899000000016</v>
      </c>
      <c r="F1141" s="136">
        <f t="shared" ca="1" si="51"/>
        <v>0</v>
      </c>
      <c r="G1141" s="137" t="e">
        <f>IF(A1141&lt;&gt;"",IF(AND(#REF!="Padrão",$H$4=#REF!),BDI!$B$17,IF(AND(#REF!="Padrão",$H$4=#REF!),BDI!#REF!,IF(AND(#REF!="Diferenciado",$H$4=#REF!),BDI!$E$17,IF(AND(#REF!="Diferenciado",$H$4=#REF!),BDI!#REF!,IF(#REF!="ZERO",0))))),"")</f>
        <v>#REF!</v>
      </c>
      <c r="H1141" s="138" t="e">
        <f t="shared" ca="1" si="52"/>
        <v>#REF!</v>
      </c>
      <c r="I1141" s="136" t="e">
        <f t="shared" ca="1" si="53"/>
        <v>#REF!</v>
      </c>
    </row>
    <row r="1142" spans="1:9" hidden="1" x14ac:dyDescent="0.25">
      <c r="A1142" s="113" t="s">
        <v>1394</v>
      </c>
      <c r="B1142" s="114" t="s">
        <v>3240</v>
      </c>
      <c r="C1142" s="115" t="s">
        <v>95</v>
      </c>
      <c r="D1142" s="115">
        <v>0</v>
      </c>
      <c r="E1142" s="135">
        <f ca="1">OFFSET(INDEX(Composições!A:J,MATCH(Orçamentária!A1142,Composições!A:A,0),8),2,0)</f>
        <v>16.79505</v>
      </c>
      <c r="F1142" s="136">
        <f t="shared" ca="1" si="51"/>
        <v>0</v>
      </c>
      <c r="G1142" s="137" t="e">
        <f>IF(A1142&lt;&gt;"",IF(AND(#REF!="Padrão",$H$4=#REF!),BDI!$B$17,IF(AND(#REF!="Padrão",$H$4=#REF!),BDI!#REF!,IF(AND(#REF!="Diferenciado",$H$4=#REF!),BDI!$E$17,IF(AND(#REF!="Diferenciado",$H$4=#REF!),BDI!#REF!,IF(#REF!="ZERO",0))))),"")</f>
        <v>#REF!</v>
      </c>
      <c r="H1142" s="138" t="e">
        <f t="shared" ca="1" si="52"/>
        <v>#REF!</v>
      </c>
      <c r="I1142" s="136" t="e">
        <f t="shared" ca="1" si="53"/>
        <v>#REF!</v>
      </c>
    </row>
    <row r="1143" spans="1:9" hidden="1" x14ac:dyDescent="0.25">
      <c r="A1143" s="113" t="s">
        <v>1400</v>
      </c>
      <c r="B1143" s="114" t="s">
        <v>3241</v>
      </c>
      <c r="C1143" s="115" t="s">
        <v>93</v>
      </c>
      <c r="D1143" s="115">
        <v>0</v>
      </c>
      <c r="E1143" s="135">
        <f ca="1">OFFSET(INDEX(Composições!A:J,MATCH(Orçamentária!A1143,Composições!A:A,0),8),2,0)</f>
        <v>2.3803200000000002</v>
      </c>
      <c r="F1143" s="136">
        <f t="shared" ca="1" si="51"/>
        <v>0</v>
      </c>
      <c r="G1143" s="137" t="e">
        <f>IF(A1143&lt;&gt;"",IF(AND(#REF!="Padrão",$H$4=#REF!),BDI!$B$17,IF(AND(#REF!="Padrão",$H$4=#REF!),BDI!#REF!,IF(AND(#REF!="Diferenciado",$H$4=#REF!),BDI!$E$17,IF(AND(#REF!="Diferenciado",$H$4=#REF!),BDI!#REF!,IF(#REF!="ZERO",0))))),"")</f>
        <v>#REF!</v>
      </c>
      <c r="H1143" s="138" t="e">
        <f t="shared" ca="1" si="52"/>
        <v>#REF!</v>
      </c>
      <c r="I1143" s="136" t="e">
        <f t="shared" ca="1" si="53"/>
        <v>#REF!</v>
      </c>
    </row>
    <row r="1144" spans="1:9" hidden="1" x14ac:dyDescent="0.25">
      <c r="A1144" s="113" t="s">
        <v>1402</v>
      </c>
      <c r="B1144" s="114" t="s">
        <v>3242</v>
      </c>
      <c r="C1144" s="115" t="s">
        <v>93</v>
      </c>
      <c r="D1144" s="115">
        <v>0</v>
      </c>
      <c r="E1144" s="135">
        <f ca="1">OFFSET(INDEX(Composições!A:J,MATCH(Orçamentária!A1144,Composições!A:A,0),8),2,0)</f>
        <v>2.3803200000000002</v>
      </c>
      <c r="F1144" s="136">
        <f t="shared" ca="1" si="51"/>
        <v>0</v>
      </c>
      <c r="G1144" s="137" t="e">
        <f>IF(A1144&lt;&gt;"",IF(AND(#REF!="Padrão",$H$4=#REF!),BDI!$B$17,IF(AND(#REF!="Padrão",$H$4=#REF!),BDI!#REF!,IF(AND(#REF!="Diferenciado",$H$4=#REF!),BDI!$E$17,IF(AND(#REF!="Diferenciado",$H$4=#REF!),BDI!#REF!,IF(#REF!="ZERO",0))))),"")</f>
        <v>#REF!</v>
      </c>
      <c r="H1144" s="138" t="e">
        <f t="shared" ca="1" si="52"/>
        <v>#REF!</v>
      </c>
      <c r="I1144" s="136" t="e">
        <f t="shared" ca="1" si="53"/>
        <v>#REF!</v>
      </c>
    </row>
    <row r="1145" spans="1:9" hidden="1" x14ac:dyDescent="0.25">
      <c r="A1145" s="113" t="s">
        <v>1404</v>
      </c>
      <c r="B1145" s="114" t="s">
        <v>3243</v>
      </c>
      <c r="C1145" s="115" t="s">
        <v>95</v>
      </c>
      <c r="D1145" s="115">
        <v>0</v>
      </c>
      <c r="E1145" s="135">
        <f ca="1">OFFSET(INDEX(Composições!A:J,MATCH(Orçamentária!A1145,Composições!A:A,0),8),2,0)</f>
        <v>39.864137499999998</v>
      </c>
      <c r="F1145" s="136">
        <f t="shared" ca="1" si="51"/>
        <v>0</v>
      </c>
      <c r="G1145" s="137" t="e">
        <f>IF(A1145&lt;&gt;"",IF(AND(#REF!="Padrão",$H$4=#REF!),BDI!$B$17,IF(AND(#REF!="Padrão",$H$4=#REF!),BDI!#REF!,IF(AND(#REF!="Diferenciado",$H$4=#REF!),BDI!$E$17,IF(AND(#REF!="Diferenciado",$H$4=#REF!),BDI!#REF!,IF(#REF!="ZERO",0))))),"")</f>
        <v>#REF!</v>
      </c>
      <c r="H1145" s="138" t="e">
        <f t="shared" ca="1" si="52"/>
        <v>#REF!</v>
      </c>
      <c r="I1145" s="136" t="e">
        <f t="shared" ca="1" si="53"/>
        <v>#REF!</v>
      </c>
    </row>
    <row r="1146" spans="1:9" hidden="1" x14ac:dyDescent="0.25">
      <c r="A1146" s="113" t="s">
        <v>1408</v>
      </c>
      <c r="B1146" s="114" t="s">
        <v>3244</v>
      </c>
      <c r="C1146" s="115" t="s">
        <v>93</v>
      </c>
      <c r="D1146" s="115">
        <v>0</v>
      </c>
      <c r="E1146" s="135">
        <f ca="1">OFFSET(INDEX(Composições!A:J,MATCH(Orçamentária!A1146,Composições!A:A,0),8),2,0)</f>
        <v>50.168323899999997</v>
      </c>
      <c r="F1146" s="136">
        <f t="shared" ca="1" si="51"/>
        <v>0</v>
      </c>
      <c r="G1146" s="137" t="e">
        <f>IF(A1146&lt;&gt;"",IF(AND(#REF!="Padrão",$H$4=#REF!),BDI!$B$17,IF(AND(#REF!="Padrão",$H$4=#REF!),BDI!#REF!,IF(AND(#REF!="Diferenciado",$H$4=#REF!),BDI!$E$17,IF(AND(#REF!="Diferenciado",$H$4=#REF!),BDI!#REF!,IF(#REF!="ZERO",0))))),"")</f>
        <v>#REF!</v>
      </c>
      <c r="H1146" s="138" t="e">
        <f t="shared" ca="1" si="52"/>
        <v>#REF!</v>
      </c>
      <c r="I1146" s="136" t="e">
        <f t="shared" ca="1" si="53"/>
        <v>#REF!</v>
      </c>
    </row>
    <row r="1147" spans="1:9" hidden="1" x14ac:dyDescent="0.25">
      <c r="A1147" s="113" t="s">
        <v>1410</v>
      </c>
      <c r="B1147" s="114" t="s">
        <v>3245</v>
      </c>
      <c r="C1147" s="115" t="s">
        <v>93</v>
      </c>
      <c r="D1147" s="115">
        <v>0</v>
      </c>
      <c r="E1147" s="135">
        <f ca="1">OFFSET(INDEX(Composições!A:J,MATCH(Orçamentária!A1147,Composições!A:A,0),8),2,0)</f>
        <v>48.228480900000001</v>
      </c>
      <c r="F1147" s="136">
        <f t="shared" ca="1" si="51"/>
        <v>0</v>
      </c>
      <c r="G1147" s="137" t="e">
        <f>IF(A1147&lt;&gt;"",IF(AND(#REF!="Padrão",$H$4=#REF!),BDI!$B$17,IF(AND(#REF!="Padrão",$H$4=#REF!),BDI!#REF!,IF(AND(#REF!="Diferenciado",$H$4=#REF!),BDI!$E$17,IF(AND(#REF!="Diferenciado",$H$4=#REF!),BDI!#REF!,IF(#REF!="ZERO",0))))),"")</f>
        <v>#REF!</v>
      </c>
      <c r="H1147" s="138" t="e">
        <f t="shared" ca="1" si="52"/>
        <v>#REF!</v>
      </c>
      <c r="I1147" s="136" t="e">
        <f t="shared" ca="1" si="53"/>
        <v>#REF!</v>
      </c>
    </row>
    <row r="1148" spans="1:9" hidden="1" x14ac:dyDescent="0.25">
      <c r="A1148" s="113" t="s">
        <v>1412</v>
      </c>
      <c r="B1148" s="114" t="s">
        <v>3246</v>
      </c>
      <c r="C1148" s="115" t="s">
        <v>95</v>
      </c>
      <c r="D1148" s="115">
        <v>0</v>
      </c>
      <c r="E1148" s="135">
        <f ca="1">OFFSET(INDEX(Composições!A:J,MATCH(Orçamentária!A1148,Composições!A:A,0),8),2,0)</f>
        <v>5.9508000000000001</v>
      </c>
      <c r="F1148" s="136">
        <f t="shared" ca="1" si="51"/>
        <v>0</v>
      </c>
      <c r="G1148" s="137" t="e">
        <f>IF(A1148&lt;&gt;"",IF(AND(#REF!="Padrão",$H$4=#REF!),BDI!$B$17,IF(AND(#REF!="Padrão",$H$4=#REF!),BDI!#REF!,IF(AND(#REF!="Diferenciado",$H$4=#REF!),BDI!$E$17,IF(AND(#REF!="Diferenciado",$H$4=#REF!),BDI!#REF!,IF(#REF!="ZERO",0))))),"")</f>
        <v>#REF!</v>
      </c>
      <c r="H1148" s="138" t="e">
        <f t="shared" ca="1" si="52"/>
        <v>#REF!</v>
      </c>
      <c r="I1148" s="136" t="e">
        <f t="shared" ca="1" si="53"/>
        <v>#REF!</v>
      </c>
    </row>
    <row r="1149" spans="1:9" hidden="1" x14ac:dyDescent="0.25">
      <c r="A1149" s="113" t="s">
        <v>3247</v>
      </c>
      <c r="B1149" s="114" t="s">
        <v>3248</v>
      </c>
      <c r="C1149" s="115" t="s">
        <v>20</v>
      </c>
      <c r="D1149" s="115">
        <v>0</v>
      </c>
      <c r="E1149" s="135" t="s">
        <v>568</v>
      </c>
      <c r="F1149" s="136" t="str">
        <f t="shared" si="51"/>
        <v/>
      </c>
      <c r="G1149" s="137" t="e">
        <f>IF(A1149&lt;&gt;"",IF(AND(#REF!="Padrão",$H$4=#REF!),BDI!$B$17,IF(AND(#REF!="Padrão",$H$4=#REF!),BDI!#REF!,IF(AND(#REF!="Diferenciado",$H$4=#REF!),BDI!$E$17,IF(AND(#REF!="Diferenciado",$H$4=#REF!),BDI!#REF!,IF(#REF!="ZERO",0))))),"")</f>
        <v>#REF!</v>
      </c>
      <c r="H1149" s="138" t="str">
        <f t="shared" si="52"/>
        <v/>
      </c>
      <c r="I1149" s="136" t="str">
        <f t="shared" si="53"/>
        <v/>
      </c>
    </row>
    <row r="1150" spans="1:9" hidden="1" x14ac:dyDescent="0.25">
      <c r="A1150" s="113" t="s">
        <v>3249</v>
      </c>
      <c r="B1150" s="114" t="s">
        <v>3250</v>
      </c>
      <c r="C1150" s="115" t="s">
        <v>20</v>
      </c>
      <c r="D1150" s="115">
        <v>0</v>
      </c>
      <c r="E1150" s="135" t="s">
        <v>568</v>
      </c>
      <c r="F1150" s="136" t="str">
        <f t="shared" si="51"/>
        <v/>
      </c>
      <c r="G1150" s="137" t="e">
        <f>IF(A1150&lt;&gt;"",IF(AND(#REF!="Padrão",$H$4=#REF!),BDI!$B$17,IF(AND(#REF!="Padrão",$H$4=#REF!),BDI!#REF!,IF(AND(#REF!="Diferenciado",$H$4=#REF!),BDI!$E$17,IF(AND(#REF!="Diferenciado",$H$4=#REF!),BDI!#REF!,IF(#REF!="ZERO",0))))),"")</f>
        <v>#REF!</v>
      </c>
      <c r="H1150" s="138" t="str">
        <f t="shared" si="52"/>
        <v/>
      </c>
      <c r="I1150" s="136" t="str">
        <f t="shared" si="53"/>
        <v/>
      </c>
    </row>
    <row r="1151" spans="1:9" hidden="1" x14ac:dyDescent="0.25">
      <c r="A1151" s="113" t="s">
        <v>3251</v>
      </c>
      <c r="B1151" s="114" t="s">
        <v>3252</v>
      </c>
      <c r="C1151" s="115" t="s">
        <v>1640</v>
      </c>
      <c r="D1151" s="115">
        <v>0</v>
      </c>
      <c r="E1151" s="135" t="s">
        <v>568</v>
      </c>
      <c r="F1151" s="136" t="str">
        <f t="shared" si="51"/>
        <v/>
      </c>
      <c r="G1151" s="137" t="e">
        <f>IF(A1151&lt;&gt;"",IF(AND(#REF!="Padrão",$H$4=#REF!),BDI!$B$17,IF(AND(#REF!="Padrão",$H$4=#REF!),BDI!#REF!,IF(AND(#REF!="Diferenciado",$H$4=#REF!),BDI!$E$17,IF(AND(#REF!="Diferenciado",$H$4=#REF!),BDI!#REF!,IF(#REF!="ZERO",0))))),"")</f>
        <v>#REF!</v>
      </c>
      <c r="H1151" s="138" t="str">
        <f t="shared" si="52"/>
        <v/>
      </c>
      <c r="I1151" s="136" t="str">
        <f t="shared" si="53"/>
        <v/>
      </c>
    </row>
    <row r="1152" spans="1:9" hidden="1" x14ac:dyDescent="0.25">
      <c r="A1152" s="113" t="s">
        <v>1414</v>
      </c>
      <c r="B1152" s="114" t="s">
        <v>3253</v>
      </c>
      <c r="C1152" s="115" t="s">
        <v>93</v>
      </c>
      <c r="D1152" s="115">
        <v>0</v>
      </c>
      <c r="E1152" s="135">
        <f ca="1">OFFSET(INDEX(Composições!A:J,MATCH(Orçamentária!A1152,Composições!A:A,0),8),2,0)</f>
        <v>300.78358861282146</v>
      </c>
      <c r="F1152" s="136">
        <f t="shared" ca="1" si="51"/>
        <v>0</v>
      </c>
      <c r="G1152" s="137" t="e">
        <f>IF(A1152&lt;&gt;"",IF(AND(#REF!="Padrão",$H$4=#REF!),BDI!$B$17,IF(AND(#REF!="Padrão",$H$4=#REF!),BDI!#REF!,IF(AND(#REF!="Diferenciado",$H$4=#REF!),BDI!$E$17,IF(AND(#REF!="Diferenciado",$H$4=#REF!),BDI!#REF!,IF(#REF!="ZERO",0))))),"")</f>
        <v>#REF!</v>
      </c>
      <c r="H1152" s="138" t="e">
        <f t="shared" ca="1" si="52"/>
        <v>#REF!</v>
      </c>
      <c r="I1152" s="136" t="e">
        <f t="shared" ca="1" si="53"/>
        <v>#REF!</v>
      </c>
    </row>
    <row r="1153" spans="1:9" hidden="1" x14ac:dyDescent="0.25">
      <c r="A1153" s="113" t="s">
        <v>1416</v>
      </c>
      <c r="B1153" s="114" t="s">
        <v>3254</v>
      </c>
      <c r="C1153" s="115" t="s">
        <v>93</v>
      </c>
      <c r="D1153" s="115">
        <v>0</v>
      </c>
      <c r="E1153" s="135">
        <f ca="1">OFFSET(INDEX(Composições!A:J,MATCH(Orçamentária!A1153,Composições!A:A,0),8),2,0)</f>
        <v>78.298908612821506</v>
      </c>
      <c r="F1153" s="136">
        <f t="shared" ca="1" si="51"/>
        <v>0</v>
      </c>
      <c r="G1153" s="137" t="e">
        <f>IF(A1153&lt;&gt;"",IF(AND(#REF!="Padrão",$H$4=#REF!),BDI!$B$17,IF(AND(#REF!="Padrão",$H$4=#REF!),BDI!#REF!,IF(AND(#REF!="Diferenciado",$H$4=#REF!),BDI!$E$17,IF(AND(#REF!="Diferenciado",$H$4=#REF!),BDI!#REF!,IF(#REF!="ZERO",0))))),"")</f>
        <v>#REF!</v>
      </c>
      <c r="H1153" s="138" t="e">
        <f t="shared" ca="1" si="52"/>
        <v>#REF!</v>
      </c>
      <c r="I1153" s="136" t="e">
        <f t="shared" ca="1" si="53"/>
        <v>#REF!</v>
      </c>
    </row>
    <row r="1154" spans="1:9" hidden="1" x14ac:dyDescent="0.25">
      <c r="A1154" s="113" t="s">
        <v>1417</v>
      </c>
      <c r="B1154" s="114" t="s">
        <v>3255</v>
      </c>
      <c r="C1154" s="115" t="s">
        <v>95</v>
      </c>
      <c r="D1154" s="115">
        <v>0</v>
      </c>
      <c r="E1154" s="135">
        <f ca="1">OFFSET(INDEX(Composições!A:J,MATCH(Orçamentária!A1154,Composições!A:A,0),8),2,0)</f>
        <v>1.7942650000000002</v>
      </c>
      <c r="F1154" s="136">
        <f t="shared" ca="1" si="51"/>
        <v>0</v>
      </c>
      <c r="G1154" s="137" t="e">
        <f>IF(A1154&lt;&gt;"",IF(AND(#REF!="Padrão",$H$4=#REF!),BDI!$B$17,IF(AND(#REF!="Padrão",$H$4=#REF!),BDI!#REF!,IF(AND(#REF!="Diferenciado",$H$4=#REF!),BDI!$E$17,IF(AND(#REF!="Diferenciado",$H$4=#REF!),BDI!#REF!,IF(#REF!="ZERO",0))))),"")</f>
        <v>#REF!</v>
      </c>
      <c r="H1154" s="138" t="e">
        <f t="shared" ca="1" si="52"/>
        <v>#REF!</v>
      </c>
      <c r="I1154" s="136" t="e">
        <f t="shared" ca="1" si="53"/>
        <v>#REF!</v>
      </c>
    </row>
    <row r="1155" spans="1:9" hidden="1" x14ac:dyDescent="0.25">
      <c r="A1155" s="113" t="s">
        <v>1421</v>
      </c>
      <c r="B1155" s="114" t="s">
        <v>3256</v>
      </c>
      <c r="C1155" s="115" t="s">
        <v>20</v>
      </c>
      <c r="D1155" s="115">
        <v>0</v>
      </c>
      <c r="E1155" s="135">
        <f ca="1">OFFSET(INDEX(Composições!A:J,MATCH(Orçamentária!A1155,Composições!A:A,0),8),2,0)</f>
        <v>211.54408480000001</v>
      </c>
      <c r="F1155" s="136">
        <f t="shared" ca="1" si="51"/>
        <v>0</v>
      </c>
      <c r="G1155" s="137" t="e">
        <f>IF(A1155&lt;&gt;"",IF(AND(#REF!="Padrão",$H$4=#REF!),BDI!$B$17,IF(AND(#REF!="Padrão",$H$4=#REF!),BDI!#REF!,IF(AND(#REF!="Diferenciado",$H$4=#REF!),BDI!$E$17,IF(AND(#REF!="Diferenciado",$H$4=#REF!),BDI!#REF!,IF(#REF!="ZERO",0))))),"")</f>
        <v>#REF!</v>
      </c>
      <c r="H1155" s="138" t="e">
        <f t="shared" ca="1" si="52"/>
        <v>#REF!</v>
      </c>
      <c r="I1155" s="136" t="e">
        <f t="shared" ca="1" si="53"/>
        <v>#REF!</v>
      </c>
    </row>
    <row r="1156" spans="1:9" hidden="1" x14ac:dyDescent="0.25">
      <c r="A1156" s="113" t="s">
        <v>1429</v>
      </c>
      <c r="B1156" s="114" t="s">
        <v>3257</v>
      </c>
      <c r="C1156" s="115" t="s">
        <v>20</v>
      </c>
      <c r="D1156" s="115">
        <v>0</v>
      </c>
      <c r="E1156" s="135">
        <f ca="1">OFFSET(INDEX(Composições!A:J,MATCH(Orçamentária!A1156,Composições!A:A,0),8),2,0)</f>
        <v>37.587880499999997</v>
      </c>
      <c r="F1156" s="136">
        <f t="shared" ca="1" si="51"/>
        <v>0</v>
      </c>
      <c r="G1156" s="137" t="e">
        <f>IF(A1156&lt;&gt;"",IF(AND(#REF!="Padrão",$H$4=#REF!),BDI!$B$17,IF(AND(#REF!="Padrão",$H$4=#REF!),BDI!#REF!,IF(AND(#REF!="Diferenciado",$H$4=#REF!),BDI!$E$17,IF(AND(#REF!="Diferenciado",$H$4=#REF!),BDI!#REF!,IF(#REF!="ZERO",0))))),"")</f>
        <v>#REF!</v>
      </c>
      <c r="H1156" s="138" t="e">
        <f t="shared" ca="1" si="52"/>
        <v>#REF!</v>
      </c>
      <c r="I1156" s="136" t="e">
        <f t="shared" ca="1" si="53"/>
        <v>#REF!</v>
      </c>
    </row>
    <row r="1157" spans="1:9" hidden="1" x14ac:dyDescent="0.25">
      <c r="A1157" s="113" t="s">
        <v>1430</v>
      </c>
      <c r="B1157" s="114" t="s">
        <v>3258</v>
      </c>
      <c r="C1157" s="115" t="s">
        <v>95</v>
      </c>
      <c r="D1157" s="115">
        <v>0</v>
      </c>
      <c r="E1157" s="135">
        <f ca="1">OFFSET(INDEX(Composições!A:J,MATCH(Orçamentária!A1157,Composições!A:A,0),8),2,0)</f>
        <v>36.233734439391199</v>
      </c>
      <c r="F1157" s="136">
        <f t="shared" ca="1" si="51"/>
        <v>0</v>
      </c>
      <c r="G1157" s="137" t="e">
        <f>IF(A1157&lt;&gt;"",IF(AND(#REF!="Padrão",$H$4=#REF!),BDI!$B$17,IF(AND(#REF!="Padrão",$H$4=#REF!),BDI!#REF!,IF(AND(#REF!="Diferenciado",$H$4=#REF!),BDI!$E$17,IF(AND(#REF!="Diferenciado",$H$4=#REF!),BDI!#REF!,IF(#REF!="ZERO",0))))),"")</f>
        <v>#REF!</v>
      </c>
      <c r="H1157" s="138" t="e">
        <f t="shared" ca="1" si="52"/>
        <v>#REF!</v>
      </c>
      <c r="I1157" s="136" t="e">
        <f t="shared" ca="1" si="53"/>
        <v>#REF!</v>
      </c>
    </row>
    <row r="1158" spans="1:9" hidden="1" x14ac:dyDescent="0.25">
      <c r="A1158" s="113" t="s">
        <v>1433</v>
      </c>
      <c r="B1158" s="114" t="s">
        <v>3259</v>
      </c>
      <c r="C1158" s="115" t="s">
        <v>95</v>
      </c>
      <c r="D1158" s="115">
        <v>0</v>
      </c>
      <c r="E1158" s="135">
        <f ca="1">OFFSET(INDEX(Composições!A:J,MATCH(Orçamentária!A1158,Composições!A:A,0),8),2,0)</f>
        <v>43.229399900087202</v>
      </c>
      <c r="F1158" s="136">
        <f t="shared" ca="1" si="51"/>
        <v>0</v>
      </c>
      <c r="G1158" s="137" t="e">
        <f>IF(A1158&lt;&gt;"",IF(AND(#REF!="Padrão",$H$4=#REF!),BDI!$B$17,IF(AND(#REF!="Padrão",$H$4=#REF!),BDI!#REF!,IF(AND(#REF!="Diferenciado",$H$4=#REF!),BDI!$E$17,IF(AND(#REF!="Diferenciado",$H$4=#REF!),BDI!#REF!,IF(#REF!="ZERO",0))))),"")</f>
        <v>#REF!</v>
      </c>
      <c r="H1158" s="138" t="e">
        <f t="shared" ca="1" si="52"/>
        <v>#REF!</v>
      </c>
      <c r="I1158" s="136" t="e">
        <f t="shared" ca="1" si="53"/>
        <v>#REF!</v>
      </c>
    </row>
    <row r="1159" spans="1:9" hidden="1" x14ac:dyDescent="0.25">
      <c r="A1159" s="113" t="s">
        <v>1434</v>
      </c>
      <c r="B1159" s="114" t="s">
        <v>3260</v>
      </c>
      <c r="C1159" s="115" t="s">
        <v>95</v>
      </c>
      <c r="D1159" s="115">
        <v>0</v>
      </c>
      <c r="E1159" s="135">
        <f ca="1">OFFSET(INDEX(Composições!A:J,MATCH(Orçamentária!A1159,Composições!A:A,0),8),2,0)</f>
        <v>5.3045150000000003</v>
      </c>
      <c r="F1159" s="136">
        <f t="shared" ref="F1159:F1222" ca="1" si="54">IF(ISNUMBER(E1159),D1159*E1159,"")</f>
        <v>0</v>
      </c>
      <c r="G1159" s="137" t="e">
        <f>IF(A1159&lt;&gt;"",IF(AND(#REF!="Padrão",$H$4=#REF!),BDI!$B$17,IF(AND(#REF!="Padrão",$H$4=#REF!),BDI!#REF!,IF(AND(#REF!="Diferenciado",$H$4=#REF!),BDI!$E$17,IF(AND(#REF!="Diferenciado",$H$4=#REF!),BDI!#REF!,IF(#REF!="ZERO",0))))),"")</f>
        <v>#REF!</v>
      </c>
      <c r="H1159" s="138" t="e">
        <f t="shared" ref="H1159:H1222" ca="1" si="55">IF(ISNUMBER(E1159),ROUND(E1159*(1+G1159),2),"")</f>
        <v>#REF!</v>
      </c>
      <c r="I1159" s="136" t="e">
        <f t="shared" ref="I1159:I1222" ca="1" si="56">IF(ISNUMBER(E1159),ROUND(H1159*D1159,2),"")</f>
        <v>#REF!</v>
      </c>
    </row>
    <row r="1160" spans="1:9" hidden="1" x14ac:dyDescent="0.25">
      <c r="A1160" s="113" t="s">
        <v>1436</v>
      </c>
      <c r="B1160" s="114" t="s">
        <v>3261</v>
      </c>
      <c r="C1160" s="115" t="s">
        <v>95</v>
      </c>
      <c r="D1160" s="115">
        <v>0</v>
      </c>
      <c r="E1160" s="135">
        <f ca="1">OFFSET(INDEX(Composições!A:J,MATCH(Orçamentária!A1160,Composições!A:A,0),8),2,0)</f>
        <v>10.042450000000001</v>
      </c>
      <c r="F1160" s="136">
        <f t="shared" ca="1" si="54"/>
        <v>0</v>
      </c>
      <c r="G1160" s="137" t="e">
        <f>IF(A1160&lt;&gt;"",IF(AND(#REF!="Padrão",$H$4=#REF!),BDI!$B$17,IF(AND(#REF!="Padrão",$H$4=#REF!),BDI!#REF!,IF(AND(#REF!="Diferenciado",$H$4=#REF!),BDI!$E$17,IF(AND(#REF!="Diferenciado",$H$4=#REF!),BDI!#REF!,IF(#REF!="ZERO",0))))),"")</f>
        <v>#REF!</v>
      </c>
      <c r="H1160" s="138" t="e">
        <f t="shared" ca="1" si="55"/>
        <v>#REF!</v>
      </c>
      <c r="I1160" s="136" t="e">
        <f t="shared" ca="1" si="56"/>
        <v>#REF!</v>
      </c>
    </row>
    <row r="1161" spans="1:9" hidden="1" x14ac:dyDescent="0.25">
      <c r="A1161" s="113" t="s">
        <v>1438</v>
      </c>
      <c r="B1161" s="114" t="s">
        <v>3262</v>
      </c>
      <c r="C1161" s="115" t="s">
        <v>95</v>
      </c>
      <c r="D1161" s="115">
        <v>0</v>
      </c>
      <c r="E1161" s="135">
        <f ca="1">OFFSET(INDEX(Composições!A:J,MATCH(Orçamentária!A1161,Composições!A:A,0),8),2,0)</f>
        <v>23.412883151772</v>
      </c>
      <c r="F1161" s="136">
        <f t="shared" ca="1" si="54"/>
        <v>0</v>
      </c>
      <c r="G1161" s="137" t="e">
        <f>IF(A1161&lt;&gt;"",IF(AND(#REF!="Padrão",$H$4=#REF!),BDI!$B$17,IF(AND(#REF!="Padrão",$H$4=#REF!),BDI!#REF!,IF(AND(#REF!="Diferenciado",$H$4=#REF!),BDI!$E$17,IF(AND(#REF!="Diferenciado",$H$4=#REF!),BDI!#REF!,IF(#REF!="ZERO",0))))),"")</f>
        <v>#REF!</v>
      </c>
      <c r="H1161" s="138" t="e">
        <f t="shared" ca="1" si="55"/>
        <v>#REF!</v>
      </c>
      <c r="I1161" s="136" t="e">
        <f t="shared" ca="1" si="56"/>
        <v>#REF!</v>
      </c>
    </row>
    <row r="1162" spans="1:9" hidden="1" x14ac:dyDescent="0.25">
      <c r="A1162" s="113" t="s">
        <v>1439</v>
      </c>
      <c r="B1162" s="114" t="s">
        <v>3263</v>
      </c>
      <c r="C1162" s="115" t="s">
        <v>95</v>
      </c>
      <c r="D1162" s="115">
        <v>0</v>
      </c>
      <c r="E1162" s="135">
        <f ca="1">OFFSET(INDEX(Composições!A:J,MATCH(Orçamentária!A1162,Composições!A:A,0),8),2,0)</f>
        <v>68.4341542385</v>
      </c>
      <c r="F1162" s="136">
        <f t="shared" ca="1" si="54"/>
        <v>0</v>
      </c>
      <c r="G1162" s="137" t="e">
        <f>IF(A1162&lt;&gt;"",IF(AND(#REF!="Padrão",$H$4=#REF!),BDI!$B$17,IF(AND(#REF!="Padrão",$H$4=#REF!),BDI!#REF!,IF(AND(#REF!="Diferenciado",$H$4=#REF!),BDI!$E$17,IF(AND(#REF!="Diferenciado",$H$4=#REF!),BDI!#REF!,IF(#REF!="ZERO",0))))),"")</f>
        <v>#REF!</v>
      </c>
      <c r="H1162" s="138" t="e">
        <f t="shared" ca="1" si="55"/>
        <v>#REF!</v>
      </c>
      <c r="I1162" s="136" t="e">
        <f t="shared" ca="1" si="56"/>
        <v>#REF!</v>
      </c>
    </row>
    <row r="1163" spans="1:9" hidden="1" x14ac:dyDescent="0.25">
      <c r="A1163" s="113" t="s">
        <v>1440</v>
      </c>
      <c r="B1163" s="114" t="s">
        <v>3264</v>
      </c>
      <c r="C1163" s="115" t="s">
        <v>95</v>
      </c>
      <c r="D1163" s="115">
        <v>0</v>
      </c>
      <c r="E1163" s="135">
        <f ca="1">OFFSET(INDEX(Composições!A:J,MATCH(Orçamentária!A1163,Composições!A:A,0),8),2,0)</f>
        <v>11.80185</v>
      </c>
      <c r="F1163" s="136">
        <f t="shared" ca="1" si="54"/>
        <v>0</v>
      </c>
      <c r="G1163" s="137" t="e">
        <f>IF(A1163&lt;&gt;"",IF(AND(#REF!="Padrão",$H$4=#REF!),BDI!$B$17,IF(AND(#REF!="Padrão",$H$4=#REF!),BDI!#REF!,IF(AND(#REF!="Diferenciado",$H$4=#REF!),BDI!$E$17,IF(AND(#REF!="Diferenciado",$H$4=#REF!),BDI!#REF!,IF(#REF!="ZERO",0))))),"")</f>
        <v>#REF!</v>
      </c>
      <c r="H1163" s="138" t="e">
        <f t="shared" ca="1" si="55"/>
        <v>#REF!</v>
      </c>
      <c r="I1163" s="136" t="e">
        <f t="shared" ca="1" si="56"/>
        <v>#REF!</v>
      </c>
    </row>
    <row r="1164" spans="1:9" hidden="1" x14ac:dyDescent="0.25">
      <c r="A1164" s="113" t="s">
        <v>1442</v>
      </c>
      <c r="B1164" s="114" t="s">
        <v>3265</v>
      </c>
      <c r="C1164" s="115" t="s">
        <v>95</v>
      </c>
      <c r="D1164" s="115">
        <v>0</v>
      </c>
      <c r="E1164" s="135">
        <f ca="1">OFFSET(INDEX(Composições!A:J,MATCH(Orçamentária!A1164,Composições!A:A,0),8),2,0)</f>
        <v>5.4676299999999998</v>
      </c>
      <c r="F1164" s="136">
        <f t="shared" ca="1" si="54"/>
        <v>0</v>
      </c>
      <c r="G1164" s="137" t="e">
        <f>IF(A1164&lt;&gt;"",IF(AND(#REF!="Padrão",$H$4=#REF!),BDI!$B$17,IF(AND(#REF!="Padrão",$H$4=#REF!),BDI!#REF!,IF(AND(#REF!="Diferenciado",$H$4=#REF!),BDI!$E$17,IF(AND(#REF!="Diferenciado",$H$4=#REF!),BDI!#REF!,IF(#REF!="ZERO",0))))),"")</f>
        <v>#REF!</v>
      </c>
      <c r="H1164" s="138" t="e">
        <f t="shared" ca="1" si="55"/>
        <v>#REF!</v>
      </c>
      <c r="I1164" s="136" t="e">
        <f t="shared" ca="1" si="56"/>
        <v>#REF!</v>
      </c>
    </row>
    <row r="1165" spans="1:9" hidden="1" x14ac:dyDescent="0.25">
      <c r="A1165" s="113" t="s">
        <v>1444</v>
      </c>
      <c r="B1165" s="114" t="s">
        <v>3266</v>
      </c>
      <c r="C1165" s="115" t="s">
        <v>95</v>
      </c>
      <c r="D1165" s="115">
        <v>0</v>
      </c>
      <c r="E1165" s="135">
        <f ca="1">OFFSET(INDEX(Composições!A:J,MATCH(Orçamentária!A1165,Composições!A:A,0),8),2,0)</f>
        <v>144.95862659999997</v>
      </c>
      <c r="F1165" s="136">
        <f t="shared" ca="1" si="54"/>
        <v>0</v>
      </c>
      <c r="G1165" s="137" t="e">
        <f>IF(A1165&lt;&gt;"",IF(AND(#REF!="Padrão",$H$4=#REF!),BDI!$B$17,IF(AND(#REF!="Padrão",$H$4=#REF!),BDI!#REF!,IF(AND(#REF!="Diferenciado",$H$4=#REF!),BDI!$E$17,IF(AND(#REF!="Diferenciado",$H$4=#REF!),BDI!#REF!,IF(#REF!="ZERO",0))))),"")</f>
        <v>#REF!</v>
      </c>
      <c r="H1165" s="138" t="e">
        <f t="shared" ca="1" si="55"/>
        <v>#REF!</v>
      </c>
      <c r="I1165" s="136" t="e">
        <f t="shared" ca="1" si="56"/>
        <v>#REF!</v>
      </c>
    </row>
    <row r="1166" spans="1:9" hidden="1" x14ac:dyDescent="0.25">
      <c r="A1166" s="113" t="s">
        <v>1449</v>
      </c>
      <c r="B1166" s="114" t="s">
        <v>3267</v>
      </c>
      <c r="C1166" s="115" t="s">
        <v>95</v>
      </c>
      <c r="D1166" s="115">
        <v>0</v>
      </c>
      <c r="E1166" s="135">
        <f ca="1">OFFSET(INDEX(Composições!A:J,MATCH(Orçamentária!A1166,Composições!A:A,0),8),2,0)</f>
        <v>139.42411659999999</v>
      </c>
      <c r="F1166" s="136">
        <f t="shared" ca="1" si="54"/>
        <v>0</v>
      </c>
      <c r="G1166" s="137" t="e">
        <f>IF(A1166&lt;&gt;"",IF(AND(#REF!="Padrão",$H$4=#REF!),BDI!$B$17,IF(AND(#REF!="Padrão",$H$4=#REF!),BDI!#REF!,IF(AND(#REF!="Diferenciado",$H$4=#REF!),BDI!$E$17,IF(AND(#REF!="Diferenciado",$H$4=#REF!),BDI!#REF!,IF(#REF!="ZERO",0))))),"")</f>
        <v>#REF!</v>
      </c>
      <c r="H1166" s="138" t="e">
        <f t="shared" ca="1" si="55"/>
        <v>#REF!</v>
      </c>
      <c r="I1166" s="136" t="e">
        <f t="shared" ca="1" si="56"/>
        <v>#REF!</v>
      </c>
    </row>
    <row r="1167" spans="1:9" hidden="1" x14ac:dyDescent="0.25">
      <c r="A1167" s="113" t="s">
        <v>3268</v>
      </c>
      <c r="B1167" s="114" t="s">
        <v>3269</v>
      </c>
      <c r="C1167" s="115" t="s">
        <v>42</v>
      </c>
      <c r="D1167" s="115">
        <v>0</v>
      </c>
      <c r="E1167" s="135" t="s">
        <v>568</v>
      </c>
      <c r="F1167" s="136" t="str">
        <f t="shared" si="54"/>
        <v/>
      </c>
      <c r="G1167" s="137" t="e">
        <f>IF(A1167&lt;&gt;"",IF(AND(#REF!="Padrão",$H$4=#REF!),BDI!$B$17,IF(AND(#REF!="Padrão",$H$4=#REF!),BDI!#REF!,IF(AND(#REF!="Diferenciado",$H$4=#REF!),BDI!$E$17,IF(AND(#REF!="Diferenciado",$H$4=#REF!),BDI!#REF!,IF(#REF!="ZERO",0))))),"")</f>
        <v>#REF!</v>
      </c>
      <c r="H1167" s="138" t="str">
        <f t="shared" si="55"/>
        <v/>
      </c>
      <c r="I1167" s="136" t="str">
        <f t="shared" si="56"/>
        <v/>
      </c>
    </row>
    <row r="1168" spans="1:9" hidden="1" x14ac:dyDescent="0.25">
      <c r="A1168" s="113" t="s">
        <v>1451</v>
      </c>
      <c r="B1168" s="114" t="s">
        <v>3270</v>
      </c>
      <c r="C1168" s="115" t="s">
        <v>93</v>
      </c>
      <c r="D1168" s="115">
        <v>0</v>
      </c>
      <c r="E1168" s="135">
        <f ca="1">OFFSET(INDEX(Composições!A:J,MATCH(Orçamentária!A1168,Composições!A:A,0),8),2,0)</f>
        <v>100.90806479150001</v>
      </c>
      <c r="F1168" s="136">
        <f t="shared" ca="1" si="54"/>
        <v>0</v>
      </c>
      <c r="G1168" s="137" t="e">
        <f>IF(A1168&lt;&gt;"",IF(AND(#REF!="Padrão",$H$4=#REF!),BDI!$B$17,IF(AND(#REF!="Padrão",$H$4=#REF!),BDI!#REF!,IF(AND(#REF!="Diferenciado",$H$4=#REF!),BDI!$E$17,IF(AND(#REF!="Diferenciado",$H$4=#REF!),BDI!#REF!,IF(#REF!="ZERO",0))))),"")</f>
        <v>#REF!</v>
      </c>
      <c r="H1168" s="138" t="e">
        <f t="shared" ca="1" si="55"/>
        <v>#REF!</v>
      </c>
      <c r="I1168" s="136" t="e">
        <f t="shared" ca="1" si="56"/>
        <v>#REF!</v>
      </c>
    </row>
    <row r="1169" spans="1:9" hidden="1" x14ac:dyDescent="0.25">
      <c r="A1169" s="113" t="s">
        <v>1456</v>
      </c>
      <c r="B1169" s="114" t="s">
        <v>3271</v>
      </c>
      <c r="C1169" s="115" t="s">
        <v>95</v>
      </c>
      <c r="D1169" s="115">
        <v>0</v>
      </c>
      <c r="E1169" s="135">
        <f ca="1">OFFSET(INDEX(Composições!A:J,MATCH(Orçamentária!A1169,Composições!A:A,0),8),2,0)</f>
        <v>22.344140599999999</v>
      </c>
      <c r="F1169" s="136">
        <f t="shared" ca="1" si="54"/>
        <v>0</v>
      </c>
      <c r="G1169" s="137" t="e">
        <f>IF(A1169&lt;&gt;"",IF(AND(#REF!="Padrão",$H$4=#REF!),BDI!$B$17,IF(AND(#REF!="Padrão",$H$4=#REF!),BDI!#REF!,IF(AND(#REF!="Diferenciado",$H$4=#REF!),BDI!$E$17,IF(AND(#REF!="Diferenciado",$H$4=#REF!),BDI!#REF!,IF(#REF!="ZERO",0))))),"")</f>
        <v>#REF!</v>
      </c>
      <c r="H1169" s="138" t="e">
        <f t="shared" ca="1" si="55"/>
        <v>#REF!</v>
      </c>
      <c r="I1169" s="136" t="e">
        <f t="shared" ca="1" si="56"/>
        <v>#REF!</v>
      </c>
    </row>
    <row r="1170" spans="1:9" hidden="1" x14ac:dyDescent="0.25">
      <c r="A1170" s="113" t="s">
        <v>1458</v>
      </c>
      <c r="B1170" s="114" t="s">
        <v>3272</v>
      </c>
      <c r="C1170" s="115" t="s">
        <v>95</v>
      </c>
      <c r="D1170" s="115">
        <v>0</v>
      </c>
      <c r="E1170" s="135">
        <f ca="1">OFFSET(INDEX(Composições!A:J,MATCH(Orçamentária!A1170,Composições!A:A,0),8),2,0)</f>
        <v>44.687327400000001</v>
      </c>
      <c r="F1170" s="136">
        <f t="shared" ca="1" si="54"/>
        <v>0</v>
      </c>
      <c r="G1170" s="137" t="e">
        <f>IF(A1170&lt;&gt;"",IF(AND(#REF!="Padrão",$H$4=#REF!),BDI!$B$17,IF(AND(#REF!="Padrão",$H$4=#REF!),BDI!#REF!,IF(AND(#REF!="Diferenciado",$H$4=#REF!),BDI!$E$17,IF(AND(#REF!="Diferenciado",$H$4=#REF!),BDI!#REF!,IF(#REF!="ZERO",0))))),"")</f>
        <v>#REF!</v>
      </c>
      <c r="H1170" s="138" t="e">
        <f t="shared" ca="1" si="55"/>
        <v>#REF!</v>
      </c>
      <c r="I1170" s="136" t="e">
        <f t="shared" ca="1" si="56"/>
        <v>#REF!</v>
      </c>
    </row>
    <row r="1171" spans="1:9" hidden="1" x14ac:dyDescent="0.25">
      <c r="A1171" s="113" t="s">
        <v>1461</v>
      </c>
      <c r="B1171" s="114" t="s">
        <v>3273</v>
      </c>
      <c r="C1171" s="115" t="s">
        <v>95</v>
      </c>
      <c r="D1171" s="115">
        <v>0</v>
      </c>
      <c r="E1171" s="135">
        <f ca="1">OFFSET(INDEX(Composições!A:J,MATCH(Orçamentária!A1171,Composições!A:A,0),8),2,0)</f>
        <v>6.4571500000000004</v>
      </c>
      <c r="F1171" s="136">
        <f t="shared" ca="1" si="54"/>
        <v>0</v>
      </c>
      <c r="G1171" s="137" t="e">
        <f>IF(A1171&lt;&gt;"",IF(AND(#REF!="Padrão",$H$4=#REF!),BDI!$B$17,IF(AND(#REF!="Padrão",$H$4=#REF!),BDI!#REF!,IF(AND(#REF!="Diferenciado",$H$4=#REF!),BDI!$E$17,IF(AND(#REF!="Diferenciado",$H$4=#REF!),BDI!#REF!,IF(#REF!="ZERO",0))))),"")</f>
        <v>#REF!</v>
      </c>
      <c r="H1171" s="138" t="e">
        <f t="shared" ca="1" si="55"/>
        <v>#REF!</v>
      </c>
      <c r="I1171" s="136" t="e">
        <f t="shared" ca="1" si="56"/>
        <v>#REF!</v>
      </c>
    </row>
    <row r="1172" spans="1:9" hidden="1" x14ac:dyDescent="0.25">
      <c r="A1172" s="113" t="s">
        <v>1463</v>
      </c>
      <c r="B1172" s="114" t="s">
        <v>3274</v>
      </c>
      <c r="C1172" s="115" t="s">
        <v>95</v>
      </c>
      <c r="D1172" s="115">
        <v>0</v>
      </c>
      <c r="E1172" s="135">
        <f ca="1">OFFSET(INDEX(Composições!A:J,MATCH(Orçamentária!A1172,Composições!A:A,0),8),2,0)</f>
        <v>6.4571500000000004</v>
      </c>
      <c r="F1172" s="136">
        <f t="shared" ca="1" si="54"/>
        <v>0</v>
      </c>
      <c r="G1172" s="137" t="e">
        <f>IF(A1172&lt;&gt;"",IF(AND(#REF!="Padrão",$H$4=#REF!),BDI!$B$17,IF(AND(#REF!="Padrão",$H$4=#REF!),BDI!#REF!,IF(AND(#REF!="Diferenciado",$H$4=#REF!),BDI!$E$17,IF(AND(#REF!="Diferenciado",$H$4=#REF!),BDI!#REF!,IF(#REF!="ZERO",0))))),"")</f>
        <v>#REF!</v>
      </c>
      <c r="H1172" s="138" t="e">
        <f t="shared" ca="1" si="55"/>
        <v>#REF!</v>
      </c>
      <c r="I1172" s="136" t="e">
        <f t="shared" ca="1" si="56"/>
        <v>#REF!</v>
      </c>
    </row>
    <row r="1173" spans="1:9" hidden="1" x14ac:dyDescent="0.25">
      <c r="A1173" s="113" t="s">
        <v>1465</v>
      </c>
      <c r="B1173" s="114" t="s">
        <v>3275</v>
      </c>
      <c r="C1173" s="115" t="s">
        <v>111</v>
      </c>
      <c r="D1173" s="115">
        <v>0</v>
      </c>
      <c r="E1173" s="135">
        <f ca="1">OFFSET(INDEX(Composições!A:J,MATCH(Orçamentária!A1173,Composições!A:A,0),8),2,0)</f>
        <v>876.31320084890001</v>
      </c>
      <c r="F1173" s="136">
        <f t="shared" ca="1" si="54"/>
        <v>0</v>
      </c>
      <c r="G1173" s="137" t="e">
        <f>IF(A1173&lt;&gt;"",IF(AND(#REF!="Padrão",$H$4=#REF!),BDI!$B$17,IF(AND(#REF!="Padrão",$H$4=#REF!),BDI!#REF!,IF(AND(#REF!="Diferenciado",$H$4=#REF!),BDI!$E$17,IF(AND(#REF!="Diferenciado",$H$4=#REF!),BDI!#REF!,IF(#REF!="ZERO",0))))),"")</f>
        <v>#REF!</v>
      </c>
      <c r="H1173" s="138" t="e">
        <f t="shared" ca="1" si="55"/>
        <v>#REF!</v>
      </c>
      <c r="I1173" s="136" t="e">
        <f t="shared" ca="1" si="56"/>
        <v>#REF!</v>
      </c>
    </row>
    <row r="1174" spans="1:9" hidden="1" x14ac:dyDescent="0.25">
      <c r="A1174" s="113" t="s">
        <v>1468</v>
      </c>
      <c r="B1174" s="114" t="s">
        <v>3276</v>
      </c>
      <c r="C1174" s="115" t="s">
        <v>95</v>
      </c>
      <c r="D1174" s="115">
        <v>0</v>
      </c>
      <c r="E1174" s="135">
        <f ca="1">OFFSET(INDEX(Composições!A:J,MATCH(Orçamentária!A1174,Composições!A:A,0),8),2,0)</f>
        <v>6.5109674999999996</v>
      </c>
      <c r="F1174" s="136">
        <f t="shared" ca="1" si="54"/>
        <v>0</v>
      </c>
      <c r="G1174" s="137" t="e">
        <f>IF(A1174&lt;&gt;"",IF(AND(#REF!="Padrão",$H$4=#REF!),BDI!$B$17,IF(AND(#REF!="Padrão",$H$4=#REF!),BDI!#REF!,IF(AND(#REF!="Diferenciado",$H$4=#REF!),BDI!$E$17,IF(AND(#REF!="Diferenciado",$H$4=#REF!),BDI!#REF!,IF(#REF!="ZERO",0))))),"")</f>
        <v>#REF!</v>
      </c>
      <c r="H1174" s="138" t="e">
        <f t="shared" ca="1" si="55"/>
        <v>#REF!</v>
      </c>
      <c r="I1174" s="136" t="e">
        <f t="shared" ca="1" si="56"/>
        <v>#REF!</v>
      </c>
    </row>
    <row r="1175" spans="1:9" hidden="1" x14ac:dyDescent="0.25">
      <c r="A1175" s="113" t="s">
        <v>1473</v>
      </c>
      <c r="B1175" s="114" t="s">
        <v>3277</v>
      </c>
      <c r="C1175" s="115" t="s">
        <v>95</v>
      </c>
      <c r="D1175" s="115">
        <v>0</v>
      </c>
      <c r="E1175" s="135">
        <f ca="1">OFFSET(INDEX(Composições!A:J,MATCH(Orçamentária!A1175,Composições!A:A,0),8),2,0)</f>
        <v>109.55821799999998</v>
      </c>
      <c r="F1175" s="136">
        <f t="shared" ca="1" si="54"/>
        <v>0</v>
      </c>
      <c r="G1175" s="137" t="e">
        <f>IF(A1175&lt;&gt;"",IF(AND(#REF!="Padrão",$H$4=#REF!),BDI!$B$17,IF(AND(#REF!="Padrão",$H$4=#REF!),BDI!#REF!,IF(AND(#REF!="Diferenciado",$H$4=#REF!),BDI!$E$17,IF(AND(#REF!="Diferenciado",$H$4=#REF!),BDI!#REF!,IF(#REF!="ZERO",0))))),"")</f>
        <v>#REF!</v>
      </c>
      <c r="H1175" s="138" t="e">
        <f t="shared" ca="1" si="55"/>
        <v>#REF!</v>
      </c>
      <c r="I1175" s="136" t="e">
        <f t="shared" ca="1" si="56"/>
        <v>#REF!</v>
      </c>
    </row>
    <row r="1176" spans="1:9" hidden="1" x14ac:dyDescent="0.25">
      <c r="A1176" s="113" t="s">
        <v>1475</v>
      </c>
      <c r="B1176" s="114" t="s">
        <v>3278</v>
      </c>
      <c r="C1176" s="115" t="s">
        <v>95</v>
      </c>
      <c r="D1176" s="115">
        <v>0</v>
      </c>
      <c r="E1176" s="135">
        <f ca="1">OFFSET(INDEX(Composições!A:J,MATCH(Orçamentária!A1176,Composições!A:A,0),8),2,0)</f>
        <v>80.455718500000003</v>
      </c>
      <c r="F1176" s="136">
        <f t="shared" ca="1" si="54"/>
        <v>0</v>
      </c>
      <c r="G1176" s="137" t="e">
        <f>IF(A1176&lt;&gt;"",IF(AND(#REF!="Padrão",$H$4=#REF!),BDI!$B$17,IF(AND(#REF!="Padrão",$H$4=#REF!),BDI!#REF!,IF(AND(#REF!="Diferenciado",$H$4=#REF!),BDI!$E$17,IF(AND(#REF!="Diferenciado",$H$4=#REF!),BDI!#REF!,IF(#REF!="ZERO",0))))),"")</f>
        <v>#REF!</v>
      </c>
      <c r="H1176" s="138" t="e">
        <f t="shared" ca="1" si="55"/>
        <v>#REF!</v>
      </c>
      <c r="I1176" s="136" t="e">
        <f t="shared" ca="1" si="56"/>
        <v>#REF!</v>
      </c>
    </row>
    <row r="1177" spans="1:9" hidden="1" x14ac:dyDescent="0.25">
      <c r="A1177" s="113" t="s">
        <v>1478</v>
      </c>
      <c r="B1177" s="114" t="s">
        <v>3279</v>
      </c>
      <c r="C1177" s="115" t="s">
        <v>95</v>
      </c>
      <c r="D1177" s="115">
        <v>0</v>
      </c>
      <c r="E1177" s="135">
        <f ca="1">OFFSET(INDEX(Composições!A:J,MATCH(Orçamentária!A1177,Composições!A:A,0),8),2,0)</f>
        <v>34.734593500000003</v>
      </c>
      <c r="F1177" s="136">
        <f t="shared" ca="1" si="54"/>
        <v>0</v>
      </c>
      <c r="G1177" s="137" t="e">
        <f>IF(A1177&lt;&gt;"",IF(AND(#REF!="Padrão",$H$4=#REF!),BDI!$B$17,IF(AND(#REF!="Padrão",$H$4=#REF!),BDI!#REF!,IF(AND(#REF!="Diferenciado",$H$4=#REF!),BDI!$E$17,IF(AND(#REF!="Diferenciado",$H$4=#REF!),BDI!#REF!,IF(#REF!="ZERO",0))))),"")</f>
        <v>#REF!</v>
      </c>
      <c r="H1177" s="138" t="e">
        <f t="shared" ca="1" si="55"/>
        <v>#REF!</v>
      </c>
      <c r="I1177" s="136" t="e">
        <f t="shared" ca="1" si="56"/>
        <v>#REF!</v>
      </c>
    </row>
    <row r="1178" spans="1:9" hidden="1" x14ac:dyDescent="0.25">
      <c r="A1178" s="113" t="s">
        <v>1480</v>
      </c>
      <c r="B1178" s="114" t="s">
        <v>3280</v>
      </c>
      <c r="C1178" s="115" t="s">
        <v>95</v>
      </c>
      <c r="D1178" s="115">
        <v>0</v>
      </c>
      <c r="E1178" s="135">
        <f ca="1">OFFSET(INDEX(Composições!A:J,MATCH(Orçamentária!A1178,Composições!A:A,0),8),2,0)</f>
        <v>20.728999999999999</v>
      </c>
      <c r="F1178" s="136">
        <f t="shared" ca="1" si="54"/>
        <v>0</v>
      </c>
      <c r="G1178" s="137" t="e">
        <f>IF(A1178&lt;&gt;"",IF(AND(#REF!="Padrão",$H$4=#REF!),BDI!$B$17,IF(AND(#REF!="Padrão",$H$4=#REF!),BDI!#REF!,IF(AND(#REF!="Diferenciado",$H$4=#REF!),BDI!$E$17,IF(AND(#REF!="Diferenciado",$H$4=#REF!),BDI!#REF!,IF(#REF!="ZERO",0))))),"")</f>
        <v>#REF!</v>
      </c>
      <c r="H1178" s="138" t="e">
        <f t="shared" ca="1" si="55"/>
        <v>#REF!</v>
      </c>
      <c r="I1178" s="136" t="e">
        <f t="shared" ca="1" si="56"/>
        <v>#REF!</v>
      </c>
    </row>
    <row r="1179" spans="1:9" hidden="1" x14ac:dyDescent="0.25">
      <c r="A1179" s="113" t="s">
        <v>1486</v>
      </c>
      <c r="B1179" s="114" t="s">
        <v>3281</v>
      </c>
      <c r="C1179" s="115" t="s">
        <v>95</v>
      </c>
      <c r="D1179" s="115">
        <v>0</v>
      </c>
      <c r="E1179" s="135">
        <f ca="1">OFFSET(INDEX(Composições!A:J,MATCH(Orçamentária!A1179,Composições!A:A,0),8),2,0)</f>
        <v>37.616323499999993</v>
      </c>
      <c r="F1179" s="136">
        <f t="shared" ca="1" si="54"/>
        <v>0</v>
      </c>
      <c r="G1179" s="137" t="e">
        <f>IF(A1179&lt;&gt;"",IF(AND(#REF!="Padrão",$H$4=#REF!),BDI!$B$17,IF(AND(#REF!="Padrão",$H$4=#REF!),BDI!#REF!,IF(AND(#REF!="Diferenciado",$H$4=#REF!),BDI!$E$17,IF(AND(#REF!="Diferenciado",$H$4=#REF!),BDI!#REF!,IF(#REF!="ZERO",0))))),"")</f>
        <v>#REF!</v>
      </c>
      <c r="H1179" s="138" t="e">
        <f t="shared" ca="1" si="55"/>
        <v>#REF!</v>
      </c>
      <c r="I1179" s="136" t="e">
        <f t="shared" ca="1" si="56"/>
        <v>#REF!</v>
      </c>
    </row>
    <row r="1180" spans="1:9" hidden="1" x14ac:dyDescent="0.25">
      <c r="A1180" s="113" t="s">
        <v>1488</v>
      </c>
      <c r="B1180" s="114" t="s">
        <v>3282</v>
      </c>
      <c r="C1180" s="115" t="s">
        <v>95</v>
      </c>
      <c r="D1180" s="115">
        <v>0</v>
      </c>
      <c r="E1180" s="135">
        <f ca="1">OFFSET(INDEX(Composições!A:J,MATCH(Orçamentária!A1180,Composições!A:A,0),8),2,0)</f>
        <v>4.4174999999999995</v>
      </c>
      <c r="F1180" s="136">
        <f t="shared" ca="1" si="54"/>
        <v>0</v>
      </c>
      <c r="G1180" s="137" t="e">
        <f>IF(A1180&lt;&gt;"",IF(AND(#REF!="Padrão",$H$4=#REF!),BDI!$B$17,IF(AND(#REF!="Padrão",$H$4=#REF!),BDI!#REF!,IF(AND(#REF!="Diferenciado",$H$4=#REF!),BDI!$E$17,IF(AND(#REF!="Diferenciado",$H$4=#REF!),BDI!#REF!,IF(#REF!="ZERO",0))))),"")</f>
        <v>#REF!</v>
      </c>
      <c r="H1180" s="138" t="e">
        <f t="shared" ca="1" si="55"/>
        <v>#REF!</v>
      </c>
      <c r="I1180" s="136" t="e">
        <f t="shared" ca="1" si="56"/>
        <v>#REF!</v>
      </c>
    </row>
    <row r="1181" spans="1:9" hidden="1" x14ac:dyDescent="0.25">
      <c r="A1181" s="113" t="s">
        <v>1492</v>
      </c>
      <c r="B1181" s="114" t="s">
        <v>3283</v>
      </c>
      <c r="C1181" s="115" t="s">
        <v>95</v>
      </c>
      <c r="D1181" s="115">
        <v>0</v>
      </c>
      <c r="E1181" s="135">
        <f ca="1">OFFSET(INDEX(Composições!A:J,MATCH(Orçamentária!A1181,Composições!A:A,0),8),2,0)</f>
        <v>130.31712399999998</v>
      </c>
      <c r="F1181" s="136">
        <f t="shared" ca="1" si="54"/>
        <v>0</v>
      </c>
      <c r="G1181" s="137" t="e">
        <f>IF(A1181&lt;&gt;"",IF(AND(#REF!="Padrão",$H$4=#REF!),BDI!$B$17,IF(AND(#REF!="Padrão",$H$4=#REF!),BDI!#REF!,IF(AND(#REF!="Diferenciado",$H$4=#REF!),BDI!$E$17,IF(AND(#REF!="Diferenciado",$H$4=#REF!),BDI!#REF!,IF(#REF!="ZERO",0))))),"")</f>
        <v>#REF!</v>
      </c>
      <c r="H1181" s="138" t="e">
        <f t="shared" ca="1" si="55"/>
        <v>#REF!</v>
      </c>
      <c r="I1181" s="136" t="e">
        <f t="shared" ca="1" si="56"/>
        <v>#REF!</v>
      </c>
    </row>
    <row r="1182" spans="1:9" hidden="1" x14ac:dyDescent="0.25">
      <c r="A1182" s="113" t="s">
        <v>1494</v>
      </c>
      <c r="B1182" s="114" t="s">
        <v>3284</v>
      </c>
      <c r="C1182" s="115" t="s">
        <v>95</v>
      </c>
      <c r="D1182" s="115">
        <v>0</v>
      </c>
      <c r="E1182" s="135">
        <f ca="1">OFFSET(INDEX(Composições!A:J,MATCH(Orçamentária!A1182,Composições!A:A,0),8),2,0)</f>
        <v>132.644263</v>
      </c>
      <c r="F1182" s="136">
        <f t="shared" ca="1" si="54"/>
        <v>0</v>
      </c>
      <c r="G1182" s="137" t="e">
        <f>IF(A1182&lt;&gt;"",IF(AND(#REF!="Padrão",$H$4=#REF!),BDI!$B$17,IF(AND(#REF!="Padrão",$H$4=#REF!),BDI!#REF!,IF(AND(#REF!="Diferenciado",$H$4=#REF!),BDI!$E$17,IF(AND(#REF!="Diferenciado",$H$4=#REF!),BDI!#REF!,IF(#REF!="ZERO",0))))),"")</f>
        <v>#REF!</v>
      </c>
      <c r="H1182" s="138" t="e">
        <f t="shared" ca="1" si="55"/>
        <v>#REF!</v>
      </c>
      <c r="I1182" s="136" t="e">
        <f t="shared" ca="1" si="56"/>
        <v>#REF!</v>
      </c>
    </row>
    <row r="1183" spans="1:9" hidden="1" x14ac:dyDescent="0.25">
      <c r="A1183" s="113" t="s">
        <v>3285</v>
      </c>
      <c r="B1183" s="114" t="s">
        <v>3286</v>
      </c>
      <c r="C1183" s="115" t="s">
        <v>42</v>
      </c>
      <c r="D1183" s="115">
        <v>0</v>
      </c>
      <c r="E1183" s="135" t="s">
        <v>568</v>
      </c>
      <c r="F1183" s="136" t="str">
        <f t="shared" si="54"/>
        <v/>
      </c>
      <c r="G1183" s="137" t="e">
        <f>IF(A1183&lt;&gt;"",IF(AND(#REF!="Padrão",$H$4=#REF!),BDI!$B$17,IF(AND(#REF!="Padrão",$H$4=#REF!),BDI!#REF!,IF(AND(#REF!="Diferenciado",$H$4=#REF!),BDI!$E$17,IF(AND(#REF!="Diferenciado",$H$4=#REF!),BDI!#REF!,IF(#REF!="ZERO",0))))),"")</f>
        <v>#REF!</v>
      </c>
      <c r="H1183" s="138" t="str">
        <f t="shared" si="55"/>
        <v/>
      </c>
      <c r="I1183" s="136" t="str">
        <f t="shared" si="56"/>
        <v/>
      </c>
    </row>
    <row r="1184" spans="1:9" hidden="1" x14ac:dyDescent="0.25">
      <c r="A1184" s="113" t="s">
        <v>1495</v>
      </c>
      <c r="B1184" s="114" t="s">
        <v>3287</v>
      </c>
      <c r="C1184" s="115" t="s">
        <v>42</v>
      </c>
      <c r="D1184" s="115">
        <v>0</v>
      </c>
      <c r="E1184" s="135">
        <f ca="1">OFFSET(INDEX(Composições!A:J,MATCH(Orçamentária!A1184,Composições!A:A,0),8),2,0)</f>
        <v>5.852949999999999</v>
      </c>
      <c r="F1184" s="136">
        <f t="shared" ca="1" si="54"/>
        <v>0</v>
      </c>
      <c r="G1184" s="137" t="e">
        <f>IF(A1184&lt;&gt;"",IF(AND(#REF!="Padrão",$H$4=#REF!),BDI!$B$17,IF(AND(#REF!="Padrão",$H$4=#REF!),BDI!#REF!,IF(AND(#REF!="Diferenciado",$H$4=#REF!),BDI!$E$17,IF(AND(#REF!="Diferenciado",$H$4=#REF!),BDI!#REF!,IF(#REF!="ZERO",0))))),"")</f>
        <v>#REF!</v>
      </c>
      <c r="H1184" s="138" t="e">
        <f t="shared" ca="1" si="55"/>
        <v>#REF!</v>
      </c>
      <c r="I1184" s="136" t="e">
        <f t="shared" ca="1" si="56"/>
        <v>#REF!</v>
      </c>
    </row>
    <row r="1185" spans="1:9" hidden="1" x14ac:dyDescent="0.25">
      <c r="A1185" s="113" t="s">
        <v>1498</v>
      </c>
      <c r="B1185" s="114" t="s">
        <v>3288</v>
      </c>
      <c r="C1185" s="115" t="s">
        <v>111</v>
      </c>
      <c r="D1185" s="115">
        <v>0</v>
      </c>
      <c r="E1185" s="135">
        <f ca="1">OFFSET(INDEX(Composições!A:J,MATCH(Orçamentária!A1185,Composições!A:A,0),8),2,0)</f>
        <v>160.71234454999998</v>
      </c>
      <c r="F1185" s="136">
        <f t="shared" ca="1" si="54"/>
        <v>0</v>
      </c>
      <c r="G1185" s="137" t="e">
        <f>IF(A1185&lt;&gt;"",IF(AND(#REF!="Padrão",$H$4=#REF!),BDI!$B$17,IF(AND(#REF!="Padrão",$H$4=#REF!),BDI!#REF!,IF(AND(#REF!="Diferenciado",$H$4=#REF!),BDI!$E$17,IF(AND(#REF!="Diferenciado",$H$4=#REF!),BDI!#REF!,IF(#REF!="ZERO",0))))),"")</f>
        <v>#REF!</v>
      </c>
      <c r="H1185" s="138" t="e">
        <f t="shared" ca="1" si="55"/>
        <v>#REF!</v>
      </c>
      <c r="I1185" s="136" t="e">
        <f t="shared" ca="1" si="56"/>
        <v>#REF!</v>
      </c>
    </row>
    <row r="1186" spans="1:9" hidden="1" x14ac:dyDescent="0.25">
      <c r="A1186" s="113" t="s">
        <v>3289</v>
      </c>
      <c r="B1186" s="114" t="s">
        <v>3290</v>
      </c>
      <c r="C1186" s="115" t="s">
        <v>20</v>
      </c>
      <c r="D1186" s="115">
        <v>0</v>
      </c>
      <c r="E1186" s="135" t="s">
        <v>568</v>
      </c>
      <c r="F1186" s="136" t="str">
        <f t="shared" si="54"/>
        <v/>
      </c>
      <c r="G1186" s="137" t="e">
        <f>IF(A1186&lt;&gt;"",IF(AND(#REF!="Padrão",$H$4=#REF!),BDI!$B$17,IF(AND(#REF!="Padrão",$H$4=#REF!),BDI!#REF!,IF(AND(#REF!="Diferenciado",$H$4=#REF!),BDI!$E$17,IF(AND(#REF!="Diferenciado",$H$4=#REF!),BDI!#REF!,IF(#REF!="ZERO",0))))),"")</f>
        <v>#REF!</v>
      </c>
      <c r="H1186" s="138" t="str">
        <f t="shared" si="55"/>
        <v/>
      </c>
      <c r="I1186" s="136" t="str">
        <f t="shared" si="56"/>
        <v/>
      </c>
    </row>
    <row r="1187" spans="1:9" hidden="1" x14ac:dyDescent="0.25">
      <c r="A1187" s="113" t="s">
        <v>3291</v>
      </c>
      <c r="B1187" s="114" t="s">
        <v>3292</v>
      </c>
      <c r="C1187" s="115" t="s">
        <v>20</v>
      </c>
      <c r="D1187" s="115">
        <v>0</v>
      </c>
      <c r="E1187" s="135" t="s">
        <v>568</v>
      </c>
      <c r="F1187" s="136" t="str">
        <f t="shared" si="54"/>
        <v/>
      </c>
      <c r="G1187" s="137" t="e">
        <f>IF(A1187&lt;&gt;"",IF(AND(#REF!="Padrão",$H$4=#REF!),BDI!$B$17,IF(AND(#REF!="Padrão",$H$4=#REF!),BDI!#REF!,IF(AND(#REF!="Diferenciado",$H$4=#REF!),BDI!$E$17,IF(AND(#REF!="Diferenciado",$H$4=#REF!),BDI!#REF!,IF(#REF!="ZERO",0))))),"")</f>
        <v>#REF!</v>
      </c>
      <c r="H1187" s="138" t="str">
        <f t="shared" si="55"/>
        <v/>
      </c>
      <c r="I1187" s="136" t="str">
        <f t="shared" si="56"/>
        <v/>
      </c>
    </row>
    <row r="1188" spans="1:9" hidden="1" x14ac:dyDescent="0.25">
      <c r="A1188" s="113" t="s">
        <v>3293</v>
      </c>
      <c r="B1188" s="114" t="s">
        <v>3294</v>
      </c>
      <c r="C1188" s="115" t="s">
        <v>20</v>
      </c>
      <c r="D1188" s="115">
        <v>0</v>
      </c>
      <c r="E1188" s="135" t="s">
        <v>568</v>
      </c>
      <c r="F1188" s="136" t="str">
        <f t="shared" si="54"/>
        <v/>
      </c>
      <c r="G1188" s="137" t="e">
        <f>IF(A1188&lt;&gt;"",IF(AND(#REF!="Padrão",$H$4=#REF!),BDI!$B$17,IF(AND(#REF!="Padrão",$H$4=#REF!),BDI!#REF!,IF(AND(#REF!="Diferenciado",$H$4=#REF!),BDI!$E$17,IF(AND(#REF!="Diferenciado",$H$4=#REF!),BDI!#REF!,IF(#REF!="ZERO",0))))),"")</f>
        <v>#REF!</v>
      </c>
      <c r="H1188" s="138" t="str">
        <f t="shared" si="55"/>
        <v/>
      </c>
      <c r="I1188" s="136" t="str">
        <f t="shared" si="56"/>
        <v/>
      </c>
    </row>
    <row r="1189" spans="1:9" hidden="1" x14ac:dyDescent="0.25">
      <c r="A1189" s="113" t="s">
        <v>3295</v>
      </c>
      <c r="B1189" s="114" t="s">
        <v>3296</v>
      </c>
      <c r="C1189" s="115" t="s">
        <v>93</v>
      </c>
      <c r="D1189" s="115">
        <v>0</v>
      </c>
      <c r="E1189" s="135" t="s">
        <v>568</v>
      </c>
      <c r="F1189" s="136" t="str">
        <f t="shared" si="54"/>
        <v/>
      </c>
      <c r="G1189" s="137" t="e">
        <f>IF(A1189&lt;&gt;"",IF(AND(#REF!="Padrão",$H$4=#REF!),BDI!$B$17,IF(AND(#REF!="Padrão",$H$4=#REF!),BDI!#REF!,IF(AND(#REF!="Diferenciado",$H$4=#REF!),BDI!$E$17,IF(AND(#REF!="Diferenciado",$H$4=#REF!),BDI!#REF!,IF(#REF!="ZERO",0))))),"")</f>
        <v>#REF!</v>
      </c>
      <c r="H1189" s="138" t="str">
        <f t="shared" si="55"/>
        <v/>
      </c>
      <c r="I1189" s="136" t="str">
        <f t="shared" si="56"/>
        <v/>
      </c>
    </row>
    <row r="1190" spans="1:9" hidden="1" x14ac:dyDescent="0.25">
      <c r="A1190" s="113" t="s">
        <v>3297</v>
      </c>
      <c r="B1190" s="114" t="s">
        <v>3298</v>
      </c>
      <c r="C1190" s="115" t="s">
        <v>93</v>
      </c>
      <c r="D1190" s="115">
        <v>0</v>
      </c>
      <c r="E1190" s="135" t="s">
        <v>568</v>
      </c>
      <c r="F1190" s="136" t="str">
        <f t="shared" si="54"/>
        <v/>
      </c>
      <c r="G1190" s="137" t="e">
        <f>IF(A1190&lt;&gt;"",IF(AND(#REF!="Padrão",$H$4=#REF!),BDI!$B$17,IF(AND(#REF!="Padrão",$H$4=#REF!),BDI!#REF!,IF(AND(#REF!="Diferenciado",$H$4=#REF!),BDI!$E$17,IF(AND(#REF!="Diferenciado",$H$4=#REF!),BDI!#REF!,IF(#REF!="ZERO",0))))),"")</f>
        <v>#REF!</v>
      </c>
      <c r="H1190" s="138" t="str">
        <f t="shared" si="55"/>
        <v/>
      </c>
      <c r="I1190" s="136" t="str">
        <f t="shared" si="56"/>
        <v/>
      </c>
    </row>
    <row r="1191" spans="1:9" hidden="1" x14ac:dyDescent="0.25">
      <c r="A1191" s="113" t="s">
        <v>3299</v>
      </c>
      <c r="B1191" s="114" t="s">
        <v>3300</v>
      </c>
      <c r="C1191" s="115" t="s">
        <v>20</v>
      </c>
      <c r="D1191" s="115">
        <v>0</v>
      </c>
      <c r="E1191" s="135" t="s">
        <v>568</v>
      </c>
      <c r="F1191" s="136" t="str">
        <f t="shared" si="54"/>
        <v/>
      </c>
      <c r="G1191" s="137" t="e">
        <f>IF(A1191&lt;&gt;"",IF(AND(#REF!="Padrão",$H$4=#REF!),BDI!$B$17,IF(AND(#REF!="Padrão",$H$4=#REF!),BDI!#REF!,IF(AND(#REF!="Diferenciado",$H$4=#REF!),BDI!$E$17,IF(AND(#REF!="Diferenciado",$H$4=#REF!),BDI!#REF!,IF(#REF!="ZERO",0))))),"")</f>
        <v>#REF!</v>
      </c>
      <c r="H1191" s="138" t="str">
        <f t="shared" si="55"/>
        <v/>
      </c>
      <c r="I1191" s="136" t="str">
        <f t="shared" si="56"/>
        <v/>
      </c>
    </row>
    <row r="1192" spans="1:9" hidden="1" x14ac:dyDescent="0.25">
      <c r="A1192" s="113" t="s">
        <v>3301</v>
      </c>
      <c r="B1192" s="114" t="s">
        <v>3302</v>
      </c>
      <c r="C1192" s="115" t="s">
        <v>20</v>
      </c>
      <c r="D1192" s="115">
        <v>0</v>
      </c>
      <c r="E1192" s="135" t="s">
        <v>568</v>
      </c>
      <c r="F1192" s="136" t="str">
        <f t="shared" si="54"/>
        <v/>
      </c>
      <c r="G1192" s="137" t="e">
        <f>IF(A1192&lt;&gt;"",IF(AND(#REF!="Padrão",$H$4=#REF!),BDI!$B$17,IF(AND(#REF!="Padrão",$H$4=#REF!),BDI!#REF!,IF(AND(#REF!="Diferenciado",$H$4=#REF!),BDI!$E$17,IF(AND(#REF!="Diferenciado",$H$4=#REF!),BDI!#REF!,IF(#REF!="ZERO",0))))),"")</f>
        <v>#REF!</v>
      </c>
      <c r="H1192" s="138" t="str">
        <f t="shared" si="55"/>
        <v/>
      </c>
      <c r="I1192" s="136" t="str">
        <f t="shared" si="56"/>
        <v/>
      </c>
    </row>
    <row r="1193" spans="1:9" hidden="1" x14ac:dyDescent="0.25">
      <c r="A1193" s="113" t="s">
        <v>3303</v>
      </c>
      <c r="B1193" s="114" t="s">
        <v>3304</v>
      </c>
      <c r="C1193" s="115" t="s">
        <v>20</v>
      </c>
      <c r="D1193" s="115">
        <v>0</v>
      </c>
      <c r="E1193" s="135" t="s">
        <v>568</v>
      </c>
      <c r="F1193" s="136" t="str">
        <f t="shared" si="54"/>
        <v/>
      </c>
      <c r="G1193" s="137" t="e">
        <f>IF(A1193&lt;&gt;"",IF(AND(#REF!="Padrão",$H$4=#REF!),BDI!$B$17,IF(AND(#REF!="Padrão",$H$4=#REF!),BDI!#REF!,IF(AND(#REF!="Diferenciado",$H$4=#REF!),BDI!$E$17,IF(AND(#REF!="Diferenciado",$H$4=#REF!),BDI!#REF!,IF(#REF!="ZERO",0))))),"")</f>
        <v>#REF!</v>
      </c>
      <c r="H1193" s="138" t="str">
        <f t="shared" si="55"/>
        <v/>
      </c>
      <c r="I1193" s="136" t="str">
        <f t="shared" si="56"/>
        <v/>
      </c>
    </row>
    <row r="1194" spans="1:9" hidden="1" x14ac:dyDescent="0.25">
      <c r="A1194" s="113" t="s">
        <v>3305</v>
      </c>
      <c r="B1194" s="114" t="s">
        <v>3306</v>
      </c>
      <c r="C1194" s="115" t="s">
        <v>20</v>
      </c>
      <c r="D1194" s="115">
        <v>0</v>
      </c>
      <c r="E1194" s="135" t="s">
        <v>568</v>
      </c>
      <c r="F1194" s="136" t="str">
        <f t="shared" si="54"/>
        <v/>
      </c>
      <c r="G1194" s="137" t="e">
        <f>IF(A1194&lt;&gt;"",IF(AND(#REF!="Padrão",$H$4=#REF!),BDI!$B$17,IF(AND(#REF!="Padrão",$H$4=#REF!),BDI!#REF!,IF(AND(#REF!="Diferenciado",$H$4=#REF!),BDI!$E$17,IF(AND(#REF!="Diferenciado",$H$4=#REF!),BDI!#REF!,IF(#REF!="ZERO",0))))),"")</f>
        <v>#REF!</v>
      </c>
      <c r="H1194" s="138" t="str">
        <f t="shared" si="55"/>
        <v/>
      </c>
      <c r="I1194" s="136" t="str">
        <f t="shared" si="56"/>
        <v/>
      </c>
    </row>
    <row r="1195" spans="1:9" hidden="1" x14ac:dyDescent="0.25">
      <c r="A1195" s="113" t="s">
        <v>3307</v>
      </c>
      <c r="B1195" s="114" t="s">
        <v>3308</v>
      </c>
      <c r="C1195" s="115" t="s">
        <v>20</v>
      </c>
      <c r="D1195" s="115">
        <v>0</v>
      </c>
      <c r="E1195" s="135" t="s">
        <v>568</v>
      </c>
      <c r="F1195" s="136" t="str">
        <f t="shared" si="54"/>
        <v/>
      </c>
      <c r="G1195" s="137" t="e">
        <f>IF(A1195&lt;&gt;"",IF(AND(#REF!="Padrão",$H$4=#REF!),BDI!$B$17,IF(AND(#REF!="Padrão",$H$4=#REF!),BDI!#REF!,IF(AND(#REF!="Diferenciado",$H$4=#REF!),BDI!$E$17,IF(AND(#REF!="Diferenciado",$H$4=#REF!),BDI!#REF!,IF(#REF!="ZERO",0))))),"")</f>
        <v>#REF!</v>
      </c>
      <c r="H1195" s="138" t="str">
        <f t="shared" si="55"/>
        <v/>
      </c>
      <c r="I1195" s="136" t="str">
        <f t="shared" si="56"/>
        <v/>
      </c>
    </row>
    <row r="1196" spans="1:9" hidden="1" x14ac:dyDescent="0.25">
      <c r="A1196" s="113" t="s">
        <v>3309</v>
      </c>
      <c r="B1196" s="114" t="s">
        <v>3310</v>
      </c>
      <c r="C1196" s="115" t="s">
        <v>20</v>
      </c>
      <c r="D1196" s="115">
        <v>0</v>
      </c>
      <c r="E1196" s="135" t="s">
        <v>568</v>
      </c>
      <c r="F1196" s="136" t="str">
        <f t="shared" si="54"/>
        <v/>
      </c>
      <c r="G1196" s="137" t="e">
        <f>IF(A1196&lt;&gt;"",IF(AND(#REF!="Padrão",$H$4=#REF!),BDI!$B$17,IF(AND(#REF!="Padrão",$H$4=#REF!),BDI!#REF!,IF(AND(#REF!="Diferenciado",$H$4=#REF!),BDI!$E$17,IF(AND(#REF!="Diferenciado",$H$4=#REF!),BDI!#REF!,IF(#REF!="ZERO",0))))),"")</f>
        <v>#REF!</v>
      </c>
      <c r="H1196" s="138" t="str">
        <f t="shared" si="55"/>
        <v/>
      </c>
      <c r="I1196" s="136" t="str">
        <f t="shared" si="56"/>
        <v/>
      </c>
    </row>
    <row r="1197" spans="1:9" hidden="1" x14ac:dyDescent="0.25">
      <c r="A1197" s="113" t="s">
        <v>3311</v>
      </c>
      <c r="B1197" s="114" t="s">
        <v>3312</v>
      </c>
      <c r="C1197" s="115" t="s">
        <v>20</v>
      </c>
      <c r="D1197" s="115">
        <v>0</v>
      </c>
      <c r="E1197" s="135" t="s">
        <v>568</v>
      </c>
      <c r="F1197" s="136" t="str">
        <f t="shared" si="54"/>
        <v/>
      </c>
      <c r="G1197" s="137" t="e">
        <f>IF(A1197&lt;&gt;"",IF(AND(#REF!="Padrão",$H$4=#REF!),BDI!$B$17,IF(AND(#REF!="Padrão",$H$4=#REF!),BDI!#REF!,IF(AND(#REF!="Diferenciado",$H$4=#REF!),BDI!$E$17,IF(AND(#REF!="Diferenciado",$H$4=#REF!),BDI!#REF!,IF(#REF!="ZERO",0))))),"")</f>
        <v>#REF!</v>
      </c>
      <c r="H1197" s="138" t="str">
        <f t="shared" si="55"/>
        <v/>
      </c>
      <c r="I1197" s="136" t="str">
        <f t="shared" si="56"/>
        <v/>
      </c>
    </row>
    <row r="1198" spans="1:9" hidden="1" x14ac:dyDescent="0.25">
      <c r="A1198" s="113" t="s">
        <v>3313</v>
      </c>
      <c r="B1198" s="114" t="s">
        <v>3314</v>
      </c>
      <c r="C1198" s="115" t="s">
        <v>20</v>
      </c>
      <c r="D1198" s="115">
        <v>0</v>
      </c>
      <c r="E1198" s="135" t="s">
        <v>568</v>
      </c>
      <c r="F1198" s="136" t="str">
        <f t="shared" si="54"/>
        <v/>
      </c>
      <c r="G1198" s="137" t="e">
        <f>IF(A1198&lt;&gt;"",IF(AND(#REF!="Padrão",$H$4=#REF!),BDI!$B$17,IF(AND(#REF!="Padrão",$H$4=#REF!),BDI!#REF!,IF(AND(#REF!="Diferenciado",$H$4=#REF!),BDI!$E$17,IF(AND(#REF!="Diferenciado",$H$4=#REF!),BDI!#REF!,IF(#REF!="ZERO",0))))),"")</f>
        <v>#REF!</v>
      </c>
      <c r="H1198" s="138" t="str">
        <f t="shared" si="55"/>
        <v/>
      </c>
      <c r="I1198" s="136" t="str">
        <f t="shared" si="56"/>
        <v/>
      </c>
    </row>
    <row r="1199" spans="1:9" hidden="1" x14ac:dyDescent="0.25">
      <c r="A1199" s="113" t="s">
        <v>3315</v>
      </c>
      <c r="B1199" s="114" t="s">
        <v>3316</v>
      </c>
      <c r="C1199" s="115" t="s">
        <v>20</v>
      </c>
      <c r="D1199" s="115">
        <v>0</v>
      </c>
      <c r="E1199" s="135" t="s">
        <v>568</v>
      </c>
      <c r="F1199" s="136" t="str">
        <f t="shared" si="54"/>
        <v/>
      </c>
      <c r="G1199" s="137" t="e">
        <f>IF(A1199&lt;&gt;"",IF(AND(#REF!="Padrão",$H$4=#REF!),BDI!$B$17,IF(AND(#REF!="Padrão",$H$4=#REF!),BDI!#REF!,IF(AND(#REF!="Diferenciado",$H$4=#REF!),BDI!$E$17,IF(AND(#REF!="Diferenciado",$H$4=#REF!),BDI!#REF!,IF(#REF!="ZERO",0))))),"")</f>
        <v>#REF!</v>
      </c>
      <c r="H1199" s="138" t="str">
        <f t="shared" si="55"/>
        <v/>
      </c>
      <c r="I1199" s="136" t="str">
        <f t="shared" si="56"/>
        <v/>
      </c>
    </row>
    <row r="1200" spans="1:9" hidden="1" x14ac:dyDescent="0.25">
      <c r="A1200" s="113" t="s">
        <v>3317</v>
      </c>
      <c r="B1200" s="114" t="s">
        <v>3318</v>
      </c>
      <c r="C1200" s="115" t="s">
        <v>20</v>
      </c>
      <c r="D1200" s="115">
        <v>0</v>
      </c>
      <c r="E1200" s="135" t="s">
        <v>568</v>
      </c>
      <c r="F1200" s="136" t="str">
        <f t="shared" si="54"/>
        <v/>
      </c>
      <c r="G1200" s="137" t="e">
        <f>IF(A1200&lt;&gt;"",IF(AND(#REF!="Padrão",$H$4=#REF!),BDI!$B$17,IF(AND(#REF!="Padrão",$H$4=#REF!),BDI!#REF!,IF(AND(#REF!="Diferenciado",$H$4=#REF!),BDI!$E$17,IF(AND(#REF!="Diferenciado",$H$4=#REF!),BDI!#REF!,IF(#REF!="ZERO",0))))),"")</f>
        <v>#REF!</v>
      </c>
      <c r="H1200" s="138" t="str">
        <f t="shared" si="55"/>
        <v/>
      </c>
      <c r="I1200" s="136" t="str">
        <f t="shared" si="56"/>
        <v/>
      </c>
    </row>
    <row r="1201" spans="1:9" hidden="1" x14ac:dyDescent="0.25">
      <c r="A1201" s="113" t="s">
        <v>3319</v>
      </c>
      <c r="B1201" s="114" t="s">
        <v>3320</v>
      </c>
      <c r="C1201" s="115" t="s">
        <v>20</v>
      </c>
      <c r="D1201" s="115">
        <v>0</v>
      </c>
      <c r="E1201" s="135" t="s">
        <v>568</v>
      </c>
      <c r="F1201" s="136" t="str">
        <f t="shared" si="54"/>
        <v/>
      </c>
      <c r="G1201" s="137" t="e">
        <f>IF(A1201&lt;&gt;"",IF(AND(#REF!="Padrão",$H$4=#REF!),BDI!$B$17,IF(AND(#REF!="Padrão",$H$4=#REF!),BDI!#REF!,IF(AND(#REF!="Diferenciado",$H$4=#REF!),BDI!$E$17,IF(AND(#REF!="Diferenciado",$H$4=#REF!),BDI!#REF!,IF(#REF!="ZERO",0))))),"")</f>
        <v>#REF!</v>
      </c>
      <c r="H1201" s="138" t="str">
        <f t="shared" si="55"/>
        <v/>
      </c>
      <c r="I1201" s="136" t="str">
        <f t="shared" si="56"/>
        <v/>
      </c>
    </row>
    <row r="1202" spans="1:9" hidden="1" x14ac:dyDescent="0.25">
      <c r="A1202" s="113" t="s">
        <v>3321</v>
      </c>
      <c r="B1202" s="114" t="s">
        <v>3322</v>
      </c>
      <c r="C1202" s="115" t="s">
        <v>20</v>
      </c>
      <c r="D1202" s="115">
        <v>0</v>
      </c>
      <c r="E1202" s="135" t="s">
        <v>568</v>
      </c>
      <c r="F1202" s="136" t="str">
        <f t="shared" si="54"/>
        <v/>
      </c>
      <c r="G1202" s="137" t="e">
        <f>IF(A1202&lt;&gt;"",IF(AND(#REF!="Padrão",$H$4=#REF!),BDI!$B$17,IF(AND(#REF!="Padrão",$H$4=#REF!),BDI!#REF!,IF(AND(#REF!="Diferenciado",$H$4=#REF!),BDI!$E$17,IF(AND(#REF!="Diferenciado",$H$4=#REF!),BDI!#REF!,IF(#REF!="ZERO",0))))),"")</f>
        <v>#REF!</v>
      </c>
      <c r="H1202" s="138" t="str">
        <f t="shared" si="55"/>
        <v/>
      </c>
      <c r="I1202" s="136" t="str">
        <f t="shared" si="56"/>
        <v/>
      </c>
    </row>
    <row r="1203" spans="1:9" hidden="1" x14ac:dyDescent="0.25">
      <c r="A1203" s="113" t="s">
        <v>3323</v>
      </c>
      <c r="B1203" s="114" t="s">
        <v>3324</v>
      </c>
      <c r="C1203" s="115" t="s">
        <v>20</v>
      </c>
      <c r="D1203" s="115">
        <v>0</v>
      </c>
      <c r="E1203" s="135" t="s">
        <v>568</v>
      </c>
      <c r="F1203" s="136" t="str">
        <f t="shared" si="54"/>
        <v/>
      </c>
      <c r="G1203" s="137" t="e">
        <f>IF(A1203&lt;&gt;"",IF(AND(#REF!="Padrão",$H$4=#REF!),BDI!$B$17,IF(AND(#REF!="Padrão",$H$4=#REF!),BDI!#REF!,IF(AND(#REF!="Diferenciado",$H$4=#REF!),BDI!$E$17,IF(AND(#REF!="Diferenciado",$H$4=#REF!),BDI!#REF!,IF(#REF!="ZERO",0))))),"")</f>
        <v>#REF!</v>
      </c>
      <c r="H1203" s="138" t="str">
        <f t="shared" si="55"/>
        <v/>
      </c>
      <c r="I1203" s="136" t="str">
        <f t="shared" si="56"/>
        <v/>
      </c>
    </row>
    <row r="1204" spans="1:9" hidden="1" x14ac:dyDescent="0.25">
      <c r="A1204" s="113" t="s">
        <v>3325</v>
      </c>
      <c r="B1204" s="114" t="s">
        <v>3326</v>
      </c>
      <c r="C1204" s="115" t="s">
        <v>20</v>
      </c>
      <c r="D1204" s="115">
        <v>0</v>
      </c>
      <c r="E1204" s="135" t="s">
        <v>568</v>
      </c>
      <c r="F1204" s="136" t="str">
        <f t="shared" si="54"/>
        <v/>
      </c>
      <c r="G1204" s="137" t="e">
        <f>IF(A1204&lt;&gt;"",IF(AND(#REF!="Padrão",$H$4=#REF!),BDI!$B$17,IF(AND(#REF!="Padrão",$H$4=#REF!),BDI!#REF!,IF(AND(#REF!="Diferenciado",$H$4=#REF!),BDI!$E$17,IF(AND(#REF!="Diferenciado",$H$4=#REF!),BDI!#REF!,IF(#REF!="ZERO",0))))),"")</f>
        <v>#REF!</v>
      </c>
      <c r="H1204" s="138" t="str">
        <f t="shared" si="55"/>
        <v/>
      </c>
      <c r="I1204" s="136" t="str">
        <f t="shared" si="56"/>
        <v/>
      </c>
    </row>
    <row r="1205" spans="1:9" hidden="1" x14ac:dyDescent="0.25">
      <c r="A1205" s="113" t="s">
        <v>3327</v>
      </c>
      <c r="B1205" s="114" t="s">
        <v>3328</v>
      </c>
      <c r="C1205" s="115" t="s">
        <v>20</v>
      </c>
      <c r="D1205" s="115">
        <v>0</v>
      </c>
      <c r="E1205" s="135" t="s">
        <v>568</v>
      </c>
      <c r="F1205" s="136" t="str">
        <f t="shared" si="54"/>
        <v/>
      </c>
      <c r="G1205" s="137" t="e">
        <f>IF(A1205&lt;&gt;"",IF(AND(#REF!="Padrão",$H$4=#REF!),BDI!$B$17,IF(AND(#REF!="Padrão",$H$4=#REF!),BDI!#REF!,IF(AND(#REF!="Diferenciado",$H$4=#REF!),BDI!$E$17,IF(AND(#REF!="Diferenciado",$H$4=#REF!),BDI!#REF!,IF(#REF!="ZERO",0))))),"")</f>
        <v>#REF!</v>
      </c>
      <c r="H1205" s="138" t="str">
        <f t="shared" si="55"/>
        <v/>
      </c>
      <c r="I1205" s="136" t="str">
        <f t="shared" si="56"/>
        <v/>
      </c>
    </row>
    <row r="1206" spans="1:9" hidden="1" x14ac:dyDescent="0.25">
      <c r="A1206" s="113" t="s">
        <v>3329</v>
      </c>
      <c r="B1206" s="114" t="s">
        <v>3330</v>
      </c>
      <c r="C1206" s="115" t="s">
        <v>20</v>
      </c>
      <c r="D1206" s="115">
        <v>0</v>
      </c>
      <c r="E1206" s="135" t="s">
        <v>568</v>
      </c>
      <c r="F1206" s="136" t="str">
        <f t="shared" si="54"/>
        <v/>
      </c>
      <c r="G1206" s="137" t="e">
        <f>IF(A1206&lt;&gt;"",IF(AND(#REF!="Padrão",$H$4=#REF!),BDI!$B$17,IF(AND(#REF!="Padrão",$H$4=#REF!),BDI!#REF!,IF(AND(#REF!="Diferenciado",$H$4=#REF!),BDI!$E$17,IF(AND(#REF!="Diferenciado",$H$4=#REF!),BDI!#REF!,IF(#REF!="ZERO",0))))),"")</f>
        <v>#REF!</v>
      </c>
      <c r="H1206" s="138" t="str">
        <f t="shared" si="55"/>
        <v/>
      </c>
      <c r="I1206" s="136" t="str">
        <f t="shared" si="56"/>
        <v/>
      </c>
    </row>
    <row r="1207" spans="1:9" hidden="1" x14ac:dyDescent="0.25">
      <c r="A1207" s="113" t="s">
        <v>3331</v>
      </c>
      <c r="B1207" s="114" t="s">
        <v>3332</v>
      </c>
      <c r="C1207" s="115" t="s">
        <v>20</v>
      </c>
      <c r="D1207" s="115">
        <v>0</v>
      </c>
      <c r="E1207" s="135" t="s">
        <v>568</v>
      </c>
      <c r="F1207" s="136" t="str">
        <f t="shared" si="54"/>
        <v/>
      </c>
      <c r="G1207" s="137" t="e">
        <f>IF(A1207&lt;&gt;"",IF(AND(#REF!="Padrão",$H$4=#REF!),BDI!$B$17,IF(AND(#REF!="Padrão",$H$4=#REF!),BDI!#REF!,IF(AND(#REF!="Diferenciado",$H$4=#REF!),BDI!$E$17,IF(AND(#REF!="Diferenciado",$H$4=#REF!),BDI!#REF!,IF(#REF!="ZERO",0))))),"")</f>
        <v>#REF!</v>
      </c>
      <c r="H1207" s="138" t="str">
        <f t="shared" si="55"/>
        <v/>
      </c>
      <c r="I1207" s="136" t="str">
        <f t="shared" si="56"/>
        <v/>
      </c>
    </row>
    <row r="1208" spans="1:9" hidden="1" x14ac:dyDescent="0.25">
      <c r="A1208" s="113" t="s">
        <v>3333</v>
      </c>
      <c r="B1208" s="114" t="s">
        <v>3334</v>
      </c>
      <c r="C1208" s="115" t="s">
        <v>20</v>
      </c>
      <c r="D1208" s="115">
        <v>0</v>
      </c>
      <c r="E1208" s="135" t="s">
        <v>568</v>
      </c>
      <c r="F1208" s="136" t="str">
        <f t="shared" si="54"/>
        <v/>
      </c>
      <c r="G1208" s="137" t="e">
        <f>IF(A1208&lt;&gt;"",IF(AND(#REF!="Padrão",$H$4=#REF!),BDI!$B$17,IF(AND(#REF!="Padrão",$H$4=#REF!),BDI!#REF!,IF(AND(#REF!="Diferenciado",$H$4=#REF!),BDI!$E$17,IF(AND(#REF!="Diferenciado",$H$4=#REF!),BDI!#REF!,IF(#REF!="ZERO",0))))),"")</f>
        <v>#REF!</v>
      </c>
      <c r="H1208" s="138" t="str">
        <f t="shared" si="55"/>
        <v/>
      </c>
      <c r="I1208" s="136" t="str">
        <f t="shared" si="56"/>
        <v/>
      </c>
    </row>
    <row r="1209" spans="1:9" hidden="1" x14ac:dyDescent="0.25">
      <c r="A1209" s="113" t="s">
        <v>3335</v>
      </c>
      <c r="B1209" s="114" t="s">
        <v>3336</v>
      </c>
      <c r="C1209" s="115" t="s">
        <v>20</v>
      </c>
      <c r="D1209" s="115">
        <v>0</v>
      </c>
      <c r="E1209" s="135" t="s">
        <v>568</v>
      </c>
      <c r="F1209" s="136" t="str">
        <f t="shared" si="54"/>
        <v/>
      </c>
      <c r="G1209" s="137" t="e">
        <f>IF(A1209&lt;&gt;"",IF(AND(#REF!="Padrão",$H$4=#REF!),BDI!$B$17,IF(AND(#REF!="Padrão",$H$4=#REF!),BDI!#REF!,IF(AND(#REF!="Diferenciado",$H$4=#REF!),BDI!$E$17,IF(AND(#REF!="Diferenciado",$H$4=#REF!),BDI!#REF!,IF(#REF!="ZERO",0))))),"")</f>
        <v>#REF!</v>
      </c>
      <c r="H1209" s="138" t="str">
        <f t="shared" si="55"/>
        <v/>
      </c>
      <c r="I1209" s="136" t="str">
        <f t="shared" si="56"/>
        <v/>
      </c>
    </row>
    <row r="1210" spans="1:9" hidden="1" x14ac:dyDescent="0.25">
      <c r="A1210" s="113" t="s">
        <v>3337</v>
      </c>
      <c r="B1210" s="114" t="s">
        <v>3338</v>
      </c>
      <c r="C1210" s="115" t="s">
        <v>2823</v>
      </c>
      <c r="D1210" s="115">
        <v>0</v>
      </c>
      <c r="E1210" s="135" t="s">
        <v>568</v>
      </c>
      <c r="F1210" s="136" t="str">
        <f t="shared" si="54"/>
        <v/>
      </c>
      <c r="G1210" s="137" t="e">
        <f>IF(A1210&lt;&gt;"",IF(AND(#REF!="Padrão",$H$4=#REF!),BDI!$B$17,IF(AND(#REF!="Padrão",$H$4=#REF!),BDI!#REF!,IF(AND(#REF!="Diferenciado",$H$4=#REF!),BDI!$E$17,IF(AND(#REF!="Diferenciado",$H$4=#REF!),BDI!#REF!,IF(#REF!="ZERO",0))))),"")</f>
        <v>#REF!</v>
      </c>
      <c r="H1210" s="138" t="str">
        <f t="shared" si="55"/>
        <v/>
      </c>
      <c r="I1210" s="136" t="str">
        <f t="shared" si="56"/>
        <v/>
      </c>
    </row>
    <row r="1211" spans="1:9" hidden="1" x14ac:dyDescent="0.25">
      <c r="A1211" s="113" t="s">
        <v>3339</v>
      </c>
      <c r="B1211" s="114" t="s">
        <v>3340</v>
      </c>
      <c r="C1211" s="115" t="s">
        <v>20</v>
      </c>
      <c r="D1211" s="115">
        <v>0</v>
      </c>
      <c r="E1211" s="135" t="s">
        <v>568</v>
      </c>
      <c r="F1211" s="136" t="str">
        <f t="shared" si="54"/>
        <v/>
      </c>
      <c r="G1211" s="137" t="e">
        <f>IF(A1211&lt;&gt;"",IF(AND(#REF!="Padrão",$H$4=#REF!),BDI!$B$17,IF(AND(#REF!="Padrão",$H$4=#REF!),BDI!#REF!,IF(AND(#REF!="Diferenciado",$H$4=#REF!),BDI!$E$17,IF(AND(#REF!="Diferenciado",$H$4=#REF!),BDI!#REF!,IF(#REF!="ZERO",0))))),"")</f>
        <v>#REF!</v>
      </c>
      <c r="H1211" s="138" t="str">
        <f t="shared" si="55"/>
        <v/>
      </c>
      <c r="I1211" s="136" t="str">
        <f t="shared" si="56"/>
        <v/>
      </c>
    </row>
    <row r="1212" spans="1:9" hidden="1" x14ac:dyDescent="0.25">
      <c r="A1212" s="113" t="s">
        <v>3341</v>
      </c>
      <c r="B1212" s="114" t="s">
        <v>3342</v>
      </c>
      <c r="C1212" s="115" t="s">
        <v>20</v>
      </c>
      <c r="D1212" s="115">
        <v>0</v>
      </c>
      <c r="E1212" s="135" t="s">
        <v>568</v>
      </c>
      <c r="F1212" s="136" t="str">
        <f t="shared" si="54"/>
        <v/>
      </c>
      <c r="G1212" s="137" t="e">
        <f>IF(A1212&lt;&gt;"",IF(AND(#REF!="Padrão",$H$4=#REF!),BDI!$B$17,IF(AND(#REF!="Padrão",$H$4=#REF!),BDI!#REF!,IF(AND(#REF!="Diferenciado",$H$4=#REF!),BDI!$E$17,IF(AND(#REF!="Diferenciado",$H$4=#REF!),BDI!#REF!,IF(#REF!="ZERO",0))))),"")</f>
        <v>#REF!</v>
      </c>
      <c r="H1212" s="138" t="str">
        <f t="shared" si="55"/>
        <v/>
      </c>
      <c r="I1212" s="136" t="str">
        <f t="shared" si="56"/>
        <v/>
      </c>
    </row>
    <row r="1213" spans="1:9" hidden="1" x14ac:dyDescent="0.25">
      <c r="A1213" s="113" t="s">
        <v>3343</v>
      </c>
      <c r="B1213" s="114" t="s">
        <v>3344</v>
      </c>
      <c r="C1213" s="115" t="s">
        <v>20</v>
      </c>
      <c r="D1213" s="115">
        <v>0</v>
      </c>
      <c r="E1213" s="135" t="s">
        <v>568</v>
      </c>
      <c r="F1213" s="136" t="str">
        <f t="shared" si="54"/>
        <v/>
      </c>
      <c r="G1213" s="137" t="e">
        <f>IF(A1213&lt;&gt;"",IF(AND(#REF!="Padrão",$H$4=#REF!),BDI!$B$17,IF(AND(#REF!="Padrão",$H$4=#REF!),BDI!#REF!,IF(AND(#REF!="Diferenciado",$H$4=#REF!),BDI!$E$17,IF(AND(#REF!="Diferenciado",$H$4=#REF!),BDI!#REF!,IF(#REF!="ZERO",0))))),"")</f>
        <v>#REF!</v>
      </c>
      <c r="H1213" s="138" t="str">
        <f t="shared" si="55"/>
        <v/>
      </c>
      <c r="I1213" s="136" t="str">
        <f t="shared" si="56"/>
        <v/>
      </c>
    </row>
    <row r="1214" spans="1:9" hidden="1" x14ac:dyDescent="0.25">
      <c r="A1214" s="113" t="s">
        <v>3345</v>
      </c>
      <c r="B1214" s="114" t="s">
        <v>3346</v>
      </c>
      <c r="C1214" s="115" t="s">
        <v>20</v>
      </c>
      <c r="D1214" s="115">
        <v>0</v>
      </c>
      <c r="E1214" s="135" t="s">
        <v>568</v>
      </c>
      <c r="F1214" s="136" t="str">
        <f t="shared" si="54"/>
        <v/>
      </c>
      <c r="G1214" s="137" t="e">
        <f>IF(A1214&lt;&gt;"",IF(AND(#REF!="Padrão",$H$4=#REF!),BDI!$B$17,IF(AND(#REF!="Padrão",$H$4=#REF!),BDI!#REF!,IF(AND(#REF!="Diferenciado",$H$4=#REF!),BDI!$E$17,IF(AND(#REF!="Diferenciado",$H$4=#REF!),BDI!#REF!,IF(#REF!="ZERO",0))))),"")</f>
        <v>#REF!</v>
      </c>
      <c r="H1214" s="138" t="str">
        <f t="shared" si="55"/>
        <v/>
      </c>
      <c r="I1214" s="136" t="str">
        <f t="shared" si="56"/>
        <v/>
      </c>
    </row>
    <row r="1215" spans="1:9" hidden="1" x14ac:dyDescent="0.25">
      <c r="A1215" s="113" t="s">
        <v>3347</v>
      </c>
      <c r="B1215" s="114" t="s">
        <v>3348</v>
      </c>
      <c r="C1215" s="115" t="s">
        <v>20</v>
      </c>
      <c r="D1215" s="115">
        <v>0</v>
      </c>
      <c r="E1215" s="135" t="s">
        <v>568</v>
      </c>
      <c r="F1215" s="136" t="str">
        <f t="shared" si="54"/>
        <v/>
      </c>
      <c r="G1215" s="137" t="e">
        <f>IF(A1215&lt;&gt;"",IF(AND(#REF!="Padrão",$H$4=#REF!),BDI!$B$17,IF(AND(#REF!="Padrão",$H$4=#REF!),BDI!#REF!,IF(AND(#REF!="Diferenciado",$H$4=#REF!),BDI!$E$17,IF(AND(#REF!="Diferenciado",$H$4=#REF!),BDI!#REF!,IF(#REF!="ZERO",0))))),"")</f>
        <v>#REF!</v>
      </c>
      <c r="H1215" s="138" t="str">
        <f t="shared" si="55"/>
        <v/>
      </c>
      <c r="I1215" s="136" t="str">
        <f t="shared" si="56"/>
        <v/>
      </c>
    </row>
    <row r="1216" spans="1:9" hidden="1" x14ac:dyDescent="0.25">
      <c r="A1216" s="113" t="s">
        <v>3349</v>
      </c>
      <c r="B1216" s="114" t="s">
        <v>3350</v>
      </c>
      <c r="C1216" s="115" t="s">
        <v>20</v>
      </c>
      <c r="D1216" s="115">
        <v>0</v>
      </c>
      <c r="E1216" s="135" t="s">
        <v>568</v>
      </c>
      <c r="F1216" s="136" t="str">
        <f t="shared" si="54"/>
        <v/>
      </c>
      <c r="G1216" s="137" t="e">
        <f>IF(A1216&lt;&gt;"",IF(AND(#REF!="Padrão",$H$4=#REF!),BDI!$B$17,IF(AND(#REF!="Padrão",$H$4=#REF!),BDI!#REF!,IF(AND(#REF!="Diferenciado",$H$4=#REF!),BDI!$E$17,IF(AND(#REF!="Diferenciado",$H$4=#REF!),BDI!#REF!,IF(#REF!="ZERO",0))))),"")</f>
        <v>#REF!</v>
      </c>
      <c r="H1216" s="138" t="str">
        <f t="shared" si="55"/>
        <v/>
      </c>
      <c r="I1216" s="136" t="str">
        <f t="shared" si="56"/>
        <v/>
      </c>
    </row>
    <row r="1217" spans="1:9" hidden="1" x14ac:dyDescent="0.25">
      <c r="A1217" s="113" t="s">
        <v>3351</v>
      </c>
      <c r="B1217" s="114" t="s">
        <v>3352</v>
      </c>
      <c r="C1217" s="115" t="s">
        <v>628</v>
      </c>
      <c r="D1217" s="115">
        <v>0</v>
      </c>
      <c r="E1217" s="135" t="s">
        <v>568</v>
      </c>
      <c r="F1217" s="136" t="str">
        <f t="shared" si="54"/>
        <v/>
      </c>
      <c r="G1217" s="137" t="e">
        <f>IF(A1217&lt;&gt;"",IF(AND(#REF!="Padrão",$H$4=#REF!),BDI!$B$17,IF(AND(#REF!="Padrão",$H$4=#REF!),BDI!#REF!,IF(AND(#REF!="Diferenciado",$H$4=#REF!),BDI!$E$17,IF(AND(#REF!="Diferenciado",$H$4=#REF!),BDI!#REF!,IF(#REF!="ZERO",0))))),"")</f>
        <v>#REF!</v>
      </c>
      <c r="H1217" s="138" t="str">
        <f t="shared" si="55"/>
        <v/>
      </c>
      <c r="I1217" s="136" t="str">
        <f t="shared" si="56"/>
        <v/>
      </c>
    </row>
    <row r="1218" spans="1:9" hidden="1" x14ac:dyDescent="0.25">
      <c r="A1218" s="113" t="s">
        <v>3353</v>
      </c>
      <c r="B1218" s="114" t="s">
        <v>3354</v>
      </c>
      <c r="C1218" s="115" t="s">
        <v>20</v>
      </c>
      <c r="D1218" s="115">
        <v>0</v>
      </c>
      <c r="E1218" s="135" t="s">
        <v>568</v>
      </c>
      <c r="F1218" s="136" t="str">
        <f t="shared" si="54"/>
        <v/>
      </c>
      <c r="G1218" s="137" t="e">
        <f>IF(A1218&lt;&gt;"",IF(AND(#REF!="Padrão",$H$4=#REF!),BDI!$B$17,IF(AND(#REF!="Padrão",$H$4=#REF!),BDI!#REF!,IF(AND(#REF!="Diferenciado",$H$4=#REF!),BDI!$E$17,IF(AND(#REF!="Diferenciado",$H$4=#REF!),BDI!#REF!,IF(#REF!="ZERO",0))))),"")</f>
        <v>#REF!</v>
      </c>
      <c r="H1218" s="138" t="str">
        <f t="shared" si="55"/>
        <v/>
      </c>
      <c r="I1218" s="136" t="str">
        <f t="shared" si="56"/>
        <v/>
      </c>
    </row>
    <row r="1219" spans="1:9" hidden="1" x14ac:dyDescent="0.25">
      <c r="A1219" s="113" t="s">
        <v>3355</v>
      </c>
      <c r="B1219" s="114" t="s">
        <v>3356</v>
      </c>
      <c r="C1219" s="115" t="s">
        <v>20</v>
      </c>
      <c r="D1219" s="115">
        <v>0</v>
      </c>
      <c r="E1219" s="135" t="s">
        <v>568</v>
      </c>
      <c r="F1219" s="136" t="str">
        <f t="shared" si="54"/>
        <v/>
      </c>
      <c r="G1219" s="137" t="e">
        <f>IF(A1219&lt;&gt;"",IF(AND(#REF!="Padrão",$H$4=#REF!),BDI!$B$17,IF(AND(#REF!="Padrão",$H$4=#REF!),BDI!#REF!,IF(AND(#REF!="Diferenciado",$H$4=#REF!),BDI!$E$17,IF(AND(#REF!="Diferenciado",$H$4=#REF!),BDI!#REF!,IF(#REF!="ZERO",0))))),"")</f>
        <v>#REF!</v>
      </c>
      <c r="H1219" s="138" t="str">
        <f t="shared" si="55"/>
        <v/>
      </c>
      <c r="I1219" s="136" t="str">
        <f t="shared" si="56"/>
        <v/>
      </c>
    </row>
    <row r="1220" spans="1:9" hidden="1" x14ac:dyDescent="0.25">
      <c r="A1220" s="113" t="s">
        <v>3357</v>
      </c>
      <c r="B1220" s="114" t="s">
        <v>3358</v>
      </c>
      <c r="C1220" s="115" t="s">
        <v>20</v>
      </c>
      <c r="D1220" s="115">
        <v>0</v>
      </c>
      <c r="E1220" s="135" t="s">
        <v>568</v>
      </c>
      <c r="F1220" s="136" t="str">
        <f t="shared" si="54"/>
        <v/>
      </c>
      <c r="G1220" s="137" t="e">
        <f>IF(A1220&lt;&gt;"",IF(AND(#REF!="Padrão",$H$4=#REF!),BDI!$B$17,IF(AND(#REF!="Padrão",$H$4=#REF!),BDI!#REF!,IF(AND(#REF!="Diferenciado",$H$4=#REF!),BDI!$E$17,IF(AND(#REF!="Diferenciado",$H$4=#REF!),BDI!#REF!,IF(#REF!="ZERO",0))))),"")</f>
        <v>#REF!</v>
      </c>
      <c r="H1220" s="138" t="str">
        <f t="shared" si="55"/>
        <v/>
      </c>
      <c r="I1220" s="136" t="str">
        <f t="shared" si="56"/>
        <v/>
      </c>
    </row>
    <row r="1221" spans="1:9" hidden="1" x14ac:dyDescent="0.25">
      <c r="A1221" s="113" t="s">
        <v>3359</v>
      </c>
      <c r="B1221" s="114" t="s">
        <v>3360</v>
      </c>
      <c r="C1221" s="115" t="s">
        <v>20</v>
      </c>
      <c r="D1221" s="115">
        <v>0</v>
      </c>
      <c r="E1221" s="135" t="s">
        <v>568</v>
      </c>
      <c r="F1221" s="136" t="str">
        <f t="shared" si="54"/>
        <v/>
      </c>
      <c r="G1221" s="137" t="e">
        <f>IF(A1221&lt;&gt;"",IF(AND(#REF!="Padrão",$H$4=#REF!),BDI!$B$17,IF(AND(#REF!="Padrão",$H$4=#REF!),BDI!#REF!,IF(AND(#REF!="Diferenciado",$H$4=#REF!),BDI!$E$17,IF(AND(#REF!="Diferenciado",$H$4=#REF!),BDI!#REF!,IF(#REF!="ZERO",0))))),"")</f>
        <v>#REF!</v>
      </c>
      <c r="H1221" s="138" t="str">
        <f t="shared" si="55"/>
        <v/>
      </c>
      <c r="I1221" s="136" t="str">
        <f t="shared" si="56"/>
        <v/>
      </c>
    </row>
    <row r="1222" spans="1:9" hidden="1" x14ac:dyDescent="0.25">
      <c r="A1222" s="113" t="s">
        <v>3361</v>
      </c>
      <c r="B1222" s="114" t="s">
        <v>3362</v>
      </c>
      <c r="C1222" s="115" t="s">
        <v>20</v>
      </c>
      <c r="D1222" s="115">
        <v>0</v>
      </c>
      <c r="E1222" s="135" t="s">
        <v>568</v>
      </c>
      <c r="F1222" s="136" t="str">
        <f t="shared" si="54"/>
        <v/>
      </c>
      <c r="G1222" s="137" t="e">
        <f>IF(A1222&lt;&gt;"",IF(AND(#REF!="Padrão",$H$4=#REF!),BDI!$B$17,IF(AND(#REF!="Padrão",$H$4=#REF!),BDI!#REF!,IF(AND(#REF!="Diferenciado",$H$4=#REF!),BDI!$E$17,IF(AND(#REF!="Diferenciado",$H$4=#REF!),BDI!#REF!,IF(#REF!="ZERO",0))))),"")</f>
        <v>#REF!</v>
      </c>
      <c r="H1222" s="138" t="str">
        <f t="shared" si="55"/>
        <v/>
      </c>
      <c r="I1222" s="136" t="str">
        <f t="shared" si="56"/>
        <v/>
      </c>
    </row>
    <row r="1223" spans="1:9" hidden="1" x14ac:dyDescent="0.25">
      <c r="A1223" s="113" t="s">
        <v>3363</v>
      </c>
      <c r="B1223" s="114" t="s">
        <v>3364</v>
      </c>
      <c r="C1223" s="115" t="s">
        <v>628</v>
      </c>
      <c r="D1223" s="115">
        <v>0</v>
      </c>
      <c r="E1223" s="135" t="s">
        <v>568</v>
      </c>
      <c r="F1223" s="136" t="str">
        <f t="shared" ref="F1223:F1239" si="57">IF(ISNUMBER(E1223),D1223*E1223,"")</f>
        <v/>
      </c>
      <c r="G1223" s="137" t="e">
        <f>IF(A1223&lt;&gt;"",IF(AND(#REF!="Padrão",$H$4=#REF!),BDI!$B$17,IF(AND(#REF!="Padrão",$H$4=#REF!),BDI!#REF!,IF(AND(#REF!="Diferenciado",$H$4=#REF!),BDI!$E$17,IF(AND(#REF!="Diferenciado",$H$4=#REF!),BDI!#REF!,IF(#REF!="ZERO",0))))),"")</f>
        <v>#REF!</v>
      </c>
      <c r="H1223" s="138" t="str">
        <f t="shared" ref="H1223:H1239" si="58">IF(ISNUMBER(E1223),ROUND(E1223*(1+G1223),2),"")</f>
        <v/>
      </c>
      <c r="I1223" s="136" t="str">
        <f t="shared" ref="I1223:I1239" si="59">IF(ISNUMBER(E1223),ROUND(H1223*D1223,2),"")</f>
        <v/>
      </c>
    </row>
    <row r="1224" spans="1:9" hidden="1" x14ac:dyDescent="0.25">
      <c r="A1224" s="113" t="s">
        <v>3365</v>
      </c>
      <c r="B1224" s="114" t="s">
        <v>3366</v>
      </c>
      <c r="C1224" s="115" t="s">
        <v>20</v>
      </c>
      <c r="D1224" s="115">
        <v>0</v>
      </c>
      <c r="E1224" s="135" t="s">
        <v>568</v>
      </c>
      <c r="F1224" s="136" t="str">
        <f t="shared" si="57"/>
        <v/>
      </c>
      <c r="G1224" s="137" t="e">
        <f>IF(A1224&lt;&gt;"",IF(AND(#REF!="Padrão",$H$4=#REF!),BDI!$B$17,IF(AND(#REF!="Padrão",$H$4=#REF!),BDI!#REF!,IF(AND(#REF!="Diferenciado",$H$4=#REF!),BDI!$E$17,IF(AND(#REF!="Diferenciado",$H$4=#REF!),BDI!#REF!,IF(#REF!="ZERO",0))))),"")</f>
        <v>#REF!</v>
      </c>
      <c r="H1224" s="138" t="str">
        <f t="shared" si="58"/>
        <v/>
      </c>
      <c r="I1224" s="136" t="str">
        <f t="shared" si="59"/>
        <v/>
      </c>
    </row>
    <row r="1225" spans="1:9" hidden="1" x14ac:dyDescent="0.25">
      <c r="A1225" s="113" t="s">
        <v>3367</v>
      </c>
      <c r="B1225" s="114" t="s">
        <v>3368</v>
      </c>
      <c r="C1225" s="115" t="s">
        <v>20</v>
      </c>
      <c r="D1225" s="115">
        <v>0</v>
      </c>
      <c r="E1225" s="135" t="s">
        <v>568</v>
      </c>
      <c r="F1225" s="136" t="str">
        <f t="shared" si="57"/>
        <v/>
      </c>
      <c r="G1225" s="137" t="e">
        <f>IF(A1225&lt;&gt;"",IF(AND(#REF!="Padrão",$H$4=#REF!),BDI!$B$17,IF(AND(#REF!="Padrão",$H$4=#REF!),BDI!#REF!,IF(AND(#REF!="Diferenciado",$H$4=#REF!),BDI!$E$17,IF(AND(#REF!="Diferenciado",$H$4=#REF!),BDI!#REF!,IF(#REF!="ZERO",0))))),"")</f>
        <v>#REF!</v>
      </c>
      <c r="H1225" s="138" t="str">
        <f t="shared" si="58"/>
        <v/>
      </c>
      <c r="I1225" s="136" t="str">
        <f t="shared" si="59"/>
        <v/>
      </c>
    </row>
    <row r="1226" spans="1:9" hidden="1" x14ac:dyDescent="0.25">
      <c r="A1226" s="113" t="s">
        <v>3369</v>
      </c>
      <c r="B1226" s="114" t="s">
        <v>3370</v>
      </c>
      <c r="C1226" s="115" t="s">
        <v>20</v>
      </c>
      <c r="D1226" s="115">
        <v>0</v>
      </c>
      <c r="E1226" s="135" t="s">
        <v>568</v>
      </c>
      <c r="F1226" s="136" t="str">
        <f t="shared" si="57"/>
        <v/>
      </c>
      <c r="G1226" s="137" t="e">
        <f>IF(A1226&lt;&gt;"",IF(AND(#REF!="Padrão",$H$4=#REF!),BDI!$B$17,IF(AND(#REF!="Padrão",$H$4=#REF!),BDI!#REF!,IF(AND(#REF!="Diferenciado",$H$4=#REF!),BDI!$E$17,IF(AND(#REF!="Diferenciado",$H$4=#REF!),BDI!#REF!,IF(#REF!="ZERO",0))))),"")</f>
        <v>#REF!</v>
      </c>
      <c r="H1226" s="138" t="str">
        <f t="shared" si="58"/>
        <v/>
      </c>
      <c r="I1226" s="136" t="str">
        <f t="shared" si="59"/>
        <v/>
      </c>
    </row>
    <row r="1227" spans="1:9" hidden="1" x14ac:dyDescent="0.25">
      <c r="A1227" s="113" t="s">
        <v>3371</v>
      </c>
      <c r="B1227" s="114" t="s">
        <v>3372</v>
      </c>
      <c r="C1227" s="115" t="s">
        <v>20</v>
      </c>
      <c r="D1227" s="115">
        <v>0</v>
      </c>
      <c r="E1227" s="135" t="s">
        <v>568</v>
      </c>
      <c r="F1227" s="136" t="str">
        <f t="shared" si="57"/>
        <v/>
      </c>
      <c r="G1227" s="137" t="e">
        <f>IF(A1227&lt;&gt;"",IF(AND(#REF!="Padrão",$H$4=#REF!),BDI!$B$17,IF(AND(#REF!="Padrão",$H$4=#REF!),BDI!#REF!,IF(AND(#REF!="Diferenciado",$H$4=#REF!),BDI!$E$17,IF(AND(#REF!="Diferenciado",$H$4=#REF!),BDI!#REF!,IF(#REF!="ZERO",0))))),"")</f>
        <v>#REF!</v>
      </c>
      <c r="H1227" s="138" t="str">
        <f t="shared" si="58"/>
        <v/>
      </c>
      <c r="I1227" s="136" t="str">
        <f t="shared" si="59"/>
        <v/>
      </c>
    </row>
    <row r="1228" spans="1:9" hidden="1" x14ac:dyDescent="0.25">
      <c r="A1228" s="113" t="s">
        <v>3373</v>
      </c>
      <c r="B1228" s="114" t="s">
        <v>3374</v>
      </c>
      <c r="C1228" s="115" t="s">
        <v>93</v>
      </c>
      <c r="D1228" s="115">
        <v>0</v>
      </c>
      <c r="E1228" s="135" t="s">
        <v>568</v>
      </c>
      <c r="F1228" s="136" t="str">
        <f t="shared" si="57"/>
        <v/>
      </c>
      <c r="G1228" s="137" t="e">
        <f>IF(A1228&lt;&gt;"",IF(AND(#REF!="Padrão",$H$4=#REF!),BDI!$B$17,IF(AND(#REF!="Padrão",$H$4=#REF!),BDI!#REF!,IF(AND(#REF!="Diferenciado",$H$4=#REF!),BDI!$E$17,IF(AND(#REF!="Diferenciado",$H$4=#REF!),BDI!#REF!,IF(#REF!="ZERO",0))))),"")</f>
        <v>#REF!</v>
      </c>
      <c r="H1228" s="138" t="str">
        <f t="shared" si="58"/>
        <v/>
      </c>
      <c r="I1228" s="136" t="str">
        <f t="shared" si="59"/>
        <v/>
      </c>
    </row>
    <row r="1229" spans="1:9" hidden="1" x14ac:dyDescent="0.25">
      <c r="A1229" s="113" t="s">
        <v>3375</v>
      </c>
      <c r="B1229" s="114" t="s">
        <v>3376</v>
      </c>
      <c r="C1229" s="115" t="s">
        <v>20</v>
      </c>
      <c r="D1229" s="115">
        <v>0</v>
      </c>
      <c r="E1229" s="135" t="s">
        <v>568</v>
      </c>
      <c r="F1229" s="136" t="str">
        <f t="shared" si="57"/>
        <v/>
      </c>
      <c r="G1229" s="137" t="e">
        <f>IF(A1229&lt;&gt;"",IF(AND(#REF!="Padrão",$H$4=#REF!),BDI!$B$17,IF(AND(#REF!="Padrão",$H$4=#REF!),BDI!#REF!,IF(AND(#REF!="Diferenciado",$H$4=#REF!),BDI!$E$17,IF(AND(#REF!="Diferenciado",$H$4=#REF!),BDI!#REF!,IF(#REF!="ZERO",0))))),"")</f>
        <v>#REF!</v>
      </c>
      <c r="H1229" s="138" t="str">
        <f t="shared" si="58"/>
        <v/>
      </c>
      <c r="I1229" s="136" t="str">
        <f t="shared" si="59"/>
        <v/>
      </c>
    </row>
    <row r="1230" spans="1:9" hidden="1" x14ac:dyDescent="0.25">
      <c r="A1230" s="113" t="s">
        <v>3377</v>
      </c>
      <c r="B1230" s="114" t="s">
        <v>3378</v>
      </c>
      <c r="C1230" s="115" t="s">
        <v>95</v>
      </c>
      <c r="D1230" s="115">
        <v>0</v>
      </c>
      <c r="E1230" s="135" t="s">
        <v>568</v>
      </c>
      <c r="F1230" s="136" t="str">
        <f t="shared" si="57"/>
        <v/>
      </c>
      <c r="G1230" s="137" t="e">
        <f>IF(A1230&lt;&gt;"",IF(AND(#REF!="Padrão",$H$4=#REF!),BDI!$B$17,IF(AND(#REF!="Padrão",$H$4=#REF!),BDI!#REF!,IF(AND(#REF!="Diferenciado",$H$4=#REF!),BDI!$E$17,IF(AND(#REF!="Diferenciado",$H$4=#REF!),BDI!#REF!,IF(#REF!="ZERO",0))))),"")</f>
        <v>#REF!</v>
      </c>
      <c r="H1230" s="138" t="str">
        <f t="shared" si="58"/>
        <v/>
      </c>
      <c r="I1230" s="136" t="str">
        <f t="shared" si="59"/>
        <v/>
      </c>
    </row>
    <row r="1231" spans="1:9" hidden="1" x14ac:dyDescent="0.25">
      <c r="A1231" s="113" t="s">
        <v>3379</v>
      </c>
      <c r="B1231" s="114" t="s">
        <v>3380</v>
      </c>
      <c r="C1231" s="115" t="s">
        <v>1965</v>
      </c>
      <c r="D1231" s="115">
        <v>0</v>
      </c>
      <c r="E1231" s="135" t="s">
        <v>568</v>
      </c>
      <c r="F1231" s="136" t="str">
        <f t="shared" si="57"/>
        <v/>
      </c>
      <c r="G1231" s="137" t="e">
        <f>IF(A1231&lt;&gt;"",IF(AND(#REF!="Padrão",$H$4=#REF!),BDI!$B$17,IF(AND(#REF!="Padrão",$H$4=#REF!),BDI!#REF!,IF(AND(#REF!="Diferenciado",$H$4=#REF!),BDI!$E$17,IF(AND(#REF!="Diferenciado",$H$4=#REF!),BDI!#REF!,IF(#REF!="ZERO",0))))),"")</f>
        <v>#REF!</v>
      </c>
      <c r="H1231" s="138" t="str">
        <f t="shared" si="58"/>
        <v/>
      </c>
      <c r="I1231" s="136" t="str">
        <f t="shared" si="59"/>
        <v/>
      </c>
    </row>
    <row r="1232" spans="1:9" ht="38.25" hidden="1" x14ac:dyDescent="0.25">
      <c r="A1232" s="113" t="s">
        <v>3381</v>
      </c>
      <c r="B1232" s="114" t="s">
        <v>3382</v>
      </c>
      <c r="C1232" s="115" t="s">
        <v>20</v>
      </c>
      <c r="D1232" s="115">
        <v>0</v>
      </c>
      <c r="E1232" s="135" t="s">
        <v>568</v>
      </c>
      <c r="F1232" s="136" t="str">
        <f t="shared" si="57"/>
        <v/>
      </c>
      <c r="G1232" s="137" t="e">
        <f>IF(A1232&lt;&gt;"",IF(AND(#REF!="Padrão",$H$4=#REF!),BDI!$B$17,IF(AND(#REF!="Padrão",$H$4=#REF!),BDI!#REF!,IF(AND(#REF!="Diferenciado",$H$4=#REF!),BDI!$E$17,IF(AND(#REF!="Diferenciado",$H$4=#REF!),BDI!#REF!,IF(#REF!="ZERO",0))))),"")</f>
        <v>#REF!</v>
      </c>
      <c r="H1232" s="138" t="str">
        <f t="shared" si="58"/>
        <v/>
      </c>
      <c r="I1232" s="136" t="str">
        <f t="shared" si="59"/>
        <v/>
      </c>
    </row>
    <row r="1233" spans="1:9" ht="38.25" hidden="1" x14ac:dyDescent="0.25">
      <c r="A1233" s="113" t="s">
        <v>3383</v>
      </c>
      <c r="B1233" s="114" t="s">
        <v>3384</v>
      </c>
      <c r="C1233" s="115" t="s">
        <v>20</v>
      </c>
      <c r="D1233" s="115">
        <v>0</v>
      </c>
      <c r="E1233" s="135" t="s">
        <v>568</v>
      </c>
      <c r="F1233" s="136" t="str">
        <f t="shared" si="57"/>
        <v/>
      </c>
      <c r="G1233" s="137" t="e">
        <f>IF(A1233&lt;&gt;"",IF(AND(#REF!="Padrão",$H$4=#REF!),BDI!$B$17,IF(AND(#REF!="Padrão",$H$4=#REF!),BDI!#REF!,IF(AND(#REF!="Diferenciado",$H$4=#REF!),BDI!$E$17,IF(AND(#REF!="Diferenciado",$H$4=#REF!),BDI!#REF!,IF(#REF!="ZERO",0))))),"")</f>
        <v>#REF!</v>
      </c>
      <c r="H1233" s="138" t="str">
        <f t="shared" si="58"/>
        <v/>
      </c>
      <c r="I1233" s="136" t="str">
        <f t="shared" si="59"/>
        <v/>
      </c>
    </row>
    <row r="1234" spans="1:9" hidden="1" x14ac:dyDescent="0.25">
      <c r="A1234" s="113" t="s">
        <v>3385</v>
      </c>
      <c r="B1234" s="114" t="s">
        <v>3386</v>
      </c>
      <c r="C1234" s="115" t="s">
        <v>20</v>
      </c>
      <c r="D1234" s="115">
        <v>0</v>
      </c>
      <c r="E1234" s="135" t="s">
        <v>568</v>
      </c>
      <c r="F1234" s="136" t="str">
        <f t="shared" si="57"/>
        <v/>
      </c>
      <c r="G1234" s="137" t="e">
        <f>IF(A1234&lt;&gt;"",IF(AND(#REF!="Padrão",$H$4=#REF!),BDI!$B$17,IF(AND(#REF!="Padrão",$H$4=#REF!),BDI!#REF!,IF(AND(#REF!="Diferenciado",$H$4=#REF!),BDI!$E$17,IF(AND(#REF!="Diferenciado",$H$4=#REF!),BDI!#REF!,IF(#REF!="ZERO",0))))),"")</f>
        <v>#REF!</v>
      </c>
      <c r="H1234" s="138" t="str">
        <f t="shared" si="58"/>
        <v/>
      </c>
      <c r="I1234" s="136" t="str">
        <f t="shared" si="59"/>
        <v/>
      </c>
    </row>
    <row r="1235" spans="1:9" hidden="1" x14ac:dyDescent="0.25">
      <c r="A1235" s="113" t="s">
        <v>3387</v>
      </c>
      <c r="B1235" s="114" t="s">
        <v>3388</v>
      </c>
      <c r="C1235" s="115" t="s">
        <v>20</v>
      </c>
      <c r="D1235" s="115">
        <v>0</v>
      </c>
      <c r="E1235" s="135" t="s">
        <v>568</v>
      </c>
      <c r="F1235" s="136" t="str">
        <f t="shared" si="57"/>
        <v/>
      </c>
      <c r="G1235" s="137" t="e">
        <f>IF(A1235&lt;&gt;"",IF(AND(#REF!="Padrão",$H$4=#REF!),BDI!$B$17,IF(AND(#REF!="Padrão",$H$4=#REF!),BDI!#REF!,IF(AND(#REF!="Diferenciado",$H$4=#REF!),BDI!$E$17,IF(AND(#REF!="Diferenciado",$H$4=#REF!),BDI!#REF!,IF(#REF!="ZERO",0))))),"")</f>
        <v>#REF!</v>
      </c>
      <c r="H1235" s="138" t="str">
        <f t="shared" si="58"/>
        <v/>
      </c>
      <c r="I1235" s="136" t="str">
        <f t="shared" si="59"/>
        <v/>
      </c>
    </row>
    <row r="1236" spans="1:9" hidden="1" x14ac:dyDescent="0.25">
      <c r="A1236" s="113" t="s">
        <v>3389</v>
      </c>
      <c r="B1236" s="114" t="s">
        <v>3390</v>
      </c>
      <c r="C1236" s="115" t="s">
        <v>20</v>
      </c>
      <c r="D1236" s="115">
        <v>0</v>
      </c>
      <c r="E1236" s="135" t="s">
        <v>568</v>
      </c>
      <c r="F1236" s="136" t="str">
        <f t="shared" si="57"/>
        <v/>
      </c>
      <c r="G1236" s="137" t="e">
        <f>IF(A1236&lt;&gt;"",IF(AND(#REF!="Padrão",$H$4=#REF!),BDI!$B$17,IF(AND(#REF!="Padrão",$H$4=#REF!),BDI!#REF!,IF(AND(#REF!="Diferenciado",$H$4=#REF!),BDI!$E$17,IF(AND(#REF!="Diferenciado",$H$4=#REF!),BDI!#REF!,IF(#REF!="ZERO",0))))),"")</f>
        <v>#REF!</v>
      </c>
      <c r="H1236" s="138" t="str">
        <f t="shared" si="58"/>
        <v/>
      </c>
      <c r="I1236" s="136" t="str">
        <f t="shared" si="59"/>
        <v/>
      </c>
    </row>
    <row r="1237" spans="1:9" hidden="1" x14ac:dyDescent="0.25">
      <c r="A1237" s="113" t="s">
        <v>1500</v>
      </c>
      <c r="B1237" s="114" t="s">
        <v>3391</v>
      </c>
      <c r="C1237" s="115" t="s">
        <v>95</v>
      </c>
      <c r="D1237" s="115">
        <v>0</v>
      </c>
      <c r="E1237" s="135">
        <f ca="1">OFFSET(INDEX(Composições!A:J,MATCH(Orçamentária!A1237,Composições!A:A,0),8),2,0)</f>
        <v>12.232200000000001</v>
      </c>
      <c r="F1237" s="136">
        <f t="shared" ca="1" si="57"/>
        <v>0</v>
      </c>
      <c r="G1237" s="137" t="e">
        <f>IF(A1237&lt;&gt;"",IF(AND(#REF!="Padrão",$H$4=#REF!),BDI!$B$17,IF(AND(#REF!="Padrão",$H$4=#REF!),BDI!#REF!,IF(AND(#REF!="Diferenciado",$H$4=#REF!),BDI!$E$17,IF(AND(#REF!="Diferenciado",$H$4=#REF!),BDI!#REF!,IF(#REF!="ZERO",0))))),"")</f>
        <v>#REF!</v>
      </c>
      <c r="H1237" s="138" t="e">
        <f t="shared" ca="1" si="58"/>
        <v>#REF!</v>
      </c>
      <c r="I1237" s="136" t="e">
        <f t="shared" ca="1" si="59"/>
        <v>#REF!</v>
      </c>
    </row>
    <row r="1238" spans="1:9" hidden="1" x14ac:dyDescent="0.25">
      <c r="A1238" s="113" t="s">
        <v>1504</v>
      </c>
      <c r="B1238" s="114" t="s">
        <v>3392</v>
      </c>
      <c r="C1238" s="115" t="s">
        <v>95</v>
      </c>
      <c r="D1238" s="115">
        <v>0</v>
      </c>
      <c r="E1238" s="135">
        <f ca="1">OFFSET(INDEX(Composições!A:J,MATCH(Orçamentária!A1238,Composições!A:A,0),8),2,0)</f>
        <v>1.8520250000000003</v>
      </c>
      <c r="F1238" s="136">
        <f t="shared" ca="1" si="57"/>
        <v>0</v>
      </c>
      <c r="G1238" s="137" t="e">
        <f>IF(A1238&lt;&gt;"",IF(AND(#REF!="Padrão",$H$4=#REF!),BDI!$B$17,IF(AND(#REF!="Padrão",$H$4=#REF!),BDI!#REF!,IF(AND(#REF!="Diferenciado",$H$4=#REF!),BDI!$E$17,IF(AND(#REF!="Diferenciado",$H$4=#REF!),BDI!#REF!,IF(#REF!="ZERO",0))))),"")</f>
        <v>#REF!</v>
      </c>
      <c r="H1238" s="138" t="e">
        <f t="shared" ca="1" si="58"/>
        <v>#REF!</v>
      </c>
      <c r="I1238" s="136" t="e">
        <f t="shared" ca="1" si="59"/>
        <v>#REF!</v>
      </c>
    </row>
    <row r="1239" spans="1:9" hidden="1" x14ac:dyDescent="0.25">
      <c r="A1239" s="113" t="s">
        <v>3393</v>
      </c>
      <c r="B1239" s="114" t="s">
        <v>3394</v>
      </c>
      <c r="C1239" s="115" t="s">
        <v>20</v>
      </c>
      <c r="D1239" s="115">
        <v>0</v>
      </c>
      <c r="E1239" s="135" t="s">
        <v>568</v>
      </c>
      <c r="F1239" s="136" t="str">
        <f t="shared" si="57"/>
        <v/>
      </c>
      <c r="G1239" s="137" t="e">
        <f>IF(A1239&lt;&gt;"",IF(AND(#REF!="Padrão",$H$4=#REF!),BDI!$B$17,IF(AND(#REF!="Padrão",$H$4=#REF!),BDI!#REF!,IF(AND(#REF!="Diferenciado",$H$4=#REF!),BDI!$E$17,IF(AND(#REF!="Diferenciado",$H$4=#REF!),BDI!#REF!,IF(#REF!="ZERO",0))))),"")</f>
        <v>#REF!</v>
      </c>
      <c r="H1239" s="138" t="str">
        <f t="shared" si="58"/>
        <v/>
      </c>
      <c r="I1239" s="136" t="str">
        <f t="shared" si="59"/>
        <v/>
      </c>
    </row>
    <row r="1240" spans="1:9" hidden="1" x14ac:dyDescent="0.25">
      <c r="A1240" s="113" t="s">
        <v>3484</v>
      </c>
      <c r="B1240" s="114" t="s">
        <v>3541</v>
      </c>
      <c r="C1240" s="115" t="s">
        <v>20</v>
      </c>
      <c r="D1240" s="115">
        <v>0</v>
      </c>
      <c r="E1240" s="135">
        <f ca="1">OFFSET(INDEX(Composições!A:J,MATCH(Orçamentária!A1240,Composições!A:A,0),8),2,0)</f>
        <v>1049.7943661399995</v>
      </c>
      <c r="F1240" s="136">
        <f t="shared" ref="F1240:F1291" ca="1" si="60">IF(ISNUMBER(E1240),D1240*E1240,"")</f>
        <v>0</v>
      </c>
      <c r="G1240" s="137" t="e">
        <f>IF(A1240&lt;&gt;"",IF(AND(#REF!="Padrão",$H$4=#REF!),BDI!$B$17,IF(AND(#REF!="Padrão",$H$4=#REF!),BDI!#REF!,IF(AND(#REF!="Diferenciado",$H$4=#REF!),BDI!$E$17,IF(AND(#REF!="Diferenciado",$H$4=#REF!),BDI!#REF!,IF(#REF!="ZERO",0))))),"")</f>
        <v>#REF!</v>
      </c>
      <c r="H1240" s="138" t="e">
        <f t="shared" ref="H1240:H1291" ca="1" si="61">IF(ISNUMBER(E1240),ROUND(E1240*(1+G1240),2),"")</f>
        <v>#REF!</v>
      </c>
      <c r="I1240" s="136" t="e">
        <f t="shared" ref="I1240:I1291" ca="1" si="62">IF(ISNUMBER(E1240),ROUND(H1240*D1240,2),"")</f>
        <v>#REF!</v>
      </c>
    </row>
    <row r="1241" spans="1:9" hidden="1" x14ac:dyDescent="0.25">
      <c r="A1241" s="113" t="s">
        <v>3485</v>
      </c>
      <c r="B1241" s="114" t="s">
        <v>3542</v>
      </c>
      <c r="C1241" s="115" t="s">
        <v>20</v>
      </c>
      <c r="D1241" s="115">
        <v>0</v>
      </c>
      <c r="E1241" s="135">
        <f ca="1">OFFSET(INDEX(Composições!A:J,MATCH(Orçamentária!A1241,Composições!A:A,0),8),2,0)</f>
        <v>1088.8443262166663</v>
      </c>
      <c r="F1241" s="136">
        <f t="shared" ca="1" si="60"/>
        <v>0</v>
      </c>
      <c r="G1241" s="137" t="e">
        <f>IF(A1241&lt;&gt;"",IF(AND(#REF!="Padrão",$H$4=#REF!),BDI!$B$17,IF(AND(#REF!="Padrão",$H$4=#REF!),BDI!#REF!,IF(AND(#REF!="Diferenciado",$H$4=#REF!),BDI!$E$17,IF(AND(#REF!="Diferenciado",$H$4=#REF!),BDI!#REF!,IF(#REF!="ZERO",0))))),"")</f>
        <v>#REF!</v>
      </c>
      <c r="H1241" s="138" t="e">
        <f t="shared" ca="1" si="61"/>
        <v>#REF!</v>
      </c>
      <c r="I1241" s="136" t="e">
        <f t="shared" ca="1" si="62"/>
        <v>#REF!</v>
      </c>
    </row>
    <row r="1242" spans="1:9" hidden="1" x14ac:dyDescent="0.25">
      <c r="A1242" s="113" t="s">
        <v>3486</v>
      </c>
      <c r="B1242" s="114" t="s">
        <v>3543</v>
      </c>
      <c r="C1242" s="115" t="s">
        <v>20</v>
      </c>
      <c r="D1242" s="115">
        <v>0</v>
      </c>
      <c r="E1242" s="135" t="s">
        <v>568</v>
      </c>
      <c r="F1242" s="136" t="str">
        <f t="shared" si="60"/>
        <v/>
      </c>
      <c r="G1242" s="137" t="e">
        <f>IF(A1242&lt;&gt;"",IF(AND(#REF!="Padrão",$H$4=#REF!),BDI!$B$17,IF(AND(#REF!="Padrão",$H$4=#REF!),BDI!#REF!,IF(AND(#REF!="Diferenciado",$H$4=#REF!),BDI!$E$17,IF(AND(#REF!="Diferenciado",$H$4=#REF!),BDI!#REF!,IF(#REF!="ZERO",0))))),"")</f>
        <v>#REF!</v>
      </c>
      <c r="H1242" s="138" t="str">
        <f t="shared" si="61"/>
        <v/>
      </c>
      <c r="I1242" s="136" t="str">
        <f t="shared" si="62"/>
        <v/>
      </c>
    </row>
    <row r="1243" spans="1:9" hidden="1" x14ac:dyDescent="0.25">
      <c r="A1243" s="113" t="s">
        <v>3487</v>
      </c>
      <c r="B1243" s="114" t="s">
        <v>3544</v>
      </c>
      <c r="C1243" s="115" t="s">
        <v>20</v>
      </c>
      <c r="D1243" s="115">
        <v>0</v>
      </c>
      <c r="E1243" s="135" t="s">
        <v>568</v>
      </c>
      <c r="F1243" s="136" t="str">
        <f t="shared" si="60"/>
        <v/>
      </c>
      <c r="G1243" s="137" t="e">
        <f>IF(A1243&lt;&gt;"",IF(AND(#REF!="Padrão",$H$4=#REF!),BDI!$B$17,IF(AND(#REF!="Padrão",$H$4=#REF!),BDI!#REF!,IF(AND(#REF!="Diferenciado",$H$4=#REF!),BDI!$E$17,IF(AND(#REF!="Diferenciado",$H$4=#REF!),BDI!#REF!,IF(#REF!="ZERO",0))))),"")</f>
        <v>#REF!</v>
      </c>
      <c r="H1243" s="138" t="str">
        <f t="shared" si="61"/>
        <v/>
      </c>
      <c r="I1243" s="136" t="str">
        <f t="shared" si="62"/>
        <v/>
      </c>
    </row>
    <row r="1244" spans="1:9" hidden="1" x14ac:dyDescent="0.25">
      <c r="A1244" s="113" t="s">
        <v>3488</v>
      </c>
      <c r="B1244" s="114" t="s">
        <v>3545</v>
      </c>
      <c r="C1244" s="115" t="s">
        <v>20</v>
      </c>
      <c r="D1244" s="115">
        <v>0</v>
      </c>
      <c r="E1244" s="135" t="s">
        <v>568</v>
      </c>
      <c r="F1244" s="136" t="str">
        <f t="shared" si="60"/>
        <v/>
      </c>
      <c r="G1244" s="137" t="e">
        <f>IF(A1244&lt;&gt;"",IF(AND(#REF!="Padrão",$H$4=#REF!),BDI!$B$17,IF(AND(#REF!="Padrão",$H$4=#REF!),BDI!#REF!,IF(AND(#REF!="Diferenciado",$H$4=#REF!),BDI!$E$17,IF(AND(#REF!="Diferenciado",$H$4=#REF!),BDI!#REF!,IF(#REF!="ZERO",0))))),"")</f>
        <v>#REF!</v>
      </c>
      <c r="H1244" s="138" t="str">
        <f t="shared" si="61"/>
        <v/>
      </c>
      <c r="I1244" s="136" t="str">
        <f t="shared" si="62"/>
        <v/>
      </c>
    </row>
    <row r="1245" spans="1:9" hidden="1" x14ac:dyDescent="0.25">
      <c r="A1245" s="113" t="s">
        <v>3489</v>
      </c>
      <c r="B1245" s="114" t="s">
        <v>3546</v>
      </c>
      <c r="C1245" s="115" t="s">
        <v>20</v>
      </c>
      <c r="D1245" s="115">
        <v>0</v>
      </c>
      <c r="E1245" s="135">
        <f ca="1">OFFSET(INDEX(Composições!A:J,MATCH(Orçamentária!A1245,Composições!A:A,0),8),2,0)</f>
        <v>3.0808500000000003</v>
      </c>
      <c r="F1245" s="136">
        <f t="shared" ca="1" si="60"/>
        <v>0</v>
      </c>
      <c r="G1245" s="137" t="e">
        <f>IF(A1245&lt;&gt;"",IF(AND(#REF!="Padrão",$H$4=#REF!),BDI!$B$17,IF(AND(#REF!="Padrão",$H$4=#REF!),BDI!#REF!,IF(AND(#REF!="Diferenciado",$H$4=#REF!),BDI!$E$17,IF(AND(#REF!="Diferenciado",$H$4=#REF!),BDI!#REF!,IF(#REF!="ZERO",0))))),"")</f>
        <v>#REF!</v>
      </c>
      <c r="H1245" s="138" t="e">
        <f t="shared" ca="1" si="61"/>
        <v>#REF!</v>
      </c>
      <c r="I1245" s="136" t="e">
        <f t="shared" ca="1" si="62"/>
        <v>#REF!</v>
      </c>
    </row>
    <row r="1246" spans="1:9" hidden="1" x14ac:dyDescent="0.25">
      <c r="A1246" s="113" t="s">
        <v>3490</v>
      </c>
      <c r="B1246" s="114" t="s">
        <v>3547</v>
      </c>
      <c r="C1246" s="115" t="s">
        <v>20</v>
      </c>
      <c r="D1246" s="115">
        <v>0</v>
      </c>
      <c r="E1246" s="135">
        <f ca="1">OFFSET(INDEX(Composições!A:J,MATCH(Orçamentária!A1246,Composições!A:A,0),8),2,0)</f>
        <v>3.0808500000000003</v>
      </c>
      <c r="F1246" s="136">
        <f t="shared" ca="1" si="60"/>
        <v>0</v>
      </c>
      <c r="G1246" s="137" t="e">
        <f>IF(A1246&lt;&gt;"",IF(AND(#REF!="Padrão",$H$4=#REF!),BDI!$B$17,IF(AND(#REF!="Padrão",$H$4=#REF!),BDI!#REF!,IF(AND(#REF!="Diferenciado",$H$4=#REF!),BDI!$E$17,IF(AND(#REF!="Diferenciado",$H$4=#REF!),BDI!#REF!,IF(#REF!="ZERO",0))))),"")</f>
        <v>#REF!</v>
      </c>
      <c r="H1246" s="138" t="e">
        <f t="shared" ca="1" si="61"/>
        <v>#REF!</v>
      </c>
      <c r="I1246" s="136" t="e">
        <f t="shared" ca="1" si="62"/>
        <v>#REF!</v>
      </c>
    </row>
    <row r="1247" spans="1:9" hidden="1" x14ac:dyDescent="0.25">
      <c r="A1247" s="113" t="s">
        <v>3491</v>
      </c>
      <c r="B1247" s="114" t="s">
        <v>3548</v>
      </c>
      <c r="C1247" s="115" t="s">
        <v>20</v>
      </c>
      <c r="D1247" s="115">
        <v>0</v>
      </c>
      <c r="E1247" s="135">
        <f ca="1">OFFSET(INDEX(Composições!A:J,MATCH(Orçamentária!A1247,Composições!A:A,0),8),2,0)</f>
        <v>3.0808500000000003</v>
      </c>
      <c r="F1247" s="136">
        <f t="shared" ca="1" si="60"/>
        <v>0</v>
      </c>
      <c r="G1247" s="137" t="e">
        <f>IF(A1247&lt;&gt;"",IF(AND(#REF!="Padrão",$H$4=#REF!),BDI!$B$17,IF(AND(#REF!="Padrão",$H$4=#REF!),BDI!#REF!,IF(AND(#REF!="Diferenciado",$H$4=#REF!),BDI!$E$17,IF(AND(#REF!="Diferenciado",$H$4=#REF!),BDI!#REF!,IF(#REF!="ZERO",0))))),"")</f>
        <v>#REF!</v>
      </c>
      <c r="H1247" s="138" t="e">
        <f t="shared" ca="1" si="61"/>
        <v>#REF!</v>
      </c>
      <c r="I1247" s="136" t="e">
        <f t="shared" ca="1" si="62"/>
        <v>#REF!</v>
      </c>
    </row>
    <row r="1248" spans="1:9" ht="25.5" hidden="1" x14ac:dyDescent="0.25">
      <c r="A1248" s="113" t="s">
        <v>3492</v>
      </c>
      <c r="B1248" s="114" t="s">
        <v>3549</v>
      </c>
      <c r="C1248" s="115" t="s">
        <v>93</v>
      </c>
      <c r="D1248" s="115">
        <v>0</v>
      </c>
      <c r="E1248" s="135">
        <f ca="1">OFFSET(INDEX(Composições!A:J,MATCH(Orçamentária!A1248,Composições!A:A,0),8),2,0)</f>
        <v>8.6599910000000015</v>
      </c>
      <c r="F1248" s="136">
        <f t="shared" ca="1" si="60"/>
        <v>0</v>
      </c>
      <c r="G1248" s="137" t="e">
        <f>IF(A1248&lt;&gt;"",IF(AND(#REF!="Padrão",$H$4=#REF!),BDI!$B$17,IF(AND(#REF!="Padrão",$H$4=#REF!),BDI!#REF!,IF(AND(#REF!="Diferenciado",$H$4=#REF!),BDI!$E$17,IF(AND(#REF!="Diferenciado",$H$4=#REF!),BDI!#REF!,IF(#REF!="ZERO",0))))),"")</f>
        <v>#REF!</v>
      </c>
      <c r="H1248" s="138" t="e">
        <f t="shared" ca="1" si="61"/>
        <v>#REF!</v>
      </c>
      <c r="I1248" s="136" t="e">
        <f t="shared" ca="1" si="62"/>
        <v>#REF!</v>
      </c>
    </row>
    <row r="1249" spans="1:9" hidden="1" x14ac:dyDescent="0.25">
      <c r="A1249" s="113" t="s">
        <v>3493</v>
      </c>
      <c r="B1249" s="114" t="s">
        <v>3550</v>
      </c>
      <c r="C1249" s="115" t="s">
        <v>93</v>
      </c>
      <c r="D1249" s="115">
        <v>0</v>
      </c>
      <c r="E1249" s="135">
        <f ca="1">OFFSET(INDEX(Composições!A:J,MATCH(Orçamentária!A1249,Composições!A:A,0),8),2,0)</f>
        <v>12.236712499999999</v>
      </c>
      <c r="F1249" s="136">
        <f t="shared" ca="1" si="60"/>
        <v>0</v>
      </c>
      <c r="G1249" s="137" t="e">
        <f>IF(A1249&lt;&gt;"",IF(AND(#REF!="Padrão",$H$4=#REF!),BDI!$B$17,IF(AND(#REF!="Padrão",$H$4=#REF!),BDI!#REF!,IF(AND(#REF!="Diferenciado",$H$4=#REF!),BDI!$E$17,IF(AND(#REF!="Diferenciado",$H$4=#REF!),BDI!#REF!,IF(#REF!="ZERO",0))))),"")</f>
        <v>#REF!</v>
      </c>
      <c r="H1249" s="138" t="e">
        <f t="shared" ca="1" si="61"/>
        <v>#REF!</v>
      </c>
      <c r="I1249" s="136" t="e">
        <f t="shared" ca="1" si="62"/>
        <v>#REF!</v>
      </c>
    </row>
    <row r="1250" spans="1:9" hidden="1" x14ac:dyDescent="0.25">
      <c r="A1250" s="113" t="s">
        <v>3494</v>
      </c>
      <c r="B1250" s="114" t="s">
        <v>3551</v>
      </c>
      <c r="C1250" s="115" t="s">
        <v>93</v>
      </c>
      <c r="D1250" s="115">
        <v>0</v>
      </c>
      <c r="E1250" s="135">
        <f ca="1">OFFSET(INDEX(Composições!A:J,MATCH(Orçamentária!A1250,Composições!A:A,0),8),2,0)</f>
        <v>5.0679175000000001</v>
      </c>
      <c r="F1250" s="136">
        <f t="shared" ca="1" si="60"/>
        <v>0</v>
      </c>
      <c r="G1250" s="137" t="e">
        <f>IF(A1250&lt;&gt;"",IF(AND(#REF!="Padrão",$H$4=#REF!),BDI!$B$17,IF(AND(#REF!="Padrão",$H$4=#REF!),BDI!#REF!,IF(AND(#REF!="Diferenciado",$H$4=#REF!),BDI!$E$17,IF(AND(#REF!="Diferenciado",$H$4=#REF!),BDI!#REF!,IF(#REF!="ZERO",0))))),"")</f>
        <v>#REF!</v>
      </c>
      <c r="H1250" s="138" t="e">
        <f t="shared" ca="1" si="61"/>
        <v>#REF!</v>
      </c>
      <c r="I1250" s="136" t="e">
        <f t="shared" ca="1" si="62"/>
        <v>#REF!</v>
      </c>
    </row>
    <row r="1251" spans="1:9" hidden="1" x14ac:dyDescent="0.25">
      <c r="A1251" s="113" t="s">
        <v>3495</v>
      </c>
      <c r="B1251" s="114" t="s">
        <v>3552</v>
      </c>
      <c r="C1251" s="115" t="s">
        <v>93</v>
      </c>
      <c r="D1251" s="115">
        <v>0</v>
      </c>
      <c r="E1251" s="135">
        <f ca="1">OFFSET(INDEX(Composições!A:J,MATCH(Orçamentária!A1251,Composições!A:A,0),8),2,0)</f>
        <v>13.676428000000001</v>
      </c>
      <c r="F1251" s="136">
        <f t="shared" ca="1" si="60"/>
        <v>0</v>
      </c>
      <c r="G1251" s="137" t="e">
        <f>IF(A1251&lt;&gt;"",IF(AND(#REF!="Padrão",$H$4=#REF!),BDI!$B$17,IF(AND(#REF!="Padrão",$H$4=#REF!),BDI!#REF!,IF(AND(#REF!="Diferenciado",$H$4=#REF!),BDI!$E$17,IF(AND(#REF!="Diferenciado",$H$4=#REF!),BDI!#REF!,IF(#REF!="ZERO",0))))),"")</f>
        <v>#REF!</v>
      </c>
      <c r="H1251" s="138" t="e">
        <f t="shared" ca="1" si="61"/>
        <v>#REF!</v>
      </c>
      <c r="I1251" s="136" t="e">
        <f t="shared" ca="1" si="62"/>
        <v>#REF!</v>
      </c>
    </row>
    <row r="1252" spans="1:9" hidden="1" x14ac:dyDescent="0.25">
      <c r="A1252" s="113" t="s">
        <v>3496</v>
      </c>
      <c r="B1252" s="114" t="s">
        <v>3553</v>
      </c>
      <c r="C1252" s="115" t="s">
        <v>93</v>
      </c>
      <c r="D1252" s="115">
        <v>0</v>
      </c>
      <c r="E1252" s="135">
        <f ca="1">OFFSET(INDEX(Composições!A:J,MATCH(Orçamentária!A1252,Composições!A:A,0),8),2,0)</f>
        <v>15.518981500000002</v>
      </c>
      <c r="F1252" s="136">
        <f t="shared" ca="1" si="60"/>
        <v>0</v>
      </c>
      <c r="G1252" s="137" t="e">
        <f>IF(A1252&lt;&gt;"",IF(AND(#REF!="Padrão",$H$4=#REF!),BDI!$B$17,IF(AND(#REF!="Padrão",$H$4=#REF!),BDI!#REF!,IF(AND(#REF!="Diferenciado",$H$4=#REF!),BDI!$E$17,IF(AND(#REF!="Diferenciado",$H$4=#REF!),BDI!#REF!,IF(#REF!="ZERO",0))))),"")</f>
        <v>#REF!</v>
      </c>
      <c r="H1252" s="138" t="e">
        <f t="shared" ca="1" si="61"/>
        <v>#REF!</v>
      </c>
      <c r="I1252" s="136" t="e">
        <f t="shared" ca="1" si="62"/>
        <v>#REF!</v>
      </c>
    </row>
    <row r="1253" spans="1:9" hidden="1" x14ac:dyDescent="0.25">
      <c r="A1253" s="113" t="s">
        <v>3497</v>
      </c>
      <c r="B1253" s="114" t="s">
        <v>3554</v>
      </c>
      <c r="C1253" s="115" t="s">
        <v>93</v>
      </c>
      <c r="D1253" s="115">
        <v>0</v>
      </c>
      <c r="E1253" s="135">
        <f ca="1">OFFSET(INDEX(Composições!A:J,MATCH(Orçamentária!A1253,Composições!A:A,0),8),2,0)</f>
        <v>25.526576000000002</v>
      </c>
      <c r="F1253" s="136">
        <f t="shared" ca="1" si="60"/>
        <v>0</v>
      </c>
      <c r="G1253" s="137" t="e">
        <f>IF(A1253&lt;&gt;"",IF(AND(#REF!="Padrão",$H$4=#REF!),BDI!$B$17,IF(AND(#REF!="Padrão",$H$4=#REF!),BDI!#REF!,IF(AND(#REF!="Diferenciado",$H$4=#REF!),BDI!$E$17,IF(AND(#REF!="Diferenciado",$H$4=#REF!),BDI!#REF!,IF(#REF!="ZERO",0))))),"")</f>
        <v>#REF!</v>
      </c>
      <c r="H1253" s="138" t="e">
        <f t="shared" ca="1" si="61"/>
        <v>#REF!</v>
      </c>
      <c r="I1253" s="136" t="e">
        <f t="shared" ca="1" si="62"/>
        <v>#REF!</v>
      </c>
    </row>
    <row r="1254" spans="1:9" hidden="1" x14ac:dyDescent="0.25">
      <c r="A1254" s="113" t="s">
        <v>3498</v>
      </c>
      <c r="B1254" s="114" t="s">
        <v>3555</v>
      </c>
      <c r="C1254" s="115" t="s">
        <v>93</v>
      </c>
      <c r="D1254" s="115">
        <v>0</v>
      </c>
      <c r="E1254" s="135">
        <f ca="1">OFFSET(INDEX(Composições!A:J,MATCH(Orçamentária!A1254,Composições!A:A,0),8),2,0)</f>
        <v>7.9012925000000003</v>
      </c>
      <c r="F1254" s="136">
        <f t="shared" ca="1" si="60"/>
        <v>0</v>
      </c>
      <c r="G1254" s="137" t="e">
        <f>IF(A1254&lt;&gt;"",IF(AND(#REF!="Padrão",$H$4=#REF!),BDI!$B$17,IF(AND(#REF!="Padrão",$H$4=#REF!),BDI!#REF!,IF(AND(#REF!="Diferenciado",$H$4=#REF!),BDI!$E$17,IF(AND(#REF!="Diferenciado",$H$4=#REF!),BDI!#REF!,IF(#REF!="ZERO",0))))),"")</f>
        <v>#REF!</v>
      </c>
      <c r="H1254" s="138" t="e">
        <f t="shared" ca="1" si="61"/>
        <v>#REF!</v>
      </c>
      <c r="I1254" s="136" t="e">
        <f t="shared" ca="1" si="62"/>
        <v>#REF!</v>
      </c>
    </row>
    <row r="1255" spans="1:9" hidden="1" x14ac:dyDescent="0.25">
      <c r="A1255" s="113" t="s">
        <v>3499</v>
      </c>
      <c r="B1255" s="114" t="s">
        <v>3556</v>
      </c>
      <c r="C1255" s="115" t="s">
        <v>93</v>
      </c>
      <c r="D1255" s="115">
        <v>0</v>
      </c>
      <c r="E1255" s="135">
        <f ca="1">OFFSET(INDEX(Composições!A:J,MATCH(Orçamentária!A1255,Composições!A:A,0),8),2,0)</f>
        <v>8.4070914999999999</v>
      </c>
      <c r="F1255" s="136">
        <f t="shared" ca="1" si="60"/>
        <v>0</v>
      </c>
      <c r="G1255" s="137" t="e">
        <f>IF(A1255&lt;&gt;"",IF(AND(#REF!="Padrão",$H$4=#REF!),BDI!$B$17,IF(AND(#REF!="Padrão",$H$4=#REF!),BDI!#REF!,IF(AND(#REF!="Diferenciado",$H$4=#REF!),BDI!$E$17,IF(AND(#REF!="Diferenciado",$H$4=#REF!),BDI!#REF!,IF(#REF!="ZERO",0))))),"")</f>
        <v>#REF!</v>
      </c>
      <c r="H1255" s="138" t="e">
        <f t="shared" ca="1" si="61"/>
        <v>#REF!</v>
      </c>
      <c r="I1255" s="136" t="e">
        <f t="shared" ca="1" si="62"/>
        <v>#REF!</v>
      </c>
    </row>
    <row r="1256" spans="1:9" hidden="1" x14ac:dyDescent="0.25">
      <c r="A1256" s="113" t="s">
        <v>3500</v>
      </c>
      <c r="B1256" s="114" t="s">
        <v>3557</v>
      </c>
      <c r="C1256" s="115" t="s">
        <v>20</v>
      </c>
      <c r="D1256" s="115">
        <v>0</v>
      </c>
      <c r="E1256" s="135">
        <f ca="1">OFFSET(INDEX(Composições!A:J,MATCH(Orçamentária!A1256,Composições!A:A,0),8),2,0)</f>
        <v>45.752805599999988</v>
      </c>
      <c r="F1256" s="136">
        <f t="shared" ca="1" si="60"/>
        <v>0</v>
      </c>
      <c r="G1256" s="137" t="e">
        <f>IF(A1256&lt;&gt;"",IF(AND(#REF!="Padrão",$H$4=#REF!),BDI!$B$17,IF(AND(#REF!="Padrão",$H$4=#REF!),BDI!#REF!,IF(AND(#REF!="Diferenciado",$H$4=#REF!),BDI!$E$17,IF(AND(#REF!="Diferenciado",$H$4=#REF!),BDI!#REF!,IF(#REF!="ZERO",0))))),"")</f>
        <v>#REF!</v>
      </c>
      <c r="H1256" s="138" t="e">
        <f t="shared" ca="1" si="61"/>
        <v>#REF!</v>
      </c>
      <c r="I1256" s="136" t="e">
        <f t="shared" ca="1" si="62"/>
        <v>#REF!</v>
      </c>
    </row>
    <row r="1257" spans="1:9" hidden="1" x14ac:dyDescent="0.25">
      <c r="A1257" s="113" t="s">
        <v>3501</v>
      </c>
      <c r="B1257" s="114" t="s">
        <v>3558</v>
      </c>
      <c r="C1257" s="115" t="s">
        <v>20</v>
      </c>
      <c r="D1257" s="115">
        <v>0</v>
      </c>
      <c r="E1257" s="135">
        <f ca="1">OFFSET(INDEX(Composições!A:J,MATCH(Orçamentária!A1257,Composições!A:A,0),8),2,0)</f>
        <v>43.007305599999995</v>
      </c>
      <c r="F1257" s="136">
        <f t="shared" ca="1" si="60"/>
        <v>0</v>
      </c>
      <c r="G1257" s="137" t="e">
        <f>IF(A1257&lt;&gt;"",IF(AND(#REF!="Padrão",$H$4=#REF!),BDI!$B$17,IF(AND(#REF!="Padrão",$H$4=#REF!),BDI!#REF!,IF(AND(#REF!="Diferenciado",$H$4=#REF!),BDI!$E$17,IF(AND(#REF!="Diferenciado",$H$4=#REF!),BDI!#REF!,IF(#REF!="ZERO",0))))),"")</f>
        <v>#REF!</v>
      </c>
      <c r="H1257" s="138" t="e">
        <f t="shared" ca="1" si="61"/>
        <v>#REF!</v>
      </c>
      <c r="I1257" s="136" t="e">
        <f t="shared" ca="1" si="62"/>
        <v>#REF!</v>
      </c>
    </row>
    <row r="1258" spans="1:9" hidden="1" x14ac:dyDescent="0.25">
      <c r="A1258" s="113" t="s">
        <v>3502</v>
      </c>
      <c r="B1258" s="114" t="s">
        <v>3559</v>
      </c>
      <c r="C1258" s="115" t="s">
        <v>95</v>
      </c>
      <c r="D1258" s="115">
        <v>0</v>
      </c>
      <c r="E1258" s="135" t="s">
        <v>568</v>
      </c>
      <c r="F1258" s="136" t="str">
        <f t="shared" si="60"/>
        <v/>
      </c>
      <c r="G1258" s="137" t="e">
        <f>IF(A1258&lt;&gt;"",IF(AND(#REF!="Padrão",$H$4=#REF!),BDI!$B$17,IF(AND(#REF!="Padrão",$H$4=#REF!),BDI!#REF!,IF(AND(#REF!="Diferenciado",$H$4=#REF!),BDI!$E$17,IF(AND(#REF!="Diferenciado",$H$4=#REF!),BDI!#REF!,IF(#REF!="ZERO",0))))),"")</f>
        <v>#REF!</v>
      </c>
      <c r="H1258" s="138" t="str">
        <f t="shared" si="61"/>
        <v/>
      </c>
      <c r="I1258" s="136" t="str">
        <f t="shared" si="62"/>
        <v/>
      </c>
    </row>
    <row r="1259" spans="1:9" hidden="1" x14ac:dyDescent="0.25">
      <c r="A1259" s="113" t="s">
        <v>3503</v>
      </c>
      <c r="B1259" s="114" t="s">
        <v>3560</v>
      </c>
      <c r="C1259" s="115" t="s">
        <v>95</v>
      </c>
      <c r="D1259" s="115">
        <v>0</v>
      </c>
      <c r="E1259" s="135" t="s">
        <v>568</v>
      </c>
      <c r="F1259" s="136" t="str">
        <f t="shared" si="60"/>
        <v/>
      </c>
      <c r="G1259" s="137" t="e">
        <f>IF(A1259&lt;&gt;"",IF(AND(#REF!="Padrão",$H$4=#REF!),BDI!$B$17,IF(AND(#REF!="Padrão",$H$4=#REF!),BDI!#REF!,IF(AND(#REF!="Diferenciado",$H$4=#REF!),BDI!$E$17,IF(AND(#REF!="Diferenciado",$H$4=#REF!),BDI!#REF!,IF(#REF!="ZERO",0))))),"")</f>
        <v>#REF!</v>
      </c>
      <c r="H1259" s="138" t="str">
        <f t="shared" si="61"/>
        <v/>
      </c>
      <c r="I1259" s="136" t="str">
        <f t="shared" si="62"/>
        <v/>
      </c>
    </row>
    <row r="1260" spans="1:9" hidden="1" x14ac:dyDescent="0.25">
      <c r="A1260" s="113" t="s">
        <v>3504</v>
      </c>
      <c r="B1260" s="114" t="s">
        <v>3561</v>
      </c>
      <c r="C1260" s="115" t="s">
        <v>20</v>
      </c>
      <c r="D1260" s="115">
        <v>0</v>
      </c>
      <c r="E1260" s="135">
        <f ca="1">OFFSET(INDEX(Composições!A:J,MATCH(Orçamentária!A1260,Composições!A:A,0),8),2,0)</f>
        <v>12.03138045</v>
      </c>
      <c r="F1260" s="136">
        <f t="shared" ca="1" si="60"/>
        <v>0</v>
      </c>
      <c r="G1260" s="137" t="e">
        <f>IF(A1260&lt;&gt;"",IF(AND(#REF!="Padrão",$H$4=#REF!),BDI!$B$17,IF(AND(#REF!="Padrão",$H$4=#REF!),BDI!#REF!,IF(AND(#REF!="Diferenciado",$H$4=#REF!),BDI!$E$17,IF(AND(#REF!="Diferenciado",$H$4=#REF!),BDI!#REF!,IF(#REF!="ZERO",0))))),"")</f>
        <v>#REF!</v>
      </c>
      <c r="H1260" s="138" t="e">
        <f t="shared" ca="1" si="61"/>
        <v>#REF!</v>
      </c>
      <c r="I1260" s="136" t="e">
        <f t="shared" ca="1" si="62"/>
        <v>#REF!</v>
      </c>
    </row>
    <row r="1261" spans="1:9" hidden="1" x14ac:dyDescent="0.25">
      <c r="A1261" s="113" t="s">
        <v>3505</v>
      </c>
      <c r="B1261" s="114" t="s">
        <v>3562</v>
      </c>
      <c r="C1261" s="115" t="s">
        <v>20</v>
      </c>
      <c r="D1261" s="115">
        <v>0</v>
      </c>
      <c r="E1261" s="135">
        <f ca="1">OFFSET(INDEX(Composições!A:J,MATCH(Orçamentária!A1261,Composições!A:A,0),8),2,0)</f>
        <v>12.5545616</v>
      </c>
      <c r="F1261" s="136">
        <f t="shared" ca="1" si="60"/>
        <v>0</v>
      </c>
      <c r="G1261" s="137" t="e">
        <f>IF(A1261&lt;&gt;"",IF(AND(#REF!="Padrão",$H$4=#REF!),BDI!$B$17,IF(AND(#REF!="Padrão",$H$4=#REF!),BDI!#REF!,IF(AND(#REF!="Diferenciado",$H$4=#REF!),BDI!$E$17,IF(AND(#REF!="Diferenciado",$H$4=#REF!),BDI!#REF!,IF(#REF!="ZERO",0))))),"")</f>
        <v>#REF!</v>
      </c>
      <c r="H1261" s="138" t="e">
        <f t="shared" ca="1" si="61"/>
        <v>#REF!</v>
      </c>
      <c r="I1261" s="136" t="e">
        <f t="shared" ca="1" si="62"/>
        <v>#REF!</v>
      </c>
    </row>
    <row r="1262" spans="1:9" hidden="1" x14ac:dyDescent="0.25">
      <c r="A1262" s="113" t="s">
        <v>3506</v>
      </c>
      <c r="B1262" s="114" t="s">
        <v>3563</v>
      </c>
      <c r="C1262" s="115" t="s">
        <v>20</v>
      </c>
      <c r="D1262" s="115">
        <v>0</v>
      </c>
      <c r="E1262" s="135">
        <f ca="1">OFFSET(INDEX(Composições!A:J,MATCH(Orçamentária!A1262,Composições!A:A,0),8),2,0)</f>
        <v>6.2197963000000005</v>
      </c>
      <c r="F1262" s="136">
        <f t="shared" ca="1" si="60"/>
        <v>0</v>
      </c>
      <c r="G1262" s="137" t="e">
        <f>IF(A1262&lt;&gt;"",IF(AND(#REF!="Padrão",$H$4=#REF!),BDI!$B$17,IF(AND(#REF!="Padrão",$H$4=#REF!),BDI!#REF!,IF(AND(#REF!="Diferenciado",$H$4=#REF!),BDI!$E$17,IF(AND(#REF!="Diferenciado",$H$4=#REF!),BDI!#REF!,IF(#REF!="ZERO",0))))),"")</f>
        <v>#REF!</v>
      </c>
      <c r="H1262" s="138" t="e">
        <f t="shared" ca="1" si="61"/>
        <v>#REF!</v>
      </c>
      <c r="I1262" s="136" t="e">
        <f t="shared" ca="1" si="62"/>
        <v>#REF!</v>
      </c>
    </row>
    <row r="1263" spans="1:9" hidden="1" x14ac:dyDescent="0.25">
      <c r="A1263" s="113" t="s">
        <v>3507</v>
      </c>
      <c r="B1263" s="114" t="s">
        <v>3564</v>
      </c>
      <c r="C1263" s="115" t="s">
        <v>20</v>
      </c>
      <c r="D1263" s="115">
        <v>0</v>
      </c>
      <c r="E1263" s="135">
        <f ca="1">OFFSET(INDEX(Composições!A:J,MATCH(Orçamentária!A1263,Composições!A:A,0),8),2,0)</f>
        <v>12.5545616</v>
      </c>
      <c r="F1263" s="136">
        <f t="shared" ca="1" si="60"/>
        <v>0</v>
      </c>
      <c r="G1263" s="137" t="e">
        <f>IF(A1263&lt;&gt;"",IF(AND(#REF!="Padrão",$H$4=#REF!),BDI!$B$17,IF(AND(#REF!="Padrão",$H$4=#REF!),BDI!#REF!,IF(AND(#REF!="Diferenciado",$H$4=#REF!),BDI!$E$17,IF(AND(#REF!="Diferenciado",$H$4=#REF!),BDI!#REF!,IF(#REF!="ZERO",0))))),"")</f>
        <v>#REF!</v>
      </c>
      <c r="H1263" s="138" t="e">
        <f t="shared" ca="1" si="61"/>
        <v>#REF!</v>
      </c>
      <c r="I1263" s="136" t="e">
        <f t="shared" ca="1" si="62"/>
        <v>#REF!</v>
      </c>
    </row>
    <row r="1264" spans="1:9" hidden="1" x14ac:dyDescent="0.25">
      <c r="A1264" s="113" t="s">
        <v>3508</v>
      </c>
      <c r="B1264" s="114" t="s">
        <v>3565</v>
      </c>
      <c r="C1264" s="115" t="s">
        <v>20</v>
      </c>
      <c r="D1264" s="115">
        <v>0</v>
      </c>
      <c r="E1264" s="135">
        <f ca="1">OFFSET(INDEX(Composições!A:J,MATCH(Orçamentária!A1264,Composições!A:A,0),8),2,0)</f>
        <v>6.2197963000000005</v>
      </c>
      <c r="F1264" s="136">
        <f t="shared" ca="1" si="60"/>
        <v>0</v>
      </c>
      <c r="G1264" s="137" t="e">
        <f>IF(A1264&lt;&gt;"",IF(AND(#REF!="Padrão",$H$4=#REF!),BDI!$B$17,IF(AND(#REF!="Padrão",$H$4=#REF!),BDI!#REF!,IF(AND(#REF!="Diferenciado",$H$4=#REF!),BDI!$E$17,IF(AND(#REF!="Diferenciado",$H$4=#REF!),BDI!#REF!,IF(#REF!="ZERO",0))))),"")</f>
        <v>#REF!</v>
      </c>
      <c r="H1264" s="138" t="e">
        <f t="shared" ca="1" si="61"/>
        <v>#REF!</v>
      </c>
      <c r="I1264" s="136" t="e">
        <f t="shared" ca="1" si="62"/>
        <v>#REF!</v>
      </c>
    </row>
    <row r="1265" spans="1:9" hidden="1" x14ac:dyDescent="0.25">
      <c r="A1265" s="113" t="s">
        <v>3509</v>
      </c>
      <c r="B1265" s="114" t="s">
        <v>3566</v>
      </c>
      <c r="C1265" s="115" t="s">
        <v>20</v>
      </c>
      <c r="D1265" s="115">
        <v>0</v>
      </c>
      <c r="E1265" s="135">
        <f ca="1">OFFSET(INDEX(Composições!A:J,MATCH(Orçamentária!A1265,Composições!A:A,0),8),2,0)</f>
        <v>6.1617000000000006</v>
      </c>
      <c r="F1265" s="136">
        <f t="shared" ca="1" si="60"/>
        <v>0</v>
      </c>
      <c r="G1265" s="137" t="e">
        <f>IF(A1265&lt;&gt;"",IF(AND(#REF!="Padrão",$H$4=#REF!),BDI!$B$17,IF(AND(#REF!="Padrão",$H$4=#REF!),BDI!#REF!,IF(AND(#REF!="Diferenciado",$H$4=#REF!),BDI!$E$17,IF(AND(#REF!="Diferenciado",$H$4=#REF!),BDI!#REF!,IF(#REF!="ZERO",0))))),"")</f>
        <v>#REF!</v>
      </c>
      <c r="H1265" s="138" t="e">
        <f t="shared" ca="1" si="61"/>
        <v>#REF!</v>
      </c>
      <c r="I1265" s="136" t="e">
        <f t="shared" ca="1" si="62"/>
        <v>#REF!</v>
      </c>
    </row>
    <row r="1266" spans="1:9" hidden="1" x14ac:dyDescent="0.25">
      <c r="A1266" s="113" t="s">
        <v>3510</v>
      </c>
      <c r="B1266" s="114" t="s">
        <v>3567</v>
      </c>
      <c r="C1266" s="115" t="s">
        <v>20</v>
      </c>
      <c r="D1266" s="115">
        <v>0</v>
      </c>
      <c r="E1266" s="135">
        <f ca="1">OFFSET(INDEX(Composições!A:J,MATCH(Orçamentária!A1266,Composições!A:A,0),8),2,0)</f>
        <v>13.9617928</v>
      </c>
      <c r="F1266" s="136">
        <f t="shared" ca="1" si="60"/>
        <v>0</v>
      </c>
      <c r="G1266" s="137" t="e">
        <f>IF(A1266&lt;&gt;"",IF(AND(#REF!="Padrão",$H$4=#REF!),BDI!$B$17,IF(AND(#REF!="Padrão",$H$4=#REF!),BDI!#REF!,IF(AND(#REF!="Diferenciado",$H$4=#REF!),BDI!$E$17,IF(AND(#REF!="Diferenciado",$H$4=#REF!),BDI!#REF!,IF(#REF!="ZERO",0))))),"")</f>
        <v>#REF!</v>
      </c>
      <c r="H1266" s="138" t="e">
        <f t="shared" ca="1" si="61"/>
        <v>#REF!</v>
      </c>
      <c r="I1266" s="136" t="e">
        <f t="shared" ca="1" si="62"/>
        <v>#REF!</v>
      </c>
    </row>
    <row r="1267" spans="1:9" hidden="1" x14ac:dyDescent="0.25">
      <c r="A1267" s="113" t="s">
        <v>3511</v>
      </c>
      <c r="B1267" s="114" t="s">
        <v>3568</v>
      </c>
      <c r="C1267" s="115" t="s">
        <v>20</v>
      </c>
      <c r="D1267" s="115">
        <v>0</v>
      </c>
      <c r="E1267" s="135">
        <f ca="1">OFFSET(INDEX(Composições!A:J,MATCH(Orçamentária!A1267,Composições!A:A,0),8),2,0)</f>
        <v>37.417099</v>
      </c>
      <c r="F1267" s="136">
        <f t="shared" ca="1" si="60"/>
        <v>0</v>
      </c>
      <c r="G1267" s="137" t="e">
        <f>IF(A1267&lt;&gt;"",IF(AND(#REF!="Padrão",$H$4=#REF!),BDI!$B$17,IF(AND(#REF!="Padrão",$H$4=#REF!),BDI!#REF!,IF(AND(#REF!="Diferenciado",$H$4=#REF!),BDI!$E$17,IF(AND(#REF!="Diferenciado",$H$4=#REF!),BDI!#REF!,IF(#REF!="ZERO",0))))),"")</f>
        <v>#REF!</v>
      </c>
      <c r="H1267" s="138" t="e">
        <f t="shared" ca="1" si="61"/>
        <v>#REF!</v>
      </c>
      <c r="I1267" s="136" t="e">
        <f t="shared" ca="1" si="62"/>
        <v>#REF!</v>
      </c>
    </row>
    <row r="1268" spans="1:9" hidden="1" x14ac:dyDescent="0.25">
      <c r="A1268" s="113" t="s">
        <v>3512</v>
      </c>
      <c r="B1268" s="114" t="s">
        <v>3569</v>
      </c>
      <c r="C1268" s="115" t="s">
        <v>20</v>
      </c>
      <c r="D1268" s="115">
        <v>0</v>
      </c>
      <c r="E1268" s="135">
        <f ca="1">OFFSET(INDEX(Composições!A:J,MATCH(Orçamentária!A1268,Composições!A:A,0),8),2,0)</f>
        <v>24.568964600000001</v>
      </c>
      <c r="F1268" s="136">
        <f t="shared" ca="1" si="60"/>
        <v>0</v>
      </c>
      <c r="G1268" s="137" t="e">
        <f>IF(A1268&lt;&gt;"",IF(AND(#REF!="Padrão",$H$4=#REF!),BDI!$B$17,IF(AND(#REF!="Padrão",$H$4=#REF!),BDI!#REF!,IF(AND(#REF!="Diferenciado",$H$4=#REF!),BDI!$E$17,IF(AND(#REF!="Diferenciado",$H$4=#REF!),BDI!#REF!,IF(#REF!="ZERO",0))))),"")</f>
        <v>#REF!</v>
      </c>
      <c r="H1268" s="138" t="e">
        <f t="shared" ca="1" si="61"/>
        <v>#REF!</v>
      </c>
      <c r="I1268" s="136" t="e">
        <f t="shared" ca="1" si="62"/>
        <v>#REF!</v>
      </c>
    </row>
    <row r="1269" spans="1:9" hidden="1" x14ac:dyDescent="0.25">
      <c r="A1269" s="113" t="s">
        <v>3513</v>
      </c>
      <c r="B1269" s="114" t="s">
        <v>3570</v>
      </c>
      <c r="C1269" s="115" t="s">
        <v>20</v>
      </c>
      <c r="D1269" s="115">
        <v>0</v>
      </c>
      <c r="E1269" s="135">
        <f ca="1">OFFSET(INDEX(Composições!A:J,MATCH(Orçamentária!A1269,Composições!A:A,0),8),2,0)</f>
        <v>24.568964600000001</v>
      </c>
      <c r="F1269" s="136">
        <f t="shared" ca="1" si="60"/>
        <v>0</v>
      </c>
      <c r="G1269" s="137" t="e">
        <f>IF(A1269&lt;&gt;"",IF(AND(#REF!="Padrão",$H$4=#REF!),BDI!$B$17,IF(AND(#REF!="Padrão",$H$4=#REF!),BDI!#REF!,IF(AND(#REF!="Diferenciado",$H$4=#REF!),BDI!$E$17,IF(AND(#REF!="Diferenciado",$H$4=#REF!),BDI!#REF!,IF(#REF!="ZERO",0))))),"")</f>
        <v>#REF!</v>
      </c>
      <c r="H1269" s="138" t="e">
        <f t="shared" ca="1" si="61"/>
        <v>#REF!</v>
      </c>
      <c r="I1269" s="136" t="e">
        <f t="shared" ca="1" si="62"/>
        <v>#REF!</v>
      </c>
    </row>
    <row r="1270" spans="1:9" hidden="1" x14ac:dyDescent="0.25">
      <c r="A1270" s="113" t="s">
        <v>3514</v>
      </c>
      <c r="B1270" s="114" t="s">
        <v>3571</v>
      </c>
      <c r="C1270" s="115" t="s">
        <v>20</v>
      </c>
      <c r="D1270" s="115">
        <v>0</v>
      </c>
      <c r="E1270" s="135">
        <f ca="1">OFFSET(INDEX(Composições!A:J,MATCH(Orçamentária!A1270,Composições!A:A,0),8),2,0)</f>
        <v>4.9077000000000002</v>
      </c>
      <c r="F1270" s="136">
        <f t="shared" ca="1" si="60"/>
        <v>0</v>
      </c>
      <c r="G1270" s="137" t="e">
        <f>IF(A1270&lt;&gt;"",IF(AND(#REF!="Padrão",$H$4=#REF!),BDI!$B$17,IF(AND(#REF!="Padrão",$H$4=#REF!),BDI!#REF!,IF(AND(#REF!="Diferenciado",$H$4=#REF!),BDI!$E$17,IF(AND(#REF!="Diferenciado",$H$4=#REF!),BDI!#REF!,IF(#REF!="ZERO",0))))),"")</f>
        <v>#REF!</v>
      </c>
      <c r="H1270" s="138" t="e">
        <f t="shared" ca="1" si="61"/>
        <v>#REF!</v>
      </c>
      <c r="I1270" s="136" t="e">
        <f t="shared" ca="1" si="62"/>
        <v>#REF!</v>
      </c>
    </row>
    <row r="1271" spans="1:9" hidden="1" x14ac:dyDescent="0.25">
      <c r="A1271" s="113" t="s">
        <v>3515</v>
      </c>
      <c r="B1271" s="114" t="s">
        <v>3630</v>
      </c>
      <c r="C1271" s="115" t="s">
        <v>20</v>
      </c>
      <c r="D1271" s="115">
        <v>0</v>
      </c>
      <c r="E1271" s="135">
        <f ca="1">OFFSET(INDEX(Composições!A:J,MATCH(Orçamentária!A1271,Composições!A:A,0),8),2,0)</f>
        <v>192.82659960000001</v>
      </c>
      <c r="F1271" s="136">
        <f t="shared" ca="1" si="60"/>
        <v>0</v>
      </c>
      <c r="G1271" s="137" t="e">
        <f>IF(A1271&lt;&gt;"",IF(AND(#REF!="Padrão",$H$4=#REF!),BDI!$B$17,IF(AND(#REF!="Padrão",$H$4=#REF!),BDI!#REF!,IF(AND(#REF!="Diferenciado",$H$4=#REF!),BDI!$E$17,IF(AND(#REF!="Diferenciado",$H$4=#REF!),BDI!#REF!,IF(#REF!="ZERO",0))))),"")</f>
        <v>#REF!</v>
      </c>
      <c r="H1271" s="138" t="e">
        <f t="shared" ca="1" si="61"/>
        <v>#REF!</v>
      </c>
      <c r="I1271" s="136" t="e">
        <f t="shared" ca="1" si="62"/>
        <v>#REF!</v>
      </c>
    </row>
    <row r="1272" spans="1:9" hidden="1" x14ac:dyDescent="0.25">
      <c r="A1272" s="113" t="s">
        <v>3516</v>
      </c>
      <c r="B1272" s="114" t="s">
        <v>3631</v>
      </c>
      <c r="C1272" s="115" t="s">
        <v>20</v>
      </c>
      <c r="D1272" s="115">
        <v>0</v>
      </c>
      <c r="E1272" s="135">
        <f ca="1">OFFSET(INDEX(Composições!A:J,MATCH(Orçamentária!A1272,Composições!A:A,0),8),2,0)</f>
        <v>210.09072920000003</v>
      </c>
      <c r="F1272" s="136">
        <f t="shared" ca="1" si="60"/>
        <v>0</v>
      </c>
      <c r="G1272" s="137" t="e">
        <f>IF(A1272&lt;&gt;"",IF(AND(#REF!="Padrão",$H$4=#REF!),BDI!$B$17,IF(AND(#REF!="Padrão",$H$4=#REF!),BDI!#REF!,IF(AND(#REF!="Diferenciado",$H$4=#REF!),BDI!$E$17,IF(AND(#REF!="Diferenciado",$H$4=#REF!),BDI!#REF!,IF(#REF!="ZERO",0))))),"")</f>
        <v>#REF!</v>
      </c>
      <c r="H1272" s="138" t="e">
        <f t="shared" ca="1" si="61"/>
        <v>#REF!</v>
      </c>
      <c r="I1272" s="136" t="e">
        <f t="shared" ca="1" si="62"/>
        <v>#REF!</v>
      </c>
    </row>
    <row r="1273" spans="1:9" hidden="1" x14ac:dyDescent="0.25">
      <c r="A1273" s="113" t="s">
        <v>3517</v>
      </c>
      <c r="B1273" s="114" t="s">
        <v>3632</v>
      </c>
      <c r="C1273" s="115" t="s">
        <v>20</v>
      </c>
      <c r="D1273" s="115">
        <v>0</v>
      </c>
      <c r="E1273" s="135">
        <f ca="1">OFFSET(INDEX(Composições!A:J,MATCH(Orçamentária!A1273,Composições!A:A,0),8),2,0)</f>
        <v>236.04735879999998</v>
      </c>
      <c r="F1273" s="136">
        <f t="shared" ca="1" si="60"/>
        <v>0</v>
      </c>
      <c r="G1273" s="137" t="e">
        <f>IF(A1273&lt;&gt;"",IF(AND(#REF!="Padrão",$H$4=#REF!),BDI!$B$17,IF(AND(#REF!="Padrão",$H$4=#REF!),BDI!#REF!,IF(AND(#REF!="Diferenciado",$H$4=#REF!),BDI!$E$17,IF(AND(#REF!="Diferenciado",$H$4=#REF!),BDI!#REF!,IF(#REF!="ZERO",0))))),"")</f>
        <v>#REF!</v>
      </c>
      <c r="H1273" s="138" t="e">
        <f t="shared" ca="1" si="61"/>
        <v>#REF!</v>
      </c>
      <c r="I1273" s="136" t="e">
        <f t="shared" ca="1" si="62"/>
        <v>#REF!</v>
      </c>
    </row>
    <row r="1274" spans="1:9" hidden="1" x14ac:dyDescent="0.25">
      <c r="A1274" s="113" t="s">
        <v>3518</v>
      </c>
      <c r="B1274" s="114" t="s">
        <v>3633</v>
      </c>
      <c r="C1274" s="115" t="s">
        <v>20</v>
      </c>
      <c r="D1274" s="115">
        <v>0</v>
      </c>
      <c r="E1274" s="135">
        <f ca="1">OFFSET(INDEX(Composições!A:J,MATCH(Orçamentária!A1274,Composições!A:A,0),8),2,0)</f>
        <v>262.60248840000003</v>
      </c>
      <c r="F1274" s="136">
        <f t="shared" ca="1" si="60"/>
        <v>0</v>
      </c>
      <c r="G1274" s="137" t="e">
        <f>IF(A1274&lt;&gt;"",IF(AND(#REF!="Padrão",$H$4=#REF!),BDI!$B$17,IF(AND(#REF!="Padrão",$H$4=#REF!),BDI!#REF!,IF(AND(#REF!="Diferenciado",$H$4=#REF!),BDI!$E$17,IF(AND(#REF!="Diferenciado",$H$4=#REF!),BDI!#REF!,IF(#REF!="ZERO",0))))),"")</f>
        <v>#REF!</v>
      </c>
      <c r="H1274" s="138" t="e">
        <f t="shared" ca="1" si="61"/>
        <v>#REF!</v>
      </c>
      <c r="I1274" s="136" t="e">
        <f t="shared" ca="1" si="62"/>
        <v>#REF!</v>
      </c>
    </row>
    <row r="1275" spans="1:9" hidden="1" x14ac:dyDescent="0.25">
      <c r="A1275" s="113" t="s">
        <v>3519</v>
      </c>
      <c r="B1275" s="114" t="s">
        <v>3572</v>
      </c>
      <c r="C1275" s="115" t="s">
        <v>20</v>
      </c>
      <c r="D1275" s="115">
        <v>0</v>
      </c>
      <c r="E1275" s="135">
        <f ca="1">OFFSET(INDEX(Composições!A:J,MATCH(Orçamentária!A1275,Composições!A:A,0),8),2,0)</f>
        <v>69.995999999999995</v>
      </c>
      <c r="F1275" s="136">
        <f t="shared" ca="1" si="60"/>
        <v>0</v>
      </c>
      <c r="G1275" s="137" t="e">
        <f>IF(A1275&lt;&gt;"",IF(AND(#REF!="Padrão",$H$4=#REF!),BDI!$B$17,IF(AND(#REF!="Padrão",$H$4=#REF!),BDI!#REF!,IF(AND(#REF!="Diferenciado",$H$4=#REF!),BDI!$E$17,IF(AND(#REF!="Diferenciado",$H$4=#REF!),BDI!#REF!,IF(#REF!="ZERO",0))))),"")</f>
        <v>#REF!</v>
      </c>
      <c r="H1275" s="138" t="e">
        <f t="shared" ca="1" si="61"/>
        <v>#REF!</v>
      </c>
      <c r="I1275" s="136" t="e">
        <f t="shared" ca="1" si="62"/>
        <v>#REF!</v>
      </c>
    </row>
    <row r="1276" spans="1:9" hidden="1" x14ac:dyDescent="0.25">
      <c r="A1276" s="113" t="s">
        <v>3520</v>
      </c>
      <c r="B1276" s="114" t="s">
        <v>3573</v>
      </c>
      <c r="C1276" s="115" t="s">
        <v>95</v>
      </c>
      <c r="D1276" s="115">
        <v>0</v>
      </c>
      <c r="E1276" s="135">
        <f ca="1">OFFSET(INDEX(Composições!A:J,MATCH(Orçamentária!A1276,Composições!A:A,0),8),2,0)</f>
        <v>24.79158</v>
      </c>
      <c r="F1276" s="136">
        <f t="shared" ca="1" si="60"/>
        <v>0</v>
      </c>
      <c r="G1276" s="137" t="e">
        <f>IF(A1276&lt;&gt;"",IF(AND(#REF!="Padrão",$H$4=#REF!),BDI!$B$17,IF(AND(#REF!="Padrão",$H$4=#REF!),BDI!#REF!,IF(AND(#REF!="Diferenciado",$H$4=#REF!),BDI!$E$17,IF(AND(#REF!="Diferenciado",$H$4=#REF!),BDI!#REF!,IF(#REF!="ZERO",0))))),"")</f>
        <v>#REF!</v>
      </c>
      <c r="H1276" s="138" t="e">
        <f t="shared" ca="1" si="61"/>
        <v>#REF!</v>
      </c>
      <c r="I1276" s="136" t="e">
        <f t="shared" ca="1" si="62"/>
        <v>#REF!</v>
      </c>
    </row>
    <row r="1277" spans="1:9" hidden="1" x14ac:dyDescent="0.25">
      <c r="A1277" s="113" t="s">
        <v>3521</v>
      </c>
      <c r="B1277" s="114" t="s">
        <v>3574</v>
      </c>
      <c r="C1277" s="115" t="s">
        <v>95</v>
      </c>
      <c r="D1277" s="115">
        <v>0</v>
      </c>
      <c r="E1277" s="135">
        <f ca="1">OFFSET(INDEX(Composições!A:J,MATCH(Orçamentária!A1277,Composições!A:A,0),8),2,0)</f>
        <v>25.792880000000004</v>
      </c>
      <c r="F1277" s="136">
        <f t="shared" ca="1" si="60"/>
        <v>0</v>
      </c>
      <c r="G1277" s="137" t="e">
        <f>IF(A1277&lt;&gt;"",IF(AND(#REF!="Padrão",$H$4=#REF!),BDI!$B$17,IF(AND(#REF!="Padrão",$H$4=#REF!),BDI!#REF!,IF(AND(#REF!="Diferenciado",$H$4=#REF!),BDI!$E$17,IF(AND(#REF!="Diferenciado",$H$4=#REF!),BDI!#REF!,IF(#REF!="ZERO",0))))),"")</f>
        <v>#REF!</v>
      </c>
      <c r="H1277" s="138" t="e">
        <f t="shared" ca="1" si="61"/>
        <v>#REF!</v>
      </c>
      <c r="I1277" s="136" t="e">
        <f t="shared" ca="1" si="62"/>
        <v>#REF!</v>
      </c>
    </row>
    <row r="1278" spans="1:9" hidden="1" x14ac:dyDescent="0.25">
      <c r="A1278" s="113" t="s">
        <v>3522</v>
      </c>
      <c r="B1278" s="114" t="s">
        <v>3575</v>
      </c>
      <c r="C1278" s="115" t="s">
        <v>95</v>
      </c>
      <c r="D1278" s="115">
        <v>0</v>
      </c>
      <c r="E1278" s="135">
        <f ca="1">OFFSET(INDEX(Composições!A:J,MATCH(Orçamentária!A1278,Composições!A:A,0),8),2,0)</f>
        <v>28.681236249999998</v>
      </c>
      <c r="F1278" s="136">
        <f t="shared" ca="1" si="60"/>
        <v>0</v>
      </c>
      <c r="G1278" s="137" t="e">
        <f>IF(A1278&lt;&gt;"",IF(AND(#REF!="Padrão",$H$4=#REF!),BDI!$B$17,IF(AND(#REF!="Padrão",$H$4=#REF!),BDI!#REF!,IF(AND(#REF!="Diferenciado",$H$4=#REF!),BDI!$E$17,IF(AND(#REF!="Diferenciado",$H$4=#REF!),BDI!#REF!,IF(#REF!="ZERO",0))))),"")</f>
        <v>#REF!</v>
      </c>
      <c r="H1278" s="138" t="e">
        <f t="shared" ca="1" si="61"/>
        <v>#REF!</v>
      </c>
      <c r="I1278" s="136" t="e">
        <f t="shared" ca="1" si="62"/>
        <v>#REF!</v>
      </c>
    </row>
    <row r="1279" spans="1:9" hidden="1" x14ac:dyDescent="0.25">
      <c r="A1279" s="113" t="s">
        <v>3523</v>
      </c>
      <c r="B1279" s="114" t="s">
        <v>3576</v>
      </c>
      <c r="C1279" s="115" t="s">
        <v>93</v>
      </c>
      <c r="D1279" s="115">
        <v>0</v>
      </c>
      <c r="E1279" s="135" t="s">
        <v>568</v>
      </c>
      <c r="F1279" s="136" t="str">
        <f t="shared" si="60"/>
        <v/>
      </c>
      <c r="G1279" s="137" t="e">
        <f>IF(A1279&lt;&gt;"",IF(AND(#REF!="Padrão",$H$4=#REF!),BDI!$B$17,IF(AND(#REF!="Padrão",$H$4=#REF!),BDI!#REF!,IF(AND(#REF!="Diferenciado",$H$4=#REF!),BDI!$E$17,IF(AND(#REF!="Diferenciado",$H$4=#REF!),BDI!#REF!,IF(#REF!="ZERO",0))))),"")</f>
        <v>#REF!</v>
      </c>
      <c r="H1279" s="138" t="str">
        <f t="shared" si="61"/>
        <v/>
      </c>
      <c r="I1279" s="136" t="str">
        <f t="shared" si="62"/>
        <v/>
      </c>
    </row>
    <row r="1280" spans="1:9" hidden="1" x14ac:dyDescent="0.25">
      <c r="A1280" s="113" t="s">
        <v>3524</v>
      </c>
      <c r="B1280" s="114" t="s">
        <v>3577</v>
      </c>
      <c r="C1280" s="115" t="s">
        <v>93</v>
      </c>
      <c r="D1280" s="115">
        <v>0</v>
      </c>
      <c r="E1280" s="135" t="s">
        <v>568</v>
      </c>
      <c r="F1280" s="136" t="str">
        <f t="shared" si="60"/>
        <v/>
      </c>
      <c r="G1280" s="137" t="e">
        <f>IF(A1280&lt;&gt;"",IF(AND(#REF!="Padrão",$H$4=#REF!),BDI!$B$17,IF(AND(#REF!="Padrão",$H$4=#REF!),BDI!#REF!,IF(AND(#REF!="Diferenciado",$H$4=#REF!),BDI!$E$17,IF(AND(#REF!="Diferenciado",$H$4=#REF!),BDI!#REF!,IF(#REF!="ZERO",0))))),"")</f>
        <v>#REF!</v>
      </c>
      <c r="H1280" s="138" t="str">
        <f t="shared" si="61"/>
        <v/>
      </c>
      <c r="I1280" s="136" t="str">
        <f t="shared" si="62"/>
        <v/>
      </c>
    </row>
    <row r="1281" spans="1:9" hidden="1" x14ac:dyDescent="0.25">
      <c r="A1281" s="113" t="s">
        <v>3525</v>
      </c>
      <c r="B1281" s="114" t="s">
        <v>3578</v>
      </c>
      <c r="C1281" s="115" t="s">
        <v>93</v>
      </c>
      <c r="D1281" s="115">
        <v>0</v>
      </c>
      <c r="E1281" s="135" t="s">
        <v>568</v>
      </c>
      <c r="F1281" s="136" t="str">
        <f t="shared" si="60"/>
        <v/>
      </c>
      <c r="G1281" s="137" t="e">
        <f>IF(A1281&lt;&gt;"",IF(AND(#REF!="Padrão",$H$4=#REF!),BDI!$B$17,IF(AND(#REF!="Padrão",$H$4=#REF!),BDI!#REF!,IF(AND(#REF!="Diferenciado",$H$4=#REF!),BDI!$E$17,IF(AND(#REF!="Diferenciado",$H$4=#REF!),BDI!#REF!,IF(#REF!="ZERO",0))))),"")</f>
        <v>#REF!</v>
      </c>
      <c r="H1281" s="138" t="str">
        <f t="shared" si="61"/>
        <v/>
      </c>
      <c r="I1281" s="136" t="str">
        <f t="shared" si="62"/>
        <v/>
      </c>
    </row>
    <row r="1282" spans="1:9" hidden="1" x14ac:dyDescent="0.25">
      <c r="A1282" s="113" t="s">
        <v>3526</v>
      </c>
      <c r="B1282" s="114" t="s">
        <v>3579</v>
      </c>
      <c r="C1282" s="115" t="s">
        <v>93</v>
      </c>
      <c r="D1282" s="115">
        <v>0</v>
      </c>
      <c r="E1282" s="135" t="s">
        <v>568</v>
      </c>
      <c r="F1282" s="136" t="str">
        <f t="shared" si="60"/>
        <v/>
      </c>
      <c r="G1282" s="137" t="e">
        <f>IF(A1282&lt;&gt;"",IF(AND(#REF!="Padrão",$H$4=#REF!),BDI!$B$17,IF(AND(#REF!="Padrão",$H$4=#REF!),BDI!#REF!,IF(AND(#REF!="Diferenciado",$H$4=#REF!),BDI!$E$17,IF(AND(#REF!="Diferenciado",$H$4=#REF!),BDI!#REF!,IF(#REF!="ZERO",0))))),"")</f>
        <v>#REF!</v>
      </c>
      <c r="H1282" s="138" t="str">
        <f t="shared" si="61"/>
        <v/>
      </c>
      <c r="I1282" s="136" t="str">
        <f t="shared" si="62"/>
        <v/>
      </c>
    </row>
    <row r="1283" spans="1:9" hidden="1" x14ac:dyDescent="0.25">
      <c r="A1283" s="113" t="s">
        <v>3527</v>
      </c>
      <c r="B1283" s="114" t="s">
        <v>3580</v>
      </c>
      <c r="C1283" s="115" t="s">
        <v>93</v>
      </c>
      <c r="D1283" s="115">
        <v>0</v>
      </c>
      <c r="E1283" s="135">
        <f ca="1">OFFSET(INDEX(Composições!A:J,MATCH(Orçamentária!A1283,Composições!A:A,0),8),2,0)</f>
        <v>9.6852499999999999</v>
      </c>
      <c r="F1283" s="136">
        <f t="shared" ca="1" si="60"/>
        <v>0</v>
      </c>
      <c r="G1283" s="137" t="e">
        <f>IF(A1283&lt;&gt;"",IF(AND(#REF!="Padrão",$H$4=#REF!),BDI!$B$17,IF(AND(#REF!="Padrão",$H$4=#REF!),BDI!#REF!,IF(AND(#REF!="Diferenciado",$H$4=#REF!),BDI!$E$17,IF(AND(#REF!="Diferenciado",$H$4=#REF!),BDI!#REF!,IF(#REF!="ZERO",0))))),"")</f>
        <v>#REF!</v>
      </c>
      <c r="H1283" s="138" t="e">
        <f t="shared" ca="1" si="61"/>
        <v>#REF!</v>
      </c>
      <c r="I1283" s="136" t="e">
        <f t="shared" ca="1" si="62"/>
        <v>#REF!</v>
      </c>
    </row>
    <row r="1284" spans="1:9" hidden="1" x14ac:dyDescent="0.25">
      <c r="A1284" s="113" t="s">
        <v>3528</v>
      </c>
      <c r="B1284" s="114" t="s">
        <v>3581</v>
      </c>
      <c r="C1284" s="115" t="s">
        <v>93</v>
      </c>
      <c r="D1284" s="115">
        <v>0</v>
      </c>
      <c r="E1284" s="135">
        <f ca="1">OFFSET(INDEX(Composições!A:J,MATCH(Orçamentária!A1284,Composições!A:A,0),8),2,0)</f>
        <v>26.1491775</v>
      </c>
      <c r="F1284" s="136">
        <f t="shared" ca="1" si="60"/>
        <v>0</v>
      </c>
      <c r="G1284" s="137" t="e">
        <f>IF(A1284&lt;&gt;"",IF(AND(#REF!="Padrão",$H$4=#REF!),BDI!$B$17,IF(AND(#REF!="Padrão",$H$4=#REF!),BDI!#REF!,IF(AND(#REF!="Diferenciado",$H$4=#REF!),BDI!$E$17,IF(AND(#REF!="Diferenciado",$H$4=#REF!),BDI!#REF!,IF(#REF!="ZERO",0))))),"")</f>
        <v>#REF!</v>
      </c>
      <c r="H1284" s="138" t="e">
        <f t="shared" ca="1" si="61"/>
        <v>#REF!</v>
      </c>
      <c r="I1284" s="136" t="e">
        <f t="shared" ca="1" si="62"/>
        <v>#REF!</v>
      </c>
    </row>
    <row r="1285" spans="1:9" hidden="1" x14ac:dyDescent="0.25">
      <c r="A1285" s="113" t="s">
        <v>3529</v>
      </c>
      <c r="B1285" s="114" t="s">
        <v>3582</v>
      </c>
      <c r="C1285" s="115" t="s">
        <v>93</v>
      </c>
      <c r="D1285" s="115">
        <v>0</v>
      </c>
      <c r="E1285" s="135">
        <f ca="1">OFFSET(INDEX(Composições!A:J,MATCH(Orçamentária!A1285,Composições!A:A,0),8),2,0)</f>
        <v>36.431037000000003</v>
      </c>
      <c r="F1285" s="136">
        <f t="shared" ca="1" si="60"/>
        <v>0</v>
      </c>
      <c r="G1285" s="137" t="e">
        <f>IF(A1285&lt;&gt;"",IF(AND(#REF!="Padrão",$H$4=#REF!),BDI!$B$17,IF(AND(#REF!="Padrão",$H$4=#REF!),BDI!#REF!,IF(AND(#REF!="Diferenciado",$H$4=#REF!),BDI!$E$17,IF(AND(#REF!="Diferenciado",$H$4=#REF!),BDI!#REF!,IF(#REF!="ZERO",0))))),"")</f>
        <v>#REF!</v>
      </c>
      <c r="H1285" s="138" t="e">
        <f t="shared" ca="1" si="61"/>
        <v>#REF!</v>
      </c>
      <c r="I1285" s="136" t="e">
        <f t="shared" ca="1" si="62"/>
        <v>#REF!</v>
      </c>
    </row>
    <row r="1286" spans="1:9" hidden="1" x14ac:dyDescent="0.25">
      <c r="A1286" s="113" t="s">
        <v>3530</v>
      </c>
      <c r="B1286" s="114" t="s">
        <v>3583</v>
      </c>
      <c r="C1286" s="115" t="s">
        <v>20</v>
      </c>
      <c r="D1286" s="115">
        <v>0</v>
      </c>
      <c r="E1286" s="135">
        <f ca="1">OFFSET(INDEX(Composições!A:J,MATCH(Orçamentária!A1286,Composições!A:A,0),8),2,0)</f>
        <v>43.007305599999995</v>
      </c>
      <c r="F1286" s="136">
        <f t="shared" ca="1" si="60"/>
        <v>0</v>
      </c>
      <c r="G1286" s="137" t="e">
        <f>IF(A1286&lt;&gt;"",IF(AND(#REF!="Padrão",$H$4=#REF!),BDI!$B$17,IF(AND(#REF!="Padrão",$H$4=#REF!),BDI!#REF!,IF(AND(#REF!="Diferenciado",$H$4=#REF!),BDI!$E$17,IF(AND(#REF!="Diferenciado",$H$4=#REF!),BDI!#REF!,IF(#REF!="ZERO",0))))),"")</f>
        <v>#REF!</v>
      </c>
      <c r="H1286" s="138" t="e">
        <f t="shared" ca="1" si="61"/>
        <v>#REF!</v>
      </c>
      <c r="I1286" s="136" t="e">
        <f t="shared" ca="1" si="62"/>
        <v>#REF!</v>
      </c>
    </row>
    <row r="1287" spans="1:9" hidden="1" x14ac:dyDescent="0.25">
      <c r="A1287" s="113" t="s">
        <v>3531</v>
      </c>
      <c r="B1287" s="114" t="s">
        <v>3584</v>
      </c>
      <c r="C1287" s="115" t="s">
        <v>20</v>
      </c>
      <c r="D1287" s="115">
        <v>0</v>
      </c>
      <c r="E1287" s="135">
        <f ca="1">OFFSET(INDEX(Composições!A:J,MATCH(Orçamentária!A1287,Composições!A:A,0),8),2,0)</f>
        <v>19.384913400000002</v>
      </c>
      <c r="F1287" s="136">
        <f t="shared" ca="1" si="60"/>
        <v>0</v>
      </c>
      <c r="G1287" s="137" t="e">
        <f>IF(A1287&lt;&gt;"",IF(AND(#REF!="Padrão",$H$4=#REF!),BDI!$B$17,IF(AND(#REF!="Padrão",$H$4=#REF!),BDI!#REF!,IF(AND(#REF!="Diferenciado",$H$4=#REF!),BDI!$E$17,IF(AND(#REF!="Diferenciado",$H$4=#REF!),BDI!#REF!,IF(#REF!="ZERO",0))))),"")</f>
        <v>#REF!</v>
      </c>
      <c r="H1287" s="138" t="e">
        <f t="shared" ca="1" si="61"/>
        <v>#REF!</v>
      </c>
      <c r="I1287" s="136" t="e">
        <f t="shared" ca="1" si="62"/>
        <v>#REF!</v>
      </c>
    </row>
    <row r="1288" spans="1:9" hidden="1" x14ac:dyDescent="0.25">
      <c r="A1288" s="113" t="s">
        <v>3532</v>
      </c>
      <c r="B1288" s="114" t="s">
        <v>3585</v>
      </c>
      <c r="C1288" s="115" t="s">
        <v>20</v>
      </c>
      <c r="D1288" s="115">
        <v>0</v>
      </c>
      <c r="E1288" s="135">
        <f ca="1">OFFSET(INDEX(Composições!A:J,MATCH(Orçamentária!A1288,Composições!A:A,0),8),2,0)</f>
        <v>12.03138045</v>
      </c>
      <c r="F1288" s="136">
        <f t="shared" ca="1" si="60"/>
        <v>0</v>
      </c>
      <c r="G1288" s="137" t="e">
        <f>IF(A1288&lt;&gt;"",IF(AND(#REF!="Padrão",$H$4=#REF!),BDI!$B$17,IF(AND(#REF!="Padrão",$H$4=#REF!),BDI!#REF!,IF(AND(#REF!="Diferenciado",$H$4=#REF!),BDI!$E$17,IF(AND(#REF!="Diferenciado",$H$4=#REF!),BDI!#REF!,IF(#REF!="ZERO",0))))),"")</f>
        <v>#REF!</v>
      </c>
      <c r="H1288" s="138" t="e">
        <f t="shared" ca="1" si="61"/>
        <v>#REF!</v>
      </c>
      <c r="I1288" s="136" t="e">
        <f t="shared" ca="1" si="62"/>
        <v>#REF!</v>
      </c>
    </row>
    <row r="1289" spans="1:9" hidden="1" x14ac:dyDescent="0.25">
      <c r="A1289" s="113" t="s">
        <v>3533</v>
      </c>
      <c r="B1289" s="114" t="s">
        <v>3586</v>
      </c>
      <c r="C1289" s="115" t="s">
        <v>20</v>
      </c>
      <c r="D1289" s="115">
        <v>0</v>
      </c>
      <c r="E1289" s="135">
        <f ca="1">OFFSET(INDEX(Composições!A:J,MATCH(Orçamentária!A1289,Composições!A:A,0),8),2,0)</f>
        <v>233.76460000000003</v>
      </c>
      <c r="F1289" s="136">
        <f t="shared" ca="1" si="60"/>
        <v>0</v>
      </c>
      <c r="G1289" s="137" t="e">
        <f>IF(A1289&lt;&gt;"",IF(AND(#REF!="Padrão",$H$4=#REF!),BDI!$B$17,IF(AND(#REF!="Padrão",$H$4=#REF!),BDI!#REF!,IF(AND(#REF!="Diferenciado",$H$4=#REF!),BDI!$E$17,IF(AND(#REF!="Diferenciado",$H$4=#REF!),BDI!#REF!,IF(#REF!="ZERO",0))))),"")</f>
        <v>#REF!</v>
      </c>
      <c r="H1289" s="138" t="e">
        <f t="shared" ca="1" si="61"/>
        <v>#REF!</v>
      </c>
      <c r="I1289" s="136" t="e">
        <f t="shared" ca="1" si="62"/>
        <v>#REF!</v>
      </c>
    </row>
    <row r="1290" spans="1:9" hidden="1" x14ac:dyDescent="0.25">
      <c r="A1290" s="113" t="s">
        <v>3534</v>
      </c>
      <c r="B1290" s="114" t="s">
        <v>3587</v>
      </c>
      <c r="C1290" s="115" t="s">
        <v>20</v>
      </c>
      <c r="D1290" s="115">
        <v>0</v>
      </c>
      <c r="E1290" s="135">
        <f ca="1">OFFSET(INDEX(Composições!A:J,MATCH(Orçamentária!A1290,Composições!A:A,0),8),2,0)</f>
        <v>16.9208414</v>
      </c>
      <c r="F1290" s="136">
        <f t="shared" ca="1" si="60"/>
        <v>0</v>
      </c>
      <c r="G1290" s="137" t="e">
        <f>IF(A1290&lt;&gt;"",IF(AND(#REF!="Padrão",$H$4=#REF!),BDI!$B$17,IF(AND(#REF!="Padrão",$H$4=#REF!),BDI!#REF!,IF(AND(#REF!="Diferenciado",$H$4=#REF!),BDI!$E$17,IF(AND(#REF!="Diferenciado",$H$4=#REF!),BDI!#REF!,IF(#REF!="ZERO",0))))),"")</f>
        <v>#REF!</v>
      </c>
      <c r="H1290" s="138" t="e">
        <f t="shared" ca="1" si="61"/>
        <v>#REF!</v>
      </c>
      <c r="I1290" s="136" t="e">
        <f t="shared" ca="1" si="62"/>
        <v>#REF!</v>
      </c>
    </row>
    <row r="1291" spans="1:9" hidden="1" x14ac:dyDescent="0.25">
      <c r="A1291" s="113" t="s">
        <v>3535</v>
      </c>
      <c r="B1291" s="114" t="s">
        <v>3588</v>
      </c>
      <c r="C1291" s="115" t="s">
        <v>20</v>
      </c>
      <c r="D1291" s="115">
        <v>0</v>
      </c>
      <c r="E1291" s="135">
        <f ca="1">OFFSET(INDEX(Composições!A:J,MATCH(Orçamentária!A1291,Composições!A:A,0),8),2,0)</f>
        <v>8.4615018000000006</v>
      </c>
      <c r="F1291" s="136">
        <f t="shared" ca="1" si="60"/>
        <v>0</v>
      </c>
      <c r="G1291" s="137" t="e">
        <f>IF(A1291&lt;&gt;"",IF(AND(#REF!="Padrão",$H$4=#REF!),BDI!$B$17,IF(AND(#REF!="Padrão",$H$4=#REF!),BDI!#REF!,IF(AND(#REF!="Diferenciado",$H$4=#REF!),BDI!$E$17,IF(AND(#REF!="Diferenciado",$H$4=#REF!),BDI!#REF!,IF(#REF!="ZERO",0))))),"")</f>
        <v>#REF!</v>
      </c>
      <c r="H1291" s="138" t="e">
        <f t="shared" ca="1" si="61"/>
        <v>#REF!</v>
      </c>
      <c r="I1291" s="136" t="e">
        <f t="shared" ca="1" si="62"/>
        <v>#REF!</v>
      </c>
    </row>
    <row r="1292" spans="1:9" hidden="1" x14ac:dyDescent="0.25">
      <c r="A1292" s="113" t="s">
        <v>3536</v>
      </c>
      <c r="B1292" s="114" t="s">
        <v>3589</v>
      </c>
      <c r="C1292" s="115" t="s">
        <v>20</v>
      </c>
      <c r="D1292" s="115">
        <v>0</v>
      </c>
      <c r="E1292" s="135">
        <f ca="1">OFFSET(INDEX(Composições!A:J,MATCH(Orçamentária!A1292,Composições!A:A,0),8),2,0)</f>
        <v>13.911534</v>
      </c>
      <c r="F1292" s="136">
        <f t="shared" ref="F1292:F1296" ca="1" si="63">IF(ISNUMBER(E1292),D1292*E1292,"")</f>
        <v>0</v>
      </c>
      <c r="G1292" s="137" t="e">
        <f>IF(A1292&lt;&gt;"",IF(AND(#REF!="Padrão",$H$4=#REF!),BDI!$B$17,IF(AND(#REF!="Padrão",$H$4=#REF!),BDI!#REF!,IF(AND(#REF!="Diferenciado",$H$4=#REF!),BDI!$E$17,IF(AND(#REF!="Diferenciado",$H$4=#REF!),BDI!#REF!,IF(#REF!="ZERO",0))))),"")</f>
        <v>#REF!</v>
      </c>
      <c r="H1292" s="138" t="e">
        <f t="shared" ref="H1292:H1296" ca="1" si="64">IF(ISNUMBER(E1292),ROUND(E1292*(1+G1292),2),"")</f>
        <v>#REF!</v>
      </c>
      <c r="I1292" s="136" t="e">
        <f t="shared" ref="I1292:I1296" ca="1" si="65">IF(ISNUMBER(E1292),ROUND(H1292*D1292,2),"")</f>
        <v>#REF!</v>
      </c>
    </row>
    <row r="1293" spans="1:9" hidden="1" x14ac:dyDescent="0.25">
      <c r="A1293" s="113" t="s">
        <v>3537</v>
      </c>
      <c r="B1293" s="114" t="s">
        <v>3590</v>
      </c>
      <c r="C1293" s="115" t="s">
        <v>20</v>
      </c>
      <c r="D1293" s="115">
        <v>0</v>
      </c>
      <c r="E1293" s="135">
        <f ca="1">OFFSET(INDEX(Composições!A:J,MATCH(Orçamentária!A1293,Composições!A:A,0),8),2,0)</f>
        <v>13.667650000000002</v>
      </c>
      <c r="F1293" s="136">
        <f t="shared" ca="1" si="63"/>
        <v>0</v>
      </c>
      <c r="G1293" s="137" t="e">
        <f>IF(A1293&lt;&gt;"",IF(AND(#REF!="Padrão",$H$4=#REF!),BDI!$B$17,IF(AND(#REF!="Padrão",$H$4=#REF!),BDI!#REF!,IF(AND(#REF!="Diferenciado",$H$4=#REF!),BDI!$E$17,IF(AND(#REF!="Diferenciado",$H$4=#REF!),BDI!#REF!,IF(#REF!="ZERO",0))))),"")</f>
        <v>#REF!</v>
      </c>
      <c r="H1293" s="138" t="e">
        <f t="shared" ca="1" si="64"/>
        <v>#REF!</v>
      </c>
      <c r="I1293" s="136" t="e">
        <f t="shared" ca="1" si="65"/>
        <v>#REF!</v>
      </c>
    </row>
    <row r="1294" spans="1:9" hidden="1" x14ac:dyDescent="0.25">
      <c r="A1294" s="113" t="s">
        <v>3538</v>
      </c>
      <c r="B1294" s="114" t="s">
        <v>3591</v>
      </c>
      <c r="C1294" s="115" t="s">
        <v>20</v>
      </c>
      <c r="D1294" s="115">
        <v>0</v>
      </c>
      <c r="E1294" s="135">
        <f ca="1">OFFSET(INDEX(Composições!A:J,MATCH(Orçamentária!A1294,Composições!A:A,0),8),2,0)</f>
        <v>99.826573800000006</v>
      </c>
      <c r="F1294" s="136">
        <f t="shared" ca="1" si="63"/>
        <v>0</v>
      </c>
      <c r="G1294" s="137" t="e">
        <f>IF(A1294&lt;&gt;"",IF(AND(#REF!="Padrão",$H$4=#REF!),BDI!$B$17,IF(AND(#REF!="Padrão",$H$4=#REF!),BDI!#REF!,IF(AND(#REF!="Diferenciado",$H$4=#REF!),BDI!$E$17,IF(AND(#REF!="Diferenciado",$H$4=#REF!),BDI!#REF!,IF(#REF!="ZERO",0))))),"")</f>
        <v>#REF!</v>
      </c>
      <c r="H1294" s="138" t="e">
        <f t="shared" ca="1" si="64"/>
        <v>#REF!</v>
      </c>
      <c r="I1294" s="136" t="e">
        <f t="shared" ca="1" si="65"/>
        <v>#REF!</v>
      </c>
    </row>
    <row r="1295" spans="1:9" hidden="1" x14ac:dyDescent="0.25">
      <c r="A1295" s="113" t="s">
        <v>3539</v>
      </c>
      <c r="B1295" s="114" t="s">
        <v>3592</v>
      </c>
      <c r="C1295" s="115" t="s">
        <v>20</v>
      </c>
      <c r="D1295" s="115">
        <v>0</v>
      </c>
      <c r="E1295" s="135" t="s">
        <v>568</v>
      </c>
      <c r="F1295" s="136" t="str">
        <f t="shared" si="63"/>
        <v/>
      </c>
      <c r="G1295" s="137" t="e">
        <f>IF(A1295&lt;&gt;"",IF(AND(#REF!="Padrão",$H$4=#REF!),BDI!$B$17,IF(AND(#REF!="Padrão",$H$4=#REF!),BDI!#REF!,IF(AND(#REF!="Diferenciado",$H$4=#REF!),BDI!$E$17,IF(AND(#REF!="Diferenciado",$H$4=#REF!),BDI!#REF!,IF(#REF!="ZERO",0))))),"")</f>
        <v>#REF!</v>
      </c>
      <c r="H1295" s="138" t="str">
        <f t="shared" si="64"/>
        <v/>
      </c>
      <c r="I1295" s="136" t="str">
        <f t="shared" si="65"/>
        <v/>
      </c>
    </row>
    <row r="1296" spans="1:9" hidden="1" x14ac:dyDescent="0.25">
      <c r="A1296" s="113" t="s">
        <v>3540</v>
      </c>
      <c r="B1296" s="114" t="s">
        <v>3772</v>
      </c>
      <c r="C1296" s="115" t="s">
        <v>95</v>
      </c>
      <c r="D1296" s="115">
        <v>0</v>
      </c>
      <c r="E1296" s="135" t="s">
        <v>568</v>
      </c>
      <c r="F1296" s="136" t="str">
        <f t="shared" si="63"/>
        <v/>
      </c>
      <c r="G1296" s="137" t="e">
        <f>IF(A1296&lt;&gt;"",IF(AND(#REF!="Padrão",$H$4=#REF!),BDI!$B$17,IF(AND(#REF!="Padrão",$H$4=#REF!),BDI!#REF!,IF(AND(#REF!="Diferenciado",$H$4=#REF!),BDI!$E$17,IF(AND(#REF!="Diferenciado",$H$4=#REF!),BDI!#REF!,IF(#REF!="ZERO",0))))),"")</f>
        <v>#REF!</v>
      </c>
      <c r="H1296" s="138" t="str">
        <f t="shared" si="64"/>
        <v/>
      </c>
      <c r="I1296" s="136" t="str">
        <f t="shared" si="65"/>
        <v/>
      </c>
    </row>
    <row r="1297" spans="1:9" hidden="1" x14ac:dyDescent="0.25">
      <c r="A1297" s="113" t="s">
        <v>3596</v>
      </c>
      <c r="B1297" s="114" t="s">
        <v>3593</v>
      </c>
      <c r="C1297" s="115" t="s">
        <v>20</v>
      </c>
      <c r="D1297" s="115">
        <v>0</v>
      </c>
      <c r="E1297" s="135" t="s">
        <v>568</v>
      </c>
      <c r="F1297" s="136" t="str">
        <f t="shared" ref="F1297:F1299" si="66">IF(ISNUMBER(E1297),D1297*E1297,"")</f>
        <v/>
      </c>
      <c r="G1297" s="137" t="e">
        <f>IF(A1297&lt;&gt;"",IF(AND(#REF!="Padrão",$H$4=#REF!),BDI!$B$17,IF(AND(#REF!="Padrão",$H$4=#REF!),BDI!#REF!,IF(AND(#REF!="Diferenciado",$H$4=#REF!),BDI!$E$17,IF(AND(#REF!="Diferenciado",$H$4=#REF!),BDI!#REF!,IF(#REF!="ZERO",0))))),"")</f>
        <v>#REF!</v>
      </c>
      <c r="H1297" s="138" t="str">
        <f t="shared" ref="H1297:H1299" si="67">IF(ISNUMBER(E1297),ROUND(E1297*(1+G1297),2),"")</f>
        <v/>
      </c>
      <c r="I1297" s="136" t="str">
        <f t="shared" ref="I1297:I1299" si="68">IF(ISNUMBER(E1297),ROUND(H1297*D1297,2),"")</f>
        <v/>
      </c>
    </row>
    <row r="1298" spans="1:9" hidden="1" x14ac:dyDescent="0.25">
      <c r="A1298" s="113" t="s">
        <v>3597</v>
      </c>
      <c r="B1298" s="114" t="s">
        <v>3594</v>
      </c>
      <c r="C1298" s="115" t="s">
        <v>20</v>
      </c>
      <c r="D1298" s="115">
        <v>0</v>
      </c>
      <c r="E1298" s="135" t="s">
        <v>568</v>
      </c>
      <c r="F1298" s="136" t="str">
        <f t="shared" si="66"/>
        <v/>
      </c>
      <c r="G1298" s="137" t="e">
        <f>IF(A1298&lt;&gt;"",IF(AND(#REF!="Padrão",$H$4=#REF!),BDI!$B$17,IF(AND(#REF!="Padrão",$H$4=#REF!),BDI!#REF!,IF(AND(#REF!="Diferenciado",$H$4=#REF!),BDI!$E$17,IF(AND(#REF!="Diferenciado",$H$4=#REF!),BDI!#REF!,IF(#REF!="ZERO",0))))),"")</f>
        <v>#REF!</v>
      </c>
      <c r="H1298" s="138" t="str">
        <f t="shared" si="67"/>
        <v/>
      </c>
      <c r="I1298" s="136" t="str">
        <f t="shared" si="68"/>
        <v/>
      </c>
    </row>
    <row r="1299" spans="1:9" hidden="1" x14ac:dyDescent="0.25">
      <c r="A1299" s="113" t="s">
        <v>3598</v>
      </c>
      <c r="B1299" s="114" t="s">
        <v>3595</v>
      </c>
      <c r="C1299" s="115" t="s">
        <v>20</v>
      </c>
      <c r="D1299" s="115">
        <v>0</v>
      </c>
      <c r="E1299" s="135" t="s">
        <v>568</v>
      </c>
      <c r="F1299" s="136" t="str">
        <f t="shared" si="66"/>
        <v/>
      </c>
      <c r="G1299" s="137" t="e">
        <f>IF(A1299&lt;&gt;"",IF(AND(#REF!="Padrão",$H$4=#REF!),BDI!$B$17,IF(AND(#REF!="Padrão",$H$4=#REF!),BDI!#REF!,IF(AND(#REF!="Diferenciado",$H$4=#REF!),BDI!$E$17,IF(AND(#REF!="Diferenciado",$H$4=#REF!),BDI!#REF!,IF(#REF!="ZERO",0))))),"")</f>
        <v>#REF!</v>
      </c>
      <c r="H1299" s="138" t="str">
        <f t="shared" si="67"/>
        <v/>
      </c>
      <c r="I1299" s="136" t="str">
        <f t="shared" si="68"/>
        <v/>
      </c>
    </row>
    <row r="1300" spans="1:9" hidden="1" x14ac:dyDescent="0.25">
      <c r="A1300" s="113" t="s">
        <v>3664</v>
      </c>
      <c r="B1300" s="114" t="s">
        <v>3665</v>
      </c>
      <c r="C1300" s="115" t="s">
        <v>95</v>
      </c>
      <c r="D1300" s="115">
        <v>0</v>
      </c>
      <c r="E1300" s="135">
        <f ca="1">OFFSET(INDEX(Composições!A:J,MATCH(Orçamentária!A1300,Composições!A:A,0),8),2,0)</f>
        <v>163.25716664047619</v>
      </c>
      <c r="F1300" s="136">
        <f t="shared" ref="F1300:F1343" ca="1" si="69">IF(ISNUMBER(E1300),D1300*E1300,"")</f>
        <v>0</v>
      </c>
      <c r="G1300" s="137" t="e">
        <f>IF(A1300&lt;&gt;"",IF(AND(#REF!="Padrão",$H$4=#REF!),BDI!$B$17,IF(AND(#REF!="Padrão",$H$4=#REF!),BDI!#REF!,IF(AND(#REF!="Diferenciado",$H$4=#REF!),BDI!$E$17,IF(AND(#REF!="Diferenciado",$H$4=#REF!),BDI!#REF!,IF(#REF!="ZERO",0))))),"")</f>
        <v>#REF!</v>
      </c>
      <c r="H1300" s="138" t="e">
        <f t="shared" ref="H1300:H1343" ca="1" si="70">IF(ISNUMBER(E1300),ROUND(E1300*(1+G1300),2),"")</f>
        <v>#REF!</v>
      </c>
      <c r="I1300" s="136" t="e">
        <f t="shared" ref="I1300:I1343" ca="1" si="71">IF(ISNUMBER(E1300),ROUND(H1300*D1300,2),"")</f>
        <v>#REF!</v>
      </c>
    </row>
    <row r="1301" spans="1:9" hidden="1" x14ac:dyDescent="0.25">
      <c r="A1301" s="113" t="s">
        <v>3666</v>
      </c>
      <c r="B1301" s="114" t="s">
        <v>3667</v>
      </c>
      <c r="C1301" s="115" t="s">
        <v>95</v>
      </c>
      <c r="D1301" s="115">
        <v>0</v>
      </c>
      <c r="E1301" s="135">
        <f ca="1">OFFSET(INDEX(Composições!A:J,MATCH(Orçamentária!A1301,Composições!A:A,0),8),2,0)</f>
        <v>179.77383711666667</v>
      </c>
      <c r="F1301" s="136">
        <f t="shared" ca="1" si="69"/>
        <v>0</v>
      </c>
      <c r="G1301" s="137" t="e">
        <f>IF(A1301&lt;&gt;"",IF(AND(#REF!="Padrão",$H$4=#REF!),BDI!$B$17,IF(AND(#REF!="Padrão",$H$4=#REF!),BDI!#REF!,IF(AND(#REF!="Diferenciado",$H$4=#REF!),BDI!$E$17,IF(AND(#REF!="Diferenciado",$H$4=#REF!),BDI!#REF!,IF(#REF!="ZERO",0))))),"")</f>
        <v>#REF!</v>
      </c>
      <c r="H1301" s="138" t="e">
        <f t="shared" ca="1" si="70"/>
        <v>#REF!</v>
      </c>
      <c r="I1301" s="136" t="e">
        <f t="shared" ca="1" si="71"/>
        <v>#REF!</v>
      </c>
    </row>
    <row r="1302" spans="1:9" ht="25.5" hidden="1" x14ac:dyDescent="0.25">
      <c r="A1302" s="113" t="s">
        <v>3668</v>
      </c>
      <c r="B1302" s="114" t="s">
        <v>3669</v>
      </c>
      <c r="C1302" s="115" t="s">
        <v>20</v>
      </c>
      <c r="D1302" s="115">
        <v>0</v>
      </c>
      <c r="E1302" s="135" t="s">
        <v>568</v>
      </c>
      <c r="F1302" s="136" t="str">
        <f t="shared" si="69"/>
        <v/>
      </c>
      <c r="G1302" s="137" t="e">
        <f>IF(A1302&lt;&gt;"",IF(AND(#REF!="Padrão",$H$4=#REF!),BDI!$B$17,IF(AND(#REF!="Padrão",$H$4=#REF!),BDI!#REF!,IF(AND(#REF!="Diferenciado",$H$4=#REF!),BDI!$E$17,IF(AND(#REF!="Diferenciado",$H$4=#REF!),BDI!#REF!,IF(#REF!="ZERO",0))))),"")</f>
        <v>#REF!</v>
      </c>
      <c r="H1302" s="138" t="str">
        <f t="shared" si="70"/>
        <v/>
      </c>
      <c r="I1302" s="136" t="str">
        <f t="shared" si="71"/>
        <v/>
      </c>
    </row>
    <row r="1303" spans="1:9" ht="25.5" hidden="1" x14ac:dyDescent="0.25">
      <c r="A1303" s="113" t="s">
        <v>3670</v>
      </c>
      <c r="B1303" s="114" t="s">
        <v>3671</v>
      </c>
      <c r="C1303" s="115" t="s">
        <v>20</v>
      </c>
      <c r="D1303" s="115">
        <v>0</v>
      </c>
      <c r="E1303" s="135" t="s">
        <v>568</v>
      </c>
      <c r="F1303" s="136" t="str">
        <f t="shared" si="69"/>
        <v/>
      </c>
      <c r="G1303" s="137" t="e">
        <f>IF(A1303&lt;&gt;"",IF(AND(#REF!="Padrão",$H$4=#REF!),BDI!$B$17,IF(AND(#REF!="Padrão",$H$4=#REF!),BDI!#REF!,IF(AND(#REF!="Diferenciado",$H$4=#REF!),BDI!$E$17,IF(AND(#REF!="Diferenciado",$H$4=#REF!),BDI!#REF!,IF(#REF!="ZERO",0))))),"")</f>
        <v>#REF!</v>
      </c>
      <c r="H1303" s="138" t="str">
        <f t="shared" si="70"/>
        <v/>
      </c>
      <c r="I1303" s="136" t="str">
        <f t="shared" si="71"/>
        <v/>
      </c>
    </row>
    <row r="1304" spans="1:9" ht="25.5" hidden="1" x14ac:dyDescent="0.25">
      <c r="A1304" s="113" t="s">
        <v>3672</v>
      </c>
      <c r="B1304" s="114" t="s">
        <v>3673</v>
      </c>
      <c r="C1304" s="115" t="s">
        <v>20</v>
      </c>
      <c r="D1304" s="115">
        <v>0</v>
      </c>
      <c r="E1304" s="135" t="s">
        <v>568</v>
      </c>
      <c r="F1304" s="136" t="str">
        <f t="shared" si="69"/>
        <v/>
      </c>
      <c r="G1304" s="137" t="e">
        <f>IF(A1304&lt;&gt;"",IF(AND(#REF!="Padrão",$H$4=#REF!),BDI!$B$17,IF(AND(#REF!="Padrão",$H$4=#REF!),BDI!#REF!,IF(AND(#REF!="Diferenciado",$H$4=#REF!),BDI!$E$17,IF(AND(#REF!="Diferenciado",$H$4=#REF!),BDI!#REF!,IF(#REF!="ZERO",0))))),"")</f>
        <v>#REF!</v>
      </c>
      <c r="H1304" s="138" t="str">
        <f t="shared" si="70"/>
        <v/>
      </c>
      <c r="I1304" s="136" t="str">
        <f t="shared" si="71"/>
        <v/>
      </c>
    </row>
    <row r="1305" spans="1:9" ht="25.5" hidden="1" x14ac:dyDescent="0.25">
      <c r="A1305" s="113" t="s">
        <v>3674</v>
      </c>
      <c r="B1305" s="114" t="s">
        <v>3675</v>
      </c>
      <c r="C1305" s="115" t="s">
        <v>20</v>
      </c>
      <c r="D1305" s="115">
        <v>0</v>
      </c>
      <c r="E1305" s="135" t="s">
        <v>568</v>
      </c>
      <c r="F1305" s="136" t="str">
        <f t="shared" si="69"/>
        <v/>
      </c>
      <c r="G1305" s="137" t="e">
        <f>IF(A1305&lt;&gt;"",IF(AND(#REF!="Padrão",$H$4=#REF!),BDI!$B$17,IF(AND(#REF!="Padrão",$H$4=#REF!),BDI!#REF!,IF(AND(#REF!="Diferenciado",$H$4=#REF!),BDI!$E$17,IF(AND(#REF!="Diferenciado",$H$4=#REF!),BDI!#REF!,IF(#REF!="ZERO",0))))),"")</f>
        <v>#REF!</v>
      </c>
      <c r="H1305" s="138" t="str">
        <f t="shared" si="70"/>
        <v/>
      </c>
      <c r="I1305" s="136" t="str">
        <f t="shared" si="71"/>
        <v/>
      </c>
    </row>
    <row r="1306" spans="1:9" ht="38.25" hidden="1" x14ac:dyDescent="0.25">
      <c r="A1306" s="113" t="s">
        <v>3676</v>
      </c>
      <c r="B1306" s="114" t="s">
        <v>3677</v>
      </c>
      <c r="C1306" s="115" t="s">
        <v>20</v>
      </c>
      <c r="D1306" s="115">
        <v>0</v>
      </c>
      <c r="E1306" s="135" t="s">
        <v>568</v>
      </c>
      <c r="F1306" s="136" t="str">
        <f t="shared" si="69"/>
        <v/>
      </c>
      <c r="G1306" s="137" t="e">
        <f>IF(A1306&lt;&gt;"",IF(AND(#REF!="Padrão",$H$4=#REF!),BDI!$B$17,IF(AND(#REF!="Padrão",$H$4=#REF!),BDI!#REF!,IF(AND(#REF!="Diferenciado",$H$4=#REF!),BDI!$E$17,IF(AND(#REF!="Diferenciado",$H$4=#REF!),BDI!#REF!,IF(#REF!="ZERO",0))))),"")</f>
        <v>#REF!</v>
      </c>
      <c r="H1306" s="138" t="str">
        <f t="shared" si="70"/>
        <v/>
      </c>
      <c r="I1306" s="136" t="str">
        <f t="shared" si="71"/>
        <v/>
      </c>
    </row>
    <row r="1307" spans="1:9" ht="25.5" hidden="1" x14ac:dyDescent="0.25">
      <c r="A1307" s="113" t="s">
        <v>3678</v>
      </c>
      <c r="B1307" s="114" t="s">
        <v>3679</v>
      </c>
      <c r="C1307" s="115" t="s">
        <v>20</v>
      </c>
      <c r="D1307" s="115">
        <v>0</v>
      </c>
      <c r="E1307" s="135" t="s">
        <v>568</v>
      </c>
      <c r="F1307" s="136" t="str">
        <f t="shared" si="69"/>
        <v/>
      </c>
      <c r="G1307" s="137" t="e">
        <f>IF(A1307&lt;&gt;"",IF(AND(#REF!="Padrão",$H$4=#REF!),BDI!$B$17,IF(AND(#REF!="Padrão",$H$4=#REF!),BDI!#REF!,IF(AND(#REF!="Diferenciado",$H$4=#REF!),BDI!$E$17,IF(AND(#REF!="Diferenciado",$H$4=#REF!),BDI!#REF!,IF(#REF!="ZERO",0))))),"")</f>
        <v>#REF!</v>
      </c>
      <c r="H1307" s="138" t="str">
        <f t="shared" si="70"/>
        <v/>
      </c>
      <c r="I1307" s="136" t="str">
        <f t="shared" si="71"/>
        <v/>
      </c>
    </row>
    <row r="1308" spans="1:9" ht="25.5" hidden="1" x14ac:dyDescent="0.25">
      <c r="A1308" s="113" t="s">
        <v>3680</v>
      </c>
      <c r="B1308" s="114" t="s">
        <v>3681</v>
      </c>
      <c r="C1308" s="115" t="s">
        <v>20</v>
      </c>
      <c r="D1308" s="115">
        <v>0</v>
      </c>
      <c r="E1308" s="135" t="s">
        <v>568</v>
      </c>
      <c r="F1308" s="136" t="str">
        <f t="shared" si="69"/>
        <v/>
      </c>
      <c r="G1308" s="137" t="e">
        <f>IF(A1308&lt;&gt;"",IF(AND(#REF!="Padrão",$H$4=#REF!),BDI!$B$17,IF(AND(#REF!="Padrão",$H$4=#REF!),BDI!#REF!,IF(AND(#REF!="Diferenciado",$H$4=#REF!),BDI!$E$17,IF(AND(#REF!="Diferenciado",$H$4=#REF!),BDI!#REF!,IF(#REF!="ZERO",0))))),"")</f>
        <v>#REF!</v>
      </c>
      <c r="H1308" s="138" t="str">
        <f t="shared" si="70"/>
        <v/>
      </c>
      <c r="I1308" s="136" t="str">
        <f t="shared" si="71"/>
        <v/>
      </c>
    </row>
    <row r="1309" spans="1:9" ht="38.25" hidden="1" x14ac:dyDescent="0.25">
      <c r="A1309" s="113" t="s">
        <v>3682</v>
      </c>
      <c r="B1309" s="114" t="s">
        <v>3683</v>
      </c>
      <c r="C1309" s="115" t="s">
        <v>20</v>
      </c>
      <c r="D1309" s="115">
        <v>0</v>
      </c>
      <c r="E1309" s="135" t="s">
        <v>568</v>
      </c>
      <c r="F1309" s="136" t="str">
        <f t="shared" si="69"/>
        <v/>
      </c>
      <c r="G1309" s="137" t="e">
        <f>IF(A1309&lt;&gt;"",IF(AND(#REF!="Padrão",$H$4=#REF!),BDI!$B$17,IF(AND(#REF!="Padrão",$H$4=#REF!),BDI!#REF!,IF(AND(#REF!="Diferenciado",$H$4=#REF!),BDI!$E$17,IF(AND(#REF!="Diferenciado",$H$4=#REF!),BDI!#REF!,IF(#REF!="ZERO",0))))),"")</f>
        <v>#REF!</v>
      </c>
      <c r="H1309" s="138" t="str">
        <f t="shared" si="70"/>
        <v/>
      </c>
      <c r="I1309" s="136" t="str">
        <f t="shared" si="71"/>
        <v/>
      </c>
    </row>
    <row r="1310" spans="1:9" ht="38.25" hidden="1" x14ac:dyDescent="0.25">
      <c r="A1310" s="113" t="s">
        <v>3684</v>
      </c>
      <c r="B1310" s="114" t="s">
        <v>3685</v>
      </c>
      <c r="C1310" s="115" t="s">
        <v>20</v>
      </c>
      <c r="D1310" s="115">
        <v>0</v>
      </c>
      <c r="E1310" s="135" t="s">
        <v>568</v>
      </c>
      <c r="F1310" s="136" t="str">
        <f t="shared" si="69"/>
        <v/>
      </c>
      <c r="G1310" s="137" t="e">
        <f>IF(A1310&lt;&gt;"",IF(AND(#REF!="Padrão",$H$4=#REF!),BDI!$B$17,IF(AND(#REF!="Padrão",$H$4=#REF!),BDI!#REF!,IF(AND(#REF!="Diferenciado",$H$4=#REF!),BDI!$E$17,IF(AND(#REF!="Diferenciado",$H$4=#REF!),BDI!#REF!,IF(#REF!="ZERO",0))))),"")</f>
        <v>#REF!</v>
      </c>
      <c r="H1310" s="138" t="str">
        <f t="shared" si="70"/>
        <v/>
      </c>
      <c r="I1310" s="136" t="str">
        <f t="shared" si="71"/>
        <v/>
      </c>
    </row>
    <row r="1311" spans="1:9" ht="25.5" hidden="1" x14ac:dyDescent="0.25">
      <c r="A1311" s="113" t="s">
        <v>3686</v>
      </c>
      <c r="B1311" s="114" t="s">
        <v>3687</v>
      </c>
      <c r="C1311" s="115" t="s">
        <v>20</v>
      </c>
      <c r="D1311" s="115">
        <v>0</v>
      </c>
      <c r="E1311" s="135" t="s">
        <v>568</v>
      </c>
      <c r="F1311" s="136" t="str">
        <f t="shared" si="69"/>
        <v/>
      </c>
      <c r="G1311" s="137" t="e">
        <f>IF(A1311&lt;&gt;"",IF(AND(#REF!="Padrão",$H$4=#REF!),BDI!$B$17,IF(AND(#REF!="Padrão",$H$4=#REF!),BDI!#REF!,IF(AND(#REF!="Diferenciado",$H$4=#REF!),BDI!$E$17,IF(AND(#REF!="Diferenciado",$H$4=#REF!),BDI!#REF!,IF(#REF!="ZERO",0))))),"")</f>
        <v>#REF!</v>
      </c>
      <c r="H1311" s="138" t="str">
        <f t="shared" si="70"/>
        <v/>
      </c>
      <c r="I1311" s="136" t="str">
        <f t="shared" si="71"/>
        <v/>
      </c>
    </row>
    <row r="1312" spans="1:9" ht="38.25" hidden="1" x14ac:dyDescent="0.25">
      <c r="A1312" s="113" t="s">
        <v>3688</v>
      </c>
      <c r="B1312" s="114" t="s">
        <v>3689</v>
      </c>
      <c r="C1312" s="115" t="s">
        <v>20</v>
      </c>
      <c r="D1312" s="115">
        <v>0</v>
      </c>
      <c r="E1312" s="135" t="s">
        <v>568</v>
      </c>
      <c r="F1312" s="136" t="str">
        <f t="shared" si="69"/>
        <v/>
      </c>
      <c r="G1312" s="137" t="e">
        <f>IF(A1312&lt;&gt;"",IF(AND(#REF!="Padrão",$H$4=#REF!),BDI!$B$17,IF(AND(#REF!="Padrão",$H$4=#REF!),BDI!#REF!,IF(AND(#REF!="Diferenciado",$H$4=#REF!),BDI!$E$17,IF(AND(#REF!="Diferenciado",$H$4=#REF!),BDI!#REF!,IF(#REF!="ZERO",0))))),"")</f>
        <v>#REF!</v>
      </c>
      <c r="H1312" s="138" t="str">
        <f t="shared" si="70"/>
        <v/>
      </c>
      <c r="I1312" s="136" t="str">
        <f t="shared" si="71"/>
        <v/>
      </c>
    </row>
    <row r="1313" spans="1:9" ht="25.5" hidden="1" x14ac:dyDescent="0.25">
      <c r="A1313" s="113" t="s">
        <v>3690</v>
      </c>
      <c r="B1313" s="114" t="s">
        <v>3691</v>
      </c>
      <c r="C1313" s="115" t="s">
        <v>20</v>
      </c>
      <c r="D1313" s="115">
        <v>0</v>
      </c>
      <c r="E1313" s="135" t="s">
        <v>568</v>
      </c>
      <c r="F1313" s="136" t="str">
        <f t="shared" si="69"/>
        <v/>
      </c>
      <c r="G1313" s="137" t="e">
        <f>IF(A1313&lt;&gt;"",IF(AND(#REF!="Padrão",$H$4=#REF!),BDI!$B$17,IF(AND(#REF!="Padrão",$H$4=#REF!),BDI!#REF!,IF(AND(#REF!="Diferenciado",$H$4=#REF!),BDI!$E$17,IF(AND(#REF!="Diferenciado",$H$4=#REF!),BDI!#REF!,IF(#REF!="ZERO",0))))),"")</f>
        <v>#REF!</v>
      </c>
      <c r="H1313" s="138" t="str">
        <f t="shared" si="70"/>
        <v/>
      </c>
      <c r="I1313" s="136" t="str">
        <f t="shared" si="71"/>
        <v/>
      </c>
    </row>
    <row r="1314" spans="1:9" ht="38.25" hidden="1" x14ac:dyDescent="0.25">
      <c r="A1314" s="113" t="s">
        <v>3692</v>
      </c>
      <c r="B1314" s="114" t="s">
        <v>3693</v>
      </c>
      <c r="C1314" s="115" t="s">
        <v>20</v>
      </c>
      <c r="D1314" s="115">
        <v>0</v>
      </c>
      <c r="E1314" s="135" t="s">
        <v>568</v>
      </c>
      <c r="F1314" s="136" t="str">
        <f t="shared" si="69"/>
        <v/>
      </c>
      <c r="G1314" s="137" t="e">
        <f>IF(A1314&lt;&gt;"",IF(AND(#REF!="Padrão",$H$4=#REF!),BDI!$B$17,IF(AND(#REF!="Padrão",$H$4=#REF!),BDI!#REF!,IF(AND(#REF!="Diferenciado",$H$4=#REF!),BDI!$E$17,IF(AND(#REF!="Diferenciado",$H$4=#REF!),BDI!#REF!,IF(#REF!="ZERO",0))))),"")</f>
        <v>#REF!</v>
      </c>
      <c r="H1314" s="138" t="str">
        <f t="shared" si="70"/>
        <v/>
      </c>
      <c r="I1314" s="136" t="str">
        <f t="shared" si="71"/>
        <v/>
      </c>
    </row>
    <row r="1315" spans="1:9" hidden="1" x14ac:dyDescent="0.25">
      <c r="A1315" s="113" t="s">
        <v>3694</v>
      </c>
      <c r="B1315" s="114" t="s">
        <v>3695</v>
      </c>
      <c r="C1315" s="115" t="s">
        <v>20</v>
      </c>
      <c r="D1315" s="115">
        <v>0</v>
      </c>
      <c r="E1315" s="135">
        <f ca="1">OFFSET(INDEX(Composições!A:J,MATCH(Orçamentária!A1315,Composições!A:A,0),8),2,0)</f>
        <v>35.817090000000007</v>
      </c>
      <c r="F1315" s="136">
        <f t="shared" ca="1" si="69"/>
        <v>0</v>
      </c>
      <c r="G1315" s="137" t="e">
        <f>IF(A1315&lt;&gt;"",IF(AND(#REF!="Padrão",$H$4=#REF!),BDI!$B$17,IF(AND(#REF!="Padrão",$H$4=#REF!),BDI!#REF!,IF(AND(#REF!="Diferenciado",$H$4=#REF!),BDI!$E$17,IF(AND(#REF!="Diferenciado",$H$4=#REF!),BDI!#REF!,IF(#REF!="ZERO",0))))),"")</f>
        <v>#REF!</v>
      </c>
      <c r="H1315" s="138" t="e">
        <f t="shared" ca="1" si="70"/>
        <v>#REF!</v>
      </c>
      <c r="I1315" s="136" t="e">
        <f t="shared" ca="1" si="71"/>
        <v>#REF!</v>
      </c>
    </row>
    <row r="1316" spans="1:9" hidden="1" x14ac:dyDescent="0.25">
      <c r="A1316" s="113" t="s">
        <v>3696</v>
      </c>
      <c r="B1316" s="114" t="s">
        <v>3697</v>
      </c>
      <c r="C1316" s="115" t="s">
        <v>20</v>
      </c>
      <c r="D1316" s="115">
        <v>0</v>
      </c>
      <c r="E1316" s="135">
        <f ca="1">OFFSET(INDEX(Composições!A:J,MATCH(Orçamentária!A1316,Composições!A:A,0),8),2,0)</f>
        <v>75.984498850000008</v>
      </c>
      <c r="F1316" s="136">
        <f t="shared" ca="1" si="69"/>
        <v>0</v>
      </c>
      <c r="G1316" s="137" t="e">
        <f>IF(A1316&lt;&gt;"",IF(AND(#REF!="Padrão",$H$4=#REF!),BDI!$B$17,IF(AND(#REF!="Padrão",$H$4=#REF!),BDI!#REF!,IF(AND(#REF!="Diferenciado",$H$4=#REF!),BDI!$E$17,IF(AND(#REF!="Diferenciado",$H$4=#REF!),BDI!#REF!,IF(#REF!="ZERO",0))))),"")</f>
        <v>#REF!</v>
      </c>
      <c r="H1316" s="138" t="e">
        <f t="shared" ca="1" si="70"/>
        <v>#REF!</v>
      </c>
      <c r="I1316" s="136" t="e">
        <f t="shared" ca="1" si="71"/>
        <v>#REF!</v>
      </c>
    </row>
    <row r="1317" spans="1:9" hidden="1" x14ac:dyDescent="0.25">
      <c r="A1317" s="113" t="s">
        <v>3698</v>
      </c>
      <c r="B1317" s="114" t="s">
        <v>3699</v>
      </c>
      <c r="C1317" s="115" t="s">
        <v>20</v>
      </c>
      <c r="D1317" s="115">
        <v>0</v>
      </c>
      <c r="E1317" s="135">
        <f ca="1">OFFSET(INDEX(Composições!A:J,MATCH(Orçamentária!A1317,Composições!A:A,0),8),2,0)</f>
        <v>75.984498850000008</v>
      </c>
      <c r="F1317" s="136">
        <f t="shared" ca="1" si="69"/>
        <v>0</v>
      </c>
      <c r="G1317" s="137" t="e">
        <f>IF(A1317&lt;&gt;"",IF(AND(#REF!="Padrão",$H$4=#REF!),BDI!$B$17,IF(AND(#REF!="Padrão",$H$4=#REF!),BDI!#REF!,IF(AND(#REF!="Diferenciado",$H$4=#REF!),BDI!$E$17,IF(AND(#REF!="Diferenciado",$H$4=#REF!),BDI!#REF!,IF(#REF!="ZERO",0))))),"")</f>
        <v>#REF!</v>
      </c>
      <c r="H1317" s="138" t="e">
        <f t="shared" ca="1" si="70"/>
        <v>#REF!</v>
      </c>
      <c r="I1317" s="136" t="e">
        <f t="shared" ca="1" si="71"/>
        <v>#REF!</v>
      </c>
    </row>
    <row r="1318" spans="1:9" hidden="1" x14ac:dyDescent="0.25">
      <c r="A1318" s="113" t="s">
        <v>3700</v>
      </c>
      <c r="B1318" s="114" t="s">
        <v>3701</v>
      </c>
      <c r="C1318" s="115" t="s">
        <v>20</v>
      </c>
      <c r="D1318" s="115">
        <v>0</v>
      </c>
      <c r="E1318" s="135">
        <f ca="1">OFFSET(INDEX(Composições!A:J,MATCH(Orçamentária!A1318,Composições!A:A,0),8),2,0)</f>
        <v>75.984498850000008</v>
      </c>
      <c r="F1318" s="136">
        <f t="shared" ca="1" si="69"/>
        <v>0</v>
      </c>
      <c r="G1318" s="137" t="e">
        <f>IF(A1318&lt;&gt;"",IF(AND(#REF!="Padrão",$H$4=#REF!),BDI!$B$17,IF(AND(#REF!="Padrão",$H$4=#REF!),BDI!#REF!,IF(AND(#REF!="Diferenciado",$H$4=#REF!),BDI!$E$17,IF(AND(#REF!="Diferenciado",$H$4=#REF!),BDI!#REF!,IF(#REF!="ZERO",0))))),"")</f>
        <v>#REF!</v>
      </c>
      <c r="H1318" s="138" t="e">
        <f t="shared" ca="1" si="70"/>
        <v>#REF!</v>
      </c>
      <c r="I1318" s="136" t="e">
        <f t="shared" ca="1" si="71"/>
        <v>#REF!</v>
      </c>
    </row>
    <row r="1319" spans="1:9" hidden="1" x14ac:dyDescent="0.25">
      <c r="A1319" s="113" t="s">
        <v>3702</v>
      </c>
      <c r="B1319" s="114" t="s">
        <v>3703</v>
      </c>
      <c r="C1319" s="115" t="s">
        <v>20</v>
      </c>
      <c r="D1319" s="115">
        <v>0</v>
      </c>
      <c r="E1319" s="135">
        <f ca="1">OFFSET(INDEX(Composições!A:J,MATCH(Orçamentária!A1319,Composições!A:A,0),8),2,0)</f>
        <v>87.674421749999993</v>
      </c>
      <c r="F1319" s="136">
        <f t="shared" ca="1" si="69"/>
        <v>0</v>
      </c>
      <c r="G1319" s="137" t="e">
        <f>IF(A1319&lt;&gt;"",IF(AND(#REF!="Padrão",$H$4=#REF!),BDI!$B$17,IF(AND(#REF!="Padrão",$H$4=#REF!),BDI!#REF!,IF(AND(#REF!="Diferenciado",$H$4=#REF!),BDI!$E$17,IF(AND(#REF!="Diferenciado",$H$4=#REF!),BDI!#REF!,IF(#REF!="ZERO",0))))),"")</f>
        <v>#REF!</v>
      </c>
      <c r="H1319" s="138" t="e">
        <f t="shared" ca="1" si="70"/>
        <v>#REF!</v>
      </c>
      <c r="I1319" s="136" t="e">
        <f t="shared" ca="1" si="71"/>
        <v>#REF!</v>
      </c>
    </row>
    <row r="1320" spans="1:9" hidden="1" x14ac:dyDescent="0.25">
      <c r="A1320" s="113" t="s">
        <v>3704</v>
      </c>
      <c r="B1320" s="114" t="s">
        <v>3705</v>
      </c>
      <c r="C1320" s="115" t="s">
        <v>20</v>
      </c>
      <c r="D1320" s="115">
        <v>0</v>
      </c>
      <c r="E1320" s="135">
        <f ca="1">OFFSET(INDEX(Composições!A:J,MATCH(Orçamentária!A1320,Composições!A:A,0),8),2,0)</f>
        <v>15.097096000000002</v>
      </c>
      <c r="F1320" s="136">
        <f t="shared" ca="1" si="69"/>
        <v>0</v>
      </c>
      <c r="G1320" s="137" t="e">
        <f>IF(A1320&lt;&gt;"",IF(AND(#REF!="Padrão",$H$4=#REF!),BDI!$B$17,IF(AND(#REF!="Padrão",$H$4=#REF!),BDI!#REF!,IF(AND(#REF!="Diferenciado",$H$4=#REF!),BDI!$E$17,IF(AND(#REF!="Diferenciado",$H$4=#REF!),BDI!#REF!,IF(#REF!="ZERO",0))))),"")</f>
        <v>#REF!</v>
      </c>
      <c r="H1320" s="138" t="e">
        <f t="shared" ca="1" si="70"/>
        <v>#REF!</v>
      </c>
      <c r="I1320" s="136" t="e">
        <f t="shared" ca="1" si="71"/>
        <v>#REF!</v>
      </c>
    </row>
    <row r="1321" spans="1:9" hidden="1" x14ac:dyDescent="0.25">
      <c r="A1321" s="113" t="s">
        <v>3706</v>
      </c>
      <c r="B1321" s="114" t="s">
        <v>3707</v>
      </c>
      <c r="C1321" s="115" t="s">
        <v>20</v>
      </c>
      <c r="D1321" s="115">
        <v>0</v>
      </c>
      <c r="E1321" s="135">
        <f ca="1">OFFSET(INDEX(Composições!A:J,MATCH(Orçamentária!A1321,Composições!A:A,0),8),2,0)</f>
        <v>75.984498850000008</v>
      </c>
      <c r="F1321" s="136">
        <f t="shared" ca="1" si="69"/>
        <v>0</v>
      </c>
      <c r="G1321" s="137" t="e">
        <f>IF(A1321&lt;&gt;"",IF(AND(#REF!="Padrão",$H$4=#REF!),BDI!$B$17,IF(AND(#REF!="Padrão",$H$4=#REF!),BDI!#REF!,IF(AND(#REF!="Diferenciado",$H$4=#REF!),BDI!$E$17,IF(AND(#REF!="Diferenciado",$H$4=#REF!),BDI!#REF!,IF(#REF!="ZERO",0))))),"")</f>
        <v>#REF!</v>
      </c>
      <c r="H1321" s="138" t="e">
        <f t="shared" ca="1" si="70"/>
        <v>#REF!</v>
      </c>
      <c r="I1321" s="136" t="e">
        <f t="shared" ca="1" si="71"/>
        <v>#REF!</v>
      </c>
    </row>
    <row r="1322" spans="1:9" hidden="1" x14ac:dyDescent="0.25">
      <c r="A1322" s="113" t="s">
        <v>3708</v>
      </c>
      <c r="B1322" s="114" t="s">
        <v>3709</v>
      </c>
      <c r="C1322" s="115" t="s">
        <v>93</v>
      </c>
      <c r="D1322" s="115">
        <v>0</v>
      </c>
      <c r="E1322" s="135">
        <f ca="1">OFFSET(INDEX(Composições!A:J,MATCH(Orçamentária!A1322,Composições!A:A,0),8),2,0)</f>
        <v>3.6972480000000005</v>
      </c>
      <c r="F1322" s="136">
        <f t="shared" ca="1" si="69"/>
        <v>0</v>
      </c>
      <c r="G1322" s="137" t="e">
        <f>IF(A1322&lt;&gt;"",IF(AND(#REF!="Padrão",$H$4=#REF!),BDI!$B$17,IF(AND(#REF!="Padrão",$H$4=#REF!),BDI!#REF!,IF(AND(#REF!="Diferenciado",$H$4=#REF!),BDI!$E$17,IF(AND(#REF!="Diferenciado",$H$4=#REF!),BDI!#REF!,IF(#REF!="ZERO",0))))),"")</f>
        <v>#REF!</v>
      </c>
      <c r="H1322" s="138" t="e">
        <f t="shared" ca="1" si="70"/>
        <v>#REF!</v>
      </c>
      <c r="I1322" s="136" t="e">
        <f t="shared" ca="1" si="71"/>
        <v>#REF!</v>
      </c>
    </row>
    <row r="1323" spans="1:9" hidden="1" x14ac:dyDescent="0.25">
      <c r="A1323" s="113" t="s">
        <v>3710</v>
      </c>
      <c r="B1323" s="114" t="s">
        <v>3711</v>
      </c>
      <c r="C1323" s="115" t="s">
        <v>20</v>
      </c>
      <c r="D1323" s="115">
        <v>0</v>
      </c>
      <c r="E1323" s="135">
        <f ca="1">OFFSET(INDEX(Composições!A:J,MATCH(Orçamentária!A1323,Composições!A:A,0),8),2,0)</f>
        <v>7.1301585000000003</v>
      </c>
      <c r="F1323" s="136">
        <f t="shared" ca="1" si="69"/>
        <v>0</v>
      </c>
      <c r="G1323" s="137" t="e">
        <f>IF(A1323&lt;&gt;"",IF(AND(#REF!="Padrão",$H$4=#REF!),BDI!$B$17,IF(AND(#REF!="Padrão",$H$4=#REF!),BDI!#REF!,IF(AND(#REF!="Diferenciado",$H$4=#REF!),BDI!$E$17,IF(AND(#REF!="Diferenciado",$H$4=#REF!),BDI!#REF!,IF(#REF!="ZERO",0))))),"")</f>
        <v>#REF!</v>
      </c>
      <c r="H1323" s="138" t="e">
        <f t="shared" ca="1" si="70"/>
        <v>#REF!</v>
      </c>
      <c r="I1323" s="136" t="e">
        <f t="shared" ca="1" si="71"/>
        <v>#REF!</v>
      </c>
    </row>
    <row r="1324" spans="1:9" ht="25.5" hidden="1" x14ac:dyDescent="0.25">
      <c r="A1324" s="113" t="s">
        <v>3712</v>
      </c>
      <c r="B1324" s="114" t="s">
        <v>3713</v>
      </c>
      <c r="C1324" s="115" t="s">
        <v>20</v>
      </c>
      <c r="D1324" s="115">
        <v>0</v>
      </c>
      <c r="E1324" s="135">
        <f ca="1">OFFSET(INDEX(Composições!A:J,MATCH(Orçamentária!A1324,Composições!A:A,0),8),2,0)</f>
        <v>51.355758350000002</v>
      </c>
      <c r="F1324" s="136">
        <f t="shared" ca="1" si="69"/>
        <v>0</v>
      </c>
      <c r="G1324" s="137" t="e">
        <f>IF(A1324&lt;&gt;"",IF(AND(#REF!="Padrão",$H$4=#REF!),BDI!$B$17,IF(AND(#REF!="Padrão",$H$4=#REF!),BDI!#REF!,IF(AND(#REF!="Diferenciado",$H$4=#REF!),BDI!$E$17,IF(AND(#REF!="Diferenciado",$H$4=#REF!),BDI!#REF!,IF(#REF!="ZERO",0))))),"")</f>
        <v>#REF!</v>
      </c>
      <c r="H1324" s="138" t="e">
        <f t="shared" ca="1" si="70"/>
        <v>#REF!</v>
      </c>
      <c r="I1324" s="136" t="e">
        <f t="shared" ca="1" si="71"/>
        <v>#REF!</v>
      </c>
    </row>
    <row r="1325" spans="1:9" hidden="1" x14ac:dyDescent="0.25">
      <c r="A1325" s="113" t="s">
        <v>3714</v>
      </c>
      <c r="B1325" s="114" t="s">
        <v>3715</v>
      </c>
      <c r="C1325" s="115" t="s">
        <v>20</v>
      </c>
      <c r="D1325" s="115">
        <v>0</v>
      </c>
      <c r="E1325" s="135" t="s">
        <v>568</v>
      </c>
      <c r="F1325" s="136" t="str">
        <f t="shared" si="69"/>
        <v/>
      </c>
      <c r="G1325" s="137" t="e">
        <f>IF(A1325&lt;&gt;"",IF(AND(#REF!="Padrão",$H$4=#REF!),BDI!$B$17,IF(AND(#REF!="Padrão",$H$4=#REF!),BDI!#REF!,IF(AND(#REF!="Diferenciado",$H$4=#REF!),BDI!$E$17,IF(AND(#REF!="Diferenciado",$H$4=#REF!),BDI!#REF!,IF(#REF!="ZERO",0))))),"")</f>
        <v>#REF!</v>
      </c>
      <c r="H1325" s="138" t="str">
        <f t="shared" si="70"/>
        <v/>
      </c>
      <c r="I1325" s="136" t="str">
        <f t="shared" si="71"/>
        <v/>
      </c>
    </row>
    <row r="1326" spans="1:9" hidden="1" x14ac:dyDescent="0.25">
      <c r="A1326" s="113" t="s">
        <v>3716</v>
      </c>
      <c r="B1326" s="114" t="s">
        <v>3717</v>
      </c>
      <c r="C1326" s="115" t="s">
        <v>20</v>
      </c>
      <c r="D1326" s="115">
        <v>0</v>
      </c>
      <c r="E1326" s="135" t="s">
        <v>568</v>
      </c>
      <c r="F1326" s="136" t="str">
        <f t="shared" si="69"/>
        <v/>
      </c>
      <c r="G1326" s="137" t="e">
        <f>IF(A1326&lt;&gt;"",IF(AND(#REF!="Padrão",$H$4=#REF!),BDI!$B$17,IF(AND(#REF!="Padrão",$H$4=#REF!),BDI!#REF!,IF(AND(#REF!="Diferenciado",$H$4=#REF!),BDI!$E$17,IF(AND(#REF!="Diferenciado",$H$4=#REF!),BDI!#REF!,IF(#REF!="ZERO",0))))),"")</f>
        <v>#REF!</v>
      </c>
      <c r="H1326" s="138" t="str">
        <f t="shared" si="70"/>
        <v/>
      </c>
      <c r="I1326" s="136" t="str">
        <f t="shared" si="71"/>
        <v/>
      </c>
    </row>
    <row r="1327" spans="1:9" hidden="1" x14ac:dyDescent="0.25">
      <c r="A1327" s="113" t="s">
        <v>3718</v>
      </c>
      <c r="B1327" s="114" t="s">
        <v>3719</v>
      </c>
      <c r="C1327" s="115" t="s">
        <v>20</v>
      </c>
      <c r="D1327" s="115">
        <v>0</v>
      </c>
      <c r="E1327" s="135" t="s">
        <v>568</v>
      </c>
      <c r="F1327" s="136" t="str">
        <f t="shared" si="69"/>
        <v/>
      </c>
      <c r="G1327" s="137" t="e">
        <f>IF(A1327&lt;&gt;"",IF(AND(#REF!="Padrão",$H$4=#REF!),BDI!$B$17,IF(AND(#REF!="Padrão",$H$4=#REF!),BDI!#REF!,IF(AND(#REF!="Diferenciado",$H$4=#REF!),BDI!$E$17,IF(AND(#REF!="Diferenciado",$H$4=#REF!),BDI!#REF!,IF(#REF!="ZERO",0))))),"")</f>
        <v>#REF!</v>
      </c>
      <c r="H1327" s="138" t="str">
        <f t="shared" si="70"/>
        <v/>
      </c>
      <c r="I1327" s="136" t="str">
        <f t="shared" si="71"/>
        <v/>
      </c>
    </row>
    <row r="1328" spans="1:9" hidden="1" x14ac:dyDescent="0.25">
      <c r="A1328" s="113" t="s">
        <v>3720</v>
      </c>
      <c r="B1328" s="114" t="s">
        <v>3721</v>
      </c>
      <c r="C1328" s="115" t="s">
        <v>20</v>
      </c>
      <c r="D1328" s="115">
        <v>0</v>
      </c>
      <c r="E1328" s="135" t="s">
        <v>568</v>
      </c>
      <c r="F1328" s="136" t="str">
        <f t="shared" si="69"/>
        <v/>
      </c>
      <c r="G1328" s="137" t="e">
        <f>IF(A1328&lt;&gt;"",IF(AND(#REF!="Padrão",$H$4=#REF!),BDI!$B$17,IF(AND(#REF!="Padrão",$H$4=#REF!),BDI!#REF!,IF(AND(#REF!="Diferenciado",$H$4=#REF!),BDI!$E$17,IF(AND(#REF!="Diferenciado",$H$4=#REF!),BDI!#REF!,IF(#REF!="ZERO",0))))),"")</f>
        <v>#REF!</v>
      </c>
      <c r="H1328" s="138" t="str">
        <f t="shared" si="70"/>
        <v/>
      </c>
      <c r="I1328" s="136" t="str">
        <f t="shared" si="71"/>
        <v/>
      </c>
    </row>
    <row r="1329" spans="1:9" hidden="1" x14ac:dyDescent="0.25">
      <c r="A1329" s="113" t="s">
        <v>3722</v>
      </c>
      <c r="B1329" s="114" t="s">
        <v>3723</v>
      </c>
      <c r="C1329" s="115" t="s">
        <v>20</v>
      </c>
      <c r="D1329" s="115">
        <v>0</v>
      </c>
      <c r="E1329" s="135" t="s">
        <v>568</v>
      </c>
      <c r="F1329" s="136" t="str">
        <f t="shared" si="69"/>
        <v/>
      </c>
      <c r="G1329" s="137" t="e">
        <f>IF(A1329&lt;&gt;"",IF(AND(#REF!="Padrão",$H$4=#REF!),BDI!$B$17,IF(AND(#REF!="Padrão",$H$4=#REF!),BDI!#REF!,IF(AND(#REF!="Diferenciado",$H$4=#REF!),BDI!$E$17,IF(AND(#REF!="Diferenciado",$H$4=#REF!),BDI!#REF!,IF(#REF!="ZERO",0))))),"")</f>
        <v>#REF!</v>
      </c>
      <c r="H1329" s="138" t="str">
        <f t="shared" si="70"/>
        <v/>
      </c>
      <c r="I1329" s="136" t="str">
        <f t="shared" si="71"/>
        <v/>
      </c>
    </row>
    <row r="1330" spans="1:9" hidden="1" x14ac:dyDescent="0.25">
      <c r="A1330" s="113" t="s">
        <v>3724</v>
      </c>
      <c r="B1330" s="114" t="s">
        <v>3725</v>
      </c>
      <c r="C1330" s="115" t="s">
        <v>20</v>
      </c>
      <c r="D1330" s="115">
        <v>0</v>
      </c>
      <c r="E1330" s="135">
        <f ca="1">OFFSET(INDEX(Composições!A:J,MATCH(Orçamentária!A1330,Composições!A:A,0),8),2,0)</f>
        <v>79.564171049999999</v>
      </c>
      <c r="F1330" s="136">
        <f t="shared" ca="1" si="69"/>
        <v>0</v>
      </c>
      <c r="G1330" s="137" t="e">
        <f>IF(A1330&lt;&gt;"",IF(AND(#REF!="Padrão",$H$4=#REF!),BDI!$B$17,IF(AND(#REF!="Padrão",$H$4=#REF!),BDI!#REF!,IF(AND(#REF!="Diferenciado",$H$4=#REF!),BDI!$E$17,IF(AND(#REF!="Diferenciado",$H$4=#REF!),BDI!#REF!,IF(#REF!="ZERO",0))))),"")</f>
        <v>#REF!</v>
      </c>
      <c r="H1330" s="138" t="e">
        <f t="shared" ca="1" si="70"/>
        <v>#REF!</v>
      </c>
      <c r="I1330" s="136" t="e">
        <f t="shared" ca="1" si="71"/>
        <v>#REF!</v>
      </c>
    </row>
    <row r="1331" spans="1:9" hidden="1" x14ac:dyDescent="0.25">
      <c r="A1331" s="113" t="s">
        <v>3726</v>
      </c>
      <c r="B1331" s="114" t="s">
        <v>3727</v>
      </c>
      <c r="C1331" s="115" t="s">
        <v>93</v>
      </c>
      <c r="D1331" s="115">
        <v>0</v>
      </c>
      <c r="E1331" s="135">
        <f ca="1">OFFSET(INDEX(Composições!A:J,MATCH(Orçamentária!A1331,Composições!A:A,0),8),2,0)</f>
        <v>408.97768659999997</v>
      </c>
      <c r="F1331" s="136">
        <f t="shared" ca="1" si="69"/>
        <v>0</v>
      </c>
      <c r="G1331" s="137" t="e">
        <f>IF(A1331&lt;&gt;"",IF(AND(#REF!="Padrão",$H$4=#REF!),BDI!$B$17,IF(AND(#REF!="Padrão",$H$4=#REF!),BDI!#REF!,IF(AND(#REF!="Diferenciado",$H$4=#REF!),BDI!$E$17,IF(AND(#REF!="Diferenciado",$H$4=#REF!),BDI!#REF!,IF(#REF!="ZERO",0))))),"")</f>
        <v>#REF!</v>
      </c>
      <c r="H1331" s="138" t="e">
        <f t="shared" ca="1" si="70"/>
        <v>#REF!</v>
      </c>
      <c r="I1331" s="136" t="e">
        <f t="shared" ca="1" si="71"/>
        <v>#REF!</v>
      </c>
    </row>
    <row r="1332" spans="1:9" hidden="1" x14ac:dyDescent="0.25">
      <c r="A1332" s="113" t="s">
        <v>3728</v>
      </c>
      <c r="B1332" s="114" t="s">
        <v>3729</v>
      </c>
      <c r="C1332" s="115" t="s">
        <v>93</v>
      </c>
      <c r="D1332" s="115">
        <v>0</v>
      </c>
      <c r="E1332" s="135">
        <f ca="1">OFFSET(INDEX(Composições!A:J,MATCH(Orçamentária!A1332,Composições!A:A,0),8),2,0)</f>
        <v>685.19679954999992</v>
      </c>
      <c r="F1332" s="136">
        <f t="shared" ca="1" si="69"/>
        <v>0</v>
      </c>
      <c r="G1332" s="137" t="e">
        <f>IF(A1332&lt;&gt;"",IF(AND(#REF!="Padrão",$H$4=#REF!),BDI!$B$17,IF(AND(#REF!="Padrão",$H$4=#REF!),BDI!#REF!,IF(AND(#REF!="Diferenciado",$H$4=#REF!),BDI!$E$17,IF(AND(#REF!="Diferenciado",$H$4=#REF!),BDI!#REF!,IF(#REF!="ZERO",0))))),"")</f>
        <v>#REF!</v>
      </c>
      <c r="H1332" s="138" t="e">
        <f t="shared" ca="1" si="70"/>
        <v>#REF!</v>
      </c>
      <c r="I1332" s="136" t="e">
        <f t="shared" ca="1" si="71"/>
        <v>#REF!</v>
      </c>
    </row>
    <row r="1333" spans="1:9" hidden="1" x14ac:dyDescent="0.25">
      <c r="A1333" s="113" t="s">
        <v>3730</v>
      </c>
      <c r="B1333" s="114" t="s">
        <v>3731</v>
      </c>
      <c r="C1333" s="115" t="s">
        <v>20</v>
      </c>
      <c r="D1333" s="115">
        <v>0</v>
      </c>
      <c r="E1333" s="135">
        <f ca="1">OFFSET(INDEX(Composições!A:J,MATCH(Orçamentária!A1333,Composições!A:A,0),8),2,0)</f>
        <v>71.46359799999999</v>
      </c>
      <c r="F1333" s="136">
        <f t="shared" ca="1" si="69"/>
        <v>0</v>
      </c>
      <c r="G1333" s="137" t="e">
        <f>IF(A1333&lt;&gt;"",IF(AND(#REF!="Padrão",$H$4=#REF!),BDI!$B$17,IF(AND(#REF!="Padrão",$H$4=#REF!),BDI!#REF!,IF(AND(#REF!="Diferenciado",$H$4=#REF!),BDI!$E$17,IF(AND(#REF!="Diferenciado",$H$4=#REF!),BDI!#REF!,IF(#REF!="ZERO",0))))),"")</f>
        <v>#REF!</v>
      </c>
      <c r="H1333" s="138" t="e">
        <f t="shared" ca="1" si="70"/>
        <v>#REF!</v>
      </c>
      <c r="I1333" s="136" t="e">
        <f t="shared" ca="1" si="71"/>
        <v>#REF!</v>
      </c>
    </row>
    <row r="1334" spans="1:9" hidden="1" x14ac:dyDescent="0.25">
      <c r="A1334" s="113" t="s">
        <v>3732</v>
      </c>
      <c r="B1334" s="114" t="s">
        <v>3733</v>
      </c>
      <c r="C1334" s="115" t="s">
        <v>20</v>
      </c>
      <c r="D1334" s="115">
        <v>0</v>
      </c>
      <c r="E1334" s="135">
        <f ca="1">OFFSET(INDEX(Composições!A:J,MATCH(Orçamentária!A1334,Composições!A:A,0),8),2,0)</f>
        <v>33.399188000000002</v>
      </c>
      <c r="F1334" s="136">
        <f t="shared" ca="1" si="69"/>
        <v>0</v>
      </c>
      <c r="G1334" s="137" t="e">
        <f>IF(A1334&lt;&gt;"",IF(AND(#REF!="Padrão",$H$4=#REF!),BDI!$B$17,IF(AND(#REF!="Padrão",$H$4=#REF!),BDI!#REF!,IF(AND(#REF!="Diferenciado",$H$4=#REF!),BDI!$E$17,IF(AND(#REF!="Diferenciado",$H$4=#REF!),BDI!#REF!,IF(#REF!="ZERO",0))))),"")</f>
        <v>#REF!</v>
      </c>
      <c r="H1334" s="138" t="e">
        <f t="shared" ca="1" si="70"/>
        <v>#REF!</v>
      </c>
      <c r="I1334" s="136" t="e">
        <f t="shared" ca="1" si="71"/>
        <v>#REF!</v>
      </c>
    </row>
    <row r="1335" spans="1:9" hidden="1" x14ac:dyDescent="0.25">
      <c r="A1335" s="113" t="s">
        <v>3734</v>
      </c>
      <c r="B1335" s="114" t="s">
        <v>3735</v>
      </c>
      <c r="C1335" s="115" t="s">
        <v>20</v>
      </c>
      <c r="D1335" s="115">
        <v>0</v>
      </c>
      <c r="E1335" s="135" t="s">
        <v>568</v>
      </c>
      <c r="F1335" s="136" t="str">
        <f t="shared" si="69"/>
        <v/>
      </c>
      <c r="G1335" s="137" t="e">
        <f>IF(A1335&lt;&gt;"",IF(AND(#REF!="Padrão",$H$4=#REF!),BDI!$B$17,IF(AND(#REF!="Padrão",$H$4=#REF!),BDI!#REF!,IF(AND(#REF!="Diferenciado",$H$4=#REF!),BDI!$E$17,IF(AND(#REF!="Diferenciado",$H$4=#REF!),BDI!#REF!,IF(#REF!="ZERO",0))))),"")</f>
        <v>#REF!</v>
      </c>
      <c r="H1335" s="138" t="str">
        <f t="shared" si="70"/>
        <v/>
      </c>
      <c r="I1335" s="136" t="str">
        <f t="shared" si="71"/>
        <v/>
      </c>
    </row>
    <row r="1336" spans="1:9" hidden="1" x14ac:dyDescent="0.25">
      <c r="A1336" s="113" t="s">
        <v>3736</v>
      </c>
      <c r="B1336" s="114" t="s">
        <v>3737</v>
      </c>
      <c r="C1336" s="115" t="s">
        <v>93</v>
      </c>
      <c r="D1336" s="115">
        <v>0</v>
      </c>
      <c r="E1336" s="135">
        <f ca="1">OFFSET(INDEX(Composições!A:J,MATCH(Orçamentária!A1336,Composições!A:A,0),8),2,0)</f>
        <v>2.8179774000000002</v>
      </c>
      <c r="F1336" s="136">
        <f t="shared" ca="1" si="69"/>
        <v>0</v>
      </c>
      <c r="G1336" s="137" t="e">
        <f>IF(A1336&lt;&gt;"",IF(AND(#REF!="Padrão",$H$4=#REF!),BDI!$B$17,IF(AND(#REF!="Padrão",$H$4=#REF!),BDI!#REF!,IF(AND(#REF!="Diferenciado",$H$4=#REF!),BDI!$E$17,IF(AND(#REF!="Diferenciado",$H$4=#REF!),BDI!#REF!,IF(#REF!="ZERO",0))))),"")</f>
        <v>#REF!</v>
      </c>
      <c r="H1336" s="138" t="e">
        <f t="shared" ca="1" si="70"/>
        <v>#REF!</v>
      </c>
      <c r="I1336" s="136" t="e">
        <f t="shared" ca="1" si="71"/>
        <v>#REF!</v>
      </c>
    </row>
    <row r="1337" spans="1:9" hidden="1" x14ac:dyDescent="0.25">
      <c r="A1337" s="113" t="s">
        <v>3738</v>
      </c>
      <c r="B1337" s="114" t="s">
        <v>3739</v>
      </c>
      <c r="C1337" s="115" t="s">
        <v>93</v>
      </c>
      <c r="D1337" s="115">
        <v>0</v>
      </c>
      <c r="E1337" s="135">
        <f ca="1">OFFSET(INDEX(Composições!A:J,MATCH(Orçamentária!A1337,Composições!A:A,0),8),2,0)</f>
        <v>5.5011992000000003</v>
      </c>
      <c r="F1337" s="136">
        <f t="shared" ca="1" si="69"/>
        <v>0</v>
      </c>
      <c r="G1337" s="137" t="e">
        <f>IF(A1337&lt;&gt;"",IF(AND(#REF!="Padrão",$H$4=#REF!),BDI!$B$17,IF(AND(#REF!="Padrão",$H$4=#REF!),BDI!#REF!,IF(AND(#REF!="Diferenciado",$H$4=#REF!),BDI!$E$17,IF(AND(#REF!="Diferenciado",$H$4=#REF!),BDI!#REF!,IF(#REF!="ZERO",0))))),"")</f>
        <v>#REF!</v>
      </c>
      <c r="H1337" s="138" t="e">
        <f t="shared" ca="1" si="70"/>
        <v>#REF!</v>
      </c>
      <c r="I1337" s="136" t="e">
        <f t="shared" ca="1" si="71"/>
        <v>#REF!</v>
      </c>
    </row>
    <row r="1338" spans="1:9" hidden="1" x14ac:dyDescent="0.25">
      <c r="A1338" s="113" t="s">
        <v>3740</v>
      </c>
      <c r="B1338" s="114" t="s">
        <v>3741</v>
      </c>
      <c r="C1338" s="115" t="s">
        <v>20</v>
      </c>
      <c r="D1338" s="115">
        <v>0</v>
      </c>
      <c r="E1338" s="135">
        <f ca="1">OFFSET(INDEX(Composições!A:J,MATCH(Orçamentária!A1338,Composições!A:A,0),8),2,0)</f>
        <v>76.637506999999999</v>
      </c>
      <c r="F1338" s="136">
        <f t="shared" ca="1" si="69"/>
        <v>0</v>
      </c>
      <c r="G1338" s="137" t="e">
        <f>IF(A1338&lt;&gt;"",IF(AND(#REF!="Padrão",$H$4=#REF!),BDI!$B$17,IF(AND(#REF!="Padrão",$H$4=#REF!),BDI!#REF!,IF(AND(#REF!="Diferenciado",$H$4=#REF!),BDI!$E$17,IF(AND(#REF!="Diferenciado",$H$4=#REF!),BDI!#REF!,IF(#REF!="ZERO",0))))),"")</f>
        <v>#REF!</v>
      </c>
      <c r="H1338" s="138" t="e">
        <f t="shared" ca="1" si="70"/>
        <v>#REF!</v>
      </c>
      <c r="I1338" s="136" t="e">
        <f t="shared" ca="1" si="71"/>
        <v>#REF!</v>
      </c>
    </row>
    <row r="1339" spans="1:9" hidden="1" x14ac:dyDescent="0.25">
      <c r="A1339" s="113" t="s">
        <v>3742</v>
      </c>
      <c r="B1339" s="114" t="s">
        <v>3743</v>
      </c>
      <c r="C1339" s="115" t="s">
        <v>20</v>
      </c>
      <c r="D1339" s="115">
        <v>0</v>
      </c>
      <c r="E1339" s="135">
        <f ca="1">OFFSET(INDEX(Composições!A:J,MATCH(Orçamentária!A1339,Composições!A:A,0),8),2,0)</f>
        <v>1786.8423815648528</v>
      </c>
      <c r="F1339" s="136">
        <f t="shared" ca="1" si="69"/>
        <v>0</v>
      </c>
      <c r="G1339" s="137" t="e">
        <f>IF(A1339&lt;&gt;"",IF(AND(#REF!="Padrão",$H$4=#REF!),BDI!$B$17,IF(AND(#REF!="Padrão",$H$4=#REF!),BDI!#REF!,IF(AND(#REF!="Diferenciado",$H$4=#REF!),BDI!$E$17,IF(AND(#REF!="Diferenciado",$H$4=#REF!),BDI!#REF!,IF(#REF!="ZERO",0))))),"")</f>
        <v>#REF!</v>
      </c>
      <c r="H1339" s="138" t="e">
        <f t="shared" ca="1" si="70"/>
        <v>#REF!</v>
      </c>
      <c r="I1339" s="136" t="e">
        <f t="shared" ca="1" si="71"/>
        <v>#REF!</v>
      </c>
    </row>
    <row r="1340" spans="1:9" hidden="1" x14ac:dyDescent="0.25">
      <c r="A1340" s="113" t="s">
        <v>3744</v>
      </c>
      <c r="B1340" s="114" t="s">
        <v>3745</v>
      </c>
      <c r="C1340" s="115" t="s">
        <v>20</v>
      </c>
      <c r="D1340" s="115">
        <v>0</v>
      </c>
      <c r="E1340" s="135">
        <f ca="1">OFFSET(INDEX(Composições!A:J,MATCH(Orçamentária!A1340,Composições!A:A,0),8),2,0)</f>
        <v>5239.1099999999997</v>
      </c>
      <c r="F1340" s="136">
        <f t="shared" ca="1" si="69"/>
        <v>0</v>
      </c>
      <c r="G1340" s="137" t="e">
        <f>IF(A1340&lt;&gt;"",IF(AND(#REF!="Padrão",$H$4=#REF!),BDI!$B$17,IF(AND(#REF!="Padrão",$H$4=#REF!),BDI!#REF!,IF(AND(#REF!="Diferenciado",$H$4=#REF!),BDI!$E$17,IF(AND(#REF!="Diferenciado",$H$4=#REF!),BDI!#REF!,IF(#REF!="ZERO",0))))),"")</f>
        <v>#REF!</v>
      </c>
      <c r="H1340" s="138" t="e">
        <f t="shared" ca="1" si="70"/>
        <v>#REF!</v>
      </c>
      <c r="I1340" s="136" t="e">
        <f t="shared" ca="1" si="71"/>
        <v>#REF!</v>
      </c>
    </row>
    <row r="1341" spans="1:9" hidden="1" x14ac:dyDescent="0.25">
      <c r="A1341" s="113" t="s">
        <v>3746</v>
      </c>
      <c r="B1341" s="114" t="s">
        <v>3747</v>
      </c>
      <c r="C1341" s="115" t="s">
        <v>93</v>
      </c>
      <c r="D1341" s="115">
        <v>0</v>
      </c>
      <c r="E1341" s="135">
        <f ca="1">OFFSET(INDEX(Composições!A:J,MATCH(Orçamentária!A1341,Composições!A:A,0),8),2,0)</f>
        <v>10.327070000000001</v>
      </c>
      <c r="F1341" s="136">
        <f t="shared" ca="1" si="69"/>
        <v>0</v>
      </c>
      <c r="G1341" s="137" t="e">
        <f>IF(A1341&lt;&gt;"",IF(AND(#REF!="Padrão",$H$4=#REF!),BDI!$B$17,IF(AND(#REF!="Padrão",$H$4=#REF!),BDI!#REF!,IF(AND(#REF!="Diferenciado",$H$4=#REF!),BDI!$E$17,IF(AND(#REF!="Diferenciado",$H$4=#REF!),BDI!#REF!,IF(#REF!="ZERO",0))))),"")</f>
        <v>#REF!</v>
      </c>
      <c r="H1341" s="138" t="e">
        <f t="shared" ca="1" si="70"/>
        <v>#REF!</v>
      </c>
      <c r="I1341" s="136" t="e">
        <f t="shared" ca="1" si="71"/>
        <v>#REF!</v>
      </c>
    </row>
    <row r="1342" spans="1:9" hidden="1" x14ac:dyDescent="0.25">
      <c r="A1342" s="113" t="s">
        <v>3748</v>
      </c>
      <c r="B1342" s="114" t="s">
        <v>3749</v>
      </c>
      <c r="C1342" s="115" t="s">
        <v>93</v>
      </c>
      <c r="D1342" s="115">
        <v>0</v>
      </c>
      <c r="E1342" s="135" t="s">
        <v>568</v>
      </c>
      <c r="F1342" s="136" t="str">
        <f t="shared" si="69"/>
        <v/>
      </c>
      <c r="G1342" s="137" t="e">
        <f>IF(A1342&lt;&gt;"",IF(AND(#REF!="Padrão",$H$4=#REF!),BDI!$B$17,IF(AND(#REF!="Padrão",$H$4=#REF!),BDI!#REF!,IF(AND(#REF!="Diferenciado",$H$4=#REF!),BDI!$E$17,IF(AND(#REF!="Diferenciado",$H$4=#REF!),BDI!#REF!,IF(#REF!="ZERO",0))))),"")</f>
        <v>#REF!</v>
      </c>
      <c r="H1342" s="138" t="str">
        <f t="shared" si="70"/>
        <v/>
      </c>
      <c r="I1342" s="136" t="str">
        <f t="shared" si="71"/>
        <v/>
      </c>
    </row>
    <row r="1343" spans="1:9" hidden="1" x14ac:dyDescent="0.25">
      <c r="A1343" s="113" t="s">
        <v>3750</v>
      </c>
      <c r="B1343" s="114" t="s">
        <v>3751</v>
      </c>
      <c r="C1343" s="115" t="s">
        <v>93</v>
      </c>
      <c r="D1343" s="115">
        <v>0</v>
      </c>
      <c r="E1343" s="135" t="s">
        <v>568</v>
      </c>
      <c r="F1343" s="136" t="str">
        <f t="shared" si="69"/>
        <v/>
      </c>
      <c r="G1343" s="137" t="e">
        <f>IF(A1343&lt;&gt;"",IF(AND(#REF!="Padrão",$H$4=#REF!),BDI!$B$17,IF(AND(#REF!="Padrão",$H$4=#REF!),BDI!#REF!,IF(AND(#REF!="Diferenciado",$H$4=#REF!),BDI!$E$17,IF(AND(#REF!="Diferenciado",$H$4=#REF!),BDI!#REF!,IF(#REF!="ZERO",0))))),"")</f>
        <v>#REF!</v>
      </c>
      <c r="H1343" s="138" t="str">
        <f t="shared" si="70"/>
        <v/>
      </c>
      <c r="I1343" s="136" t="str">
        <f t="shared" si="71"/>
        <v/>
      </c>
    </row>
    <row r="1344" spans="1:9" hidden="1" x14ac:dyDescent="0.25">
      <c r="A1344" s="113" t="s">
        <v>3752</v>
      </c>
      <c r="B1344" s="114" t="s">
        <v>3753</v>
      </c>
      <c r="C1344" s="115" t="s">
        <v>20</v>
      </c>
      <c r="D1344" s="115">
        <v>0</v>
      </c>
      <c r="E1344" s="135">
        <f ca="1">OFFSET(INDEX(Composições!A:J,MATCH(Orçamentária!A1344,Composições!A:A,0),8),2,0)</f>
        <v>828.23455871461294</v>
      </c>
      <c r="F1344" s="136">
        <f t="shared" ref="F1344" ca="1" si="72">IF(ISNUMBER(E1344),D1344*E1344,"")</f>
        <v>0</v>
      </c>
      <c r="G1344" s="137" t="e">
        <f>IF(A1344&lt;&gt;"",IF(AND(#REF!="Padrão",$H$4=#REF!),BDI!$B$17,IF(AND(#REF!="Padrão",$H$4=#REF!),BDI!#REF!,IF(AND(#REF!="Diferenciado",$H$4=#REF!),BDI!$E$17,IF(AND(#REF!="Diferenciado",$H$4=#REF!),BDI!#REF!,IF(#REF!="ZERO",0))))),"")</f>
        <v>#REF!</v>
      </c>
      <c r="H1344" s="138" t="e">
        <f t="shared" ref="H1344" ca="1" si="73">IF(ISNUMBER(E1344),ROUND(E1344*(1+G1344),2),"")</f>
        <v>#REF!</v>
      </c>
      <c r="I1344" s="136" t="e">
        <f t="shared" ref="I1344" ca="1" si="74">IF(ISNUMBER(E1344),ROUND(H1344*D1344,2),"")</f>
        <v>#REF!</v>
      </c>
    </row>
    <row r="1345" spans="1:9" hidden="1" x14ac:dyDescent="0.25">
      <c r="A1345" s="113" t="s">
        <v>3784</v>
      </c>
      <c r="B1345" s="114" t="s">
        <v>3785</v>
      </c>
      <c r="C1345" s="115" t="s">
        <v>20</v>
      </c>
      <c r="D1345" s="115">
        <v>0</v>
      </c>
      <c r="E1345" s="135" t="s">
        <v>568</v>
      </c>
      <c r="F1345" s="136" t="str">
        <f t="shared" ref="F1345:F1349" si="75">IF(ISNUMBER(E1345),D1345*E1345,"")</f>
        <v/>
      </c>
      <c r="G1345" s="137" t="e">
        <f>IF(A1345&lt;&gt;"",IF(AND(#REF!="Padrão",$H$4=#REF!),BDI!$B$17,IF(AND(#REF!="Padrão",$H$4=#REF!),BDI!#REF!,IF(AND(#REF!="Diferenciado",$H$4=#REF!),BDI!$E$17,IF(AND(#REF!="Diferenciado",$H$4=#REF!),BDI!#REF!,IF(#REF!="ZERO",0))))),"")</f>
        <v>#REF!</v>
      </c>
      <c r="H1345" s="138" t="str">
        <f t="shared" ref="H1345:H1349" si="76">IF(ISNUMBER(E1345),ROUND(E1345*(1+G1345),2),"")</f>
        <v/>
      </c>
      <c r="I1345" s="136" t="str">
        <f t="shared" ref="I1345:I1349" si="77">IF(ISNUMBER(E1345),ROUND(H1345*D1345,2),"")</f>
        <v/>
      </c>
    </row>
    <row r="1346" spans="1:9" hidden="1" x14ac:dyDescent="0.25">
      <c r="A1346" s="113" t="s">
        <v>3786</v>
      </c>
      <c r="B1346" s="114" t="s">
        <v>3787</v>
      </c>
      <c r="C1346" s="115" t="s">
        <v>20</v>
      </c>
      <c r="D1346" s="115">
        <v>0</v>
      </c>
      <c r="E1346" s="135" t="s">
        <v>568</v>
      </c>
      <c r="F1346" s="136" t="str">
        <f t="shared" si="75"/>
        <v/>
      </c>
      <c r="G1346" s="137" t="e">
        <f>IF(A1346&lt;&gt;"",IF(AND(#REF!="Padrão",$H$4=#REF!),BDI!$B$17,IF(AND(#REF!="Padrão",$H$4=#REF!),BDI!#REF!,IF(AND(#REF!="Diferenciado",$H$4=#REF!),BDI!$E$17,IF(AND(#REF!="Diferenciado",$H$4=#REF!),BDI!#REF!,IF(#REF!="ZERO",0))))),"")</f>
        <v>#REF!</v>
      </c>
      <c r="H1346" s="138" t="str">
        <f t="shared" si="76"/>
        <v/>
      </c>
      <c r="I1346" s="136" t="str">
        <f t="shared" si="77"/>
        <v/>
      </c>
    </row>
    <row r="1347" spans="1:9" hidden="1" x14ac:dyDescent="0.25">
      <c r="A1347" s="113" t="s">
        <v>3788</v>
      </c>
      <c r="B1347" s="114" t="s">
        <v>3789</v>
      </c>
      <c r="C1347" s="115" t="s">
        <v>93</v>
      </c>
      <c r="D1347" s="115">
        <v>0</v>
      </c>
      <c r="E1347" s="135">
        <f ca="1">OFFSET(INDEX(Composições!A:J,MATCH(Orçamentária!A1347,Composições!A:A,0),8),2,0)</f>
        <v>23.417602600000002</v>
      </c>
      <c r="F1347" s="136">
        <f t="shared" ca="1" si="75"/>
        <v>0</v>
      </c>
      <c r="G1347" s="137" t="e">
        <f>IF(A1347&lt;&gt;"",IF(AND(#REF!="Padrão",$H$4=#REF!),BDI!$B$17,IF(AND(#REF!="Padrão",$H$4=#REF!),BDI!#REF!,IF(AND(#REF!="Diferenciado",$H$4=#REF!),BDI!$E$17,IF(AND(#REF!="Diferenciado",$H$4=#REF!),BDI!#REF!,IF(#REF!="ZERO",0))))),"")</f>
        <v>#REF!</v>
      </c>
      <c r="H1347" s="138" t="e">
        <f t="shared" ca="1" si="76"/>
        <v>#REF!</v>
      </c>
      <c r="I1347" s="136" t="e">
        <f t="shared" ca="1" si="77"/>
        <v>#REF!</v>
      </c>
    </row>
    <row r="1348" spans="1:9" hidden="1" x14ac:dyDescent="0.25">
      <c r="A1348" s="113" t="s">
        <v>3790</v>
      </c>
      <c r="B1348" s="114" t="s">
        <v>3791</v>
      </c>
      <c r="C1348" s="115" t="s">
        <v>93</v>
      </c>
      <c r="D1348" s="115">
        <v>0</v>
      </c>
      <c r="E1348" s="135">
        <f ca="1">OFFSET(INDEX(Composições!A:J,MATCH(Orçamentária!A1348,Composições!A:A,0),8),2,0)</f>
        <v>31.056546900000004</v>
      </c>
      <c r="F1348" s="136">
        <f t="shared" ca="1" si="75"/>
        <v>0</v>
      </c>
      <c r="G1348" s="137" t="e">
        <f>IF(A1348&lt;&gt;"",IF(AND(#REF!="Padrão",$H$4=#REF!),BDI!$B$17,IF(AND(#REF!="Padrão",$H$4=#REF!),BDI!#REF!,IF(AND(#REF!="Diferenciado",$H$4=#REF!),BDI!$E$17,IF(AND(#REF!="Diferenciado",$H$4=#REF!),BDI!#REF!,IF(#REF!="ZERO",0))))),"")</f>
        <v>#REF!</v>
      </c>
      <c r="H1348" s="138" t="e">
        <f t="shared" ca="1" si="76"/>
        <v>#REF!</v>
      </c>
      <c r="I1348" s="136" t="e">
        <f t="shared" ca="1" si="77"/>
        <v>#REF!</v>
      </c>
    </row>
    <row r="1349" spans="1:9" hidden="1" x14ac:dyDescent="0.25">
      <c r="A1349" s="113" t="s">
        <v>3792</v>
      </c>
      <c r="B1349" s="114" t="s">
        <v>3793</v>
      </c>
      <c r="C1349" s="115" t="s">
        <v>20</v>
      </c>
      <c r="D1349" s="115">
        <v>0</v>
      </c>
      <c r="E1349" s="135" t="s">
        <v>568</v>
      </c>
      <c r="F1349" s="136" t="str">
        <f t="shared" si="75"/>
        <v/>
      </c>
      <c r="G1349" s="137" t="e">
        <f>IF(A1349&lt;&gt;"",IF(AND(#REF!="Padrão",$H$4=#REF!),BDI!$B$17,IF(AND(#REF!="Padrão",$H$4=#REF!),BDI!#REF!,IF(AND(#REF!="Diferenciado",$H$4=#REF!),BDI!$E$17,IF(AND(#REF!="Diferenciado",$H$4=#REF!),BDI!#REF!,IF(#REF!="ZERO",0))))),"")</f>
        <v>#REF!</v>
      </c>
      <c r="H1349" s="138" t="str">
        <f t="shared" si="76"/>
        <v/>
      </c>
      <c r="I1349" s="136" t="str">
        <f t="shared" si="77"/>
        <v/>
      </c>
    </row>
    <row r="1350" spans="1:9" hidden="1" x14ac:dyDescent="0.25">
      <c r="A1350" s="113" t="s">
        <v>3794</v>
      </c>
      <c r="B1350" s="114" t="s">
        <v>3796</v>
      </c>
      <c r="C1350" s="115" t="s">
        <v>20</v>
      </c>
      <c r="D1350" s="115">
        <v>0</v>
      </c>
      <c r="E1350" s="135" t="s">
        <v>568</v>
      </c>
      <c r="F1350" s="136" t="str">
        <f t="shared" ref="F1350:F1352" si="78">IF(ISNUMBER(E1350),D1350*E1350,"")</f>
        <v/>
      </c>
      <c r="G1350" s="137" t="e">
        <f>IF(A1350&lt;&gt;"",IF(AND(#REF!="Padrão",$H$4=#REF!),BDI!$B$17,IF(AND(#REF!="Padrão",$H$4=#REF!),BDI!#REF!,IF(AND(#REF!="Diferenciado",$H$4=#REF!),BDI!$E$17,IF(AND(#REF!="Diferenciado",$H$4=#REF!),BDI!#REF!,IF(#REF!="ZERO",0))))),"")</f>
        <v>#REF!</v>
      </c>
      <c r="H1350" s="138" t="str">
        <f t="shared" ref="H1350:H1352" si="79">IF(ISNUMBER(E1350),ROUND(E1350*(1+G1350),2),"")</f>
        <v/>
      </c>
      <c r="I1350" s="136" t="str">
        <f t="shared" ref="I1350:I1352" si="80">IF(ISNUMBER(E1350),ROUND(H1350*D1350,2),"")</f>
        <v/>
      </c>
    </row>
    <row r="1351" spans="1:9" ht="25.5" hidden="1" x14ac:dyDescent="0.25">
      <c r="A1351" s="113" t="s">
        <v>3795</v>
      </c>
      <c r="B1351" s="114" t="s">
        <v>3797</v>
      </c>
      <c r="C1351" s="115" t="s">
        <v>20</v>
      </c>
      <c r="D1351" s="115">
        <v>0</v>
      </c>
      <c r="E1351" s="135" t="s">
        <v>568</v>
      </c>
      <c r="F1351" s="136" t="str">
        <f t="shared" si="78"/>
        <v/>
      </c>
      <c r="G1351" s="137" t="e">
        <f>IF(A1351&lt;&gt;"",IF(AND(#REF!="Padrão",$H$4=#REF!),BDI!$B$17,IF(AND(#REF!="Padrão",$H$4=#REF!),BDI!#REF!,IF(AND(#REF!="Diferenciado",$H$4=#REF!),BDI!$E$17,IF(AND(#REF!="Diferenciado",$H$4=#REF!),BDI!#REF!,IF(#REF!="ZERO",0))))),"")</f>
        <v>#REF!</v>
      </c>
      <c r="H1351" s="138" t="str">
        <f t="shared" si="79"/>
        <v/>
      </c>
      <c r="I1351" s="136" t="str">
        <f t="shared" si="80"/>
        <v/>
      </c>
    </row>
    <row r="1352" spans="1:9" hidden="1" x14ac:dyDescent="0.25">
      <c r="A1352" s="113" t="s">
        <v>3801</v>
      </c>
      <c r="B1352" s="114" t="s">
        <v>3802</v>
      </c>
      <c r="C1352" s="115" t="s">
        <v>20</v>
      </c>
      <c r="D1352" s="115">
        <v>0</v>
      </c>
      <c r="E1352" s="135" t="s">
        <v>568</v>
      </c>
      <c r="F1352" s="136" t="str">
        <f t="shared" si="78"/>
        <v/>
      </c>
      <c r="G1352" s="137" t="e">
        <f>IF(A1352&lt;&gt;"",IF(AND(#REF!="Padrão",$H$4=#REF!),BDI!$B$17,IF(AND(#REF!="Padrão",$H$4=#REF!),BDI!#REF!,IF(AND(#REF!="Diferenciado",$H$4=#REF!),BDI!$E$17,IF(AND(#REF!="Diferenciado",$H$4=#REF!),BDI!#REF!,IF(#REF!="ZERO",0))))),"")</f>
        <v>#REF!</v>
      </c>
      <c r="H1352" s="138" t="str">
        <f t="shared" si="79"/>
        <v/>
      </c>
      <c r="I1352" s="136" t="str">
        <f t="shared" si="80"/>
        <v/>
      </c>
    </row>
    <row r="1353" spans="1:9" hidden="1" x14ac:dyDescent="0.25">
      <c r="A1353" s="113" t="s">
        <v>3799</v>
      </c>
      <c r="B1353" s="114" t="s">
        <v>3800</v>
      </c>
      <c r="C1353" s="115" t="s">
        <v>3045</v>
      </c>
      <c r="D1353" s="115">
        <v>0</v>
      </c>
      <c r="E1353" s="135" t="s">
        <v>568</v>
      </c>
      <c r="F1353" s="136" t="str">
        <f t="shared" ref="F1353" si="81">IF(ISNUMBER(E1353),D1353*E1353,"")</f>
        <v/>
      </c>
      <c r="G1353" s="137" t="e">
        <f>IF(A1353&lt;&gt;"",IF(AND(#REF!="Padrão",$H$4=#REF!),BDI!$B$17,IF(AND(#REF!="Padrão",$H$4=#REF!),BDI!#REF!,IF(AND(#REF!="Diferenciado",$H$4=#REF!),BDI!$E$17,IF(AND(#REF!="Diferenciado",$H$4=#REF!),BDI!#REF!,IF(#REF!="ZERO",0))))),"")</f>
        <v>#REF!</v>
      </c>
      <c r="H1353" s="138" t="str">
        <f t="shared" ref="H1353" si="82">IF(ISNUMBER(E1353),ROUND(E1353*(1+G1353),2),"")</f>
        <v/>
      </c>
      <c r="I1353" s="136" t="str">
        <f t="shared" ref="I1353" si="83">IF(ISNUMBER(E1353),ROUND(H1353*D1353,2),"")</f>
        <v/>
      </c>
    </row>
    <row r="1354" spans="1:9" hidden="1" x14ac:dyDescent="0.25">
      <c r="A1354" s="113" t="s">
        <v>3815</v>
      </c>
      <c r="B1354" s="114" t="s">
        <v>3818</v>
      </c>
      <c r="C1354" s="115" t="s">
        <v>95</v>
      </c>
      <c r="D1354" s="115">
        <v>0</v>
      </c>
      <c r="E1354" s="135" t="s">
        <v>568</v>
      </c>
      <c r="F1354" s="136" t="str">
        <f t="shared" ref="F1354:F1356" si="84">IF(ISNUMBER(E1354),D1354*E1354,"")</f>
        <v/>
      </c>
      <c r="G1354" s="137" t="e">
        <f>IF(A1354&lt;&gt;"",IF(AND(#REF!="Padrão",$H$4=#REF!),BDI!$B$17,IF(AND(#REF!="Padrão",$H$4=#REF!),BDI!#REF!,IF(AND(#REF!="Diferenciado",$H$4=#REF!),BDI!$E$17,IF(AND(#REF!="Diferenciado",$H$4=#REF!),BDI!#REF!,IF(#REF!="ZERO",0))))),"")</f>
        <v>#REF!</v>
      </c>
      <c r="H1354" s="138" t="str">
        <f t="shared" ref="H1354:H1356" si="85">IF(ISNUMBER(E1354),ROUND(E1354*(1+G1354),2),"")</f>
        <v/>
      </c>
      <c r="I1354" s="136" t="str">
        <f t="shared" ref="I1354:I1356" si="86">IF(ISNUMBER(E1354),ROUND(H1354*D1354,2),"")</f>
        <v/>
      </c>
    </row>
    <row r="1355" spans="1:9" hidden="1" x14ac:dyDescent="0.25">
      <c r="A1355" s="113" t="s">
        <v>3816</v>
      </c>
      <c r="B1355" s="114" t="s">
        <v>3819</v>
      </c>
      <c r="C1355" s="115" t="s">
        <v>95</v>
      </c>
      <c r="D1355" s="115">
        <v>0</v>
      </c>
      <c r="E1355" s="135" t="s">
        <v>568</v>
      </c>
      <c r="F1355" s="136" t="str">
        <f t="shared" si="84"/>
        <v/>
      </c>
      <c r="G1355" s="137" t="e">
        <f>IF(A1355&lt;&gt;"",IF(AND(#REF!="Padrão",$H$4=#REF!),BDI!$B$17,IF(AND(#REF!="Padrão",$H$4=#REF!),BDI!#REF!,IF(AND(#REF!="Diferenciado",$H$4=#REF!),BDI!$E$17,IF(AND(#REF!="Diferenciado",$H$4=#REF!),BDI!#REF!,IF(#REF!="ZERO",0))))),"")</f>
        <v>#REF!</v>
      </c>
      <c r="H1355" s="138" t="str">
        <f t="shared" si="85"/>
        <v/>
      </c>
      <c r="I1355" s="136" t="str">
        <f t="shared" si="86"/>
        <v/>
      </c>
    </row>
    <row r="1356" spans="1:9" hidden="1" x14ac:dyDescent="0.25">
      <c r="A1356" s="113" t="s">
        <v>3817</v>
      </c>
      <c r="B1356" s="114" t="s">
        <v>3820</v>
      </c>
      <c r="C1356" s="115" t="s">
        <v>95</v>
      </c>
      <c r="D1356" s="115">
        <v>0</v>
      </c>
      <c r="E1356" s="135" t="s">
        <v>568</v>
      </c>
      <c r="F1356" s="136" t="str">
        <f t="shared" si="84"/>
        <v/>
      </c>
      <c r="G1356" s="137" t="e">
        <f>IF(A1356&lt;&gt;"",IF(AND(#REF!="Padrão",$H$4=#REF!),BDI!$B$17,IF(AND(#REF!="Padrão",$H$4=#REF!),BDI!#REF!,IF(AND(#REF!="Diferenciado",$H$4=#REF!),BDI!$E$17,IF(AND(#REF!="Diferenciado",$H$4=#REF!),BDI!#REF!,IF(#REF!="ZERO",0))))),"")</f>
        <v>#REF!</v>
      </c>
      <c r="H1356" s="138" t="str">
        <f t="shared" si="85"/>
        <v/>
      </c>
      <c r="I1356" s="136" t="str">
        <f t="shared" si="86"/>
        <v/>
      </c>
    </row>
    <row r="1357" spans="1:9" ht="3.75" customHeight="1" thickBot="1" x14ac:dyDescent="0.3">
      <c r="A1357" s="200"/>
      <c r="B1357" s="201"/>
      <c r="C1357" s="202"/>
      <c r="D1357" s="202"/>
      <c r="E1357" s="202"/>
      <c r="F1357" s="203"/>
      <c r="G1357" s="203"/>
      <c r="H1357" s="204"/>
      <c r="I1357" s="205"/>
    </row>
    <row r="1358" spans="1:9" ht="15.75" thickBot="1" x14ac:dyDescent="0.3">
      <c r="A1358" s="144">
        <f>SUBTOTAL(103,A6:A1357)</f>
        <v>128</v>
      </c>
      <c r="B1358" s="206"/>
      <c r="C1358" s="143"/>
      <c r="D1358" s="207"/>
      <c r="E1358" s="207"/>
      <c r="F1358" s="141"/>
      <c r="G1358" s="207"/>
      <c r="H1358" s="207" t="s">
        <v>1549</v>
      </c>
      <c r="I1358" s="139">
        <f ca="1">SUBTOTAL(109,F6:F1357)</f>
        <v>503339.86945326696</v>
      </c>
    </row>
    <row r="1359" spans="1:9" ht="15.75" thickBot="1" x14ac:dyDescent="0.3">
      <c r="A1359" s="208"/>
      <c r="B1359" s="209"/>
      <c r="C1359" s="143"/>
      <c r="D1359" s="210"/>
      <c r="E1359" s="210"/>
      <c r="F1359" s="142"/>
      <c r="G1359" s="211"/>
      <c r="H1359" s="211" t="s">
        <v>7</v>
      </c>
      <c r="I1359" s="140">
        <f ca="1">SUBTOTAL(109,I6:I1357)</f>
        <v>593034.67000000016</v>
      </c>
    </row>
    <row r="1360" spans="1:9" x14ac:dyDescent="0.25">
      <c r="A1360" s="3"/>
      <c r="B1360" s="117"/>
      <c r="C1360" s="3"/>
      <c r="D1360" s="118"/>
      <c r="E1360" s="119"/>
      <c r="F1360" s="120"/>
      <c r="G1360" s="119"/>
      <c r="H1360" s="119"/>
      <c r="I1360" s="120"/>
    </row>
    <row r="1361" spans="1:9" x14ac:dyDescent="0.25">
      <c r="A1361" s="3"/>
      <c r="B1361" s="117"/>
      <c r="C1361" s="3"/>
      <c r="D1361" s="121"/>
      <c r="E1361" s="122"/>
      <c r="F1361" s="122"/>
      <c r="G1361" s="122"/>
      <c r="H1361" s="122"/>
      <c r="I1361" s="122"/>
    </row>
  </sheetData>
  <sheetProtection algorithmName="SHA-512" hashValue="BD0mhww2Gs1uWZJo5KKOJ/WyBVl+BBOUVvwCqdPbRTf1F9D+3YrVGZTcirAEIgTCA3Un6zyW2lJe+aHcxLUUlA==" saltValue="vNMzYGZrZoJ3bx9uZU9Ldw==" spinCount="100000" sheet="1" objects="1" scenarios="1"/>
  <autoFilter ref="A5:I1358">
    <filterColumn colId="3">
      <filters blank="1">
        <filter val="0,20"/>
        <filter val="0,97"/>
        <filter val="1,00"/>
        <filter val="1,60"/>
        <filter val="1,70"/>
        <filter val="1,74"/>
        <filter val="1.790,00"/>
        <filter val="10,00"/>
        <filter val="102,13"/>
        <filter val="107,00"/>
        <filter val="11,00"/>
        <filter val="110,00"/>
        <filter val="113,00"/>
        <filter val="116,63"/>
        <filter val="12,00"/>
        <filter val="120,00"/>
        <filter val="128,03"/>
        <filter val="15,00"/>
        <filter val="15,23"/>
        <filter val="155,50"/>
        <filter val="156,00"/>
        <filter val="158,60"/>
        <filter val="160,00"/>
        <filter val="17,00"/>
        <filter val="18,00"/>
        <filter val="19,00"/>
        <filter val="196,20"/>
        <filter val="2,00"/>
        <filter val="2,70"/>
        <filter val="2.921,00"/>
        <filter val="20,00"/>
        <filter val="207,11"/>
        <filter val="212,81"/>
        <filter val="22,20"/>
        <filter val="22,73"/>
        <filter val="235,00"/>
        <filter val="238,20"/>
        <filter val="24,00"/>
        <filter val="246,00"/>
        <filter val="25,78"/>
        <filter val="256,65"/>
        <filter val="268,83"/>
        <filter val="3,00"/>
        <filter val="3,09"/>
        <filter val="3,92"/>
        <filter val="30,00"/>
        <filter val="310,61"/>
        <filter val="318,60"/>
        <filter val="323,20"/>
        <filter val="330,00"/>
        <filter val="34,00"/>
        <filter val="35,27"/>
        <filter val="370,00"/>
        <filter val="370,15"/>
        <filter val="382,00"/>
        <filter val="4,00"/>
        <filter val="4,72"/>
        <filter val="4,83"/>
        <filter val="4,95"/>
        <filter val="44,70"/>
        <filter val="492,00"/>
        <filter val="5,00"/>
        <filter val="5,04"/>
        <filter val="5,50"/>
        <filter val="52,18"/>
        <filter val="52,30"/>
        <filter val="54,67"/>
        <filter val="583,93"/>
        <filter val="59,00"/>
        <filter val="6,00"/>
        <filter val="6,10"/>
        <filter val="6,46"/>
        <filter val="6,47"/>
        <filter val="67,00"/>
        <filter val="68,00"/>
        <filter val="68,05"/>
        <filter val="7,00"/>
        <filter val="738,00"/>
        <filter val="8,00"/>
        <filter val="83,00"/>
        <filter val="9,00"/>
        <filter val="9,20"/>
        <filter val="91,00"/>
        <filter val="92,18"/>
        <filter val="926,64"/>
        <filter val="93,00"/>
        <filter val="94,23"/>
      </filters>
    </filterColumn>
  </autoFilter>
  <conditionalFormatting sqref="C6">
    <cfRule type="containsBlanks" dxfId="21" priority="36">
      <formula>LEN(TRIM(C6))=0</formula>
    </cfRule>
    <cfRule type="containsBlanks" priority="37">
      <formula>LEN(TRIM(C6))=0</formula>
    </cfRule>
  </conditionalFormatting>
  <conditionalFormatting sqref="C341:C354">
    <cfRule type="containsBlanks" dxfId="20" priority="34">
      <formula>LEN(TRIM(C341))=0</formula>
    </cfRule>
    <cfRule type="containsBlanks" priority="35">
      <formula>LEN(TRIM(C341))=0</formula>
    </cfRule>
  </conditionalFormatting>
  <conditionalFormatting sqref="C355:C356">
    <cfRule type="containsBlanks" dxfId="19" priority="32">
      <formula>LEN(TRIM(C355))=0</formula>
    </cfRule>
    <cfRule type="containsBlanks" priority="33">
      <formula>LEN(TRIM(C355))=0</formula>
    </cfRule>
  </conditionalFormatting>
  <conditionalFormatting sqref="C340">
    <cfRule type="containsBlanks" dxfId="18" priority="30">
      <formula>LEN(TRIM(C340))=0</formula>
    </cfRule>
    <cfRule type="containsBlanks" priority="31">
      <formula>LEN(TRIM(C340))=0</formula>
    </cfRule>
  </conditionalFormatting>
  <conditionalFormatting sqref="C942:C943">
    <cfRule type="containsBlanks" dxfId="17" priority="28">
      <formula>LEN(TRIM(C942))=0</formula>
    </cfRule>
    <cfRule type="containsBlanks" priority="29">
      <formula>LEN(TRIM(C942))=0</formula>
    </cfRule>
  </conditionalFormatting>
  <conditionalFormatting sqref="C59">
    <cfRule type="containsBlanks" dxfId="16" priority="26">
      <formula>LEN(TRIM(C59))=0</formula>
    </cfRule>
    <cfRule type="containsBlanks" priority="27">
      <formula>LEN(TRIM(C59))=0</formula>
    </cfRule>
  </conditionalFormatting>
  <conditionalFormatting sqref="C61">
    <cfRule type="containsBlanks" dxfId="15" priority="24">
      <formula>LEN(TRIM(C61))=0</formula>
    </cfRule>
    <cfRule type="containsBlanks" priority="25">
      <formula>LEN(TRIM(C61))=0</formula>
    </cfRule>
  </conditionalFormatting>
  <conditionalFormatting sqref="C1091">
    <cfRule type="containsBlanks" dxfId="14" priority="22">
      <formula>LEN(TRIM(C1091))=0</formula>
    </cfRule>
    <cfRule type="containsBlanks" priority="23">
      <formula>LEN(TRIM(C1091))=0</formula>
    </cfRule>
  </conditionalFormatting>
  <conditionalFormatting sqref="C1092">
    <cfRule type="containsBlanks" dxfId="13" priority="20">
      <formula>LEN(TRIM(C1092))=0</formula>
    </cfRule>
    <cfRule type="containsBlanks" priority="21">
      <formula>LEN(TRIM(C1092))=0</formula>
    </cfRule>
  </conditionalFormatting>
  <conditionalFormatting sqref="C1093:C1101">
    <cfRule type="containsBlanks" dxfId="12" priority="18">
      <formula>LEN(TRIM(C1093))=0</formula>
    </cfRule>
    <cfRule type="containsBlanks" priority="19">
      <formula>LEN(TRIM(C1093))=0</formula>
    </cfRule>
  </conditionalFormatting>
  <conditionalFormatting sqref="C1104:C1105">
    <cfRule type="containsBlanks" dxfId="11" priority="16">
      <formula>LEN(TRIM(C1104))=0</formula>
    </cfRule>
    <cfRule type="containsBlanks" priority="17">
      <formula>LEN(TRIM(C1104))=0</formula>
    </cfRule>
  </conditionalFormatting>
  <conditionalFormatting sqref="B1357 B6:B363 B371:B1299 B365">
    <cfRule type="duplicateValues" dxfId="10" priority="11"/>
  </conditionalFormatting>
  <conditionalFormatting sqref="B366:B370">
    <cfRule type="duplicateValues" dxfId="9" priority="10"/>
  </conditionalFormatting>
  <conditionalFormatting sqref="B364">
    <cfRule type="duplicateValues" dxfId="8" priority="9"/>
  </conditionalFormatting>
  <conditionalFormatting sqref="B1300:B1344">
    <cfRule type="duplicateValues" dxfId="7" priority="1966"/>
  </conditionalFormatting>
  <conditionalFormatting sqref="B1345:B1348">
    <cfRule type="duplicateValues" dxfId="6" priority="7"/>
  </conditionalFormatting>
  <conditionalFormatting sqref="B1349">
    <cfRule type="duplicateValues" dxfId="5" priority="6"/>
  </conditionalFormatting>
  <conditionalFormatting sqref="B1350">
    <cfRule type="duplicateValues" dxfId="4" priority="5"/>
  </conditionalFormatting>
  <conditionalFormatting sqref="B1351">
    <cfRule type="duplicateValues" dxfId="3" priority="4"/>
  </conditionalFormatting>
  <conditionalFormatting sqref="B1353">
    <cfRule type="duplicateValues" dxfId="2" priority="3"/>
  </conditionalFormatting>
  <conditionalFormatting sqref="B1352">
    <cfRule type="duplicateValues" dxfId="1" priority="2"/>
  </conditionalFormatting>
  <conditionalFormatting sqref="B1354:B1356">
    <cfRule type="duplicateValues" dxfId="0" priority="1"/>
  </conditionalFormatting>
  <printOptions horizontalCentered="1"/>
  <pageMargins left="0.19685039370078741" right="0.19685039370078741" top="1.1811023622047245" bottom="0.59055118110236227" header="0.19685039370078741" footer="0.19685039370078741"/>
  <pageSetup paperSize="9" scale="53" fitToHeight="0" orientation="landscape" horizontalDpi="4294967295" verticalDpi="4294967295" r:id="rId1"/>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8">
    <pageSetUpPr fitToPage="1"/>
  </sheetPr>
  <dimension ref="A1:E41"/>
  <sheetViews>
    <sheetView zoomScale="80" zoomScaleNormal="80" workbookViewId="0">
      <selection activeCell="F22" sqref="F22"/>
    </sheetView>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34" t="str">
        <f>Orçamentária!A1</f>
        <v>Reforma do Centro de Treinamento da SPOL</v>
      </c>
      <c r="B1" s="123"/>
      <c r="C1" s="123"/>
      <c r="D1" s="123"/>
      <c r="E1" s="123"/>
    </row>
    <row r="2" spans="1:5" ht="24.95" customHeight="1" x14ac:dyDescent="0.25">
      <c r="A2" s="107" t="s">
        <v>3395</v>
      </c>
      <c r="B2" s="107"/>
      <c r="C2" s="107"/>
      <c r="D2" s="107"/>
      <c r="E2" s="107"/>
    </row>
    <row r="3" spans="1:5" ht="18" customHeight="1" thickBot="1" x14ac:dyDescent="0.3">
      <c r="A3" s="125"/>
      <c r="B3" s="125"/>
      <c r="C3" s="126"/>
      <c r="D3" s="125"/>
      <c r="E3" s="125"/>
    </row>
    <row r="4" spans="1:5" ht="24.95" customHeight="1" thickBot="1" x14ac:dyDescent="0.3">
      <c r="A4" s="213" t="s">
        <v>3396</v>
      </c>
      <c r="B4" s="214"/>
      <c r="C4" s="215"/>
      <c r="D4" s="213" t="s">
        <v>3397</v>
      </c>
      <c r="E4" s="214"/>
    </row>
    <row r="5" spans="1:5" ht="20.100000000000001" customHeight="1" x14ac:dyDescent="0.25">
      <c r="A5" s="216" t="s">
        <v>3398</v>
      </c>
      <c r="B5" s="217" t="s">
        <v>3399</v>
      </c>
      <c r="C5" s="218"/>
      <c r="D5" s="216" t="s">
        <v>3398</v>
      </c>
      <c r="E5" s="217" t="s">
        <v>3399</v>
      </c>
    </row>
    <row r="6" spans="1:5" ht="20.100000000000001" customHeight="1" x14ac:dyDescent="0.25">
      <c r="A6" s="219"/>
      <c r="B6" s="220" t="s">
        <v>3400</v>
      </c>
      <c r="C6" s="218"/>
      <c r="D6" s="219"/>
      <c r="E6" s="220" t="s">
        <v>3400</v>
      </c>
    </row>
    <row r="7" spans="1:5" ht="20.100000000000001" customHeight="1" x14ac:dyDescent="0.25">
      <c r="A7" s="221"/>
      <c r="B7" s="222" t="s">
        <v>3401</v>
      </c>
      <c r="C7" s="218"/>
      <c r="D7" s="221"/>
      <c r="E7" s="222" t="s">
        <v>3401</v>
      </c>
    </row>
    <row r="8" spans="1:5" ht="20.100000000000001" customHeight="1" x14ac:dyDescent="0.25">
      <c r="A8" s="223" t="s">
        <v>3402</v>
      </c>
      <c r="B8" s="127">
        <v>3.5000000000000003E-2</v>
      </c>
      <c r="C8" s="224"/>
      <c r="D8" s="223" t="s">
        <v>3402</v>
      </c>
      <c r="E8" s="127">
        <v>1.7500000000000002E-2</v>
      </c>
    </row>
    <row r="9" spans="1:5" ht="20.100000000000001" customHeight="1" x14ac:dyDescent="0.25">
      <c r="A9" s="223" t="s">
        <v>3403</v>
      </c>
      <c r="B9" s="127">
        <v>8.0000000000000002E-3</v>
      </c>
      <c r="C9" s="224"/>
      <c r="D9" s="223" t="s">
        <v>3403</v>
      </c>
      <c r="E9" s="127">
        <v>3.8999999999999998E-3</v>
      </c>
    </row>
    <row r="10" spans="1:5" ht="20.100000000000001" customHeight="1" x14ac:dyDescent="0.25">
      <c r="A10" s="223" t="s">
        <v>3404</v>
      </c>
      <c r="B10" s="127">
        <v>1.2500000000000001E-2</v>
      </c>
      <c r="C10" s="224"/>
      <c r="D10" s="223" t="s">
        <v>3404</v>
      </c>
      <c r="E10" s="127">
        <v>5.5999999999999999E-3</v>
      </c>
    </row>
    <row r="11" spans="1:5" ht="20.100000000000001" customHeight="1" x14ac:dyDescent="0.25">
      <c r="A11" s="223" t="s">
        <v>3405</v>
      </c>
      <c r="B11" s="127">
        <v>7.6E-3</v>
      </c>
      <c r="C11" s="224"/>
      <c r="D11" s="223" t="s">
        <v>3405</v>
      </c>
      <c r="E11" s="127">
        <v>8.5000000000000006E-3</v>
      </c>
    </row>
    <row r="12" spans="1:5" ht="20.100000000000001" customHeight="1" x14ac:dyDescent="0.25">
      <c r="A12" s="223" t="s">
        <v>104</v>
      </c>
      <c r="B12" s="127">
        <v>6.7799999999999999E-2</v>
      </c>
      <c r="C12" s="224"/>
      <c r="D12" s="223" t="s">
        <v>104</v>
      </c>
      <c r="E12" s="127">
        <v>3.5000000000000003E-2</v>
      </c>
    </row>
    <row r="13" spans="1:5" ht="20.100000000000001" customHeight="1" x14ac:dyDescent="0.25">
      <c r="A13" s="223" t="s">
        <v>3406</v>
      </c>
      <c r="B13" s="127">
        <v>6.4999999999999997E-3</v>
      </c>
      <c r="C13" s="224"/>
      <c r="D13" s="223" t="s">
        <v>3406</v>
      </c>
      <c r="E13" s="127">
        <v>6.4999999999999997E-3</v>
      </c>
    </row>
    <row r="14" spans="1:5" ht="20.100000000000001" customHeight="1" x14ac:dyDescent="0.25">
      <c r="A14" s="223" t="s">
        <v>3407</v>
      </c>
      <c r="B14" s="127">
        <v>0.03</v>
      </c>
      <c r="C14" s="224"/>
      <c r="D14" s="223" t="s">
        <v>3407</v>
      </c>
      <c r="E14" s="127">
        <v>0.03</v>
      </c>
    </row>
    <row r="15" spans="1:5" ht="20.100000000000001" customHeight="1" x14ac:dyDescent="0.25">
      <c r="A15" s="223" t="s">
        <v>3408</v>
      </c>
      <c r="B15" s="127">
        <v>0</v>
      </c>
      <c r="C15" s="224"/>
      <c r="D15" s="223" t="s">
        <v>3408</v>
      </c>
      <c r="E15" s="127">
        <v>0</v>
      </c>
    </row>
    <row r="16" spans="1:5" ht="20.100000000000001" customHeight="1" x14ac:dyDescent="0.25">
      <c r="A16" s="223" t="s">
        <v>3409</v>
      </c>
      <c r="B16" s="127">
        <v>0.01</v>
      </c>
      <c r="C16" s="224"/>
      <c r="D16" s="223" t="s">
        <v>3409</v>
      </c>
      <c r="E16" s="127">
        <v>0</v>
      </c>
    </row>
    <row r="17" spans="1:5" ht="24.95" customHeight="1" thickBot="1" x14ac:dyDescent="0.3">
      <c r="A17" s="225" t="s">
        <v>3396</v>
      </c>
      <c r="B17" s="226">
        <f>ROUND(((1+B8+B9+B10)*(1+B11)*(1+B12))/(1-(B13+B14+B15+B16))-1,4)</f>
        <v>0.191</v>
      </c>
      <c r="C17" s="224"/>
      <c r="D17" s="227" t="s">
        <v>3397</v>
      </c>
      <c r="E17" s="226">
        <f>ROUND(((1+E8+E9+E10)*(1+E11)*(1+E12))/(1-(E13+E14+E15+E16))-1,4)</f>
        <v>0.11260000000000001</v>
      </c>
    </row>
    <row r="18" spans="1:5" x14ac:dyDescent="0.25">
      <c r="A18" s="228"/>
      <c r="B18" s="224"/>
      <c r="C18" s="229"/>
      <c r="D18" s="228"/>
      <c r="E18" s="224"/>
    </row>
    <row r="19" spans="1:5" x14ac:dyDescent="0.25">
      <c r="A19" s="230"/>
      <c r="B19" s="231"/>
      <c r="C19" s="224"/>
      <c r="D19" s="230"/>
      <c r="E19" s="231"/>
    </row>
    <row r="20" spans="1:5" x14ac:dyDescent="0.25">
      <c r="A20" s="232"/>
      <c r="B20" s="232"/>
      <c r="C20" s="232"/>
      <c r="D20" s="233"/>
      <c r="E20" s="232"/>
    </row>
    <row r="21" spans="1:5" x14ac:dyDescent="0.25">
      <c r="A21" s="232"/>
      <c r="B21" s="232"/>
      <c r="C21" s="232"/>
      <c r="D21" s="232"/>
      <c r="E21" s="232"/>
    </row>
    <row r="22" spans="1:5" x14ac:dyDescent="0.25">
      <c r="A22" s="232"/>
      <c r="B22" s="232"/>
      <c r="C22" s="232"/>
      <c r="D22" s="232"/>
      <c r="E22" s="232"/>
    </row>
    <row r="23" spans="1:5" x14ac:dyDescent="0.25">
      <c r="A23" s="232"/>
      <c r="B23" s="232"/>
      <c r="C23" s="232"/>
      <c r="D23" s="232"/>
      <c r="E23" s="232"/>
    </row>
    <row r="24" spans="1:5" x14ac:dyDescent="0.25">
      <c r="A24" s="232"/>
      <c r="B24" s="232"/>
      <c r="C24" s="232"/>
      <c r="D24" s="232"/>
      <c r="E24" s="232"/>
    </row>
    <row r="25" spans="1:5" x14ac:dyDescent="0.25">
      <c r="A25" s="232"/>
      <c r="B25" s="232"/>
      <c r="C25" s="232"/>
      <c r="D25" s="232"/>
      <c r="E25" s="232"/>
    </row>
    <row r="26" spans="1:5" x14ac:dyDescent="0.25">
      <c r="A26" s="232"/>
      <c r="B26" s="232"/>
      <c r="C26" s="232"/>
      <c r="D26" s="232"/>
      <c r="E26" s="232"/>
    </row>
    <row r="27" spans="1:5" x14ac:dyDescent="0.25">
      <c r="A27" s="232"/>
      <c r="B27" s="232"/>
      <c r="C27" s="232"/>
      <c r="D27" s="232"/>
      <c r="E27" s="232"/>
    </row>
    <row r="28" spans="1:5" x14ac:dyDescent="0.25">
      <c r="A28" s="232"/>
      <c r="B28" s="232"/>
      <c r="C28" s="232"/>
      <c r="D28" s="232"/>
      <c r="E28" s="232"/>
    </row>
    <row r="29" spans="1:5" x14ac:dyDescent="0.25">
      <c r="A29" s="232"/>
      <c r="B29" s="232"/>
      <c r="C29" s="232"/>
      <c r="D29" s="232"/>
      <c r="E29" s="232"/>
    </row>
    <row r="30" spans="1:5" x14ac:dyDescent="0.25">
      <c r="A30" s="232"/>
      <c r="B30" s="232"/>
      <c r="C30" s="232"/>
      <c r="D30" s="232"/>
      <c r="E30" s="232"/>
    </row>
    <row r="31" spans="1:5" x14ac:dyDescent="0.25">
      <c r="A31" s="232"/>
      <c r="B31" s="232"/>
      <c r="C31" s="232"/>
      <c r="D31" s="232"/>
      <c r="E31" s="232"/>
    </row>
    <row r="32" spans="1:5" x14ac:dyDescent="0.25">
      <c r="A32" s="232"/>
      <c r="B32" s="232"/>
      <c r="C32" s="232"/>
      <c r="D32" s="232"/>
      <c r="E32" s="232"/>
    </row>
    <row r="33" spans="1:5" x14ac:dyDescent="0.25">
      <c r="A33" s="232"/>
      <c r="B33" s="232"/>
      <c r="C33" s="232"/>
      <c r="D33" s="232"/>
      <c r="E33" s="232"/>
    </row>
    <row r="34" spans="1:5" x14ac:dyDescent="0.25">
      <c r="A34" s="232"/>
      <c r="B34" s="232"/>
      <c r="C34" s="232"/>
      <c r="D34" s="232"/>
      <c r="E34" s="232"/>
    </row>
    <row r="35" spans="1:5" x14ac:dyDescent="0.25">
      <c r="A35" s="232"/>
      <c r="B35" s="232"/>
      <c r="C35" s="232"/>
      <c r="D35" s="232"/>
      <c r="E35" s="232"/>
    </row>
    <row r="36" spans="1:5" x14ac:dyDescent="0.25">
      <c r="A36" s="232"/>
      <c r="B36" s="232"/>
      <c r="C36" s="232"/>
      <c r="D36" s="232"/>
      <c r="E36" s="232"/>
    </row>
    <row r="37" spans="1:5" x14ac:dyDescent="0.25">
      <c r="A37" s="232"/>
      <c r="B37" s="232"/>
      <c r="C37" s="232"/>
      <c r="D37" s="232"/>
      <c r="E37" s="232"/>
    </row>
    <row r="38" spans="1:5" x14ac:dyDescent="0.25">
      <c r="A38" s="232"/>
      <c r="B38" s="232"/>
      <c r="C38" s="232"/>
      <c r="D38" s="232"/>
      <c r="E38" s="232"/>
    </row>
    <row r="39" spans="1:5" ht="15.75" x14ac:dyDescent="0.25">
      <c r="A39" s="234" t="s">
        <v>3410</v>
      </c>
      <c r="B39" s="234"/>
      <c r="C39" s="234"/>
      <c r="D39" s="234"/>
      <c r="E39" s="234"/>
    </row>
    <row r="40" spans="1:5" x14ac:dyDescent="0.25">
      <c r="A40" s="116"/>
      <c r="B40" s="116"/>
      <c r="C40" s="116"/>
      <c r="D40" s="116"/>
      <c r="E40" s="116"/>
    </row>
    <row r="41" spans="1:5" x14ac:dyDescent="0.25">
      <c r="A41" s="116"/>
      <c r="B41" s="116"/>
      <c r="C41" s="116"/>
      <c r="D41" s="116"/>
      <c r="E41" s="116"/>
    </row>
  </sheetData>
  <sheetProtection algorithmName="SHA-512" hashValue="pMTUD53EiqEbziUi9XCyoNKzVugHotluF9o6mODI8qF2YBb8ukTn10Q41eF4ieX8+N7d9pvhgGX0XexabXKbTg==" saltValue="XC4ZKA0XLgWjWSf8td9mJQ==" spinCount="100000" sheet="1" objects="1" scenarios="1"/>
  <mergeCells count="3">
    <mergeCell ref="A5:A7"/>
    <mergeCell ref="D5:D7"/>
    <mergeCell ref="A39:E39"/>
  </mergeCells>
  <printOptions horizontalCentered="1"/>
  <pageMargins left="0.19685039370078741" right="0.19685039370078741" top="1.3779527559055118" bottom="0.59055118110236227" header="0.19685039370078741" footer="0.19685039370078741"/>
  <pageSetup paperSize="9" scale="53" orientation="landscape" horizontalDpi="4294967295" verticalDpi="4294967295" r:id="rId1"/>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8</vt:i4>
      </vt:variant>
    </vt:vector>
  </HeadingPairs>
  <TitlesOfParts>
    <vt:vector size="13" baseType="lpstr">
      <vt:lpstr>Composições</vt:lpstr>
      <vt:lpstr>Comp.Aux1</vt:lpstr>
      <vt:lpstr>Comp.Aux2</vt:lpstr>
      <vt:lpstr>Orçamentária</vt:lpstr>
      <vt:lpstr>BDI</vt:lpstr>
      <vt:lpstr>Comp.Aux1!Area_de_impressao</vt:lpstr>
      <vt:lpstr>Comp.Aux2!Area_de_impressao</vt:lpstr>
      <vt:lpstr>Composições!Area_de_impressao</vt:lpstr>
      <vt:lpstr>Orçamentária!Area_de_impressao</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dc:creator>
  <cp:lastModifiedBy>Thauler Ferreira Bispo de Souza</cp:lastModifiedBy>
  <cp:lastPrinted>2021-06-01T22:50:34Z</cp:lastPrinted>
  <dcterms:created xsi:type="dcterms:W3CDTF">2020-07-07T13:57:42Z</dcterms:created>
  <dcterms:modified xsi:type="dcterms:W3CDTF">2021-10-06T14:45:03Z</dcterms:modified>
</cp:coreProperties>
</file>